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media/image1.png" ContentType="image/png"/>
  <Override PartName="/xl/comments17.xml" ContentType="application/vnd.openxmlformats-officedocument.spreadsheetml.comments+xml"/>
  <Override PartName="/xl/comments6.xml" ContentType="application/vnd.openxmlformats-officedocument.spreadsheetml.comments+xml"/>
  <Override PartName="/xl/comments16.xml" ContentType="application/vnd.openxmlformats-officedocument.spreadsheetml.comments+xml"/>
  <Override PartName="/xl/comments22.xml" ContentType="application/vnd.openxmlformats-officedocument.spreadsheetml.comments+xml"/>
  <Override PartName="/xl/styles.xml" ContentType="application/vnd.openxmlformats-officedocument.spreadsheetml.styles+xml"/>
  <Override PartName="/xl/ctrlProps/ctrlProps20.xml" ContentType="application/vnd.ms-excel.controlproperties+xml"/>
  <Override PartName="/xl/ctrlProps/ctrlProps18.xml" ContentType="application/vnd.ms-excel.controlproperties+xml"/>
  <Override PartName="/xl/ctrlProps/ctrlProps16.xml" ContentType="application/vnd.ms-excel.controlproperties+xml"/>
  <Override PartName="/xl/ctrlProps/ctrlProps14.xml" ContentType="application/vnd.ms-excel.controlproperties+xml"/>
  <Override PartName="/xl/ctrlProps/ctrlProps49.xml" ContentType="application/vnd.ms-excel.controlproperties+xml"/>
  <Override PartName="/xl/ctrlProps/ctrlProps24.xml" ContentType="application/vnd.ms-excel.controlproperties+xml"/>
  <Override PartName="/xl/ctrlProps/ctrlProps12.xml" ContentType="application/vnd.ms-excel.controlproperties+xml"/>
  <Override PartName="/xl/ctrlProps/ctrlProps47.xml" ContentType="application/vnd.ms-excel.controlproperties+xml"/>
  <Override PartName="/xl/ctrlProps/ctrlProps22.xml" ContentType="application/vnd.ms-excel.controlproperties+xml"/>
  <Override PartName="/xl/ctrlProps/ctrlProps10.xml" ContentType="application/vnd.ms-excel.controlproperties+xml"/>
  <Override PartName="/xl/ctrlProps/ctrlProps45.xml" ContentType="application/vnd.ms-excel.controlproperties+xml"/>
  <Override PartName="/xl/ctrlProps/ctrlProps8.xml" ContentType="application/vnd.ms-excel.controlproperties+xml"/>
  <Override PartName="/xl/ctrlProps/ctrlProps43.xml" ContentType="application/vnd.ms-excel.controlproperties+xml"/>
  <Override PartName="/xl/ctrlProps/ctrlProps41.xml" ContentType="application/vnd.ms-excel.controlproperties+xml"/>
  <Override PartName="/xl/ctrlProps/ctrlProps38.xml" ContentType="application/vnd.ms-excel.controlproperties+xml"/>
  <Override PartName="/xl/ctrlProps/ctrlProps37.xml" ContentType="application/vnd.ms-excel.controlproperties+xml"/>
  <Override PartName="/xl/ctrlProps/ctrlProps4.xml" ContentType="application/vnd.ms-excel.controlproperties+xml"/>
  <Override PartName="/xl/ctrlProps/ctrlProps25.xml" ContentType="application/vnd.ms-excel.controlproperties+xml"/>
  <Override PartName="/xl/ctrlProps/ctrlProps35.xml" ContentType="application/vnd.ms-excel.controlproperties+xml"/>
  <Override PartName="/xl/ctrlProps/ctrlProps2.xml" ContentType="application/vnd.ms-excel.controlproperties+xml"/>
  <Override PartName="/xl/ctrlProps/ctrlProps33.xml" ContentType="application/vnd.ms-excel.controlproperties+xml"/>
  <Override PartName="/xl/ctrlProps/ctrlProps31.xml" ContentType="application/vnd.ms-excel.controlproperties+xml"/>
  <Override PartName="/xl/ctrlProps/ctrlProps29.xml" ContentType="application/vnd.ms-excel.controlproperties+xml"/>
  <Override PartName="/xl/ctrlProps/ctrlProps27.xml" ContentType="application/vnd.ms-excel.controlproperties+xml"/>
  <Override PartName="/xl/ctrlProps/ctrlProps6.xml" ContentType="application/vnd.ms-excel.controlproperties+xml"/>
  <Override PartName="/xl/drawings/_rels/drawing39.xml.rels" ContentType="application/vnd.openxmlformats-package.relationships+xml"/>
  <Override PartName="/xl/drawings/drawing28.xml" ContentType="application/vnd.openxmlformats-officedocument.drawing+xml"/>
  <Override PartName="/xl/drawings/vmlDrawing15.vml" ContentType="application/vnd.openxmlformats-officedocument.vmlDrawing"/>
  <Override PartName="/xl/drawings/vmlDrawing9.vml" ContentType="application/vnd.openxmlformats-officedocument.vmlDrawing"/>
  <Override PartName="/xl/drawings/drawing26.xml" ContentType="application/vnd.openxmlformats-officedocument.drawing+xml"/>
  <Override PartName="/xl/drawings/vmlDrawing13.vml" ContentType="application/vnd.openxmlformats-officedocument.vmlDrawing"/>
  <Override PartName="/xl/drawings/vmlDrawing7.vml" ContentType="application/vnd.openxmlformats-officedocument.vmlDrawing"/>
  <Override PartName="/xl/drawings/vmlDrawing14.vml" ContentType="application/vnd.openxmlformats-officedocument.vmlDrawing"/>
  <Override PartName="/xl/drawings/vmlDrawing8.vml" ContentType="application/vnd.openxmlformats-officedocument.vmlDrawing"/>
  <Override PartName="/xl/drawings/drawing23.xml" ContentType="application/vnd.openxmlformats-officedocument.drawing+xml"/>
  <Override PartName="/xl/drawings/vmlDrawing10.vml" ContentType="application/vnd.openxmlformats-officedocument.vmlDrawing"/>
  <Override PartName="/xl/drawings/vmlDrawing4.vml" ContentType="application/vnd.openxmlformats-officedocument.vmlDrawing"/>
  <Override PartName="/xl/drawings/vmlDrawing12.vml" ContentType="application/vnd.openxmlformats-officedocument.vmlDrawing"/>
  <Override PartName="/xl/drawings/vmlDrawing6.vml" ContentType="application/vnd.openxmlformats-officedocument.vmlDrawing"/>
  <Override PartName="/xl/drawings/vmlDrawing11.vml" ContentType="application/vnd.openxmlformats-officedocument.vmlDrawing"/>
  <Override PartName="/xl/drawings/vmlDrawing5.vml" ContentType="application/vnd.openxmlformats-officedocument.vmlDrawing"/>
  <Override PartName="/xl/drawings/drawing21.xml" ContentType="application/vnd.openxmlformats-officedocument.drawing+xml"/>
  <Override PartName="/xl/drawings/vmlDrawing2.vml" ContentType="application/vnd.openxmlformats-officedocument.vmlDrawing"/>
  <Override PartName="/xl/drawings/drawing19.xml" ContentType="application/vnd.openxmlformats-officedocument.drawing+xml"/>
  <Override PartName="/xl/drawings/drawing1.xml" ContentType="application/vnd.openxmlformats-officedocument.drawing+xml"/>
  <Override PartName="/xl/drawings/drawing13.xml" ContentType="application/vnd.openxmlformats-officedocument.drawing+xml"/>
  <Override PartName="/xl/drawings/vmlDrawing3.vml" ContentType="application/vnd.openxmlformats-officedocument.vmlDrawing"/>
  <Override PartName="/xl/drawings/drawing3.xml" ContentType="application/vnd.openxmlformats-officedocument.drawing+xml"/>
  <Override PartName="/xl/drawings/vmlDrawing25.vml" ContentType="application/vnd.openxmlformats-officedocument.vmlDrawing"/>
  <Override PartName="/xl/drawings/drawing36.xml" ContentType="application/vnd.openxmlformats-officedocument.drawing+xml"/>
  <Override PartName="/xl/drawings/vmlDrawing23.vml" ContentType="application/vnd.openxmlformats-officedocument.vmlDrawing"/>
  <Override PartName="/xl/drawings/vmlDrawing20.vml" ContentType="application/vnd.openxmlformats-officedocument.vmlDrawing"/>
  <Override PartName="/xl/drawings/vmlDrawing18.vml" ContentType="application/vnd.openxmlformats-officedocument.vmlDrawing"/>
  <Override PartName="/xl/drawings/drawing39.xml" ContentType="application/vnd.openxmlformats-officedocument.drawing+xml"/>
  <Override PartName="/xl/drawings/vmlDrawing26.vml" ContentType="application/vnd.openxmlformats-officedocument.vmlDrawing"/>
  <Override PartName="/xl/drawings/vmlDrawing22.vml" ContentType="application/vnd.openxmlformats-officedocument.vmlDrawing"/>
  <Override PartName="/xl/drawings/drawing40.xml" ContentType="application/vnd.openxmlformats-officedocument.drawing+xml"/>
  <Override PartName="/xl/drawings/vmlDrawing27.vml" ContentType="application/vnd.openxmlformats-officedocument.vmlDrawing"/>
  <Override PartName="/xl/drawings/drawing42.xml" ContentType="application/vnd.openxmlformats-officedocument.drawing+xml"/>
  <Override PartName="/xl/drawings/vmlDrawing24.vml" ContentType="application/vnd.openxmlformats-officedocument.vmlDrawing"/>
  <Override PartName="/xl/drawings/drawing44.xml" ContentType="application/vnd.openxmlformats-officedocument.drawing+xml"/>
  <Override PartName="/xl/drawings/drawing46.xml" ContentType="application/vnd.openxmlformats-officedocument.drawing+xml"/>
  <Override PartName="/xl/drawings/vmlDrawing1.vml" ContentType="application/vnd.openxmlformats-officedocument.vmlDrawing"/>
  <Override PartName="/xl/drawings/vmlDrawing19.vml" ContentType="application/vnd.openxmlformats-officedocument.vmlDrawing"/>
  <Override PartName="/xl/drawings/drawing34.xml" ContentType="application/vnd.openxmlformats-officedocument.drawing+xml"/>
  <Override PartName="/xl/drawings/vmlDrawing21.vml" ContentType="application/vnd.openxmlformats-officedocument.vmlDrawing"/>
  <Override PartName="/xl/drawings/drawing32.xml" ContentType="application/vnd.openxmlformats-officedocument.drawing+xml"/>
  <Override PartName="/xl/drawings/vmlDrawing17.vml" ContentType="application/vnd.openxmlformats-officedocument.vmlDrawing"/>
  <Override PartName="/xl/drawings/drawing30.xml" ContentType="application/vnd.openxmlformats-officedocument.drawing+xml"/>
  <Override PartName="/xl/drawings/vmlDrawing16.vml" ContentType="application/vnd.openxmlformats-officedocument.vmlDrawing"/>
  <Override PartName="/xl/drawings/drawing7.xml" ContentType="application/vnd.openxmlformats-officedocument.drawing+xml"/>
  <Override PartName="/xl/drawings/drawing9.xml" ContentType="application/vnd.openxmlformats-officedocument.drawing+xml"/>
  <Override PartName="/xl/drawings/drawing11.xml" ContentType="application/vnd.openxmlformats-officedocument.drawing+xml"/>
  <Override PartName="/xl/drawings/drawing48.xml" ContentType="application/vnd.openxmlformats-officedocument.drawing+xml"/>
  <Override PartName="/xl/drawings/drawing5.xml" ContentType="application/vnd.openxmlformats-officedocument.drawing+xml"/>
  <Override PartName="/xl/drawings/drawing17.xml" ContentType="application/vnd.openxmlformats-officedocument.drawing+xml"/>
  <Override PartName="/xl/drawings/drawing15.xml" ContentType="application/vnd.openxmlformats-officedocument.drawing+xml"/>
  <Override PartName="/xl/comments24.xml" ContentType="application/vnd.openxmlformats-officedocument.spreadsheetml.comments+xml"/>
  <Override PartName="/xl/_rels/workbook.xml.rels" ContentType="application/vnd.openxmlformats-package.relationships+xml"/>
  <Override PartName="/xl/comments2.xml" ContentType="application/vnd.openxmlformats-officedocument.spreadsheetml.comments+xml"/>
  <Override PartName="/xl/comments12.xml" ContentType="application/vnd.openxmlformats-officedocument.spreadsheetml.comments+xml"/>
  <Override PartName="/xl/comments14.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15.xml" ContentType="application/vnd.openxmlformats-officedocument.spreadsheetml.comments+xml"/>
  <Override PartName="/xl/comments23.xml" ContentType="application/vnd.openxmlformats-officedocument.spreadsheetml.comments+xml"/>
  <Override PartName="/xl/comments27.xml" ContentType="application/vnd.openxmlformats-officedocument.spreadsheetml.comments+xml"/>
  <Override PartName="/xl/worksheets/_rels/sheet3.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30.xml.rels" ContentType="application/vnd.openxmlformats-package.relationships+xml"/>
  <Override PartName="/xl/worksheets/_rels/sheet28.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9.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_rels/sheet27.xml.rels" ContentType="application/vnd.openxmlformats-package.relationships+xml"/>
  <Override PartName="/xl/worksheets/_rels/sheet15.xml.rels" ContentType="application/vnd.openxmlformats-package.relationships+xml"/>
  <Override PartName="/xl/worksheets/_rels/sheet25.xml.rels" ContentType="application/vnd.openxmlformats-package.relationships+xml"/>
  <Override PartName="/xl/worksheets/_rels/sheet24.xml.rels" ContentType="application/vnd.openxmlformats-package.relationships+xml"/>
  <Override PartName="/xl/worksheets/_rels/sheet23.xml.rels" ContentType="application/vnd.openxmlformats-package.relationships+xml"/>
  <Override PartName="/xl/worksheets/_rels/sheet22.xml.rels" ContentType="application/vnd.openxmlformats-package.relationships+xml"/>
  <Override PartName="/xl/worksheets/_rels/sheet21.xml.rels" ContentType="application/vnd.openxmlformats-package.relationships+xml"/>
  <Override PartName="/xl/worksheets/_rels/sheet19.xml.rels" ContentType="application/vnd.openxmlformats-package.relationships+xml"/>
  <Override PartName="/xl/worksheets/_rels/sheet2.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comments19.xml" ContentType="application/vnd.openxmlformats-officedocument.spreadsheetml.comments+xml"/>
  <Override PartName="/xl/comments21.xml" ContentType="application/vnd.openxmlformats-officedocument.spreadsheetml.comments+xml"/>
  <Override PartName="/xl/comments9.xml" ContentType="application/vnd.openxmlformats-officedocument.spreadsheetml.comments+xml"/>
  <Override PartName="/xl/externalLinks/externalLink9.xml" ContentType="application/vnd.openxmlformats-officedocument.spreadsheetml.externalLink+xml"/>
  <Override PartName="/xl/externalLinks/_rels/externalLink13.xml.rels" ContentType="application/vnd.openxmlformats-package.relationships+xml"/>
  <Override PartName="/xl/externalLinks/_rels/externalLink12.xml.rels" ContentType="application/vnd.openxmlformats-package.relationships+xml"/>
  <Override PartName="/xl/externalLinks/_rels/externalLink9.xml.rels" ContentType="application/vnd.openxmlformats-package.relationships+xml"/>
  <Override PartName="/xl/externalLinks/_rels/externalLink8.xml.rels" ContentType="application/vnd.openxmlformats-package.relationships+xml"/>
  <Override PartName="/xl/externalLinks/_rels/externalLink15.xml.rels" ContentType="application/vnd.openxmlformats-package.relationships+xml"/>
  <Override PartName="/xl/externalLinks/_rels/externalLink14.xml.rels" ContentType="application/vnd.openxmlformats-package.relationships+xml"/>
  <Override PartName="/xl/externalLinks/_rels/externalLink1.xml.rels" ContentType="application/vnd.openxmlformats-package.relationships+xml"/>
  <Override PartName="/xl/externalLinks/_rels/externalLink2.xml.rels" ContentType="application/vnd.openxmlformats-package.relationships+xml"/>
  <Override PartName="/xl/externalLinks/_rels/externalLink3.xml.rels" ContentType="application/vnd.openxmlformats-package.relationships+xml"/>
  <Override PartName="/xl/externalLinks/_rels/externalLink4.xml.rels" ContentType="application/vnd.openxmlformats-package.relationships+xml"/>
  <Override PartName="/xl/externalLinks/_rels/externalLink10.xml.rels" ContentType="application/vnd.openxmlformats-package.relationships+xml"/>
  <Override PartName="/xl/externalLinks/_rels/externalLink6.xml.rels" ContentType="application/vnd.openxmlformats-package.relationships+xml"/>
  <Override PartName="/xl/externalLinks/_rels/externalLink5.xml.rels" ContentType="application/vnd.openxmlformats-package.relationships+xml"/>
  <Override PartName="/xl/externalLinks/_rels/externalLink11.xml.rels" ContentType="application/vnd.openxmlformats-package.relationships+xml"/>
  <Override PartName="/xl/externalLinks/_rels/externalLink7.xml.rels" ContentType="application/vnd.openxmlformats-package.relationships+xml"/>
  <Override PartName="/xl/externalLinks/externalLink8.xml" ContentType="application/vnd.openxmlformats-officedocument.spreadsheetml.externalLink+xml"/>
  <Override PartName="/xl/externalLinks/externalLink15.xml" ContentType="application/vnd.openxmlformats-officedocument.spreadsheetml.externalLink+xml"/>
  <Override PartName="/xl/externalLinks/externalLink14.xml" ContentType="application/vnd.openxmlformats-officedocument.spreadsheetml.externalLink+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10.xml" ContentType="application/vnd.openxmlformats-officedocument.spreadsheetml.externalLink+xml"/>
  <Override PartName="/xl/externalLinks/externalLink5.xml" ContentType="application/vnd.openxmlformats-officedocument.spreadsheetml.externalLink+xml"/>
  <Override PartName="/xl/externalLinks/externalLink11.xml" ContentType="application/vnd.openxmlformats-officedocument.spreadsheetml.externalLink+xml"/>
  <Override PartName="/xl/externalLinks/externalLink6.xml" ContentType="application/vnd.openxmlformats-officedocument.spreadsheetml.externalLink+xml"/>
  <Override PartName="/xl/externalLinks/externalLink12.xml" ContentType="application/vnd.openxmlformats-officedocument.spreadsheetml.externalLink+xml"/>
  <Override PartName="/xl/externalLinks/externalLink7.xml" ContentType="application/vnd.openxmlformats-officedocument.spreadsheetml.externalLink+xml"/>
  <Override PartName="/xl/externalLinks/externalLink13.xml" ContentType="application/vnd.openxmlformats-officedocument.spreadsheetml.externalLink+xml"/>
  <Override PartName="/xl/sharedStrings.xml" ContentType="application/vnd.openxmlformats-officedocument.spreadsheetml.sharedStrings+xml"/>
  <Override PartName="/xl/comments8.xml" ContentType="application/vnd.openxmlformats-officedocument.spreadsheetml.comments+xml"/>
  <Override PartName="/xl/theme/theme1.xml" ContentType="application/vnd.openxmlformats-officedocument.theme+xml"/>
  <Override PartName="/xl/comments18.xml" ContentType="application/vnd.openxmlformats-officedocument.spreadsheetml.comments+xml"/>
  <Override PartName="/xl/comments20.xml" ContentType="application/vnd.openxmlformats-officedocument.spreadsheetml.comments+xml"/>
  <Override PartName="/xl/comments7.xml" ContentType="application/vnd.openxmlformats-officedocument.spreadsheetml.comments+xml"/>
  <Override PartName="/xl/workbook.xml" ContentType="application/vnd.openxmlformats-officedocument.spreadsheetml.sheet.main+xml"/>
  <Override PartName="/xl/comments10.xml" ContentType="application/vnd.openxmlformats-officedocument.spreadsheetml.comments+xml"/>
  <Override PartName="/xl/comments11.xml" ContentType="application/vnd.openxmlformats-officedocument.spreadsheetml.comments+xml"/>
  <Override PartName="/xl/comments13.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8"/>
  </bookViews>
  <sheets>
    <sheet name="说明" sheetId="1" state="visible" r:id="rId3"/>
    <sheet name="作业流程" sheetId="2" state="visible" r:id="rId4"/>
    <sheet name="项目信息" sheetId="3" state="visible" r:id="rId5"/>
    <sheet name="输入" sheetId="4" state="visible" r:id="rId6"/>
    <sheet name="柴油加氢物料平衡(杜邦)" sheetId="5" state="visible" r:id="rId7"/>
    <sheet name="物流参数" sheetId="6" state="visible" r:id="rId8"/>
    <sheet name="反应器选型" sheetId="7" state="hidden" r:id="rId9"/>
    <sheet name="塔径核算" sheetId="8" state="hidden" r:id="rId10"/>
    <sheet name="高压容器核算" sheetId="9" state="hidden" r:id="rId11"/>
    <sheet name="汽液分离罐核算" sheetId="10" state="visible" r:id="rId12"/>
    <sheet name="卧式回流罐核算" sheetId="11" state="visible" r:id="rId13"/>
    <sheet name="缓冲罐核算" sheetId="12" state="visible" r:id="rId14"/>
    <sheet name="净化风罐核算" sheetId="13" state="hidden" r:id="rId15"/>
    <sheet name="泄放量" sheetId="14" state="hidden" r:id="rId16"/>
    <sheet name="容器选型（详细设计新模板）" sheetId="15" state="visible" r:id="rId17"/>
    <sheet name="机泵选型(基础设计)" sheetId="16" state="visible" r:id="rId18"/>
    <sheet name="机泵选型（详细设计新模板）" sheetId="17" state="visible" r:id="rId19"/>
    <sheet name="安全阀选型(详细设计新模板)" sheetId="18" state="visible" r:id="rId20"/>
    <sheet name="安全阀选型(基础设计)" sheetId="19" state="visible" r:id="rId21"/>
    <sheet name="单相流管径核算" sheetId="20" state="visible" r:id="rId22"/>
    <sheet name="混相流管径核算" sheetId="21" state="visible" r:id="rId23"/>
    <sheet name="两相流" sheetId="22" state="visible" r:id="rId24"/>
    <sheet name="辅助剂用量" sheetId="23" state="visible" r:id="rId25"/>
    <sheet name="电耗" sheetId="24" state="visible" r:id="rId26"/>
    <sheet name="其他设备选型" sheetId="25" state="hidden" r:id="rId27"/>
    <sheet name="安全阀数据源" sheetId="26" state="hidden" r:id="rId28"/>
    <sheet name="水耗" sheetId="27" state="visible" r:id="rId29"/>
    <sheet name="汽耗" sheetId="28" state="visible" r:id="rId30"/>
    <sheet name="燃料消耗" sheetId="29" state="visible" r:id="rId31"/>
    <sheet name="能耗" sheetId="30" state="visible" r:id="rId32"/>
    <sheet name="塔釜物料停留时间" sheetId="31" state="hidden" r:id="rId33"/>
    <sheet name="操作介质重" sheetId="32" state="visible" r:id="rId34"/>
    <sheet name="原料油粘度" sheetId="33" state="visible" r:id="rId35"/>
    <sheet name="混合器压降" sheetId="34" state="visible"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function="false" hidden="false" localSheetId="8" name="_xlnm.Print_Area" vbProcedure="false">高压容器核算!$A$1:$D$37</definedName>
    <definedName function="false" hidden="false" localSheetId="15" name="_xlnm.Print_Area" vbProcedure="false">'机泵选型(基础设计)'!$A$1:$U$103</definedName>
    <definedName function="false" hidden="false" localSheetId="9" name="_xlnm.Print_Area" vbProcedure="false">汽液分离罐核算!$A$1:$I$39</definedName>
    <definedName function="false" hidden="false" localSheetId="14" name="_xlnm.Print_Area" vbProcedure="false">'容器选型（详细设计新模板）'!$A$1:$E$56</definedName>
    <definedName function="false" hidden="false" localSheetId="10" name="_xlnm.Print_Area" vbProcedure="false">卧式回流罐核算!$A$1:$B$46</definedName>
    <definedName function="false" hidden="false" name="kju" vbProcedure="false">#N/A</definedName>
    <definedName function="false" hidden="false" name="kjui" vbProcedure="false">#N/A</definedName>
    <definedName function="false" hidden="false" name="kjuiop" vbProcedure="false">#N/A</definedName>
    <definedName function="false" hidden="false" name="lokiuj" vbProcedure="false">#N/A</definedName>
    <definedName function="false" hidden="false" name="p" vbProcedure="false">#N/A</definedName>
    <definedName function="false" hidden="false" name="power01" vbProcedure="false">evaluate([1]电耗!$H1)</definedName>
    <definedName function="false" hidden="false" name="pp" vbProcedure="false">#N/A</definedName>
    <definedName function="false" hidden="false" name="ppp" vbProcedure="false">#N/A</definedName>
    <definedName function="false" hidden="false" name="sreti" vbProcedure="false">#N/A</definedName>
    <definedName function="false" hidden="false" name="swerttyyu" vbProcedure="false">#N/A</definedName>
    <definedName function="false" hidden="false" name="_xlnm.Print_Area" vbProcedure="false">#N/A</definedName>
    <definedName function="false" hidden="true" localSheetId="8" name="Z_1861587D_0D3C_48EE_80BF_1C3F94E5DAA5_.wvu.PrintArea" vbProcedure="false">高压容器核算!$A$1:$D$37</definedName>
    <definedName function="false" hidden="true" localSheetId="8" name="Z_84050A56_5F66_4E5B_B9B9_F241F0DA3125_.wvu.PrintArea" vbProcedure="false">高压容器核算!$A$1:$D$37</definedName>
    <definedName function="false" hidden="true" localSheetId="8" name="Z_84050A56_5F66_4E5B_B9B9_F241F0DA3125_.wvu.Rows" vbProcedure="false">高压容器核算!$18:$19</definedName>
    <definedName function="false" hidden="true" localSheetId="8" name="Z_887E1E42_8921_42E2_9809_628A58F22C54_.wvu.PrintArea" vbProcedure="false">高压容器核算!$A$1:$D$37</definedName>
    <definedName function="false" hidden="true" localSheetId="9" name="Z_1861587D_0D3C_48EE_80BF_1C3F94E5DAA5_.wvu.PrintArea" vbProcedure="false">汽液分离罐核算!$A$1:$I$39</definedName>
    <definedName function="false" hidden="true" localSheetId="9" name="Z_84050A56_5F66_4E5B_B9B9_F241F0DA3125_.wvu.Cols" vbProcedure="false">汽液分离罐核算!$J:$J</definedName>
    <definedName function="false" hidden="true" localSheetId="9" name="Z_84050A56_5F66_4E5B_B9B9_F241F0DA3125_.wvu.PrintArea" vbProcedure="false">汽液分离罐核算!$A$1:$I$39</definedName>
    <definedName function="false" hidden="true" localSheetId="9" name="Z_887E1E42_8921_42E2_9809_628A58F22C54_.wvu.PrintArea" vbProcedure="false">汽液分离罐核算!$A$1:$I$39</definedName>
    <definedName function="false" hidden="true" localSheetId="10" name="Z_1861587D_0D3C_48EE_80BF_1C3F94E5DAA5_.wvu.PrintArea" vbProcedure="false">卧式回流罐核算!$A$1:$B$46</definedName>
    <definedName function="false" hidden="true" localSheetId="10" name="Z_84050A56_5F66_4E5B_B9B9_F241F0DA3125_.wvu.PrintArea" vbProcedure="false">卧式回流罐核算!$A$1:$B$46</definedName>
    <definedName function="false" hidden="true" localSheetId="10" name="Z_887E1E42_8921_42E2_9809_628A58F22C54_.wvu.PrintArea" vbProcedure="false">卧式回流罐核算!$A$1:$B$46</definedName>
    <definedName function="false" hidden="true" localSheetId="11" name="Z_84050A56_5F66_4E5B_B9B9_F241F0DA3125_.wvu.Cols" vbProcedure="false">缓冲罐核算!$N:$N</definedName>
    <definedName function="false" hidden="true" localSheetId="14" name="Z_0C974298_ED5E_4F93_B1B1_40117B845DF1_.wvu.PrintArea" vbProcedure="false">'容器选型（详细设计新模板）'!$A$1:$E$56</definedName>
    <definedName function="false" hidden="true" localSheetId="14" name="Z_1861587D_0D3C_48EE_80BF_1C3F94E5DAA5_.wvu.PrintArea" vbProcedure="false">'容器选型（详细设计新模板）'!$A$1:$E$56</definedName>
    <definedName function="false" hidden="true" localSheetId="14" name="Z_7DA8F920_8F3F_42CC_83D0_CC0E13769167_.wvu.PrintArea" vbProcedure="false">'容器选型（详细设计新模板）'!$A$1:$E$56</definedName>
    <definedName function="false" hidden="true" localSheetId="14" name="Z_84050A56_5F66_4E5B_B9B9_F241F0DA3125_.wvu.PrintArea" vbProcedure="false">'容器选型（详细设计新模板）'!$A$1:$E$56</definedName>
    <definedName function="false" hidden="true" localSheetId="14" name="Z_887E1E42_8921_42E2_9809_628A58F22C54_.wvu.PrintArea" vbProcedure="false">'容器选型（详细设计新模板）'!$A$1:$E$56</definedName>
    <definedName function="false" hidden="true" localSheetId="14" name="Z_8E743E10_7FDB_497C_92C2_BEF5B01C7BFB_.wvu.PrintArea" vbProcedure="false">'容器选型（详细设计新模板）'!$A$1:$E$56</definedName>
    <definedName function="false" hidden="true" localSheetId="14" name="Z_E5F7CBF3_A458_4BDD_8DB2_86494FD6A0F6_.wvu.PrintArea" vbProcedure="false">'容器选型（详细设计新模板）'!$A$1:$E$56</definedName>
    <definedName function="false" hidden="true" localSheetId="15" name="Z_84050A56_5F66_4E5B_B9B9_F241F0DA3125_.wvu.PrintArea" vbProcedure="false">'机泵选型(基础设计)'!$A$1:$U$103</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B4" authorId="0">
      <text>
        <r>
          <rPr>
            <sz val="10"/>
            <rFont val="Noto Sans SC"/>
            <family val="2"/>
          </rPr>
          <t xml:space="preserve">杨光耀</t>
        </r>
        <r>
          <rPr>
            <sz val="10"/>
            <rFont val="Arial"/>
            <family val="2"/>
          </rPr>
          <t xml:space="preserve">:
</t>
        </r>
        <r>
          <rPr>
            <sz val="9"/>
            <color rgb="FF000000"/>
            <rFont val="宋体"/>
            <family val="3"/>
            <charset val="134"/>
          </rPr>
          <t xml:space="preserve">合同附件一(技术福建)
合同附件二(BEDD)</t>
        </r>
      </text>
    </comment>
    <comment ref="H17" authorId="0">
      <text>
        <r>
          <rPr>
            <sz val="10"/>
            <rFont val="Noto Sans SC"/>
            <family val="2"/>
          </rPr>
          <t xml:space="preserve">杨光耀</t>
        </r>
        <r>
          <rPr>
            <sz val="10"/>
            <rFont val="Arial"/>
            <family val="2"/>
          </rPr>
          <t xml:space="preserve">:
</t>
        </r>
        <r>
          <rPr>
            <sz val="9"/>
            <color rgb="FF000000"/>
            <rFont val="宋体"/>
            <family val="3"/>
            <charset val="134"/>
          </rPr>
          <t xml:space="preserve">自控专业条件含调节阀、节流装置、测量参数表、报警及联锁保护系统数据表（此表由自控完善后发电气专业）。</t>
        </r>
      </text>
    </comment>
    <comment ref="J12" authorId="0">
      <text>
        <r>
          <rPr>
            <sz val="10"/>
            <rFont val="Noto Sans SC"/>
            <family val="2"/>
          </rPr>
          <t xml:space="preserve">杨光耀</t>
        </r>
        <r>
          <rPr>
            <sz val="10"/>
            <rFont val="Arial"/>
            <family val="2"/>
          </rPr>
          <t xml:space="preserve">:
</t>
        </r>
        <r>
          <rPr>
            <sz val="9"/>
            <color rgb="FF000000"/>
            <rFont val="宋体"/>
            <family val="3"/>
            <charset val="134"/>
          </rPr>
          <t xml:space="preserve">设备基础条件由设备专业发起</t>
        </r>
      </text>
    </comment>
    <comment ref="L12" authorId="0">
      <text>
        <r>
          <rPr>
            <sz val="10"/>
            <rFont val="Noto Sans SC"/>
            <family val="2"/>
          </rPr>
          <t xml:space="preserve">杨光耀</t>
        </r>
        <r>
          <rPr>
            <sz val="10"/>
            <rFont val="Arial"/>
            <family val="2"/>
          </rPr>
          <t xml:space="preserve">:
</t>
        </r>
        <r>
          <rPr>
            <sz val="9"/>
            <color rgb="FF000000"/>
            <rFont val="宋体"/>
            <family val="3"/>
            <charset val="134"/>
          </rPr>
          <t xml:space="preserve">设备基础条件由设备专业发起</t>
        </r>
      </text>
    </comment>
    <comment ref="O20" authorId="0">
      <text>
        <r>
          <rPr>
            <sz val="10"/>
            <rFont val="Noto Sans SC"/>
            <family val="2"/>
          </rPr>
          <t xml:space="preserve">杨光耀</t>
        </r>
        <r>
          <rPr>
            <sz val="10"/>
            <rFont val="Arial"/>
            <family val="2"/>
          </rPr>
          <t xml:space="preserve">:
</t>
        </r>
        <r>
          <rPr>
            <sz val="9"/>
            <color rgb="FF000000"/>
            <rFont val="宋体"/>
            <family val="3"/>
            <charset val="134"/>
          </rPr>
          <t xml:space="preserve">基础设计2012.4.19~2012.9.5共20周</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C31" authorId="0">
      <text>
        <r>
          <rPr>
            <sz val="10"/>
            <rFont val="Noto Sans SC"/>
            <family val="2"/>
          </rPr>
          <t xml:space="preserve">杨光耀</t>
        </r>
        <r>
          <rPr>
            <sz val="10"/>
            <rFont val="Arial"/>
            <family val="2"/>
          </rPr>
          <t xml:space="preserve">:
</t>
        </r>
        <r>
          <rPr>
            <sz val="9"/>
            <color rgb="FF000000"/>
            <rFont val="宋体"/>
            <family val="3"/>
            <charset val="134"/>
          </rPr>
          <t xml:space="preserve">裂解反应器出口和入口压降基本为0</t>
        </r>
      </text>
    </comment>
    <comment ref="C32" authorId="0">
      <text>
        <r>
          <rPr>
            <sz val="10"/>
            <rFont val="Noto Sans SC"/>
            <family val="2"/>
          </rPr>
          <t xml:space="preserve">杨光耀</t>
        </r>
        <r>
          <rPr>
            <sz val="10"/>
            <rFont val="Arial"/>
            <family val="2"/>
          </rPr>
          <t xml:space="preserve">:
</t>
        </r>
        <r>
          <rPr>
            <sz val="9"/>
            <color rgb="FF000000"/>
            <rFont val="宋体"/>
            <family val="3"/>
            <charset val="134"/>
          </rPr>
          <t xml:space="preserve">裂解反应器与裂解热高分之间压降0.3MPa</t>
        </r>
      </text>
    </comment>
    <comment ref="C33" authorId="0">
      <text>
        <r>
          <rPr>
            <sz val="10"/>
            <rFont val="Noto Sans SC"/>
            <family val="2"/>
          </rPr>
          <t xml:space="preserve">杨光耀</t>
        </r>
        <r>
          <rPr>
            <sz val="10"/>
            <rFont val="Arial"/>
            <family val="2"/>
          </rPr>
          <t xml:space="preserve">:
</t>
        </r>
        <r>
          <rPr>
            <sz val="9"/>
            <color rgb="FF000000"/>
            <rFont val="宋体"/>
            <family val="3"/>
            <charset val="134"/>
          </rPr>
          <t xml:space="preserve">精制反应器出口和入口压降0.3MPa</t>
        </r>
      </text>
    </comment>
    <comment ref="C34" authorId="0">
      <text>
        <r>
          <rPr>
            <sz val="10"/>
            <rFont val="Noto Sans SC"/>
            <family val="2"/>
          </rPr>
          <t xml:space="preserve">杨光耀</t>
        </r>
        <r>
          <rPr>
            <sz val="10"/>
            <rFont val="Arial"/>
            <family val="2"/>
          </rPr>
          <t xml:space="preserve">:
</t>
        </r>
        <r>
          <rPr>
            <sz val="9"/>
            <color rgb="FF000000"/>
            <rFont val="宋体"/>
            <family val="3"/>
            <charset val="134"/>
          </rPr>
          <t xml:space="preserve">精制反应器与精制热高分之间压降0.4MPa</t>
        </r>
      </text>
    </comment>
    <comment ref="F37" authorId="0">
      <text>
        <r>
          <rPr>
            <sz val="10"/>
            <rFont val="Noto Sans SC"/>
            <family val="2"/>
          </rPr>
          <t xml:space="preserve">杨光耀</t>
        </r>
        <r>
          <rPr>
            <sz val="10"/>
            <rFont val="Arial"/>
            <family val="2"/>
          </rPr>
          <t xml:space="preserve">:
</t>
        </r>
        <r>
          <rPr>
            <sz val="9"/>
            <color rgb="FF000000"/>
            <rFont val="宋体"/>
            <family val="3"/>
            <charset val="134"/>
          </rPr>
          <t xml:space="preserve">考虑炉前混氢,炉压降0.5MPa,炉前冷换及管线压降0.3MPa</t>
        </r>
      </text>
    </comment>
    <comment ref="F51" authorId="0">
      <text>
        <r>
          <rPr>
            <sz val="10"/>
            <rFont val="Noto Sans SC"/>
            <family val="2"/>
          </rPr>
          <t xml:space="preserve">杨光耀</t>
        </r>
        <r>
          <rPr>
            <sz val="10"/>
            <rFont val="Arial"/>
            <family val="2"/>
          </rPr>
          <t xml:space="preserve">:
</t>
        </r>
        <r>
          <rPr>
            <sz val="9"/>
            <color rgb="FF000000"/>
            <rFont val="宋体"/>
            <family val="3"/>
            <charset val="134"/>
          </rPr>
          <t xml:space="preserve">裂解热高分与精制反应器入口压降0.05MPa考虑,实际取值为400℃对应的饱和压力</t>
        </r>
      </text>
    </comment>
    <comment ref="F54" authorId="0">
      <text>
        <r>
          <rPr>
            <sz val="10"/>
            <rFont val="Noto Sans SC"/>
            <family val="2"/>
          </rPr>
          <t xml:space="preserve">杨光耀</t>
        </r>
        <r>
          <rPr>
            <sz val="10"/>
            <rFont val="Arial"/>
            <family val="2"/>
          </rPr>
          <t xml:space="preserve">:
</t>
        </r>
        <r>
          <rPr>
            <sz val="9"/>
            <color rgb="FF000000"/>
            <rFont val="宋体"/>
            <family val="3"/>
            <charset val="134"/>
          </rPr>
          <t xml:space="preserve">热高分与冷高分压降暂定0.2MPa</t>
        </r>
      </text>
    </comment>
    <comment ref="I11" authorId="0">
      <text>
        <r>
          <rPr>
            <sz val="10"/>
            <rFont val="Noto Sans SC"/>
            <family val="2"/>
          </rPr>
          <t xml:space="preserve">杨光耀</t>
        </r>
        <r>
          <rPr>
            <sz val="10"/>
            <rFont val="Arial"/>
            <family val="2"/>
          </rPr>
          <t xml:space="preserve">:
</t>
        </r>
        <r>
          <rPr>
            <sz val="9"/>
            <color rgb="FF000000"/>
            <rFont val="宋体"/>
            <family val="3"/>
            <charset val="134"/>
          </rPr>
          <t xml:space="preserve">计算的总氢耗和提供给业主的氢耗接近,为3750kg/h</t>
        </r>
      </text>
    </comment>
    <comment ref="I16" authorId="0">
      <text>
        <r>
          <rPr>
            <sz val="10"/>
            <rFont val="Noto Sans SC"/>
            <family val="2"/>
          </rPr>
          <t xml:space="preserve">杨光耀</t>
        </r>
        <r>
          <rPr>
            <sz val="10"/>
            <rFont val="Arial"/>
            <family val="2"/>
          </rPr>
          <t xml:space="preserve">:
</t>
        </r>
        <r>
          <rPr>
            <sz val="9"/>
            <color rgb="FF000000"/>
            <rFont val="宋体"/>
            <family val="3"/>
            <charset val="134"/>
          </rPr>
          <t xml:space="preserve">加上了耗氢量的增加值</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I7" authorId="0">
      <text>
        <r>
          <rPr>
            <sz val="10"/>
            <rFont val="Noto Sans SC"/>
            <family val="2"/>
          </rPr>
          <t xml:space="preserve">杨光耀</t>
        </r>
        <r>
          <rPr>
            <sz val="10"/>
            <rFont val="Arial"/>
            <family val="2"/>
          </rPr>
          <t xml:space="preserve">:
</t>
        </r>
        <r>
          <rPr>
            <sz val="9"/>
            <color rgb="FF000000"/>
            <rFont val="宋体"/>
            <family val="3"/>
            <charset val="134"/>
          </rPr>
          <t xml:space="preserve">氢耗3w%（(相当于一次进料）=125000*0.03</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EK1" authorId="0">
      <text>
        <r>
          <rPr>
            <sz val="10"/>
            <rFont val="Arial"/>
            <family val="2"/>
          </rPr>
          <t xml:space="preserve">chengyan:
</t>
        </r>
        <r>
          <rPr>
            <sz val="9"/>
            <color rgb="FF000000"/>
            <rFont val="宋体"/>
            <family val="3"/>
            <charset val="134"/>
          </rPr>
          <t xml:space="preserve">后补充</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G14" authorId="0">
      <text>
        <r>
          <rPr>
            <sz val="10"/>
            <rFont val="Noto Sans SC"/>
            <family val="2"/>
          </rPr>
          <t xml:space="preserve">杨光耀</t>
        </r>
        <r>
          <rPr>
            <sz val="10"/>
            <rFont val="Arial"/>
            <family val="2"/>
          </rPr>
          <t xml:space="preserve">:
</t>
        </r>
        <r>
          <rPr>
            <sz val="9"/>
            <color rgb="FF000000"/>
            <rFont val="宋体"/>
            <family val="3"/>
            <charset val="134"/>
          </rPr>
          <t xml:space="preserve">见hysys计算</t>
        </r>
      </text>
    </comment>
    <comment ref="G15" authorId="0">
      <text>
        <r>
          <rPr>
            <sz val="10"/>
            <rFont val="Noto Sans SC"/>
            <family val="2"/>
          </rPr>
          <t xml:space="preserve">杨光耀</t>
        </r>
        <r>
          <rPr>
            <sz val="10"/>
            <rFont val="Arial"/>
            <family val="2"/>
          </rPr>
          <t xml:space="preserve">:
</t>
        </r>
        <r>
          <rPr>
            <sz val="9"/>
            <color rgb="FF000000"/>
            <rFont val="宋体"/>
            <family val="3"/>
            <charset val="134"/>
          </rPr>
          <t xml:space="preserve">12~18t/m2?</t>
        </r>
      </text>
    </comment>
    <comment ref="G16" authorId="0">
      <text>
        <r>
          <rPr>
            <sz val="10"/>
            <rFont val="Noto Sans SC"/>
            <family val="2"/>
          </rPr>
          <t xml:space="preserve">杨光耀</t>
        </r>
        <r>
          <rPr>
            <sz val="10"/>
            <rFont val="Arial"/>
            <family val="2"/>
          </rPr>
          <t xml:space="preserve">:
</t>
        </r>
        <r>
          <rPr>
            <sz val="9"/>
            <color rgb="FF000000"/>
            <rFont val="宋体"/>
            <family val="3"/>
            <charset val="134"/>
          </rPr>
          <t xml:space="preserve">见石油大学实验数据</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B28" authorId="0">
      <text>
        <r>
          <rPr>
            <sz val="10"/>
            <rFont val="Arial"/>
            <family val="2"/>
          </rPr>
          <t xml:space="preserve">chengyan:
</t>
        </r>
        <r>
          <rPr>
            <sz val="9"/>
            <color rgb="FF000000"/>
            <rFont val="宋体"/>
            <family val="3"/>
            <charset val="134"/>
          </rPr>
          <t xml:space="preserve">最下层塔板距受液盘</t>
        </r>
        <r>
          <rPr>
            <sz val="9"/>
            <color rgb="FF000000"/>
            <rFont val="Tahoma"/>
            <family val="2"/>
            <charset val="1"/>
          </rPr>
          <t xml:space="preserve">+</t>
        </r>
        <r>
          <rPr>
            <sz val="9"/>
            <color rgb="FF000000"/>
            <rFont val="宋体"/>
            <family val="3"/>
            <charset val="134"/>
          </rPr>
          <t xml:space="preserve">受液盘下气相空间</t>
        </r>
      </text>
    </comment>
    <comment ref="D35" authorId="0">
      <text>
        <r>
          <rPr>
            <sz val="10"/>
            <rFont val="Arial"/>
            <family val="2"/>
          </rPr>
          <t xml:space="preserve">chengyan:
</t>
        </r>
        <r>
          <rPr>
            <sz val="9"/>
            <color rgb="FF000000"/>
            <rFont val="宋体"/>
            <family val="3"/>
            <charset val="134"/>
          </rPr>
          <t xml:space="preserve">有一个</t>
        </r>
        <r>
          <rPr>
            <sz val="9"/>
            <color rgb="FF000000"/>
            <rFont val="Tahoma"/>
            <family val="2"/>
            <charset val="1"/>
          </rPr>
          <t xml:space="preserve">700</t>
        </r>
      </text>
    </comment>
  </commentList>
</comments>
</file>

<file path=xl/comments9.xml><?xml version="1.0" encoding="utf-8"?>
<comments xmlns="http://schemas.openxmlformats.org/spreadsheetml/2006/main" xmlns:xdr="http://schemas.openxmlformats.org/drawingml/2006/spreadsheetDrawing">
  <authors>
    <author>Unknown Author</author>
  </authors>
  <commentList>
    <comment ref="A7" authorId="0">
      <text>
        <r>
          <rPr>
            <sz val="10"/>
            <rFont val="Noto Sans SC"/>
            <family val="2"/>
          </rPr>
          <t xml:space="preserve">杨光耀</t>
        </r>
        <r>
          <rPr>
            <sz val="10"/>
            <rFont val="Arial"/>
            <family val="2"/>
          </rPr>
          <t xml:space="preserve">:
</t>
        </r>
        <r>
          <rPr>
            <sz val="9"/>
            <color rgb="FF000000"/>
            <rFont val="宋体"/>
            <family val="3"/>
            <charset val="134"/>
          </rPr>
          <t xml:space="preserve">当直径不大于2m时,封头处直边高度取25mm,否则取40mm</t>
        </r>
      </text>
    </comment>
    <comment ref="A8" authorId="0">
      <text>
        <r>
          <rPr>
            <sz val="10"/>
            <rFont val="Noto Sans SC"/>
            <family val="2"/>
          </rPr>
          <t xml:space="preserve">微软用户</t>
        </r>
        <r>
          <rPr>
            <sz val="10"/>
            <rFont val="Arial"/>
            <family val="2"/>
          </rPr>
          <t xml:space="preserve">:
</t>
        </r>
        <r>
          <rPr>
            <sz val="10"/>
            <rFont val="Noto Sans SC"/>
            <family val="2"/>
          </rPr>
          <t xml:space="preserve">分水斗的直径在不影响机械设计的要求下应取大一些。当罐直径不小于</t>
        </r>
        <r>
          <rPr>
            <sz val="10"/>
            <rFont val="Arial"/>
            <family val="2"/>
          </rPr>
          <t xml:space="preserve">1.5 m </t>
        </r>
        <r>
          <rPr>
            <sz val="10"/>
            <rFont val="Noto Sans SC"/>
            <family val="2"/>
          </rPr>
          <t xml:space="preserve">时，分水斗直径应不大于罐直径的</t>
        </r>
        <r>
          <rPr>
            <sz val="10"/>
            <rFont val="Arial"/>
            <family val="2"/>
          </rPr>
          <t xml:space="preserve">1/3</t>
        </r>
        <r>
          <rPr>
            <sz val="10"/>
            <rFont val="Noto Sans SC"/>
            <family val="2"/>
          </rPr>
          <t xml:space="preserve">，罐直径小于</t>
        </r>
        <r>
          <rPr>
            <sz val="10"/>
            <rFont val="Arial"/>
            <family val="2"/>
          </rPr>
          <t xml:space="preserve">1.5 m </t>
        </r>
        <r>
          <rPr>
            <sz val="10"/>
            <rFont val="Noto Sans SC"/>
            <family val="2"/>
          </rPr>
          <t xml:space="preserve">时，分水斗直径不大于罐直径的</t>
        </r>
        <r>
          <rPr>
            <sz val="10"/>
            <rFont val="Arial"/>
            <family val="2"/>
          </rPr>
          <t xml:space="preserve">1/2</t>
        </r>
        <r>
          <rPr>
            <sz val="10"/>
            <rFont val="Noto Sans SC"/>
            <family val="2"/>
          </rPr>
          <t xml:space="preserve">。分水斗的直径一般不小于</t>
        </r>
        <r>
          <rPr>
            <sz val="10"/>
            <rFont val="Arial"/>
            <family val="2"/>
          </rPr>
          <t xml:space="preserve">300 mm</t>
        </r>
        <r>
          <rPr>
            <sz val="10"/>
            <rFont val="Noto Sans SC"/>
            <family val="2"/>
          </rPr>
          <t xml:space="preserve">。</t>
        </r>
      </text>
    </comment>
    <comment ref="A9" authorId="0">
      <text>
        <r>
          <rPr>
            <sz val="10"/>
            <rFont val="Noto Sans SC"/>
            <family val="2"/>
          </rPr>
          <t xml:space="preserve">微软用户</t>
        </r>
        <r>
          <rPr>
            <sz val="10"/>
            <rFont val="Arial"/>
            <family val="2"/>
          </rPr>
          <t xml:space="preserve">:
</t>
        </r>
        <r>
          <rPr>
            <sz val="10"/>
            <rFont val="Noto Sans SC"/>
            <family val="2"/>
          </rPr>
          <t xml:space="preserve">采用液面控制仪表时，卧罐分水斗高度应不小于</t>
        </r>
        <r>
          <rPr>
            <sz val="10"/>
            <rFont val="Arial"/>
            <family val="2"/>
          </rPr>
          <t xml:space="preserve">1 m</t>
        </r>
        <r>
          <rPr>
            <sz val="10"/>
            <rFont val="Noto Sans SC"/>
            <family val="2"/>
          </rPr>
          <t xml:space="preserve">，分水斗中低水位至高水位的高度按水流率</t>
        </r>
        <r>
          <rPr>
            <sz val="10"/>
            <rFont val="Arial"/>
            <family val="2"/>
          </rPr>
          <t xml:space="preserve">5 min </t>
        </r>
        <r>
          <rPr>
            <sz val="10"/>
            <rFont val="Noto Sans SC"/>
            <family val="2"/>
          </rPr>
          <t xml:space="preserve">来考虑。</t>
        </r>
      </text>
    </comment>
    <comment ref="A38" authorId="0">
      <text>
        <r>
          <rPr>
            <sz val="10"/>
            <rFont val="Arial"/>
            <family val="2"/>
          </rPr>
          <t xml:space="preserve">YGY:
</t>
        </r>
        <r>
          <rPr>
            <sz val="9"/>
            <color rgb="FF000000"/>
            <rFont val="宋体"/>
            <family val="3"/>
            <charset val="134"/>
          </rPr>
          <t xml:space="preserve">&gt;=1.2m</t>
        </r>
      </text>
    </comment>
    <comment ref="A39" authorId="0">
      <text>
        <r>
          <rPr>
            <sz val="10"/>
            <rFont val="Arial"/>
            <family val="2"/>
          </rPr>
          <t xml:space="preserve">YGY:
</t>
        </r>
        <r>
          <rPr>
            <sz val="9"/>
            <color rgb="FF000000"/>
            <rFont val="宋体"/>
            <family val="3"/>
            <charset val="134"/>
          </rPr>
          <t xml:space="preserve">t1=1min</t>
        </r>
      </text>
    </comment>
    <comment ref="A41" authorId="0">
      <text>
        <r>
          <rPr>
            <sz val="10"/>
            <rFont val="Arial"/>
            <family val="2"/>
          </rPr>
          <t xml:space="preserve">YGY:
</t>
        </r>
        <r>
          <rPr>
            <sz val="9"/>
            <color rgb="FF000000"/>
            <rFont val="宋体"/>
            <family val="3"/>
            <charset val="134"/>
          </rPr>
          <t xml:space="preserve">t3=1min</t>
        </r>
      </text>
    </comment>
    <comment ref="A42" authorId="0">
      <text>
        <r>
          <rPr>
            <sz val="10"/>
            <rFont val="Arial"/>
            <family val="2"/>
          </rPr>
          <t xml:space="preserve">YGY:
</t>
        </r>
        <r>
          <rPr>
            <sz val="9"/>
            <color rgb="FF000000"/>
            <rFont val="宋体"/>
            <family val="3"/>
            <charset val="134"/>
          </rPr>
          <t xml:space="preserve">t4=3min</t>
        </r>
      </text>
    </comment>
    <comment ref="A44" authorId="0">
      <text>
        <r>
          <rPr>
            <sz val="10"/>
            <rFont val="Arial"/>
            <family val="2"/>
          </rPr>
          <t xml:space="preserve">YGY:
</t>
        </r>
        <r>
          <rPr>
            <sz val="9"/>
            <color rgb="FF000000"/>
            <rFont val="宋体"/>
            <family val="3"/>
            <charset val="134"/>
          </rPr>
          <t xml:space="preserve">t5=1min</t>
        </r>
      </text>
    </comment>
    <comment ref="A45" authorId="0">
      <text>
        <r>
          <rPr>
            <sz val="10"/>
            <rFont val="Arial"/>
            <family val="2"/>
          </rPr>
          <t xml:space="preserve">YGY:
</t>
        </r>
        <r>
          <rPr>
            <sz val="9"/>
            <color rgb="FF000000"/>
            <rFont val="宋体"/>
            <family val="3"/>
            <charset val="134"/>
          </rPr>
          <t xml:space="preserve">t6=1min</t>
        </r>
      </text>
    </comment>
    <comment ref="A48" authorId="0">
      <text>
        <r>
          <rPr>
            <sz val="10"/>
            <rFont val="Arial"/>
            <family val="2"/>
          </rPr>
          <t xml:space="preserve">YGY:
</t>
        </r>
        <r>
          <rPr>
            <sz val="9"/>
            <color rgb="FF000000"/>
            <rFont val="宋体"/>
            <family val="3"/>
            <charset val="134"/>
          </rPr>
          <t xml:space="preserve">0.785*D2*L+2封头</t>
        </r>
      </text>
    </comment>
    <comment ref="A49" authorId="0">
      <text>
        <r>
          <rPr>
            <sz val="10"/>
            <rFont val="Arial"/>
            <family val="2"/>
          </rPr>
          <t xml:space="preserve">YGY:
</t>
        </r>
        <r>
          <rPr>
            <sz val="9"/>
            <color rgb="FF000000"/>
            <rFont val="宋体"/>
            <family val="3"/>
            <charset val="134"/>
          </rPr>
          <t xml:space="preserve">0.785*D*D*（0.5*L4+L5+..+L6）+封头</t>
        </r>
      </text>
    </comment>
    <comment ref="A52" authorId="0">
      <text>
        <r>
          <rPr>
            <sz val="10"/>
            <rFont val="Arial"/>
            <family val="2"/>
          </rPr>
          <t xml:space="preserve">YGY:
</t>
        </r>
        <r>
          <rPr>
            <sz val="9"/>
            <color rgb="FF000000"/>
            <rFont val="宋体"/>
            <family val="3"/>
            <charset val="134"/>
          </rPr>
          <t xml:space="preserve">0.785*D*D*（L5+..+L6）+封头</t>
        </r>
      </text>
    </comment>
    <comment ref="A53" authorId="0">
      <text>
        <r>
          <rPr>
            <sz val="10"/>
            <rFont val="Arial"/>
            <family val="2"/>
          </rPr>
          <t xml:space="preserve">YGY:
</t>
        </r>
        <r>
          <rPr>
            <sz val="9"/>
            <color rgb="FF000000"/>
            <rFont val="宋体"/>
            <family val="3"/>
            <charset val="134"/>
          </rPr>
          <t xml:space="preserve">0.785*D*D*（L4+L5+..+L6）+封头</t>
        </r>
      </text>
    </comment>
    <comment ref="D14" authorId="0">
      <text>
        <r>
          <rPr>
            <sz val="10"/>
            <rFont val="Arial"/>
            <family val="2"/>
          </rPr>
          <t xml:space="preserve">YGY:
</t>
        </r>
        <r>
          <rPr>
            <sz val="9"/>
            <color rgb="FF000000"/>
            <rFont val="宋体"/>
            <family val="3"/>
            <charset val="134"/>
          </rPr>
          <t xml:space="preserve">本来取12*1.05=12.6，但由于循环氢脱硫塔是12.7,故取此值</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A7" authorId="0">
      <text>
        <r>
          <rPr>
            <sz val="10"/>
            <rFont val="Noto Sans SC"/>
            <family val="2"/>
          </rPr>
          <t xml:space="preserve">杨光耀</t>
        </r>
        <r>
          <rPr>
            <sz val="10"/>
            <rFont val="Arial"/>
            <family val="2"/>
          </rPr>
          <t xml:space="preserve">:
</t>
        </r>
        <r>
          <rPr>
            <sz val="9"/>
            <color rgb="FF000000"/>
            <rFont val="宋体"/>
            <family val="3"/>
            <charset val="134"/>
          </rPr>
          <t xml:space="preserve">当直径不大于2m时,封头处直边高度取25mm,否则取40mm</t>
        </r>
      </text>
    </comment>
    <comment ref="A8" authorId="0">
      <text>
        <r>
          <rPr>
            <sz val="10"/>
            <rFont val="Noto Sans SC"/>
            <family val="2"/>
          </rPr>
          <t xml:space="preserve">微软用户</t>
        </r>
        <r>
          <rPr>
            <sz val="10"/>
            <rFont val="Arial"/>
            <family val="2"/>
          </rPr>
          <t xml:space="preserve">:
</t>
        </r>
        <r>
          <rPr>
            <sz val="10"/>
            <rFont val="Noto Sans SC"/>
            <family val="2"/>
          </rPr>
          <t xml:space="preserve">分水斗的直径在不影响机械设计的要求下应取大一些。当罐直径不小于</t>
        </r>
        <r>
          <rPr>
            <sz val="10"/>
            <rFont val="Arial"/>
            <family val="2"/>
          </rPr>
          <t xml:space="preserve">1.5 m </t>
        </r>
        <r>
          <rPr>
            <sz val="10"/>
            <rFont val="Noto Sans SC"/>
            <family val="2"/>
          </rPr>
          <t xml:space="preserve">时，分水斗直径应不大于罐直径的</t>
        </r>
        <r>
          <rPr>
            <sz val="10"/>
            <rFont val="Arial"/>
            <family val="2"/>
          </rPr>
          <t xml:space="preserve">1/3</t>
        </r>
        <r>
          <rPr>
            <sz val="10"/>
            <rFont val="Noto Sans SC"/>
            <family val="2"/>
          </rPr>
          <t xml:space="preserve">，罐直径小于</t>
        </r>
        <r>
          <rPr>
            <sz val="10"/>
            <rFont val="Arial"/>
            <family val="2"/>
          </rPr>
          <t xml:space="preserve">1.5 m </t>
        </r>
        <r>
          <rPr>
            <sz val="10"/>
            <rFont val="Noto Sans SC"/>
            <family val="2"/>
          </rPr>
          <t xml:space="preserve">时，分水斗直径不大于罐直径的</t>
        </r>
        <r>
          <rPr>
            <sz val="10"/>
            <rFont val="Arial"/>
            <family val="2"/>
          </rPr>
          <t xml:space="preserve">1/2</t>
        </r>
        <r>
          <rPr>
            <sz val="10"/>
            <rFont val="Noto Sans SC"/>
            <family val="2"/>
          </rPr>
          <t xml:space="preserve">。分水斗的直径一般不小于</t>
        </r>
        <r>
          <rPr>
            <sz val="10"/>
            <rFont val="Arial"/>
            <family val="2"/>
          </rPr>
          <t xml:space="preserve">300 mm</t>
        </r>
        <r>
          <rPr>
            <sz val="10"/>
            <rFont val="Noto Sans SC"/>
            <family val="2"/>
          </rPr>
          <t xml:space="preserve">。</t>
        </r>
      </text>
    </comment>
    <comment ref="A9" authorId="0">
      <text>
        <r>
          <rPr>
            <sz val="10"/>
            <rFont val="Noto Sans SC"/>
            <family val="2"/>
          </rPr>
          <t xml:space="preserve">微软用户</t>
        </r>
        <r>
          <rPr>
            <sz val="10"/>
            <rFont val="Arial"/>
            <family val="2"/>
          </rPr>
          <t xml:space="preserve">:
</t>
        </r>
        <r>
          <rPr>
            <sz val="10"/>
            <rFont val="Noto Sans SC"/>
            <family val="2"/>
          </rPr>
          <t xml:space="preserve">采用液面控制仪表时，卧罐分水斗高度应不小于</t>
        </r>
        <r>
          <rPr>
            <sz val="10"/>
            <rFont val="Arial"/>
            <family val="2"/>
          </rPr>
          <t xml:space="preserve">1 m</t>
        </r>
        <r>
          <rPr>
            <sz val="10"/>
            <rFont val="Noto Sans SC"/>
            <family val="2"/>
          </rPr>
          <t xml:space="preserve">，分水斗中低水位至高水位的高度按水流率</t>
        </r>
        <r>
          <rPr>
            <sz val="10"/>
            <rFont val="Arial"/>
            <family val="2"/>
          </rPr>
          <t xml:space="preserve">5 min </t>
        </r>
        <r>
          <rPr>
            <sz val="10"/>
            <rFont val="Noto Sans SC"/>
            <family val="2"/>
          </rPr>
          <t xml:space="preserve">来考虑。</t>
        </r>
      </text>
    </comment>
    <comment ref="A28" authorId="0">
      <text>
        <r>
          <rPr>
            <sz val="10"/>
            <rFont val="Noto Sans SC"/>
            <family val="2"/>
          </rPr>
          <t xml:space="preserve">微软用户</t>
        </r>
        <r>
          <rPr>
            <sz val="10"/>
            <rFont val="Arial"/>
            <family val="2"/>
          </rPr>
          <t xml:space="preserve">:
</t>
        </r>
        <r>
          <rPr>
            <sz val="10"/>
            <rFont val="Noto Sans SC"/>
            <family val="2"/>
          </rPr>
          <t xml:space="preserve">对于立式容器，此系数为</t>
        </r>
        <r>
          <rPr>
            <sz val="10"/>
            <rFont val="Arial"/>
            <family val="2"/>
          </rPr>
          <t xml:space="preserve">1</t>
        </r>
        <r>
          <rPr>
            <sz val="10"/>
            <rFont val="Noto Sans SC"/>
            <family val="2"/>
          </rPr>
          <t xml:space="preserve">；对于卧式容器，则为高液面以上弓形面积与圆截面积之比</t>
        </r>
      </text>
    </comment>
    <comment ref="A35" authorId="0">
      <text>
        <r>
          <rPr>
            <sz val="10"/>
            <rFont val="Noto Sans SC"/>
            <family val="2"/>
          </rPr>
          <t xml:space="preserve">微软用户</t>
        </r>
        <r>
          <rPr>
            <sz val="10"/>
            <rFont val="Arial"/>
            <family val="2"/>
          </rPr>
          <t xml:space="preserve">:
1</t>
        </r>
        <r>
          <rPr>
            <sz val="10"/>
            <rFont val="Noto Sans SC"/>
            <family val="2"/>
          </rPr>
          <t xml:space="preserve">、下一工序，停留时间按液体产品</t>
        </r>
        <r>
          <rPr>
            <sz val="10"/>
            <rFont val="Arial"/>
            <family val="2"/>
          </rPr>
          <t xml:space="preserve">15 min </t>
        </r>
        <r>
          <rPr>
            <sz val="10"/>
            <rFont val="Noto Sans SC"/>
            <family val="2"/>
          </rPr>
          <t xml:space="preserve">或回流</t>
        </r>
        <r>
          <rPr>
            <sz val="10"/>
            <rFont val="Arial"/>
            <family val="2"/>
          </rPr>
          <t xml:space="preserve">5 min </t>
        </r>
        <r>
          <rPr>
            <sz val="10"/>
            <rFont val="Noto Sans SC"/>
            <family val="2"/>
          </rPr>
          <t xml:space="preserve">考虑，取二者中较大值。
</t>
        </r>
        <r>
          <rPr>
            <sz val="10"/>
            <rFont val="Arial"/>
            <family val="2"/>
          </rPr>
          <t xml:space="preserve">2</t>
        </r>
        <r>
          <rPr>
            <sz val="10"/>
            <rFont val="Noto Sans SC"/>
            <family val="2"/>
          </rPr>
          <t xml:space="preserve">、当塔顶液体去储罐时，停留时间按液体产品</t>
        </r>
        <r>
          <rPr>
            <sz val="10"/>
            <rFont val="Arial"/>
            <family val="2"/>
          </rPr>
          <t xml:space="preserve">3 min </t>
        </r>
        <r>
          <rPr>
            <sz val="10"/>
            <rFont val="Noto Sans SC"/>
            <family val="2"/>
          </rPr>
          <t xml:space="preserve">或回流</t>
        </r>
        <r>
          <rPr>
            <sz val="10"/>
            <rFont val="Arial"/>
            <family val="2"/>
          </rPr>
          <t xml:space="preserve">5 min </t>
        </r>
        <r>
          <rPr>
            <sz val="10"/>
            <rFont val="Noto Sans SC"/>
            <family val="2"/>
          </rPr>
          <t xml:space="preserve">考虑，取二者中较大值。
</t>
        </r>
        <r>
          <rPr>
            <sz val="10"/>
            <rFont val="Arial"/>
            <family val="2"/>
          </rPr>
          <t xml:space="preserve">3</t>
        </r>
        <r>
          <rPr>
            <sz val="10"/>
            <rFont val="Noto Sans SC"/>
            <family val="2"/>
          </rPr>
          <t xml:space="preserve">、作为其它装置进料，停留时间按照</t>
        </r>
        <r>
          <rPr>
            <sz val="10"/>
            <rFont val="Arial"/>
            <family val="2"/>
          </rPr>
          <t xml:space="preserve">20 min</t>
        </r>
        <r>
          <rPr>
            <sz val="10"/>
            <rFont val="Noto Sans SC"/>
            <family val="2"/>
          </rPr>
          <t xml:space="preserve">～</t>
        </r>
        <r>
          <rPr>
            <sz val="10"/>
            <rFont val="Arial"/>
            <family val="2"/>
          </rPr>
          <t xml:space="preserve">30 min</t>
        </r>
        <r>
          <rPr>
            <sz val="10"/>
            <rFont val="Noto Sans SC"/>
            <family val="2"/>
          </rPr>
          <t xml:space="preserve">。</t>
        </r>
      </text>
    </comment>
    <comment ref="A59" authorId="0">
      <text>
        <r>
          <rPr>
            <sz val="10"/>
            <rFont val="Noto Sans SC"/>
            <family val="2"/>
          </rPr>
          <t xml:space="preserve">微软用户</t>
        </r>
        <r>
          <rPr>
            <sz val="10"/>
            <rFont val="Arial"/>
            <family val="2"/>
          </rPr>
          <t xml:space="preserve">:
</t>
        </r>
        <r>
          <rPr>
            <sz val="10"/>
            <rFont val="Noto Sans SC"/>
            <family val="2"/>
          </rPr>
          <t xml:space="preserve">分水斗的直径在不影响机械设计的要求下应取大一些。当罐直径不小于</t>
        </r>
        <r>
          <rPr>
            <sz val="10"/>
            <rFont val="Arial"/>
            <family val="2"/>
          </rPr>
          <t xml:space="preserve">1.5 m </t>
        </r>
        <r>
          <rPr>
            <sz val="10"/>
            <rFont val="Noto Sans SC"/>
            <family val="2"/>
          </rPr>
          <t xml:space="preserve">时，分水斗直径应不大于罐直径的</t>
        </r>
        <r>
          <rPr>
            <sz val="10"/>
            <rFont val="Arial"/>
            <family val="2"/>
          </rPr>
          <t xml:space="preserve">1/3</t>
        </r>
        <r>
          <rPr>
            <sz val="10"/>
            <rFont val="Noto Sans SC"/>
            <family val="2"/>
          </rPr>
          <t xml:space="preserve">，罐直径小于</t>
        </r>
        <r>
          <rPr>
            <sz val="10"/>
            <rFont val="Arial"/>
            <family val="2"/>
          </rPr>
          <t xml:space="preserve">1.5 m </t>
        </r>
        <r>
          <rPr>
            <sz val="10"/>
            <rFont val="Noto Sans SC"/>
            <family val="2"/>
          </rPr>
          <t xml:space="preserve">时，分水斗直径不大于罐直径的</t>
        </r>
        <r>
          <rPr>
            <sz val="10"/>
            <rFont val="Arial"/>
            <family val="2"/>
          </rPr>
          <t xml:space="preserve">1/2</t>
        </r>
        <r>
          <rPr>
            <sz val="10"/>
            <rFont val="Noto Sans SC"/>
            <family val="2"/>
          </rPr>
          <t xml:space="preserve">。分水斗的直径一般不小于</t>
        </r>
        <r>
          <rPr>
            <sz val="10"/>
            <rFont val="Arial"/>
            <family val="2"/>
          </rPr>
          <t xml:space="preserve">300 mm</t>
        </r>
        <r>
          <rPr>
            <sz val="10"/>
            <rFont val="Noto Sans SC"/>
            <family val="2"/>
          </rPr>
          <t xml:space="preserve">。</t>
        </r>
      </text>
    </comment>
    <comment ref="B33" authorId="0">
      <text>
        <r>
          <rPr>
            <sz val="10"/>
            <rFont val="Noto Sans SC"/>
            <family val="2"/>
          </rPr>
          <t xml:space="preserve">汤兰珍</t>
        </r>
        <r>
          <rPr>
            <sz val="10"/>
            <rFont val="Arial"/>
            <family val="2"/>
          </rPr>
          <t xml:space="preserve">:
</t>
        </r>
        <r>
          <rPr>
            <sz val="9"/>
            <color rgb="FF000000"/>
            <rFont val="宋体"/>
            <family val="3"/>
            <charset val="134"/>
          </rPr>
          <t xml:space="preserve">
</t>
        </r>
      </text>
    </comment>
    <comment ref="C32" authorId="0">
      <text>
        <r>
          <rPr>
            <sz val="10"/>
            <rFont val="Noto Sans SC"/>
            <family val="2"/>
          </rPr>
          <t xml:space="preserve">汤兰珍</t>
        </r>
        <r>
          <rPr>
            <sz val="10"/>
            <rFont val="Arial"/>
            <family val="2"/>
          </rPr>
          <t xml:space="preserve">:
</t>
        </r>
      </text>
    </comment>
    <comment ref="C33" authorId="0">
      <text>
        <r>
          <rPr>
            <sz val="10"/>
            <rFont val="Noto Sans SC"/>
            <family val="2"/>
          </rPr>
          <t xml:space="preserve">汤兰珍</t>
        </r>
        <r>
          <rPr>
            <sz val="10"/>
            <rFont val="Arial"/>
            <family val="2"/>
          </rPr>
          <t xml:space="preserve">:
</t>
        </r>
        <r>
          <rPr>
            <sz val="9"/>
            <color rgb="FF000000"/>
            <rFont val="宋体"/>
            <family val="3"/>
            <charset val="134"/>
          </rPr>
          <t xml:space="preserve">
</t>
        </r>
      </text>
    </comment>
    <comment ref="F15" authorId="0">
      <text>
        <r>
          <rPr>
            <sz val="10"/>
            <rFont val="Noto Sans SC"/>
            <family val="2"/>
          </rPr>
          <t xml:space="preserve">汤兰珍</t>
        </r>
        <r>
          <rPr>
            <sz val="10"/>
            <rFont val="Arial"/>
            <family val="2"/>
          </rPr>
          <t xml:space="preserve">:
</t>
        </r>
        <r>
          <rPr>
            <sz val="9"/>
            <color rgb="FF000000"/>
            <rFont val="宋体"/>
            <family val="3"/>
            <charset val="134"/>
          </rPr>
          <t xml:space="preserve">2450改为1708.9</t>
        </r>
      </text>
    </comment>
    <comment ref="F16" authorId="0">
      <text>
        <r>
          <rPr>
            <sz val="10"/>
            <rFont val="Noto Sans SC"/>
            <family val="2"/>
          </rPr>
          <t xml:space="preserve">杨光耀</t>
        </r>
        <r>
          <rPr>
            <sz val="10"/>
            <rFont val="Arial"/>
            <family val="2"/>
          </rPr>
          <t xml:space="preserve">:
</t>
        </r>
        <r>
          <rPr>
            <sz val="9"/>
            <color rgb="FF000000"/>
            <rFont val="宋体"/>
            <family val="3"/>
            <charset val="134"/>
          </rPr>
          <t xml:space="preserve">取1%气体进料</t>
        </r>
      </text>
    </comment>
    <comment ref="F21" authorId="0">
      <text>
        <r>
          <rPr>
            <sz val="10"/>
            <rFont val="Arial"/>
            <family val="2"/>
          </rPr>
          <t xml:space="preserve">YGY:
</t>
        </r>
        <r>
          <rPr>
            <sz val="9"/>
            <color rgb="FF000000"/>
            <rFont val="宋体"/>
            <family val="3"/>
            <charset val="134"/>
          </rPr>
          <t xml:space="preserve">取液化气密度</t>
        </r>
      </text>
    </comment>
    <comment ref="F33" authorId="0">
      <text>
        <r>
          <rPr>
            <sz val="10"/>
            <rFont val="Noto Sans SC"/>
            <family val="2"/>
          </rPr>
          <t xml:space="preserve">汤兰珍</t>
        </r>
        <r>
          <rPr>
            <sz val="10"/>
            <rFont val="Arial"/>
            <family val="2"/>
          </rPr>
          <t xml:space="preserve">:
</t>
        </r>
        <r>
          <rPr>
            <sz val="9"/>
            <color rgb="FF000000"/>
            <rFont val="宋体"/>
            <family val="3"/>
            <charset val="134"/>
          </rPr>
          <t xml:space="preserve">2.32改为0.75
</t>
        </r>
      </text>
    </comment>
    <comment ref="G16" authorId="0">
      <text>
        <r>
          <rPr>
            <sz val="10"/>
            <rFont val="Noto Sans SC"/>
            <family val="2"/>
          </rPr>
          <t xml:space="preserve">杨光耀</t>
        </r>
        <r>
          <rPr>
            <sz val="10"/>
            <rFont val="Arial"/>
            <family val="2"/>
          </rPr>
          <t xml:space="preserve">:
</t>
        </r>
        <r>
          <rPr>
            <sz val="9"/>
            <color rgb="FF000000"/>
            <rFont val="宋体"/>
            <family val="3"/>
            <charset val="134"/>
          </rPr>
          <t xml:space="preserve">取1%气体进料</t>
        </r>
      </text>
    </comment>
    <comment ref="G21" authorId="0">
      <text>
        <r>
          <rPr>
            <sz val="10"/>
            <rFont val="Arial"/>
            <family val="2"/>
          </rPr>
          <t xml:space="preserve">YGY:
</t>
        </r>
        <r>
          <rPr>
            <sz val="9"/>
            <color rgb="FF000000"/>
            <rFont val="宋体"/>
            <family val="3"/>
            <charset val="134"/>
          </rPr>
          <t xml:space="preserve">汤兰珍：改取水密度</t>
        </r>
      </text>
    </comment>
    <comment ref="G33" authorId="0">
      <text>
        <r>
          <rPr>
            <sz val="10"/>
            <rFont val="Noto Sans SC"/>
            <family val="2"/>
          </rPr>
          <t xml:space="preserve">汤兰珍</t>
        </r>
        <r>
          <rPr>
            <sz val="10"/>
            <rFont val="Arial"/>
            <family val="2"/>
          </rPr>
          <t xml:space="preserve">:
</t>
        </r>
        <r>
          <rPr>
            <sz val="9"/>
            <color rgb="FF000000"/>
            <rFont val="宋体"/>
            <family val="3"/>
            <charset val="134"/>
          </rPr>
          <t xml:space="preserve">2.32改为0.75
</t>
        </r>
      </text>
    </comment>
    <comment ref="I6" authorId="0">
      <text>
        <r>
          <rPr>
            <sz val="10"/>
            <rFont val="Arial"/>
            <family val="2"/>
          </rPr>
          <t xml:space="preserve">niuchunpeng:
</t>
        </r>
        <r>
          <rPr>
            <sz val="9"/>
            <color rgb="FF000000"/>
            <rFont val="宋体"/>
            <family val="3"/>
            <charset val="134"/>
          </rPr>
          <t xml:space="preserve">1-21号改</t>
        </r>
      </text>
    </comment>
    <comment ref="I21" authorId="0">
      <text>
        <r>
          <rPr>
            <sz val="10"/>
            <rFont val="Noto Sans SC"/>
            <family val="2"/>
          </rPr>
          <t xml:space="preserve">汤兰珍</t>
        </r>
        <r>
          <rPr>
            <sz val="10"/>
            <rFont val="Arial"/>
            <family val="2"/>
          </rPr>
          <t xml:space="preserve">:
</t>
        </r>
      </text>
    </comment>
    <comment ref="I33" authorId="0">
      <text>
        <r>
          <rPr>
            <sz val="10"/>
            <rFont val="Noto Sans SC"/>
            <family val="2"/>
          </rPr>
          <t xml:space="preserve">原根据杜邦数据表填写的液位高度</t>
        </r>
        <r>
          <rPr>
            <sz val="10"/>
            <rFont val="Arial"/>
            <family val="2"/>
          </rPr>
          <t xml:space="preserve">1.06
</t>
        </r>
        <r>
          <rPr>
            <sz val="10"/>
            <rFont val="Noto Sans SC"/>
            <family val="2"/>
          </rPr>
          <t xml:space="preserve">直径放大、挡板抬高、汤兰珍圆整成</t>
        </r>
        <r>
          <rPr>
            <sz val="10"/>
            <rFont val="Arial"/>
            <family val="2"/>
          </rPr>
          <t xml:space="preserve">1.1</t>
        </r>
        <r>
          <rPr>
            <sz val="10"/>
            <rFont val="Noto Sans SC"/>
            <family val="2"/>
          </rPr>
          <t xml:space="preserve">米
</t>
        </r>
      </text>
    </comment>
    <comment ref="I41" authorId="0">
      <text>
        <r>
          <rPr>
            <sz val="10"/>
            <rFont val="Noto Sans SC"/>
            <family val="2"/>
          </rPr>
          <t xml:space="preserve">汤兰珍</t>
        </r>
        <r>
          <rPr>
            <sz val="10"/>
            <rFont val="Arial"/>
            <family val="2"/>
          </rPr>
          <t xml:space="preserve">:
</t>
        </r>
        <r>
          <rPr>
            <sz val="9"/>
            <color rgb="FF000000"/>
            <rFont val="宋体"/>
            <family val="3"/>
            <charset val="134"/>
          </rPr>
          <t xml:space="preserve">核算
</t>
        </r>
      </text>
    </comment>
    <comment ref="K21" authorId="0">
      <text>
        <r>
          <rPr>
            <sz val="10"/>
            <rFont val="Noto Sans SC"/>
            <family val="2"/>
          </rPr>
          <t xml:space="preserve">汤兰珍</t>
        </r>
        <r>
          <rPr>
            <sz val="10"/>
            <rFont val="Arial"/>
            <family val="2"/>
          </rPr>
          <t xml:space="preserve">:
</t>
        </r>
      </text>
    </comment>
    <comment ref="K28" authorId="0">
      <text>
        <r>
          <rPr>
            <sz val="10"/>
            <rFont val="Noto Sans SC"/>
            <family val="2"/>
          </rPr>
          <t xml:space="preserve">汤兰珍</t>
        </r>
        <r>
          <rPr>
            <sz val="10"/>
            <rFont val="Arial"/>
            <family val="2"/>
          </rPr>
          <t xml:space="preserve">:
</t>
        </r>
      </text>
    </comment>
    <comment ref="K32" authorId="0">
      <text>
        <r>
          <rPr>
            <sz val="10"/>
            <rFont val="Noto Sans SC"/>
            <family val="2"/>
          </rPr>
          <t xml:space="preserve">汤兰珍</t>
        </r>
        <r>
          <rPr>
            <sz val="10"/>
            <rFont val="Arial"/>
            <family val="2"/>
          </rPr>
          <t xml:space="preserve">:
</t>
        </r>
      </text>
    </comment>
    <comment ref="L6" authorId="0">
      <text>
        <r>
          <rPr>
            <sz val="10"/>
            <rFont val="Noto Sans SC"/>
            <family val="2"/>
          </rPr>
          <t xml:space="preserve">汤兰珍</t>
        </r>
        <r>
          <rPr>
            <sz val="10"/>
            <rFont val="Arial"/>
            <family val="2"/>
          </rPr>
          <t xml:space="preserve">:
</t>
        </r>
      </text>
    </comment>
    <comment ref="L28" authorId="0">
      <text>
        <r>
          <rPr>
            <sz val="10"/>
            <rFont val="Noto Sans SC"/>
            <family val="2"/>
          </rPr>
          <t xml:space="preserve">汤兰珍</t>
        </r>
        <r>
          <rPr>
            <sz val="10"/>
            <rFont val="Arial"/>
            <family val="2"/>
          </rPr>
          <t xml:space="preserve">:
</t>
        </r>
      </text>
    </comment>
    <comment ref="L32" authorId="0">
      <text>
        <r>
          <rPr>
            <sz val="10"/>
            <rFont val="Noto Sans SC"/>
            <family val="2"/>
          </rPr>
          <t xml:space="preserve">汤兰珍</t>
        </r>
        <r>
          <rPr>
            <sz val="10"/>
            <rFont val="Arial"/>
            <family val="2"/>
          </rPr>
          <t xml:space="preserve">:
</t>
        </r>
      </text>
    </comment>
    <comment ref="M1" authorId="0">
      <text>
        <r>
          <rPr>
            <sz val="10"/>
            <rFont val="Noto Sans SC"/>
            <family val="2"/>
          </rPr>
          <t xml:space="preserve">汤兰珍</t>
        </r>
        <r>
          <rPr>
            <sz val="10"/>
            <rFont val="Arial"/>
            <family val="2"/>
          </rPr>
          <t xml:space="preserve">:
</t>
        </r>
      </text>
    </comment>
    <comment ref="M6" authorId="0">
      <text>
        <r>
          <rPr>
            <sz val="10"/>
            <rFont val="Noto Sans SC"/>
            <family val="2"/>
          </rPr>
          <t xml:space="preserve">汤兰珍</t>
        </r>
        <r>
          <rPr>
            <sz val="10"/>
            <rFont val="Arial"/>
            <family val="2"/>
          </rPr>
          <t xml:space="preserve">:
</t>
        </r>
      </text>
    </comment>
    <comment ref="M28" authorId="0">
      <text>
        <r>
          <rPr>
            <sz val="10"/>
            <rFont val="Noto Sans SC"/>
            <family val="2"/>
          </rPr>
          <t xml:space="preserve">汤兰珍</t>
        </r>
        <r>
          <rPr>
            <sz val="10"/>
            <rFont val="Arial"/>
            <family val="2"/>
          </rPr>
          <t xml:space="preserve">:
</t>
        </r>
      </text>
    </comment>
    <comment ref="M32" authorId="0">
      <text>
        <r>
          <rPr>
            <sz val="10"/>
            <rFont val="Noto Sans SC"/>
            <family val="2"/>
          </rPr>
          <t xml:space="preserve">汤兰珍</t>
        </r>
        <r>
          <rPr>
            <sz val="10"/>
            <rFont val="Arial"/>
            <family val="2"/>
          </rPr>
          <t xml:space="preserve">:
</t>
        </r>
      </text>
    </comment>
    <comment ref="O1" authorId="0">
      <text>
        <r>
          <rPr>
            <sz val="10"/>
            <rFont val="Noto Sans SC"/>
            <family val="2"/>
          </rPr>
          <t xml:space="preserve">汤兰珍</t>
        </r>
        <r>
          <rPr>
            <sz val="10"/>
            <rFont val="Arial"/>
            <family val="2"/>
          </rPr>
          <t xml:space="preserve">:
</t>
        </r>
      </text>
    </comment>
    <comment ref="O6" authorId="0">
      <text>
        <r>
          <rPr>
            <sz val="10"/>
            <rFont val="Noto Sans SC"/>
            <family val="2"/>
          </rPr>
          <t xml:space="preserve">汤兰珍</t>
        </r>
        <r>
          <rPr>
            <sz val="10"/>
            <rFont val="Arial"/>
            <family val="2"/>
          </rPr>
          <t xml:space="preserve">:
</t>
        </r>
      </text>
    </comment>
    <comment ref="O28" authorId="0">
      <text>
        <r>
          <rPr>
            <sz val="10"/>
            <rFont val="Noto Sans SC"/>
            <family val="2"/>
          </rPr>
          <t xml:space="preserve">汤兰珍</t>
        </r>
        <r>
          <rPr>
            <sz val="10"/>
            <rFont val="Arial"/>
            <family val="2"/>
          </rPr>
          <t xml:space="preserve">:
</t>
        </r>
      </text>
    </comment>
    <comment ref="O32" authorId="0">
      <text>
        <r>
          <rPr>
            <sz val="10"/>
            <rFont val="Noto Sans SC"/>
            <family val="2"/>
          </rPr>
          <t xml:space="preserve">汤兰珍</t>
        </r>
        <r>
          <rPr>
            <sz val="10"/>
            <rFont val="Arial"/>
            <family val="2"/>
          </rPr>
          <t xml:space="preserve">:
</t>
        </r>
      </text>
    </comment>
    <comment ref="O38" authorId="0">
      <text>
        <r>
          <rPr>
            <sz val="10"/>
            <rFont val="Noto Sans SC"/>
            <family val="2"/>
          </rPr>
          <t xml:space="preserve">汤兰珍</t>
        </r>
        <r>
          <rPr>
            <sz val="10"/>
            <rFont val="Arial"/>
            <family val="2"/>
          </rPr>
          <t xml:space="preserve">:
</t>
        </r>
        <r>
          <rPr>
            <sz val="9"/>
            <color rgb="FF000000"/>
            <rFont val="宋体"/>
            <family val="3"/>
            <charset val="134"/>
          </rPr>
          <t xml:space="preserve">因为有旋分</t>
        </r>
      </text>
    </comment>
    <comment ref="P1" authorId="0">
      <text>
        <r>
          <rPr>
            <sz val="10"/>
            <rFont val="Noto Sans SC"/>
            <family val="2"/>
          </rPr>
          <t xml:space="preserve">汤兰珍</t>
        </r>
        <r>
          <rPr>
            <sz val="10"/>
            <rFont val="Arial"/>
            <family val="2"/>
          </rPr>
          <t xml:space="preserve">:
</t>
        </r>
      </text>
    </comment>
    <comment ref="P6" authorId="0">
      <text>
        <r>
          <rPr>
            <sz val="10"/>
            <rFont val="Noto Sans SC"/>
            <family val="2"/>
          </rPr>
          <t xml:space="preserve">汤兰珍</t>
        </r>
        <r>
          <rPr>
            <sz val="10"/>
            <rFont val="Arial"/>
            <family val="2"/>
          </rPr>
          <t xml:space="preserve">:
</t>
        </r>
      </text>
    </comment>
    <comment ref="P28" authorId="0">
      <text>
        <r>
          <rPr>
            <sz val="10"/>
            <rFont val="Noto Sans SC"/>
            <family val="2"/>
          </rPr>
          <t xml:space="preserve">汤兰珍</t>
        </r>
        <r>
          <rPr>
            <sz val="10"/>
            <rFont val="Arial"/>
            <family val="2"/>
          </rPr>
          <t xml:space="preserve">:
</t>
        </r>
      </text>
    </comment>
    <comment ref="P32" authorId="0">
      <text>
        <r>
          <rPr>
            <sz val="10"/>
            <rFont val="Noto Sans SC"/>
            <family val="2"/>
          </rPr>
          <t xml:space="preserve">汤兰珍</t>
        </r>
        <r>
          <rPr>
            <sz val="10"/>
            <rFont val="Arial"/>
            <family val="2"/>
          </rPr>
          <t xml:space="preserve">:
</t>
        </r>
      </text>
    </comment>
    <comment ref="Q1" authorId="0">
      <text>
        <r>
          <rPr>
            <sz val="10"/>
            <rFont val="Noto Sans SC"/>
            <family val="2"/>
          </rPr>
          <t xml:space="preserve">汤兰珍</t>
        </r>
        <r>
          <rPr>
            <sz val="10"/>
            <rFont val="Arial"/>
            <family val="2"/>
          </rPr>
          <t xml:space="preserve">:
</t>
        </r>
      </text>
    </comment>
    <comment ref="Q6" authorId="0">
      <text>
        <r>
          <rPr>
            <sz val="10"/>
            <rFont val="Noto Sans SC"/>
            <family val="2"/>
          </rPr>
          <t xml:space="preserve">汤兰珍</t>
        </r>
        <r>
          <rPr>
            <sz val="10"/>
            <rFont val="Arial"/>
            <family val="2"/>
          </rPr>
          <t xml:space="preserve">:
</t>
        </r>
      </text>
    </comment>
    <comment ref="Q28" authorId="0">
      <text>
        <r>
          <rPr>
            <sz val="10"/>
            <rFont val="Noto Sans SC"/>
            <family val="2"/>
          </rPr>
          <t xml:space="preserve">汤兰珍</t>
        </r>
        <r>
          <rPr>
            <sz val="10"/>
            <rFont val="Arial"/>
            <family val="2"/>
          </rPr>
          <t xml:space="preserve">:
</t>
        </r>
      </text>
    </comment>
    <comment ref="Q32" authorId="0">
      <text>
        <r>
          <rPr>
            <sz val="10"/>
            <rFont val="Noto Sans SC"/>
            <family val="2"/>
          </rPr>
          <t xml:space="preserve">汤兰珍</t>
        </r>
        <r>
          <rPr>
            <sz val="10"/>
            <rFont val="Arial"/>
            <family val="2"/>
          </rPr>
          <t xml:space="preserve">:
</t>
        </r>
      </text>
    </comment>
    <comment ref="U16" authorId="0">
      <text>
        <r>
          <rPr>
            <sz val="10"/>
            <rFont val="Noto Sans SC"/>
            <family val="2"/>
          </rPr>
          <t xml:space="preserve">杨光耀</t>
        </r>
        <r>
          <rPr>
            <sz val="10"/>
            <rFont val="Arial"/>
            <family val="2"/>
          </rPr>
          <t xml:space="preserve">:
</t>
        </r>
        <r>
          <rPr>
            <sz val="9"/>
            <color rgb="FF000000"/>
            <rFont val="宋体"/>
            <family val="3"/>
            <charset val="134"/>
          </rPr>
          <t xml:space="preserve">取1%气体进料</t>
        </r>
      </text>
    </comment>
    <comment ref="V16" authorId="0">
      <text>
        <r>
          <rPr>
            <sz val="10"/>
            <rFont val="Noto Sans SC"/>
            <family val="2"/>
          </rPr>
          <t xml:space="preserve">杨光耀</t>
        </r>
        <r>
          <rPr>
            <sz val="10"/>
            <rFont val="Arial"/>
            <family val="2"/>
          </rPr>
          <t xml:space="preserve">:
</t>
        </r>
        <r>
          <rPr>
            <sz val="9"/>
            <color rgb="FF000000"/>
            <rFont val="宋体"/>
            <family val="3"/>
            <charset val="134"/>
          </rPr>
          <t xml:space="preserve">取1%气体进料</t>
        </r>
      </text>
    </comment>
    <comment ref="V21" authorId="0">
      <text>
        <r>
          <rPr>
            <sz val="10"/>
            <rFont val="Arial"/>
            <family val="2"/>
          </rPr>
          <t xml:space="preserve">YGY:
</t>
        </r>
        <r>
          <rPr>
            <sz val="9"/>
            <color rgb="FF000000"/>
            <rFont val="宋体"/>
            <family val="3"/>
            <charset val="134"/>
          </rPr>
          <t xml:space="preserve">取液化气密度</t>
        </r>
      </text>
    </comment>
  </commentList>
</comments>
</file>

<file path=xl/comments11.xml><?xml version="1.0" encoding="utf-8"?>
<comments xmlns="http://schemas.openxmlformats.org/spreadsheetml/2006/main" xmlns:xdr="http://schemas.openxmlformats.org/drawingml/2006/spreadsheetDrawing">
  <authors>
    <author>Unknown Author</author>
  </authors>
  <commentList>
    <comment ref="A6" authorId="0">
      <text>
        <r>
          <rPr>
            <sz val="10"/>
            <rFont val="Noto Sans SC"/>
            <family val="2"/>
          </rPr>
          <t xml:space="preserve">杨光耀</t>
        </r>
        <r>
          <rPr>
            <sz val="10"/>
            <rFont val="Arial"/>
            <family val="2"/>
          </rPr>
          <t xml:space="preserve">:
</t>
        </r>
        <r>
          <rPr>
            <sz val="9"/>
            <color rgb="FF000000"/>
            <rFont val="宋体"/>
            <family val="3"/>
            <charset val="134"/>
          </rPr>
          <t xml:space="preserve">当直径不大于2m时,封头处直边高度取25mm,否则取40mm</t>
        </r>
      </text>
    </comment>
    <comment ref="A8" authorId="0">
      <text>
        <r>
          <rPr>
            <sz val="10"/>
            <rFont val="Noto Sans SC"/>
            <family val="2"/>
          </rPr>
          <t xml:space="preserve">微软用户</t>
        </r>
        <r>
          <rPr>
            <sz val="10"/>
            <rFont val="Arial"/>
            <family val="2"/>
          </rPr>
          <t xml:space="preserve">:
</t>
        </r>
        <r>
          <rPr>
            <sz val="10"/>
            <rFont val="Noto Sans SC"/>
            <family val="2"/>
          </rPr>
          <t xml:space="preserve">分水斗的直径在不影响机械设计的要求下应取大一些。当罐直径不小于</t>
        </r>
        <r>
          <rPr>
            <sz val="10"/>
            <rFont val="Arial"/>
            <family val="2"/>
          </rPr>
          <t xml:space="preserve">1.5 m </t>
        </r>
        <r>
          <rPr>
            <sz val="10"/>
            <rFont val="Noto Sans SC"/>
            <family val="2"/>
          </rPr>
          <t xml:space="preserve">时，分水斗直径应不大于罐直径的</t>
        </r>
        <r>
          <rPr>
            <sz val="10"/>
            <rFont val="Arial"/>
            <family val="2"/>
          </rPr>
          <t xml:space="preserve">1/3</t>
        </r>
        <r>
          <rPr>
            <sz val="10"/>
            <rFont val="Noto Sans SC"/>
            <family val="2"/>
          </rPr>
          <t xml:space="preserve">，罐直径小于</t>
        </r>
        <r>
          <rPr>
            <sz val="10"/>
            <rFont val="Arial"/>
            <family val="2"/>
          </rPr>
          <t xml:space="preserve">1.5 m </t>
        </r>
        <r>
          <rPr>
            <sz val="10"/>
            <rFont val="Noto Sans SC"/>
            <family val="2"/>
          </rPr>
          <t xml:space="preserve">时，分水斗直径不大于罐直径的</t>
        </r>
        <r>
          <rPr>
            <sz val="10"/>
            <rFont val="Arial"/>
            <family val="2"/>
          </rPr>
          <t xml:space="preserve">1/2</t>
        </r>
        <r>
          <rPr>
            <sz val="10"/>
            <rFont val="Noto Sans SC"/>
            <family val="2"/>
          </rPr>
          <t xml:space="preserve">。分水斗的直径一般不小于</t>
        </r>
        <r>
          <rPr>
            <sz val="10"/>
            <rFont val="Arial"/>
            <family val="2"/>
          </rPr>
          <t xml:space="preserve">300 mm</t>
        </r>
        <r>
          <rPr>
            <sz val="10"/>
            <rFont val="Noto Sans SC"/>
            <family val="2"/>
          </rPr>
          <t xml:space="preserve">。</t>
        </r>
      </text>
    </comment>
    <comment ref="A9" authorId="0">
      <text>
        <r>
          <rPr>
            <sz val="10"/>
            <rFont val="Noto Sans SC"/>
            <family val="2"/>
          </rPr>
          <t xml:space="preserve">微软用户</t>
        </r>
        <r>
          <rPr>
            <sz val="10"/>
            <rFont val="Arial"/>
            <family val="2"/>
          </rPr>
          <t xml:space="preserve">:
</t>
        </r>
        <r>
          <rPr>
            <sz val="10"/>
            <rFont val="Noto Sans SC"/>
            <family val="2"/>
          </rPr>
          <t xml:space="preserve">采用液面控制仪表时，卧罐分水斗高度应不小于</t>
        </r>
        <r>
          <rPr>
            <sz val="10"/>
            <rFont val="Arial"/>
            <family val="2"/>
          </rPr>
          <t xml:space="preserve">1 m</t>
        </r>
        <r>
          <rPr>
            <sz val="10"/>
            <rFont val="Noto Sans SC"/>
            <family val="2"/>
          </rPr>
          <t xml:space="preserve">，分水斗中低水位至高水位的高度按水流率</t>
        </r>
        <r>
          <rPr>
            <sz val="10"/>
            <rFont val="Arial"/>
            <family val="2"/>
          </rPr>
          <t xml:space="preserve">5 min </t>
        </r>
        <r>
          <rPr>
            <sz val="10"/>
            <rFont val="Noto Sans SC"/>
            <family val="2"/>
          </rPr>
          <t xml:space="preserve">来考虑。</t>
        </r>
      </text>
    </comment>
    <comment ref="A32" authorId="0">
      <text>
        <r>
          <rPr>
            <sz val="10"/>
            <rFont val="Noto Sans SC"/>
            <family val="2"/>
          </rPr>
          <t xml:space="preserve">微软用户</t>
        </r>
        <r>
          <rPr>
            <sz val="10"/>
            <rFont val="Arial"/>
            <family val="2"/>
          </rPr>
          <t xml:space="preserve">:
</t>
        </r>
        <r>
          <rPr>
            <sz val="10"/>
            <rFont val="Noto Sans SC"/>
            <family val="2"/>
          </rPr>
          <t xml:space="preserve">对于立式容器，此系数为</t>
        </r>
        <r>
          <rPr>
            <sz val="10"/>
            <rFont val="Arial"/>
            <family val="2"/>
          </rPr>
          <t xml:space="preserve">1</t>
        </r>
        <r>
          <rPr>
            <sz val="10"/>
            <rFont val="Noto Sans SC"/>
            <family val="2"/>
          </rPr>
          <t xml:space="preserve">；对于卧式容器，则为高液面以上弓形面积与圆截面积之比</t>
        </r>
      </text>
    </comment>
    <comment ref="A37" authorId="0">
      <text>
        <r>
          <rPr>
            <sz val="10"/>
            <rFont val="Noto Sans SC"/>
            <family val="2"/>
          </rPr>
          <t xml:space="preserve">微软用户</t>
        </r>
        <r>
          <rPr>
            <sz val="10"/>
            <rFont val="Arial"/>
            <family val="2"/>
          </rPr>
          <t xml:space="preserve">:
1</t>
        </r>
        <r>
          <rPr>
            <sz val="10"/>
            <rFont val="Noto Sans SC"/>
            <family val="2"/>
          </rPr>
          <t xml:space="preserve">、下一工序，停留时间按液体产品</t>
        </r>
        <r>
          <rPr>
            <sz val="10"/>
            <rFont val="Arial"/>
            <family val="2"/>
          </rPr>
          <t xml:space="preserve">15 min </t>
        </r>
        <r>
          <rPr>
            <sz val="10"/>
            <rFont val="Noto Sans SC"/>
            <family val="2"/>
          </rPr>
          <t xml:space="preserve">或回流</t>
        </r>
        <r>
          <rPr>
            <sz val="10"/>
            <rFont val="Arial"/>
            <family val="2"/>
          </rPr>
          <t xml:space="preserve">5 min </t>
        </r>
        <r>
          <rPr>
            <sz val="10"/>
            <rFont val="Noto Sans SC"/>
            <family val="2"/>
          </rPr>
          <t xml:space="preserve">考虑，取二者中较大值。
</t>
        </r>
        <r>
          <rPr>
            <sz val="10"/>
            <rFont val="Arial"/>
            <family val="2"/>
          </rPr>
          <t xml:space="preserve">2</t>
        </r>
        <r>
          <rPr>
            <sz val="10"/>
            <rFont val="Noto Sans SC"/>
            <family val="2"/>
          </rPr>
          <t xml:space="preserve">、当塔顶液体去储罐时，停留时间按液体产品</t>
        </r>
        <r>
          <rPr>
            <sz val="10"/>
            <rFont val="Arial"/>
            <family val="2"/>
          </rPr>
          <t xml:space="preserve">3 min </t>
        </r>
        <r>
          <rPr>
            <sz val="10"/>
            <rFont val="Noto Sans SC"/>
            <family val="2"/>
          </rPr>
          <t xml:space="preserve">或回流</t>
        </r>
        <r>
          <rPr>
            <sz val="10"/>
            <rFont val="Arial"/>
            <family val="2"/>
          </rPr>
          <t xml:space="preserve">5 min </t>
        </r>
        <r>
          <rPr>
            <sz val="10"/>
            <rFont val="Noto Sans SC"/>
            <family val="2"/>
          </rPr>
          <t xml:space="preserve">考虑，取二者中较大值。
</t>
        </r>
        <r>
          <rPr>
            <sz val="10"/>
            <rFont val="Arial"/>
            <family val="2"/>
          </rPr>
          <t xml:space="preserve">3</t>
        </r>
        <r>
          <rPr>
            <sz val="10"/>
            <rFont val="Noto Sans SC"/>
            <family val="2"/>
          </rPr>
          <t xml:space="preserve">、作为其它装置进料，停留时间按照</t>
        </r>
        <r>
          <rPr>
            <sz val="10"/>
            <rFont val="Arial"/>
            <family val="2"/>
          </rPr>
          <t xml:space="preserve">20 min</t>
        </r>
        <r>
          <rPr>
            <sz val="10"/>
            <rFont val="Noto Sans SC"/>
            <family val="2"/>
          </rPr>
          <t xml:space="preserve">～</t>
        </r>
        <r>
          <rPr>
            <sz val="10"/>
            <rFont val="Arial"/>
            <family val="2"/>
          </rPr>
          <t xml:space="preserve">30 min</t>
        </r>
        <r>
          <rPr>
            <sz val="10"/>
            <rFont val="Noto Sans SC"/>
            <family val="2"/>
          </rPr>
          <t xml:space="preserve">。</t>
        </r>
      </text>
    </comment>
    <comment ref="A42" authorId="0">
      <text>
        <r>
          <rPr>
            <sz val="10"/>
            <rFont val="Noto Sans SC"/>
            <family val="2"/>
          </rPr>
          <t xml:space="preserve">微软用户</t>
        </r>
        <r>
          <rPr>
            <sz val="10"/>
            <rFont val="Arial"/>
            <family val="2"/>
          </rPr>
          <t xml:space="preserve">:
</t>
        </r>
        <r>
          <rPr>
            <sz val="10"/>
            <rFont val="Noto Sans SC"/>
            <family val="2"/>
          </rPr>
          <t xml:space="preserve">分水斗的直径在不影响机械设计的要求下应取大一些。当罐直径不小于</t>
        </r>
        <r>
          <rPr>
            <sz val="10"/>
            <rFont val="Arial"/>
            <family val="2"/>
          </rPr>
          <t xml:space="preserve">1.5 m </t>
        </r>
        <r>
          <rPr>
            <sz val="10"/>
            <rFont val="Noto Sans SC"/>
            <family val="2"/>
          </rPr>
          <t xml:space="preserve">时，分水斗直径应不大于罐直径的</t>
        </r>
        <r>
          <rPr>
            <sz val="10"/>
            <rFont val="Arial"/>
            <family val="2"/>
          </rPr>
          <t xml:space="preserve">1/3</t>
        </r>
        <r>
          <rPr>
            <sz val="10"/>
            <rFont val="Noto Sans SC"/>
            <family val="2"/>
          </rPr>
          <t xml:space="preserve">，罐直径小于</t>
        </r>
        <r>
          <rPr>
            <sz val="10"/>
            <rFont val="Arial"/>
            <family val="2"/>
          </rPr>
          <t xml:space="preserve">1.5 m </t>
        </r>
        <r>
          <rPr>
            <sz val="10"/>
            <rFont val="Noto Sans SC"/>
            <family val="2"/>
          </rPr>
          <t xml:space="preserve">时，分水斗直径不大于罐直径的</t>
        </r>
        <r>
          <rPr>
            <sz val="10"/>
            <rFont val="Arial"/>
            <family val="2"/>
          </rPr>
          <t xml:space="preserve">1/2</t>
        </r>
        <r>
          <rPr>
            <sz val="10"/>
            <rFont val="Noto Sans SC"/>
            <family val="2"/>
          </rPr>
          <t xml:space="preserve">。分水斗的直径一般不小于</t>
        </r>
        <r>
          <rPr>
            <sz val="10"/>
            <rFont val="Arial"/>
            <family val="2"/>
          </rPr>
          <t xml:space="preserve">300 mm</t>
        </r>
        <r>
          <rPr>
            <sz val="10"/>
            <rFont val="Noto Sans SC"/>
            <family val="2"/>
          </rPr>
          <t xml:space="preserve">。</t>
        </r>
      </text>
    </comment>
    <comment ref="B42" authorId="0">
      <text>
        <r>
          <rPr>
            <sz val="10"/>
            <rFont val="Noto Sans SC"/>
            <family val="2"/>
          </rPr>
          <t xml:space="preserve">微软用户</t>
        </r>
        <r>
          <rPr>
            <sz val="10"/>
            <rFont val="Arial"/>
            <family val="2"/>
          </rPr>
          <t xml:space="preserve">:
</t>
        </r>
        <r>
          <rPr>
            <sz val="10"/>
            <rFont val="Noto Sans SC"/>
            <family val="2"/>
          </rPr>
          <t xml:space="preserve">分水斗中低水位至高水位的高度考虑减去液位计未测量高度</t>
        </r>
      </text>
    </comment>
    <comment ref="C42" authorId="0">
      <text>
        <r>
          <rPr>
            <sz val="10"/>
            <rFont val="Noto Sans SC"/>
            <family val="2"/>
          </rPr>
          <t xml:space="preserve">微软用户</t>
        </r>
        <r>
          <rPr>
            <sz val="10"/>
            <rFont val="Arial"/>
            <family val="2"/>
          </rPr>
          <t xml:space="preserve">:
</t>
        </r>
        <r>
          <rPr>
            <sz val="10"/>
            <rFont val="Noto Sans SC"/>
            <family val="2"/>
          </rPr>
          <t xml:space="preserve">分水斗中低水位至高水位的高度考虑减去液位计未测量高度</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A6" authorId="0">
      <text>
        <r>
          <rPr>
            <sz val="10"/>
            <rFont val="Noto Sans SC"/>
            <family val="2"/>
          </rPr>
          <t xml:space="preserve">杨光耀</t>
        </r>
        <r>
          <rPr>
            <sz val="10"/>
            <rFont val="Arial"/>
            <family val="2"/>
          </rPr>
          <t xml:space="preserve">:
</t>
        </r>
        <r>
          <rPr>
            <sz val="9"/>
            <color rgb="FF000000"/>
            <rFont val="宋体"/>
            <family val="3"/>
            <charset val="134"/>
          </rPr>
          <t xml:space="preserve">当直径不大于2m时,封头处直边高度取25mm,否则取40mm</t>
        </r>
      </text>
    </comment>
    <comment ref="A8" authorId="0">
      <text>
        <r>
          <rPr>
            <sz val="10"/>
            <rFont val="Noto Sans SC"/>
            <family val="2"/>
          </rPr>
          <t xml:space="preserve">微软用户</t>
        </r>
        <r>
          <rPr>
            <sz val="10"/>
            <rFont val="Arial"/>
            <family val="2"/>
          </rPr>
          <t xml:space="preserve">:
</t>
        </r>
        <r>
          <rPr>
            <sz val="10"/>
            <rFont val="Noto Sans SC"/>
            <family val="2"/>
          </rPr>
          <t xml:space="preserve">分水斗的直径在不影响机械设计的要求下应取大一些。当罐直径不小于</t>
        </r>
        <r>
          <rPr>
            <sz val="10"/>
            <rFont val="Arial"/>
            <family val="2"/>
          </rPr>
          <t xml:space="preserve">1.5 m </t>
        </r>
        <r>
          <rPr>
            <sz val="10"/>
            <rFont val="Noto Sans SC"/>
            <family val="2"/>
          </rPr>
          <t xml:space="preserve">时，分水斗直径应不大于罐直径的</t>
        </r>
        <r>
          <rPr>
            <sz val="10"/>
            <rFont val="Arial"/>
            <family val="2"/>
          </rPr>
          <t xml:space="preserve">1/3</t>
        </r>
        <r>
          <rPr>
            <sz val="10"/>
            <rFont val="Noto Sans SC"/>
            <family val="2"/>
          </rPr>
          <t xml:space="preserve">，罐直径小于</t>
        </r>
        <r>
          <rPr>
            <sz val="10"/>
            <rFont val="Arial"/>
            <family val="2"/>
          </rPr>
          <t xml:space="preserve">1.5 m </t>
        </r>
        <r>
          <rPr>
            <sz val="10"/>
            <rFont val="Noto Sans SC"/>
            <family val="2"/>
          </rPr>
          <t xml:space="preserve">时，分水斗直径不大于罐直径的</t>
        </r>
        <r>
          <rPr>
            <sz val="10"/>
            <rFont val="Arial"/>
            <family val="2"/>
          </rPr>
          <t xml:space="preserve">1/2</t>
        </r>
        <r>
          <rPr>
            <sz val="10"/>
            <rFont val="Noto Sans SC"/>
            <family val="2"/>
          </rPr>
          <t xml:space="preserve">。分水斗的直径一般不小于</t>
        </r>
        <r>
          <rPr>
            <sz val="10"/>
            <rFont val="Arial"/>
            <family val="2"/>
          </rPr>
          <t xml:space="preserve">300 mm</t>
        </r>
        <r>
          <rPr>
            <sz val="10"/>
            <rFont val="Noto Sans SC"/>
            <family val="2"/>
          </rPr>
          <t xml:space="preserve">。</t>
        </r>
      </text>
    </comment>
    <comment ref="A9" authorId="0">
      <text>
        <r>
          <rPr>
            <sz val="10"/>
            <rFont val="Noto Sans SC"/>
            <family val="2"/>
          </rPr>
          <t xml:space="preserve">微软用户</t>
        </r>
        <r>
          <rPr>
            <sz val="10"/>
            <rFont val="Arial"/>
            <family val="2"/>
          </rPr>
          <t xml:space="preserve">:
</t>
        </r>
        <r>
          <rPr>
            <sz val="10"/>
            <rFont val="Noto Sans SC"/>
            <family val="2"/>
          </rPr>
          <t xml:space="preserve">采用液面控制仪表时，卧罐分水斗高度应不小于</t>
        </r>
        <r>
          <rPr>
            <sz val="10"/>
            <rFont val="Arial"/>
            <family val="2"/>
          </rPr>
          <t xml:space="preserve">1 m</t>
        </r>
        <r>
          <rPr>
            <sz val="10"/>
            <rFont val="Noto Sans SC"/>
            <family val="2"/>
          </rPr>
          <t xml:space="preserve">，分水斗中低水位至高水位的高度按水流率</t>
        </r>
        <r>
          <rPr>
            <sz val="10"/>
            <rFont val="Arial"/>
            <family val="2"/>
          </rPr>
          <t xml:space="preserve">5 min </t>
        </r>
        <r>
          <rPr>
            <sz val="10"/>
            <rFont val="Noto Sans SC"/>
            <family val="2"/>
          </rPr>
          <t xml:space="preserve">来考虑。</t>
        </r>
      </text>
    </comment>
    <comment ref="A19" authorId="0">
      <text>
        <r>
          <rPr>
            <sz val="10"/>
            <rFont val="Arial"/>
            <family val="2"/>
          </rPr>
          <t xml:space="preserve">qiupeng:
</t>
        </r>
        <r>
          <rPr>
            <sz val="10"/>
            <rFont val="Noto Sans SC"/>
            <family val="2"/>
          </rPr>
          <t xml:space="preserve">罐内空间缓冲容积取</t>
        </r>
        <r>
          <rPr>
            <sz val="10"/>
            <rFont val="Arial"/>
            <family val="2"/>
          </rPr>
          <t xml:space="preserve">50 %</t>
        </r>
        <r>
          <rPr>
            <sz val="10"/>
            <rFont val="Noto Sans SC"/>
            <family val="2"/>
          </rPr>
          <t xml:space="preserve">罐总容积</t>
        </r>
      </text>
    </comment>
    <comment ref="A21" authorId="0">
      <text>
        <r>
          <rPr>
            <sz val="10"/>
            <rFont val="Arial"/>
            <family val="2"/>
          </rPr>
          <t xml:space="preserve">qiupeng:
</t>
        </r>
        <r>
          <rPr>
            <sz val="10"/>
            <rFont val="Noto Sans SC"/>
            <family val="2"/>
          </rPr>
          <t xml:space="preserve">液体在罐内的流速取</t>
        </r>
        <r>
          <rPr>
            <sz val="10"/>
            <rFont val="Arial"/>
            <family val="2"/>
          </rPr>
          <t xml:space="preserve">0.003 m/s</t>
        </r>
        <r>
          <rPr>
            <sz val="10"/>
            <rFont val="Noto Sans SC"/>
            <family val="2"/>
          </rPr>
          <t xml:space="preserve">～</t>
        </r>
        <r>
          <rPr>
            <sz val="10"/>
            <rFont val="Arial"/>
            <family val="2"/>
          </rPr>
          <t xml:space="preserve">0.005 m/s
</t>
        </r>
      </text>
    </comment>
    <comment ref="A23" authorId="0">
      <text>
        <r>
          <rPr>
            <sz val="10"/>
            <rFont val="Noto Sans SC"/>
            <family val="2"/>
          </rPr>
          <t xml:space="preserve">杨光耀</t>
        </r>
        <r>
          <rPr>
            <sz val="10"/>
            <rFont val="Arial"/>
            <family val="2"/>
          </rPr>
          <t xml:space="preserve">:
15~30</t>
        </r>
      </text>
    </comment>
    <comment ref="A32" authorId="0">
      <text>
        <r>
          <rPr>
            <sz val="10"/>
            <rFont val="Noto Sans SC"/>
            <family val="2"/>
          </rPr>
          <t xml:space="preserve">张学智</t>
        </r>
        <r>
          <rPr>
            <sz val="10"/>
            <rFont val="Arial"/>
            <family val="2"/>
          </rPr>
          <t xml:space="preserve">:
</t>
        </r>
        <r>
          <rPr>
            <sz val="9"/>
            <color rgb="FF000000"/>
            <rFont val="宋体"/>
            <family val="3"/>
            <charset val="134"/>
          </rPr>
          <t xml:space="preserve">根据最新的计算文件修改，按照高低液位间确定停留时间。</t>
        </r>
      </text>
    </comment>
    <comment ref="B5" authorId="0">
      <text>
        <r>
          <rPr>
            <sz val="10"/>
            <rFont val="Noto Sans SC"/>
            <family val="2"/>
          </rPr>
          <t xml:space="preserve">汤兰珍</t>
        </r>
        <r>
          <rPr>
            <sz val="10"/>
            <rFont val="Arial"/>
            <family val="2"/>
          </rPr>
          <t xml:space="preserve">:
</t>
        </r>
      </text>
    </comment>
    <comment ref="B30" authorId="0">
      <text>
        <r>
          <rPr>
            <sz val="10"/>
            <rFont val="Noto Sans SC"/>
            <family val="2"/>
          </rPr>
          <t xml:space="preserve">汤兰珍</t>
        </r>
        <r>
          <rPr>
            <sz val="10"/>
            <rFont val="Arial"/>
            <family val="2"/>
          </rPr>
          <t xml:space="preserve">:
</t>
        </r>
        <r>
          <rPr>
            <sz val="9"/>
            <color rgb="FF000000"/>
            <rFont val="宋体"/>
            <family val="3"/>
            <charset val="134"/>
          </rPr>
          <t xml:space="preserve">
</t>
        </r>
      </text>
    </comment>
    <comment ref="C5" authorId="0">
      <text>
        <r>
          <rPr>
            <sz val="10"/>
            <rFont val="Noto Sans SC"/>
            <family val="2"/>
          </rPr>
          <t xml:space="preserve">汤兰珍</t>
        </r>
        <r>
          <rPr>
            <sz val="10"/>
            <rFont val="Arial"/>
            <family val="2"/>
          </rPr>
          <t xml:space="preserve">:
</t>
        </r>
      </text>
    </comment>
    <comment ref="C30" authorId="0">
      <text>
        <r>
          <rPr>
            <sz val="10"/>
            <rFont val="Noto Sans SC"/>
            <family val="2"/>
          </rPr>
          <t xml:space="preserve">汤兰珍</t>
        </r>
        <r>
          <rPr>
            <sz val="10"/>
            <rFont val="Arial"/>
            <family val="2"/>
          </rPr>
          <t xml:space="preserve">:
</t>
        </r>
        <r>
          <rPr>
            <sz val="9"/>
            <color rgb="FF000000"/>
            <rFont val="宋体"/>
            <family val="3"/>
            <charset val="134"/>
          </rPr>
          <t xml:space="preserve">
</t>
        </r>
      </text>
    </comment>
    <comment ref="D4" authorId="0">
      <text>
        <r>
          <rPr>
            <sz val="10"/>
            <rFont val="Noto Sans SC"/>
            <family val="2"/>
          </rPr>
          <t xml:space="preserve">张学智</t>
        </r>
        <r>
          <rPr>
            <sz val="10"/>
            <rFont val="Arial"/>
            <family val="2"/>
          </rPr>
          <t xml:space="preserve">:
</t>
        </r>
        <r>
          <rPr>
            <sz val="9"/>
            <color rgb="FF000000"/>
            <rFont val="宋体"/>
            <family val="3"/>
            <charset val="134"/>
          </rPr>
          <t xml:space="preserve">基础设计尺寸停留时间偏小，故进行修改。</t>
        </r>
      </text>
    </comment>
    <comment ref="E18" authorId="0">
      <text>
        <r>
          <rPr>
            <sz val="10"/>
            <rFont val="Noto Sans SC"/>
            <family val="2"/>
          </rPr>
          <t xml:space="preserve">张学智</t>
        </r>
        <r>
          <rPr>
            <sz val="10"/>
            <rFont val="Arial"/>
            <family val="2"/>
          </rPr>
          <t xml:space="preserve">:
</t>
        </r>
        <r>
          <rPr>
            <sz val="9"/>
            <color rgb="FF000000"/>
            <rFont val="宋体"/>
            <family val="3"/>
            <charset val="134"/>
          </rPr>
          <t xml:space="preserve">该数据需泵厂家返回后修改。</t>
        </r>
      </text>
    </comment>
    <comment ref="H14" authorId="0">
      <text>
        <r>
          <rPr>
            <sz val="10"/>
            <rFont val="Noto Sans SC"/>
            <family val="2"/>
          </rPr>
          <t xml:space="preserve">汤兰珍</t>
        </r>
        <r>
          <rPr>
            <sz val="10"/>
            <rFont val="Arial"/>
            <family val="2"/>
          </rPr>
          <t xml:space="preserve">:
</t>
        </r>
      </text>
    </comment>
    <comment ref="J14" authorId="0">
      <text>
        <r>
          <rPr>
            <sz val="10"/>
            <rFont val="Noto Sans SC"/>
            <family val="2"/>
          </rPr>
          <t xml:space="preserve">汤兰珍</t>
        </r>
        <r>
          <rPr>
            <sz val="10"/>
            <rFont val="Arial"/>
            <family val="2"/>
          </rPr>
          <t xml:space="preserve">:
</t>
        </r>
      </text>
    </comment>
    <comment ref="K14" authorId="0">
      <text>
        <r>
          <rPr>
            <sz val="10"/>
            <rFont val="Noto Sans SC"/>
            <family val="2"/>
          </rPr>
          <t xml:space="preserve">汤兰珍</t>
        </r>
        <r>
          <rPr>
            <sz val="10"/>
            <rFont val="Arial"/>
            <family val="2"/>
          </rPr>
          <t xml:space="preserve">:
</t>
        </r>
      </text>
    </comment>
    <comment ref="W24" authorId="0">
      <text>
        <r>
          <rPr>
            <sz val="10"/>
            <rFont val="Arial"/>
            <family val="2"/>
          </rPr>
          <t xml:space="preserve">YGY:
</t>
        </r>
        <r>
          <rPr>
            <sz val="9"/>
            <color rgb="FF000000"/>
            <rFont val="宋体"/>
            <family val="3"/>
            <charset val="134"/>
          </rPr>
          <t xml:space="preserve">1天</t>
        </r>
      </text>
    </comment>
    <comment ref="X24" authorId="0">
      <text>
        <r>
          <rPr>
            <sz val="10"/>
            <rFont val="Arial"/>
            <family val="2"/>
          </rPr>
          <t xml:space="preserve">YGY:
</t>
        </r>
        <r>
          <rPr>
            <sz val="9"/>
            <color rgb="FF000000"/>
            <rFont val="宋体"/>
            <family val="3"/>
            <charset val="134"/>
          </rPr>
          <t xml:space="preserve">8h</t>
        </r>
      </text>
    </comment>
  </commentList>
</comments>
</file>

<file path=xl/comments13.xml><?xml version="1.0" encoding="utf-8"?>
<comments xmlns="http://schemas.openxmlformats.org/spreadsheetml/2006/main" xmlns:xdr="http://schemas.openxmlformats.org/drawingml/2006/spreadsheetDrawing">
  <authors>
    <author>Unknown Author</author>
  </authors>
  <commentList>
    <comment ref="A6" authorId="0">
      <text>
        <r>
          <rPr>
            <sz val="10"/>
            <rFont val="Noto Sans SC"/>
            <family val="2"/>
          </rPr>
          <t xml:space="preserve">杨光耀</t>
        </r>
        <r>
          <rPr>
            <sz val="10"/>
            <rFont val="Arial"/>
            <family val="2"/>
          </rPr>
          <t xml:space="preserve">:
</t>
        </r>
        <r>
          <rPr>
            <sz val="9"/>
            <color rgb="FF000000"/>
            <rFont val="宋体"/>
            <family val="3"/>
            <charset val="134"/>
          </rPr>
          <t xml:space="preserve">当直径不大于2m时,封头处直边高度取25mm,否则取40mm</t>
        </r>
      </text>
    </comment>
    <comment ref="A15" authorId="0">
      <text>
        <r>
          <rPr>
            <sz val="10"/>
            <rFont val="Arial"/>
            <family val="2"/>
          </rPr>
          <t xml:space="preserve">qiupeng:
</t>
        </r>
        <r>
          <rPr>
            <sz val="10"/>
            <rFont val="Noto Sans SC"/>
            <family val="2"/>
          </rPr>
          <t xml:space="preserve">罐内空间缓冲容积取</t>
        </r>
        <r>
          <rPr>
            <sz val="10"/>
            <rFont val="Arial"/>
            <family val="2"/>
          </rPr>
          <t xml:space="preserve">50 %</t>
        </r>
        <r>
          <rPr>
            <sz val="10"/>
            <rFont val="Noto Sans SC"/>
            <family val="2"/>
          </rPr>
          <t xml:space="preserve">罐总容积</t>
        </r>
      </text>
    </comment>
    <comment ref="A17" authorId="0">
      <text>
        <r>
          <rPr>
            <sz val="10"/>
            <rFont val="Arial"/>
            <family val="2"/>
          </rPr>
          <t xml:space="preserve">qiupeng:
</t>
        </r>
        <r>
          <rPr>
            <sz val="10"/>
            <rFont val="Noto Sans SC"/>
            <family val="2"/>
          </rPr>
          <t xml:space="preserve">液体在罐内的流速取</t>
        </r>
        <r>
          <rPr>
            <sz val="10"/>
            <rFont val="Arial"/>
            <family val="2"/>
          </rPr>
          <t xml:space="preserve">0.003 m/s</t>
        </r>
        <r>
          <rPr>
            <sz val="10"/>
            <rFont val="Noto Sans SC"/>
            <family val="2"/>
          </rPr>
          <t xml:space="preserve">～</t>
        </r>
        <r>
          <rPr>
            <sz val="10"/>
            <rFont val="Arial"/>
            <family val="2"/>
          </rPr>
          <t xml:space="preserve">0.005 m/s</t>
        </r>
      </text>
    </comment>
    <comment ref="A20" authorId="0">
      <text>
        <r>
          <rPr>
            <sz val="10"/>
            <rFont val="Noto Sans SC"/>
            <family val="2"/>
          </rPr>
          <t xml:space="preserve">杨光耀</t>
        </r>
        <r>
          <rPr>
            <sz val="10"/>
            <rFont val="Arial"/>
            <family val="2"/>
          </rPr>
          <t xml:space="preserve">:
15~30</t>
        </r>
      </text>
    </comment>
    <comment ref="B11" authorId="0">
      <text>
        <r>
          <rPr>
            <sz val="10"/>
            <rFont val="Arial"/>
            <family val="2"/>
          </rPr>
          <t xml:space="preserve">qiupeng:
</t>
        </r>
        <r>
          <rPr>
            <sz val="9"/>
            <color rgb="FF000000"/>
            <rFont val="宋体"/>
            <family val="3"/>
            <charset val="134"/>
          </rPr>
          <t xml:space="preserve">仪表确定</t>
        </r>
      </text>
    </comment>
    <comment ref="B12" authorId="0">
      <text>
        <r>
          <rPr>
            <sz val="10"/>
            <rFont val="Arial"/>
            <family val="2"/>
          </rPr>
          <t xml:space="preserve">qiupeng:
</t>
        </r>
        <r>
          <rPr>
            <sz val="9"/>
            <color rgb="FF000000"/>
            <rFont val="宋体"/>
            <family val="3"/>
            <charset val="134"/>
          </rPr>
          <t xml:space="preserve">对气体,填气体的流量80*1.29</t>
        </r>
      </text>
    </comment>
    <comment ref="B17" authorId="0">
      <text>
        <r>
          <rPr>
            <sz val="10"/>
            <rFont val="Arial"/>
            <family val="2"/>
          </rPr>
          <t xml:space="preserve">qiupeng:
</t>
        </r>
        <r>
          <rPr>
            <sz val="9"/>
            <color rgb="FF000000"/>
            <rFont val="宋体"/>
            <family val="3"/>
            <charset val="134"/>
          </rPr>
          <t xml:space="preserve">以空气中夹带的水为重组分</t>
        </r>
      </text>
    </comment>
    <comment ref="B21" authorId="0">
      <text>
        <r>
          <rPr>
            <sz val="10"/>
            <rFont val="Arial"/>
            <family val="2"/>
          </rPr>
          <t xml:space="preserve">qiupeng:
</t>
        </r>
        <r>
          <rPr>
            <sz val="9"/>
            <color rgb="FF000000"/>
            <rFont val="宋体"/>
            <family val="3"/>
            <charset val="134"/>
          </rPr>
          <t xml:space="preserve">仪表要求</t>
        </r>
      </text>
    </comment>
  </commentList>
</comments>
</file>

<file path=xl/comments14.xml><?xml version="1.0" encoding="utf-8"?>
<comments xmlns="http://schemas.openxmlformats.org/spreadsheetml/2006/main" xmlns:xdr="http://schemas.openxmlformats.org/drawingml/2006/spreadsheetDrawing">
  <authors>
    <author>Unknown Author</author>
  </authors>
  <commentList>
    <comment ref="D13" authorId="0">
      <text>
        <r>
          <rPr>
            <sz val="10"/>
            <rFont val="Noto Sans SC"/>
            <family val="2"/>
          </rPr>
          <t xml:space="preserve">杨光耀</t>
        </r>
        <r>
          <rPr>
            <sz val="10"/>
            <rFont val="Arial"/>
            <family val="2"/>
          </rPr>
          <t xml:space="preserve">:
</t>
        </r>
        <r>
          <rPr>
            <sz val="9"/>
            <color rgb="FF000000"/>
            <rFont val="宋体"/>
            <family val="3"/>
            <charset val="134"/>
          </rPr>
          <t xml:space="preserve">共4台，取2台的长度</t>
        </r>
      </text>
    </comment>
  </commentList>
</comments>
</file>

<file path=xl/comments15.xml><?xml version="1.0" encoding="utf-8"?>
<comments xmlns="http://schemas.openxmlformats.org/spreadsheetml/2006/main" xmlns:xdr="http://schemas.openxmlformats.org/drawingml/2006/spreadsheetDrawing">
  <authors>
    <author>Unknown Author</author>
  </authors>
  <commentList>
    <comment ref="A7" authorId="0">
      <text>
        <r>
          <rPr>
            <sz val="10"/>
            <rFont val="Noto Sans SC"/>
            <family val="2"/>
          </rPr>
          <t xml:space="preserve">杨光耀</t>
        </r>
        <r>
          <rPr>
            <sz val="10"/>
            <rFont val="Arial"/>
            <family val="2"/>
          </rPr>
          <t xml:space="preserve">:
</t>
        </r>
        <r>
          <rPr>
            <sz val="9"/>
            <color rgb="FF000000"/>
            <rFont val="宋体"/>
            <family val="3"/>
            <charset val="134"/>
          </rPr>
          <t xml:space="preserve">当直径不大于2m时,封头处直边高度取25mm,否则取40mm</t>
        </r>
      </text>
    </comment>
    <comment ref="A9" authorId="0">
      <text>
        <r>
          <rPr>
            <sz val="10"/>
            <rFont val="Noto Sans SC"/>
            <family val="2"/>
          </rPr>
          <t xml:space="preserve">杨光耀</t>
        </r>
        <r>
          <rPr>
            <sz val="10"/>
            <rFont val="Arial"/>
            <family val="2"/>
          </rPr>
          <t xml:space="preserve">:
</t>
        </r>
        <r>
          <rPr>
            <sz val="9"/>
            <color rgb="FF000000"/>
            <rFont val="宋体"/>
            <family val="3"/>
            <charset val="134"/>
          </rPr>
          <t xml:space="preserve">分水斗的直径在不影响机械设计的要求下应取大一些。当罐直径不小于1.5 m 时，分水斗直径应不大于罐直径的1/3，罐直径小于1.5 m 时，分水斗直径不大于罐直径的1/2。分水斗的直径一般不小于300 mm。</t>
        </r>
      </text>
    </comment>
    <comment ref="A10" authorId="0">
      <text>
        <r>
          <rPr>
            <sz val="10"/>
            <rFont val="Noto Sans SC"/>
            <family val="2"/>
          </rPr>
          <t xml:space="preserve">杨光耀</t>
        </r>
        <r>
          <rPr>
            <sz val="9"/>
            <color rgb="FF000000"/>
            <rFont val="宋体"/>
            <family val="3"/>
            <charset val="134"/>
          </rPr>
          <t xml:space="preserve">:
采用液面控制仪表时，卧罐分水斗高度应不小于1 m，分水斗中低水位至高水位的高度按水流率5 min 来考虑。</t>
        </r>
      </text>
    </comment>
    <comment ref="A35" authorId="0">
      <text>
        <r>
          <rPr>
            <sz val="10"/>
            <rFont val="Noto Sans SC"/>
            <family val="2"/>
          </rPr>
          <t xml:space="preserve">尹玲玲</t>
        </r>
        <r>
          <rPr>
            <sz val="10"/>
            <rFont val="Arial"/>
            <family val="2"/>
          </rPr>
          <t xml:space="preserve">:
</t>
        </r>
        <r>
          <rPr>
            <sz val="9"/>
            <color rgb="FF000000"/>
            <rFont val="宋体"/>
            <family val="3"/>
            <charset val="134"/>
          </rPr>
          <t xml:space="preserve">对于立式容器，此系数为1；对于卧式容器，则为高液面以下弓形面积与圆截面积之比</t>
        </r>
      </text>
    </comment>
    <comment ref="A36" authorId="0">
      <text>
        <r>
          <rPr>
            <sz val="10"/>
            <rFont val="Noto Sans SC"/>
            <family val="2"/>
          </rPr>
          <t xml:space="preserve">杨光耀</t>
        </r>
        <r>
          <rPr>
            <sz val="9"/>
            <color rgb="FF000000"/>
            <rFont val="宋体"/>
            <family val="3"/>
            <charset val="134"/>
          </rPr>
          <t xml:space="preserve">:
对于立式容器，此系数为1；对于卧式容器，则为高液面以上弓形面积与圆截面积之比</t>
        </r>
      </text>
    </comment>
    <comment ref="A40" authorId="0">
      <text>
        <r>
          <rPr>
            <sz val="10"/>
            <rFont val="Noto Sans SC"/>
            <family val="2"/>
          </rPr>
          <t xml:space="preserve">杨光耀</t>
        </r>
        <r>
          <rPr>
            <sz val="10"/>
            <rFont val="Arial"/>
            <family val="2"/>
          </rPr>
          <t xml:space="preserve">:
</t>
        </r>
        <r>
          <rPr>
            <sz val="9"/>
            <color rgb="FF000000"/>
            <rFont val="宋体"/>
            <family val="3"/>
            <charset val="134"/>
          </rPr>
          <t xml:space="preserve">修改公式,见SEPR0103中3.1.2.3原公式为IF(B3="立式",MAX(1.5,1.2*B5),MAX(0.3,0.25*B5))</t>
        </r>
      </text>
    </comment>
    <comment ref="A43" authorId="0">
      <text>
        <r>
          <rPr>
            <sz val="10"/>
            <rFont val="Noto Sans SC"/>
            <family val="2"/>
          </rPr>
          <t xml:space="preserve">尹玲玲</t>
        </r>
        <r>
          <rPr>
            <sz val="10"/>
            <rFont val="Arial"/>
            <family val="2"/>
          </rPr>
          <t xml:space="preserve">:
</t>
        </r>
        <r>
          <rPr>
            <sz val="9"/>
            <color rgb="FF000000"/>
            <rFont val="宋体"/>
            <family val="3"/>
            <charset val="134"/>
          </rPr>
          <t xml:space="preserve">修改单位
</t>
        </r>
      </text>
    </comment>
    <comment ref="A45" authorId="0">
      <text>
        <r>
          <rPr>
            <sz val="10"/>
            <rFont val="Noto Sans SC"/>
            <family val="2"/>
          </rPr>
          <t xml:space="preserve">杨光耀</t>
        </r>
        <r>
          <rPr>
            <sz val="9"/>
            <color rgb="FF000000"/>
            <rFont val="宋体"/>
            <family val="3"/>
            <charset val="134"/>
          </rPr>
          <t xml:space="preserve">:
液体在罐内的流速取0.003 m/s～0.005 m/s</t>
        </r>
      </text>
    </comment>
    <comment ref="A47" authorId="0">
      <text>
        <r>
          <rPr>
            <sz val="10"/>
            <rFont val="Noto Sans SC"/>
            <family val="2"/>
          </rPr>
          <t xml:space="preserve">杨光耀</t>
        </r>
        <r>
          <rPr>
            <sz val="9"/>
            <color rgb="FF000000"/>
            <rFont val="宋体"/>
            <family val="3"/>
            <charset val="134"/>
          </rPr>
          <t xml:space="preserve">:
1、下一工序，停留时间按液体产品15 min 或回流5 min 考虑，取二者中较大值。
2、当塔顶液体去储罐时，停留时间按液体产品3 min 或回流5 min 考虑，取二者中较大值。
3、作为其它装置进料，停留时间按照20 min～30 min。</t>
        </r>
      </text>
    </comment>
    <comment ref="A52" authorId="0">
      <text>
        <r>
          <rPr>
            <sz val="10"/>
            <rFont val="Noto Sans SC"/>
            <family val="2"/>
          </rPr>
          <t xml:space="preserve">杨光耀</t>
        </r>
        <r>
          <rPr>
            <sz val="9"/>
            <color rgb="FF000000"/>
            <rFont val="宋体"/>
            <family val="3"/>
            <charset val="134"/>
          </rPr>
          <t xml:space="preserve">:
分水斗的直径在不影响机械设计的要求下应取大一些。当罐直径不小于1.5 m 时，分水斗直径应不大于罐直径的1/3，罐直径小于1.5 m 时，分水斗直径不大于罐直径的1/2。分水斗的直径一般不小于300 mm。</t>
        </r>
      </text>
    </comment>
    <comment ref="A64" authorId="0">
      <text>
        <r>
          <rPr>
            <sz val="10"/>
            <rFont val="Noto Sans SC"/>
            <family val="2"/>
          </rPr>
          <t xml:space="preserve">张学智</t>
        </r>
        <r>
          <rPr>
            <sz val="10"/>
            <rFont val="Arial"/>
            <family val="2"/>
          </rPr>
          <t xml:space="preserve">:
</t>
        </r>
        <r>
          <rPr>
            <sz val="9"/>
            <color rgb="FF000000"/>
            <rFont val="宋体"/>
            <family val="3"/>
            <charset val="134"/>
          </rPr>
          <t xml:space="preserve">根据统一规定，按照高低液位间确定停留时间。</t>
        </r>
      </text>
    </comment>
    <comment ref="B6" authorId="0">
      <text>
        <r>
          <rPr>
            <sz val="10"/>
            <rFont val="Noto Sans SC"/>
            <family val="2"/>
          </rPr>
          <t xml:space="preserve">汤兰珍</t>
        </r>
        <r>
          <rPr>
            <sz val="10"/>
            <rFont val="Arial"/>
            <family val="2"/>
          </rPr>
          <t xml:space="preserve">:
</t>
        </r>
      </text>
    </comment>
    <comment ref="B35" authorId="0">
      <text>
        <r>
          <rPr>
            <sz val="10"/>
            <rFont val="Noto Sans SC"/>
            <family val="2"/>
          </rPr>
          <t xml:space="preserve">汤兰珍</t>
        </r>
        <r>
          <rPr>
            <sz val="10"/>
            <rFont val="Arial"/>
            <family val="2"/>
          </rPr>
          <t xml:space="preserve">:
</t>
        </r>
        <r>
          <rPr>
            <sz val="9"/>
            <color rgb="FF000000"/>
            <rFont val="宋体"/>
            <family val="3"/>
            <charset val="134"/>
          </rPr>
          <t xml:space="preserve">
</t>
        </r>
      </text>
    </comment>
    <comment ref="C6" authorId="0">
      <text>
        <r>
          <rPr>
            <sz val="10"/>
            <rFont val="Noto Sans SC"/>
            <family val="2"/>
          </rPr>
          <t xml:space="preserve">汤兰珍</t>
        </r>
        <r>
          <rPr>
            <sz val="10"/>
            <rFont val="Arial"/>
            <family val="2"/>
          </rPr>
          <t xml:space="preserve">:
</t>
        </r>
      </text>
    </comment>
    <comment ref="C35" authorId="0">
      <text>
        <r>
          <rPr>
            <sz val="10"/>
            <rFont val="Noto Sans SC"/>
            <family val="2"/>
          </rPr>
          <t xml:space="preserve">汤兰珍</t>
        </r>
        <r>
          <rPr>
            <sz val="10"/>
            <rFont val="Arial"/>
            <family val="2"/>
          </rPr>
          <t xml:space="preserve">:
</t>
        </r>
        <r>
          <rPr>
            <sz val="9"/>
            <color rgb="FF000000"/>
            <rFont val="宋体"/>
            <family val="3"/>
            <charset val="134"/>
          </rPr>
          <t xml:space="preserve">
</t>
        </r>
      </text>
    </comment>
    <comment ref="I18" authorId="0">
      <text>
        <r>
          <rPr>
            <sz val="10"/>
            <rFont val="Noto Sans SC"/>
            <family val="2"/>
          </rPr>
          <t xml:space="preserve">汤兰珍</t>
        </r>
        <r>
          <rPr>
            <sz val="10"/>
            <rFont val="Arial"/>
            <family val="2"/>
          </rPr>
          <t xml:space="preserve">:
</t>
        </r>
      </text>
    </comment>
    <comment ref="J18" authorId="0">
      <text>
        <r>
          <rPr>
            <sz val="10"/>
            <rFont val="Noto Sans SC"/>
            <family val="2"/>
          </rPr>
          <t xml:space="preserve">汤兰珍</t>
        </r>
        <r>
          <rPr>
            <sz val="10"/>
            <rFont val="Arial"/>
            <family val="2"/>
          </rPr>
          <t xml:space="preserve">:
</t>
        </r>
      </text>
    </comment>
    <comment ref="L18" authorId="0">
      <text>
        <r>
          <rPr>
            <sz val="10"/>
            <rFont val="Noto Sans SC"/>
            <family val="2"/>
          </rPr>
          <t xml:space="preserve">汤兰珍</t>
        </r>
        <r>
          <rPr>
            <sz val="10"/>
            <rFont val="Arial"/>
            <family val="2"/>
          </rPr>
          <t xml:space="preserve">:
</t>
        </r>
      </text>
    </comment>
    <comment ref="M18" authorId="0">
      <text>
        <r>
          <rPr>
            <sz val="10"/>
            <rFont val="Noto Sans SC"/>
            <family val="2"/>
          </rPr>
          <t xml:space="preserve">汤兰珍</t>
        </r>
        <r>
          <rPr>
            <sz val="10"/>
            <rFont val="Arial"/>
            <family val="2"/>
          </rPr>
          <t xml:space="preserve">:
</t>
        </r>
      </text>
    </comment>
  </commentList>
</comments>
</file>

<file path=xl/comments16.xml><?xml version="1.0" encoding="utf-8"?>
<comments xmlns="http://schemas.openxmlformats.org/spreadsheetml/2006/main" xmlns:xdr="http://schemas.openxmlformats.org/drawingml/2006/spreadsheetDrawing">
  <authors>
    <author>Unknown Author</author>
  </authors>
  <commentList>
    <comment ref="A19" authorId="0">
      <text>
        <r>
          <rPr>
            <sz val="10"/>
            <rFont val="Arial"/>
            <family val="2"/>
          </rPr>
          <t xml:space="preserve">wangjiamin:
</t>
        </r>
        <r>
          <rPr>
            <sz val="9"/>
            <color rgb="FF000000"/>
            <rFont val="宋体"/>
            <family val="3"/>
            <charset val="134"/>
          </rPr>
          <t xml:space="preserve">泵入口介质密度</t>
        </r>
      </text>
    </comment>
    <comment ref="A25" authorId="0">
      <text>
        <r>
          <rPr>
            <sz val="10"/>
            <rFont val="Arial"/>
            <family val="2"/>
          </rPr>
          <t xml:space="preserve">MC SYSTEM:
</t>
        </r>
        <r>
          <rPr>
            <sz val="9"/>
            <color rgb="FF000000"/>
            <rFont val="宋体"/>
            <family val="3"/>
            <charset val="134"/>
          </rPr>
          <t xml:space="preserve">查图较复杂，一般取1</t>
        </r>
      </text>
    </comment>
    <comment ref="A34" authorId="0">
      <text>
        <r>
          <rPr>
            <sz val="10"/>
            <rFont val="Noto Sans SC"/>
            <family val="2"/>
          </rPr>
          <t xml:space="preserve">杨光耀</t>
        </r>
        <r>
          <rPr>
            <sz val="10"/>
            <rFont val="Arial"/>
            <family val="2"/>
          </rPr>
          <t xml:space="preserve">:
</t>
        </r>
        <r>
          <rPr>
            <sz val="9"/>
            <color rgb="FF000000"/>
            <rFont val="宋体"/>
            <family val="3"/>
            <charset val="134"/>
          </rPr>
          <t xml:space="preserve">为简化压降计算，各管件的当量长度均按弯头考虑。</t>
        </r>
      </text>
    </comment>
    <comment ref="A40" authorId="0">
      <text>
        <r>
          <rPr>
            <sz val="10"/>
            <rFont val="Noto Sans SC"/>
            <family val="2"/>
          </rPr>
          <t xml:space="preserve">杨光耀</t>
        </r>
        <r>
          <rPr>
            <sz val="10"/>
            <rFont val="Arial"/>
            <family val="2"/>
          </rPr>
          <t xml:space="preserve">:
</t>
        </r>
        <r>
          <rPr>
            <sz val="9"/>
            <color rgb="FF000000"/>
            <rFont val="宋体"/>
            <family val="3"/>
            <charset val="134"/>
          </rPr>
          <t xml:space="preserve">以装置边界为界</t>
        </r>
      </text>
    </comment>
    <comment ref="A47" authorId="0">
      <text>
        <r>
          <rPr>
            <sz val="10"/>
            <rFont val="Arial"/>
            <family val="2"/>
          </rPr>
          <t xml:space="preserve">wangjiamin:
</t>
        </r>
        <r>
          <rPr>
            <sz val="9"/>
            <color rgb="FF000000"/>
            <rFont val="宋体"/>
            <family val="3"/>
            <charset val="134"/>
          </rPr>
          <t xml:space="preserve">泵出口至目标设备间的设备</t>
        </r>
      </text>
    </comment>
    <comment ref="A64" authorId="0">
      <text>
        <r>
          <rPr>
            <sz val="10"/>
            <rFont val="Arial"/>
            <family val="2"/>
          </rPr>
          <t xml:space="preserve">MC SYSTEM:
</t>
        </r>
        <r>
          <rPr>
            <sz val="9"/>
            <color rgb="FF000000"/>
            <rFont val="宋体"/>
            <family val="3"/>
            <charset val="134"/>
          </rPr>
          <t xml:space="preserve">系统压力降是流量增加的平方，但其中的调节阀压力降除外：当调节阀压降&gt;0.2Mpa时，取0.1MPa，当调节阀压降&gt;0.1Mpa时，取0.05MPa，否则，调节阀全开。此时，泵所需扬程不考虑扬程系数。</t>
        </r>
      </text>
    </comment>
    <comment ref="A66" authorId="0">
      <text>
        <r>
          <rPr>
            <sz val="10"/>
            <rFont val="Noto Sans SC"/>
            <family val="2"/>
          </rPr>
          <t xml:space="preserve">杨光耀</t>
        </r>
        <r>
          <rPr>
            <sz val="10"/>
            <rFont val="Arial"/>
            <family val="2"/>
          </rPr>
          <t xml:space="preserve">:
</t>
        </r>
        <r>
          <rPr>
            <sz val="9"/>
            <color rgb="FF000000"/>
            <rFont val="宋体"/>
            <family val="3"/>
            <charset val="134"/>
          </rPr>
          <t xml:space="preserve">可用于确定泵入口管线的设计压力（实际的设计压力应考虑最大的静高差，此处为低液位操作时的静高差，故设计压力应略高于此计算值）。</t>
        </r>
      </text>
    </comment>
    <comment ref="A80" authorId="0">
      <text>
        <r>
          <rPr>
            <sz val="10"/>
            <rFont val="Arial"/>
            <family val="2"/>
          </rPr>
          <t xml:space="preserve">MC SYSTEM:
</t>
        </r>
        <r>
          <rPr>
            <sz val="9"/>
            <color rgb="FF000000"/>
            <rFont val="宋体"/>
            <family val="3"/>
            <charset val="134"/>
          </rPr>
          <t xml:space="preserve">或称为“装置气蚀余量”
一般NPSHa≥NPSHr(1+0.1~0.3)且
NPSHr*0.1~0.3≥0.6</t>
        </r>
      </text>
    </comment>
    <comment ref="A81" authorId="0">
      <text>
        <r>
          <rPr>
            <sz val="10"/>
            <rFont val="Arial"/>
            <family val="2"/>
          </rPr>
          <t xml:space="preserve">MC SYSTEM:
</t>
        </r>
        <r>
          <rPr>
            <sz val="9"/>
            <color rgb="FF000000"/>
            <rFont val="宋体"/>
            <family val="3"/>
            <charset val="134"/>
          </rPr>
          <t xml:space="preserve">或称为“装置气蚀余量”
一般NPSHa≥NPSHr(1+0.1~0.3)且
NPSHr*0.1~0.3≥0.6</t>
        </r>
      </text>
    </comment>
    <comment ref="A82" authorId="0">
      <text>
        <r>
          <rPr>
            <sz val="10"/>
            <rFont val="Noto Sans SC"/>
            <family val="2"/>
          </rPr>
          <t xml:space="preserve">杨光耀</t>
        </r>
        <r>
          <rPr>
            <sz val="10"/>
            <rFont val="Arial"/>
            <family val="2"/>
          </rPr>
          <t xml:space="preserve">:
</t>
        </r>
        <r>
          <rPr>
            <sz val="9"/>
            <color rgb="FF000000"/>
            <rFont val="宋体"/>
            <family val="3"/>
            <charset val="134"/>
          </rPr>
          <t xml:space="preserve">包括泵入口距离地面的高度，按1米考虑。</t>
        </r>
      </text>
    </comment>
    <comment ref="A85" authorId="0">
      <text>
        <r>
          <rPr>
            <sz val="10"/>
            <rFont val="Noto Sans SC"/>
            <family val="2"/>
          </rPr>
          <t xml:space="preserve">杨光耀</t>
        </r>
        <r>
          <rPr>
            <sz val="10"/>
            <rFont val="Arial"/>
            <family val="2"/>
          </rPr>
          <t xml:space="preserve">:
</t>
        </r>
        <r>
          <rPr>
            <sz val="9"/>
            <color rgb="FF000000"/>
            <rFont val="宋体"/>
            <family val="3"/>
            <charset val="134"/>
          </rPr>
          <t xml:space="preserve">可确定泵出口管线的设计压力</t>
        </r>
      </text>
    </comment>
    <comment ref="A89" authorId="0">
      <text>
        <r>
          <rPr>
            <sz val="10"/>
            <rFont val="Noto Sans SC"/>
            <family val="2"/>
          </rPr>
          <t xml:space="preserve">杨光耀</t>
        </r>
        <r>
          <rPr>
            <sz val="10"/>
            <rFont val="Arial"/>
            <family val="2"/>
          </rPr>
          <t xml:space="preserve">:
</t>
        </r>
        <r>
          <rPr>
            <sz val="9"/>
            <color rgb="FF000000"/>
            <rFont val="宋体"/>
            <family val="3"/>
            <charset val="134"/>
          </rPr>
          <t xml:space="preserve">按正常流量的60%计</t>
        </r>
      </text>
    </comment>
    <comment ref="M58" authorId="0">
      <text>
        <r>
          <rPr>
            <sz val="10"/>
            <rFont val="Arial"/>
            <family val="2"/>
          </rPr>
          <t xml:space="preserve">wangjiamin:
</t>
        </r>
        <r>
          <rPr>
            <sz val="9"/>
            <color rgb="FF000000"/>
            <rFont val="宋体"/>
            <family val="3"/>
            <charset val="134"/>
          </rPr>
          <t xml:space="preserve">回流泵出口调节阀压降比例控制在50%左右</t>
        </r>
      </text>
    </comment>
    <comment ref="T58" authorId="0">
      <text>
        <r>
          <rPr>
            <sz val="10"/>
            <rFont val="Arial"/>
            <family val="2"/>
          </rPr>
          <t xml:space="preserve">wangjiamin:
</t>
        </r>
        <r>
          <rPr>
            <sz val="9"/>
            <color rgb="FF000000"/>
            <rFont val="宋体"/>
            <family val="3"/>
            <charset val="134"/>
          </rPr>
          <t xml:space="preserve">回流泵出口调节阀压降比例控制在50%左右</t>
        </r>
      </text>
    </comment>
    <comment ref="U28" authorId="0">
      <text>
        <r>
          <rPr>
            <sz val="10"/>
            <rFont val="Arial"/>
            <family val="2"/>
          </rPr>
          <t xml:space="preserve">YGY:
</t>
        </r>
        <r>
          <rPr>
            <sz val="9"/>
            <color rgb="FF000000"/>
            <rFont val="宋体"/>
            <family val="3"/>
            <charset val="134"/>
          </rPr>
          <t xml:space="preserve">精制反应器入口压力</t>
        </r>
      </text>
    </comment>
    <comment ref="V28" authorId="0">
      <text>
        <r>
          <rPr>
            <sz val="10"/>
            <rFont val="Arial"/>
            <family val="2"/>
          </rPr>
          <t xml:space="preserve">YGY:
</t>
        </r>
        <r>
          <rPr>
            <sz val="9"/>
            <color rgb="FF000000"/>
            <rFont val="宋体"/>
            <family val="3"/>
            <charset val="134"/>
          </rPr>
          <t xml:space="preserve">精制热高分压力</t>
        </r>
      </text>
    </comment>
    <comment ref="V31" authorId="0">
      <text>
        <r>
          <rPr>
            <sz val="10"/>
            <rFont val="Arial"/>
            <family val="2"/>
          </rPr>
          <t xml:space="preserve">chengyan:
</t>
        </r>
        <r>
          <rPr>
            <sz val="9"/>
            <color rgb="FF000000"/>
            <rFont val="宋体"/>
            <family val="3"/>
            <charset val="134"/>
          </rPr>
          <t xml:space="preserve">空冷前管线高度</t>
        </r>
      </text>
    </comment>
    <comment ref="W31" authorId="0">
      <text>
        <r>
          <rPr>
            <sz val="10"/>
            <rFont val="Arial"/>
            <family val="2"/>
          </rPr>
          <t xml:space="preserve">chengyan:
</t>
        </r>
        <r>
          <rPr>
            <sz val="9"/>
            <color rgb="FF000000"/>
            <rFont val="宋体"/>
            <family val="3"/>
            <charset val="134"/>
          </rPr>
          <t xml:space="preserve">空冷前管线高度</t>
        </r>
      </text>
    </comment>
    <comment ref="AA28" authorId="0">
      <text>
        <r>
          <rPr>
            <sz val="10"/>
            <rFont val="Arial"/>
            <family val="2"/>
          </rPr>
          <t xml:space="preserve">YGY:
</t>
        </r>
        <r>
          <rPr>
            <sz val="9"/>
            <color rgb="FF000000"/>
            <rFont val="宋体"/>
            <family val="3"/>
            <charset val="134"/>
          </rPr>
          <t xml:space="preserve">吸收塔进料缓冲罐压力</t>
        </r>
      </text>
    </comment>
    <comment ref="AB26" authorId="0">
      <text>
        <r>
          <rPr>
            <sz val="10"/>
            <rFont val="Arial"/>
            <family val="2"/>
          </rPr>
          <t xml:space="preserve">YGY:
</t>
        </r>
        <r>
          <rPr>
            <sz val="9"/>
            <color rgb="FF000000"/>
            <rFont val="宋体"/>
            <family val="3"/>
            <charset val="134"/>
          </rPr>
          <t xml:space="preserve">解吸塔最高操作压力</t>
        </r>
      </text>
    </comment>
    <comment ref="AB28" authorId="0">
      <text>
        <r>
          <rPr>
            <sz val="10"/>
            <rFont val="Arial"/>
            <family val="2"/>
          </rPr>
          <t xml:space="preserve">YGY:
</t>
        </r>
        <r>
          <rPr>
            <sz val="9"/>
            <color rgb="FF000000"/>
            <rFont val="宋体"/>
            <family val="3"/>
            <charset val="134"/>
          </rPr>
          <t xml:space="preserve">稳定塔最高操作压力</t>
        </r>
      </text>
    </comment>
    <comment ref="AC28" authorId="0">
      <text>
        <r>
          <rPr>
            <sz val="10"/>
            <rFont val="Arial"/>
            <family val="2"/>
          </rPr>
          <t xml:space="preserve">YGY:
</t>
        </r>
        <r>
          <rPr>
            <sz val="9"/>
            <color rgb="FF000000"/>
            <rFont val="宋体"/>
            <family val="3"/>
            <charset val="134"/>
          </rPr>
          <t xml:space="preserve">吸收塔压力为0.9，正常操作时不用泵</t>
        </r>
      </text>
    </comment>
    <comment ref="AC33" authorId="0">
      <text>
        <r>
          <rPr>
            <sz val="10"/>
            <rFont val="Arial"/>
            <family val="2"/>
          </rPr>
          <t xml:space="preserve">YGY:
</t>
        </r>
        <r>
          <rPr>
            <sz val="9"/>
            <color rgb="FF000000"/>
            <rFont val="宋体"/>
            <family val="3"/>
            <charset val="134"/>
          </rPr>
          <t xml:space="preserve">调整其值，使第39行的入口压降包含3组换热器的压降0.05*3=0.15MPa，并考虑管长为150时，压降为0.05,故入口总压降0.2MPa</t>
        </r>
      </text>
    </comment>
    <comment ref="AD28" authorId="0">
      <text>
        <r>
          <rPr>
            <sz val="10"/>
            <rFont val="Arial"/>
            <family val="2"/>
          </rPr>
          <t xml:space="preserve">YGY:
</t>
        </r>
        <r>
          <rPr>
            <sz val="9"/>
            <color rgb="FF000000"/>
            <rFont val="宋体"/>
            <family val="3"/>
            <charset val="134"/>
          </rPr>
          <t xml:space="preserve">液化气塔操作压力</t>
        </r>
      </text>
    </comment>
    <comment ref="AF28" authorId="0">
      <text>
        <r>
          <rPr>
            <sz val="10"/>
            <rFont val="Arial"/>
            <family val="2"/>
          </rPr>
          <t xml:space="preserve">YGY:
</t>
        </r>
        <r>
          <rPr>
            <sz val="9"/>
            <color rgb="FF000000"/>
            <rFont val="宋体"/>
            <family val="3"/>
            <charset val="134"/>
          </rPr>
          <t xml:space="preserve">循环氢脱硫塔顶压力</t>
        </r>
      </text>
    </comment>
    <comment ref="AG58" authorId="0">
      <text>
        <r>
          <rPr>
            <sz val="10"/>
            <rFont val="Arial"/>
            <family val="2"/>
          </rPr>
          <t xml:space="preserve">wangjiamin:
</t>
        </r>
        <r>
          <rPr>
            <sz val="9"/>
            <color rgb="FF000000"/>
            <rFont val="宋体"/>
            <family val="3"/>
            <charset val="134"/>
          </rPr>
          <t xml:space="preserve">回流泵出口调节阀压降比例控制在50%左右</t>
        </r>
      </text>
    </comment>
    <comment ref="AJ28" authorId="0">
      <text>
        <r>
          <rPr>
            <sz val="10"/>
            <rFont val="Arial"/>
            <family val="2"/>
          </rPr>
          <t xml:space="preserve">YGY:
</t>
        </r>
        <r>
          <rPr>
            <sz val="9"/>
            <color rgb="FF000000"/>
            <rFont val="宋体"/>
            <family val="3"/>
            <charset val="134"/>
          </rPr>
          <t xml:space="preserve">汽提塔压力</t>
        </r>
      </text>
    </comment>
    <comment ref="AK58" authorId="0">
      <text>
        <r>
          <rPr>
            <sz val="10"/>
            <rFont val="Arial"/>
            <family val="2"/>
          </rPr>
          <t xml:space="preserve">wangjiamin:
</t>
        </r>
        <r>
          <rPr>
            <sz val="9"/>
            <color rgb="FF000000"/>
            <rFont val="宋体"/>
            <family val="3"/>
            <charset val="134"/>
          </rPr>
          <t xml:space="preserve">回流泵出口调节阀压降比例控制在50%左右</t>
        </r>
      </text>
    </comment>
    <comment ref="AM28" authorId="0">
      <text>
        <r>
          <rPr>
            <sz val="10"/>
            <rFont val="Arial"/>
            <family val="2"/>
          </rPr>
          <t xml:space="preserve">YGY:
</t>
        </r>
        <r>
          <rPr>
            <sz val="9"/>
            <color rgb="FF000000"/>
            <rFont val="宋体"/>
            <family val="3"/>
            <charset val="134"/>
          </rPr>
          <t xml:space="preserve">热媒水出装置压力</t>
        </r>
      </text>
    </comment>
    <comment ref="AO27" authorId="0">
      <text>
        <r>
          <rPr>
            <sz val="10"/>
            <rFont val="Arial"/>
            <family val="2"/>
          </rPr>
          <t xml:space="preserve">YGY:
</t>
        </r>
        <r>
          <rPr>
            <sz val="9"/>
            <color rgb="FF000000"/>
            <rFont val="宋体"/>
            <family val="3"/>
            <charset val="134"/>
          </rPr>
          <t xml:space="preserve">取最低操作压力</t>
        </r>
      </text>
    </comment>
    <comment ref="AO28" authorId="0">
      <text>
        <r>
          <rPr>
            <sz val="10"/>
            <rFont val="Arial"/>
            <family val="2"/>
          </rPr>
          <t xml:space="preserve">YGY:
</t>
        </r>
        <r>
          <rPr>
            <sz val="9"/>
            <color rgb="FF000000"/>
            <rFont val="宋体"/>
            <family val="3"/>
            <charset val="134"/>
          </rPr>
          <t xml:space="preserve">取常压塔最高操作压力</t>
        </r>
      </text>
    </comment>
    <comment ref="AQ19" authorId="0">
      <text>
        <r>
          <rPr>
            <sz val="10"/>
            <rFont val="Arial"/>
            <family val="2"/>
          </rPr>
          <t xml:space="preserve">chengyan:
</t>
        </r>
        <r>
          <rPr>
            <sz val="9"/>
            <color rgb="FF000000"/>
            <rFont val="宋体"/>
            <family val="3"/>
            <charset val="134"/>
          </rPr>
          <t xml:space="preserve">取</t>
        </r>
        <r>
          <rPr>
            <sz val="9"/>
            <color rgb="FF000000"/>
            <rFont val="Tahoma"/>
            <family val="2"/>
            <charset val="1"/>
          </rPr>
          <t xml:space="preserve">200</t>
        </r>
        <r>
          <rPr>
            <sz val="9"/>
            <color rgb="FF000000"/>
            <rFont val="宋体"/>
            <family val="3"/>
            <charset val="134"/>
          </rPr>
          <t xml:space="preserve">℃时柴油密度</t>
        </r>
      </text>
    </comment>
  </commentList>
</comments>
</file>

<file path=xl/comments17.xml><?xml version="1.0" encoding="utf-8"?>
<comments xmlns="http://schemas.openxmlformats.org/spreadsheetml/2006/main" xmlns:xdr="http://schemas.openxmlformats.org/drawingml/2006/spreadsheetDrawing">
  <authors>
    <author>Unknown Author</author>
  </authors>
  <commentList>
    <comment ref="A17" authorId="0">
      <text>
        <r>
          <rPr>
            <sz val="10"/>
            <rFont val="Noto Sans SC"/>
            <family val="2"/>
          </rPr>
          <t xml:space="preserve">杨光耀</t>
        </r>
        <r>
          <rPr>
            <sz val="10"/>
            <rFont val="Arial"/>
            <family val="2"/>
          </rPr>
          <t xml:space="preserve">:
</t>
        </r>
        <r>
          <rPr>
            <sz val="9"/>
            <color rgb="FF000000"/>
            <rFont val="宋体"/>
            <family val="3"/>
            <charset val="134"/>
          </rPr>
          <t xml:space="preserve">取最大流量的40%,没有参加水运的泵不输入此行</t>
        </r>
      </text>
    </comment>
    <comment ref="A19" authorId="0">
      <text>
        <r>
          <rPr>
            <sz val="10"/>
            <rFont val="Arial"/>
            <family val="2"/>
          </rPr>
          <t xml:space="preserve">wangjiamin:
</t>
        </r>
        <r>
          <rPr>
            <sz val="9"/>
            <color rgb="FF000000"/>
            <rFont val="宋体"/>
            <family val="3"/>
            <charset val="134"/>
          </rPr>
          <t xml:space="preserve">泵入口介质密度</t>
        </r>
      </text>
    </comment>
    <comment ref="A22" authorId="0">
      <text>
        <r>
          <rPr>
            <sz val="10"/>
            <rFont val="Noto Sans SC"/>
            <family val="2"/>
          </rPr>
          <t xml:space="preserve">尹玲玲</t>
        </r>
        <r>
          <rPr>
            <sz val="10"/>
            <rFont val="Arial"/>
            <family val="2"/>
          </rPr>
          <t xml:space="preserve">:
</t>
        </r>
        <r>
          <rPr>
            <sz val="9"/>
            <color rgb="FF000000"/>
            <rFont val="宋体"/>
            <family val="3"/>
            <charset val="134"/>
          </rPr>
          <t xml:space="preserve">介质粘度&lt;=20mm2/s,粘度对流量，扬程及效率的校正系数取1，介质粘度〉20mm2/s，查图19-42，图19-43</t>
        </r>
      </text>
    </comment>
    <comment ref="A24" authorId="0">
      <text>
        <r>
          <rPr>
            <sz val="10"/>
            <rFont val="Noto Sans SC"/>
            <family val="2"/>
          </rPr>
          <t xml:space="preserve">尹玲玲</t>
        </r>
        <r>
          <rPr>
            <sz val="10"/>
            <rFont val="Arial"/>
            <family val="2"/>
          </rPr>
          <t xml:space="preserve">:
</t>
        </r>
        <r>
          <rPr>
            <sz val="9"/>
            <color rgb="FF000000"/>
            <rFont val="宋体"/>
            <family val="3"/>
            <charset val="134"/>
          </rPr>
          <t xml:space="preserve">取额定流量下的效率校正系数</t>
        </r>
      </text>
    </comment>
    <comment ref="A25" authorId="0">
      <text>
        <r>
          <rPr>
            <sz val="10"/>
            <rFont val="Arial"/>
            <family val="2"/>
          </rPr>
          <t xml:space="preserve">MC SYSTEM:
</t>
        </r>
        <r>
          <rPr>
            <sz val="9"/>
            <color rgb="FF000000"/>
            <rFont val="宋体"/>
            <family val="3"/>
            <charset val="134"/>
          </rPr>
          <t xml:space="preserve">查图较复杂，一般取1</t>
        </r>
      </text>
    </comment>
    <comment ref="A27" authorId="0">
      <text>
        <r>
          <rPr>
            <sz val="10"/>
            <rFont val="Arial"/>
            <family val="2"/>
          </rPr>
          <t xml:space="preserve">@</t>
        </r>
        <r>
          <rPr>
            <sz val="10"/>
            <rFont val="Noto Sans SC"/>
            <family val="2"/>
          </rPr>
          <t xml:space="preserve">袁兴才 </t>
        </r>
        <r>
          <rPr>
            <sz val="10"/>
            <rFont val="Arial"/>
            <family val="2"/>
          </rPr>
          <t xml:space="preserve">- </t>
        </r>
        <r>
          <rPr>
            <sz val="10"/>
            <rFont val="Noto Sans SC"/>
            <family val="2"/>
          </rPr>
          <t xml:space="preserve">原值</t>
        </r>
        <r>
          <rPr>
            <sz val="10"/>
            <rFont val="Arial"/>
            <family val="2"/>
          </rPr>
          <t xml:space="preserve">: </t>
        </r>
        <r>
          <rPr>
            <sz val="10"/>
            <rFont val="Noto Sans SC"/>
            <family val="2"/>
          </rPr>
          <t xml:space="preserve">排入侧</t>
        </r>
        <r>
          <rPr>
            <sz val="10"/>
            <rFont val="Arial"/>
            <family val="2"/>
          </rPr>
          <t xml:space="preserve">(</t>
        </r>
        <r>
          <rPr>
            <sz val="10"/>
            <rFont val="Noto Sans SC"/>
            <family val="2"/>
          </rPr>
          <t xml:space="preserve">设备</t>
        </r>
        <r>
          <rPr>
            <sz val="10"/>
            <rFont val="Arial"/>
            <family val="2"/>
          </rPr>
          <t xml:space="preserve">)</t>
        </r>
        <r>
          <rPr>
            <sz val="10"/>
            <rFont val="Noto Sans SC"/>
            <family val="2"/>
          </rPr>
          <t xml:space="preserve">压力</t>
        </r>
        <r>
          <rPr>
            <sz val="10"/>
            <rFont val="Arial"/>
            <family val="2"/>
          </rPr>
          <t xml:space="preserve">(Mpa</t>
        </r>
        <r>
          <rPr>
            <sz val="10"/>
            <rFont val="Noto Sans SC"/>
            <family val="2"/>
          </rPr>
          <t xml:space="preserve">，绝</t>
        </r>
        <r>
          <rPr>
            <sz val="10"/>
            <rFont val="Arial"/>
            <family val="2"/>
          </rPr>
          <t xml:space="preserve">) -2013/8/15 13:28</t>
        </r>
      </text>
    </comment>
    <comment ref="A34" authorId="0">
      <text>
        <r>
          <rPr>
            <sz val="10"/>
            <rFont val="Noto Sans SC"/>
            <family val="2"/>
          </rPr>
          <t xml:space="preserve">杨光耀</t>
        </r>
        <r>
          <rPr>
            <sz val="10"/>
            <rFont val="Arial"/>
            <family val="2"/>
          </rPr>
          <t xml:space="preserve">:
</t>
        </r>
        <r>
          <rPr>
            <sz val="9"/>
            <color rgb="FF000000"/>
            <rFont val="宋体"/>
            <family val="3"/>
            <charset val="134"/>
          </rPr>
          <t xml:space="preserve">为简化压降计算，各管件的当量长度均按弯头考虑。</t>
        </r>
      </text>
    </comment>
    <comment ref="A37" authorId="0">
      <text>
        <r>
          <rPr>
            <sz val="10"/>
            <rFont val="Noto Sans SC"/>
            <family val="2"/>
          </rPr>
          <t xml:space="preserve">杨光耀</t>
        </r>
        <r>
          <rPr>
            <sz val="10"/>
            <rFont val="Arial"/>
            <family val="2"/>
          </rPr>
          <t xml:space="preserve">:
</t>
        </r>
        <r>
          <rPr>
            <sz val="9"/>
            <color rgb="FF000000"/>
            <rFont val="宋体"/>
            <family val="3"/>
            <charset val="134"/>
          </rPr>
          <t xml:space="preserve">考虑泵入口过滤器当量长度比值250、由容器进入泵入口管当量长度比值20</t>
        </r>
      </text>
    </comment>
    <comment ref="A40" authorId="0">
      <text>
        <r>
          <rPr>
            <sz val="10"/>
            <rFont val="Noto Sans SC"/>
            <family val="2"/>
          </rPr>
          <t xml:space="preserve">杨光耀</t>
        </r>
        <r>
          <rPr>
            <sz val="10"/>
            <rFont val="Arial"/>
            <family val="2"/>
          </rPr>
          <t xml:space="preserve">:
</t>
        </r>
        <r>
          <rPr>
            <sz val="9"/>
            <color rgb="FF000000"/>
            <rFont val="宋体"/>
            <family val="3"/>
            <charset val="134"/>
          </rPr>
          <t xml:space="preserve">以装置边界为界</t>
        </r>
      </text>
    </comment>
    <comment ref="A42" authorId="0">
      <text>
        <r>
          <rPr>
            <sz val="10"/>
            <rFont val="Noto Sans SC"/>
            <family val="2"/>
          </rPr>
          <t xml:space="preserve">杨光耀</t>
        </r>
        <r>
          <rPr>
            <sz val="10"/>
            <rFont val="Arial"/>
            <family val="2"/>
          </rPr>
          <t xml:space="preserve">:
</t>
        </r>
        <r>
          <rPr>
            <sz val="9"/>
            <color rgb="FF000000"/>
            <rFont val="宋体"/>
            <family val="3"/>
            <charset val="134"/>
          </rPr>
          <t xml:space="preserve">管径大于40，一般为旋启式止回阀，否则一般能为升降式止回阀。</t>
        </r>
      </text>
    </comment>
    <comment ref="A43" authorId="0">
      <text>
        <r>
          <rPr>
            <sz val="10"/>
            <rFont val="Noto Sans SC"/>
            <family val="2"/>
          </rPr>
          <t xml:space="preserve">杨光耀</t>
        </r>
        <r>
          <rPr>
            <sz val="10"/>
            <rFont val="Arial"/>
            <family val="2"/>
          </rPr>
          <t xml:space="preserve">:
</t>
        </r>
        <r>
          <rPr>
            <sz val="9"/>
            <color rgb="FF000000"/>
            <rFont val="宋体"/>
            <family val="3"/>
            <charset val="134"/>
          </rPr>
          <t xml:space="preserve">考虑出口闸阀非全开的情形，平均取截止阀全开时的压降</t>
        </r>
      </text>
    </comment>
    <comment ref="A48" authorId="0">
      <text>
        <r>
          <rPr>
            <sz val="10"/>
            <rFont val="Arial"/>
            <family val="2"/>
          </rPr>
          <t xml:space="preserve">wangjiamin:
</t>
        </r>
        <r>
          <rPr>
            <sz val="9"/>
            <color rgb="FF000000"/>
            <rFont val="宋体"/>
            <family val="3"/>
            <charset val="134"/>
          </rPr>
          <t xml:space="preserve">泵出口至目标设备间的设备</t>
        </r>
      </text>
    </comment>
    <comment ref="A65" authorId="0">
      <text>
        <r>
          <rPr>
            <sz val="10"/>
            <rFont val="Arial"/>
            <family val="2"/>
          </rPr>
          <t xml:space="preserve">MC SYSTEM:
</t>
        </r>
        <r>
          <rPr>
            <sz val="9"/>
            <color rgb="FF000000"/>
            <rFont val="宋体"/>
            <family val="3"/>
            <charset val="134"/>
          </rPr>
          <t xml:space="preserve">系统压力降是流量增加的平方，但其中的调节阀压力降除外：当调节阀压降&gt;0.2Mpa时，取0.1MPa，当调节阀压降&gt;0.1Mpa时，取0.05MPa，否则，调节阀全开。此时，泵所需扬程不考虑扬程系数。</t>
        </r>
      </text>
    </comment>
    <comment ref="A67" authorId="0">
      <text>
        <r>
          <rPr>
            <sz val="10"/>
            <rFont val="Noto Sans SC"/>
            <family val="2"/>
          </rPr>
          <t xml:space="preserve">杨光耀</t>
        </r>
        <r>
          <rPr>
            <sz val="10"/>
            <rFont val="Arial"/>
            <family val="2"/>
          </rPr>
          <t xml:space="preserve">:
</t>
        </r>
        <r>
          <rPr>
            <sz val="9"/>
            <color rgb="FF000000"/>
            <rFont val="宋体"/>
            <family val="3"/>
            <charset val="134"/>
          </rPr>
          <t xml:space="preserve">可用于确定泵入口管线的设计压力（实际的设计压力应考虑最大的静高差，此处为低液位操作时的静高差，故设计压力应略高于此计算值）。</t>
        </r>
      </text>
    </comment>
    <comment ref="A82" authorId="0">
      <text>
        <r>
          <rPr>
            <sz val="10"/>
            <rFont val="Arial"/>
            <family val="2"/>
          </rPr>
          <t xml:space="preserve">MC SYSTEM:
</t>
        </r>
        <r>
          <rPr>
            <sz val="9"/>
            <color rgb="FF000000"/>
            <rFont val="宋体"/>
            <family val="3"/>
            <charset val="134"/>
          </rPr>
          <t xml:space="preserve">或称为“装置气蚀余量”
一般NPSHa≥NPSHr(1+0.1~0.3)且
NPSHr*0.1~0.3≥0.6</t>
        </r>
      </text>
    </comment>
    <comment ref="A83" authorId="0">
      <text>
        <r>
          <rPr>
            <sz val="10"/>
            <rFont val="Arial"/>
            <family val="2"/>
          </rPr>
          <t xml:space="preserve">MC SYSTEM:
</t>
        </r>
        <r>
          <rPr>
            <sz val="9"/>
            <color rgb="FF000000"/>
            <rFont val="宋体"/>
            <family val="3"/>
            <charset val="134"/>
          </rPr>
          <t xml:space="preserve">或称为“装置气蚀余量”
一般NPSHa≥NPSHr(1+0.1~0.3)且
NPSHr*0.1~0.3≥0.6</t>
        </r>
      </text>
    </comment>
    <comment ref="A84" authorId="0">
      <text>
        <r>
          <rPr>
            <sz val="10"/>
            <rFont val="Noto Sans SC"/>
            <family val="2"/>
          </rPr>
          <t xml:space="preserve">杨光耀</t>
        </r>
        <r>
          <rPr>
            <sz val="10"/>
            <rFont val="Arial"/>
            <family val="2"/>
          </rPr>
          <t xml:space="preserve">:
</t>
        </r>
        <r>
          <rPr>
            <sz val="9"/>
            <color rgb="FF000000"/>
            <rFont val="宋体"/>
            <family val="3"/>
            <charset val="134"/>
          </rPr>
          <t xml:space="preserve">包括泵入口距离地面的高度，按1米考虑。</t>
        </r>
      </text>
    </comment>
    <comment ref="A87" authorId="0">
      <text>
        <r>
          <rPr>
            <sz val="10"/>
            <rFont val="Noto Sans SC"/>
            <family val="2"/>
          </rPr>
          <t xml:space="preserve">杨光耀</t>
        </r>
        <r>
          <rPr>
            <sz val="10"/>
            <rFont val="Arial"/>
            <family val="2"/>
          </rPr>
          <t xml:space="preserve">:
</t>
        </r>
        <r>
          <rPr>
            <sz val="9"/>
            <color rgb="FF000000"/>
            <rFont val="宋体"/>
            <family val="3"/>
            <charset val="134"/>
          </rPr>
          <t xml:space="preserve">可确定泵出口管线的设计压力</t>
        </r>
      </text>
    </comment>
    <comment ref="A91" authorId="0">
      <text>
        <r>
          <rPr>
            <sz val="10"/>
            <rFont val="Noto Sans SC"/>
            <family val="2"/>
          </rPr>
          <t xml:space="preserve">杨光耀</t>
        </r>
        <r>
          <rPr>
            <sz val="10"/>
            <rFont val="Arial"/>
            <family val="2"/>
          </rPr>
          <t xml:space="preserve">:
</t>
        </r>
        <r>
          <rPr>
            <sz val="9"/>
            <color rgb="FF000000"/>
            <rFont val="宋体"/>
            <family val="3"/>
            <charset val="134"/>
          </rPr>
          <t xml:space="preserve">按正常流量的60%计</t>
        </r>
      </text>
    </comment>
    <comment ref="A99" authorId="0">
      <text>
        <r>
          <rPr>
            <sz val="10"/>
            <rFont val="Noto Sans SC"/>
            <family val="2"/>
          </rPr>
          <t xml:space="preserve">杨光耀</t>
        </r>
        <r>
          <rPr>
            <sz val="10"/>
            <rFont val="Arial"/>
            <family val="2"/>
          </rPr>
          <t xml:space="preserve">:
</t>
        </r>
        <r>
          <rPr>
            <sz val="9"/>
            <color rgb="FF000000"/>
            <rFont val="宋体"/>
            <family val="3"/>
            <charset val="134"/>
          </rPr>
          <t xml:space="preserve">G:高原；H：海上；
W：户外；F：防腐；
T：热带：TH：湿热带；TA：干热带</t>
        </r>
      </text>
    </comment>
    <comment ref="B53" authorId="0">
      <text>
        <r>
          <rPr>
            <sz val="10"/>
            <rFont val="Noto Sans SC"/>
            <family val="2"/>
          </rPr>
          <t xml:space="preserve">袁兴才</t>
        </r>
        <r>
          <rPr>
            <sz val="10"/>
            <rFont val="Arial"/>
            <family val="2"/>
          </rPr>
          <t xml:space="preserve">:
</t>
        </r>
        <r>
          <rPr>
            <sz val="9"/>
            <color rgb="FF000000"/>
            <rFont val="宋体"/>
            <family val="3"/>
            <charset val="134"/>
          </rPr>
          <t xml:space="preserve">第1个电脱盐罐前的混合器压降+混合阀
</t>
        </r>
      </text>
    </comment>
    <comment ref="B59" authorId="0">
      <text>
        <r>
          <rPr>
            <sz val="10"/>
            <rFont val="Arial"/>
            <family val="2"/>
          </rPr>
          <t xml:space="preserve">wangjiamin:
</t>
        </r>
        <r>
          <rPr>
            <sz val="9"/>
            <color rgb="FF000000"/>
            <rFont val="宋体"/>
            <family val="3"/>
            <charset val="134"/>
          </rPr>
          <t xml:space="preserve">SH3035T-2007:6.1.4规定</t>
        </r>
      </text>
    </comment>
    <comment ref="C57" authorId="0">
      <text>
        <r>
          <rPr>
            <sz val="10"/>
            <rFont val="Arial"/>
            <family val="2"/>
          </rPr>
          <t xml:space="preserve">@</t>
        </r>
        <r>
          <rPr>
            <sz val="10"/>
            <rFont val="Noto Sans SC"/>
            <family val="2"/>
          </rPr>
          <t xml:space="preserve">袁兴才 </t>
        </r>
        <r>
          <rPr>
            <sz val="10"/>
            <rFont val="Arial"/>
            <family val="2"/>
          </rPr>
          <t xml:space="preserve">- </t>
        </r>
        <r>
          <rPr>
            <sz val="10"/>
            <rFont val="Noto Sans SC"/>
            <family val="2"/>
          </rPr>
          <t xml:space="preserve">原值</t>
        </r>
        <r>
          <rPr>
            <sz val="10"/>
            <rFont val="Arial"/>
            <family val="2"/>
          </rPr>
          <t xml:space="preserve">: 0.05 -2013/8/14 10:18</t>
        </r>
      </text>
    </comment>
    <comment ref="D1" authorId="0">
      <text>
        <r>
          <rPr>
            <sz val="10"/>
            <rFont val="Noto Sans SC"/>
            <family val="2"/>
          </rPr>
          <t xml:space="preserve">颜艳艳</t>
        </r>
        <r>
          <rPr>
            <sz val="10"/>
            <rFont val="Arial"/>
            <family val="2"/>
          </rPr>
          <t xml:space="preserve">:
</t>
        </r>
        <r>
          <rPr>
            <sz val="9"/>
            <color rgb="FF000000"/>
            <rFont val="宋体"/>
            <family val="3"/>
            <charset val="134"/>
          </rPr>
          <t xml:space="preserve">末期工况</t>
        </r>
      </text>
    </comment>
    <comment ref="D7" authorId="0">
      <text>
        <r>
          <rPr>
            <sz val="10"/>
            <rFont val="Arial"/>
            <family val="2"/>
          </rPr>
          <t xml:space="preserve">@</t>
        </r>
        <r>
          <rPr>
            <sz val="10"/>
            <rFont val="Noto Sans SC"/>
            <family val="2"/>
          </rPr>
          <t xml:space="preserve">袁兴才 </t>
        </r>
        <r>
          <rPr>
            <sz val="10"/>
            <rFont val="Arial"/>
            <family val="2"/>
          </rPr>
          <t xml:space="preserve">- </t>
        </r>
        <r>
          <rPr>
            <sz val="10"/>
            <rFont val="Noto Sans SC"/>
            <family val="2"/>
          </rPr>
          <t xml:space="preserve">原值</t>
        </r>
        <r>
          <rPr>
            <sz val="10"/>
            <rFont val="Arial"/>
            <family val="2"/>
          </rPr>
          <t xml:space="preserve">: 0.70  -2013/12/2 15:19</t>
        </r>
      </text>
    </comment>
    <comment ref="I4" authorId="0">
      <text>
        <r>
          <rPr>
            <sz val="10"/>
            <rFont val="Noto Sans SC"/>
            <family val="2"/>
          </rPr>
          <t xml:space="preserve">颜艳艳</t>
        </r>
        <r>
          <rPr>
            <sz val="10"/>
            <rFont val="Arial"/>
            <family val="2"/>
          </rPr>
          <t xml:space="preserve">:
</t>
        </r>
        <r>
          <rPr>
            <sz val="9"/>
            <color rgb="FF000000"/>
            <rFont val="宋体"/>
            <family val="3"/>
            <charset val="134"/>
          </rPr>
          <t xml:space="preserve">改成初期</t>
        </r>
      </text>
    </comment>
    <comment ref="K4" authorId="0">
      <text>
        <r>
          <rPr>
            <sz val="10"/>
            <rFont val="Noto Sans SC"/>
            <family val="2"/>
          </rPr>
          <t xml:space="preserve">颜艳艳</t>
        </r>
        <r>
          <rPr>
            <sz val="10"/>
            <rFont val="Arial"/>
            <family val="2"/>
          </rPr>
          <t xml:space="preserve">:
</t>
        </r>
        <r>
          <rPr>
            <sz val="9"/>
            <color rgb="FF000000"/>
            <rFont val="宋体"/>
            <family val="3"/>
            <charset val="134"/>
          </rPr>
          <t xml:space="preserve">改成初期</t>
        </r>
      </text>
    </comment>
    <comment ref="M57" authorId="0">
      <text>
        <r>
          <rPr>
            <sz val="10"/>
            <rFont val="Noto Sans SC"/>
            <family val="2"/>
          </rPr>
          <t xml:space="preserve">颜艳艳</t>
        </r>
        <r>
          <rPr>
            <sz val="10"/>
            <rFont val="Arial"/>
            <family val="2"/>
          </rPr>
          <t xml:space="preserve">:
</t>
        </r>
        <r>
          <rPr>
            <sz val="9"/>
            <color rgb="FF000000"/>
            <rFont val="宋体"/>
            <family val="3"/>
            <charset val="134"/>
          </rPr>
          <t xml:space="preserve">2个</t>
        </r>
      </text>
    </comment>
    <comment ref="N56" authorId="0">
      <text>
        <r>
          <rPr>
            <sz val="10"/>
            <rFont val="Noto Sans SC"/>
            <family val="2"/>
          </rPr>
          <t xml:space="preserve">颜艳艳</t>
        </r>
        <r>
          <rPr>
            <sz val="10"/>
            <rFont val="Arial"/>
            <family val="2"/>
          </rPr>
          <t xml:space="preserve">:
</t>
        </r>
        <r>
          <rPr>
            <sz val="9"/>
            <color rgb="FF000000"/>
            <rFont val="宋体"/>
            <family val="3"/>
            <charset val="134"/>
          </rPr>
          <t xml:space="preserve">3个</t>
        </r>
      </text>
    </comment>
    <comment ref="O4" authorId="0">
      <text>
        <r>
          <rPr>
            <sz val="10"/>
            <rFont val="Noto Sans SC"/>
            <family val="2"/>
          </rPr>
          <t xml:space="preserve">颜艳艳</t>
        </r>
        <r>
          <rPr>
            <sz val="10"/>
            <rFont val="Arial"/>
            <family val="2"/>
          </rPr>
          <t xml:space="preserve">:
</t>
        </r>
        <r>
          <rPr>
            <sz val="9"/>
            <color rgb="FF000000"/>
            <rFont val="宋体"/>
            <family val="3"/>
            <charset val="134"/>
          </rPr>
          <t xml:space="preserve">改初期</t>
        </r>
      </text>
    </comment>
    <comment ref="O56" authorId="0">
      <text>
        <r>
          <rPr>
            <sz val="10"/>
            <rFont val="Noto Sans SC"/>
            <family val="2"/>
          </rPr>
          <t xml:space="preserve">颜艳艳</t>
        </r>
        <r>
          <rPr>
            <sz val="10"/>
            <rFont val="Arial"/>
            <family val="2"/>
          </rPr>
          <t xml:space="preserve">:
</t>
        </r>
        <r>
          <rPr>
            <sz val="9"/>
            <color rgb="FF000000"/>
            <rFont val="宋体"/>
            <family val="3"/>
            <charset val="134"/>
          </rPr>
          <t xml:space="preserve">3个</t>
        </r>
      </text>
    </comment>
    <comment ref="W31" authorId="0">
      <text>
        <r>
          <rPr>
            <sz val="10"/>
            <rFont val="Arial"/>
            <family val="2"/>
          </rPr>
          <t xml:space="preserve">chengyan:
</t>
        </r>
        <r>
          <rPr>
            <sz val="9"/>
            <color rgb="FF000000"/>
            <rFont val="宋体"/>
            <family val="3"/>
            <charset val="134"/>
          </rPr>
          <t xml:space="preserve">空冷前管线高度</t>
        </r>
      </text>
    </comment>
    <comment ref="Z28" authorId="0">
      <text>
        <r>
          <rPr>
            <sz val="10"/>
            <rFont val="Arial"/>
            <family val="2"/>
          </rPr>
          <t xml:space="preserve">YGY:
</t>
        </r>
        <r>
          <rPr>
            <sz val="9"/>
            <color rgb="FF000000"/>
            <rFont val="宋体"/>
            <family val="3"/>
            <charset val="134"/>
          </rPr>
          <t xml:space="preserve">热媒水出装置压力</t>
        </r>
      </text>
    </comment>
    <comment ref="AC33" authorId="0">
      <text>
        <r>
          <rPr>
            <sz val="10"/>
            <rFont val="Arial"/>
            <family val="2"/>
          </rPr>
          <t xml:space="preserve">YGY:
</t>
        </r>
        <r>
          <rPr>
            <sz val="9"/>
            <color rgb="FF000000"/>
            <rFont val="宋体"/>
            <family val="3"/>
            <charset val="134"/>
          </rPr>
          <t xml:space="preserve">调整其值，使第39行的入口压降包含3组换热器的压降0.05*3=0.15MPa，并考虑管长为150时，压降为0.05,故入口总压降0.2MPa</t>
        </r>
      </text>
    </comment>
  </commentList>
</comments>
</file>

<file path=xl/comments18.xml><?xml version="1.0" encoding="utf-8"?>
<comments xmlns="http://schemas.openxmlformats.org/spreadsheetml/2006/main" xmlns:xdr="http://schemas.openxmlformats.org/drawingml/2006/spreadsheetDrawing">
  <authors>
    <author>Unknown Author</author>
  </authors>
  <commentList>
    <comment ref="A4" authorId="0">
      <text>
        <r>
          <rPr>
            <sz val="10"/>
            <rFont val="Noto Sans SC"/>
            <family val="2"/>
          </rPr>
          <t xml:space="preserve">杨光耀</t>
        </r>
        <r>
          <rPr>
            <sz val="10"/>
            <rFont val="Arial"/>
            <family val="2"/>
          </rPr>
          <t xml:space="preserve">:
</t>
        </r>
        <r>
          <rPr>
            <sz val="9"/>
            <color rgb="FF000000"/>
            <rFont val="宋体"/>
            <family val="3"/>
            <charset val="134"/>
          </rPr>
          <t xml:space="preserve">蒸汽只能输“饱和蒸汽”或“过热蒸汽”</t>
        </r>
      </text>
    </comment>
    <comment ref="A7" authorId="0">
      <text>
        <r>
          <rPr>
            <sz val="10"/>
            <rFont val="Noto Sans SC"/>
            <family val="2"/>
          </rPr>
          <t xml:space="preserve">杨光耀</t>
        </r>
        <r>
          <rPr>
            <sz val="10"/>
            <rFont val="Arial"/>
            <family val="2"/>
          </rPr>
          <t xml:space="preserve">:
</t>
        </r>
        <r>
          <rPr>
            <sz val="9"/>
            <color rgb="FF000000"/>
            <rFont val="宋体"/>
            <family val="3"/>
            <charset val="134"/>
          </rPr>
          <t xml:space="preserve">蒸汽安全阀定压按TSG G0001-2012锅炉安全技术监察规程表6-3</t>
        </r>
      </text>
    </comment>
    <comment ref="A11" authorId="0">
      <text>
        <r>
          <rPr>
            <sz val="10"/>
            <rFont val="Arial"/>
            <family val="2"/>
          </rPr>
          <t xml:space="preserve">wangjiamin:
</t>
        </r>
        <r>
          <rPr>
            <sz val="9"/>
            <color rgb="FF000000"/>
            <rFont val="宋体"/>
            <family val="3"/>
            <charset val="134"/>
          </rPr>
          <t xml:space="preserve">包括操作故障，蒸汽故障等。</t>
        </r>
      </text>
    </comment>
    <comment ref="A14" authorId="0">
      <text>
        <r>
          <rPr>
            <sz val="10"/>
            <rFont val="Arial"/>
            <family val="2"/>
          </rPr>
          <t xml:space="preserve">wangjiamin:
</t>
        </r>
        <r>
          <rPr>
            <sz val="9"/>
            <color rgb="FF000000"/>
            <rFont val="宋体"/>
            <family val="3"/>
            <charset val="134"/>
          </rPr>
          <t xml:space="preserve">无火压力容器Pa=0.1Ps；着火有爆炸危险容器Pa=0.2Ps</t>
        </r>
      </text>
    </comment>
    <comment ref="A28" authorId="0">
      <text>
        <r>
          <rPr>
            <sz val="10"/>
            <rFont val="Noto Sans SC"/>
            <family val="2"/>
          </rPr>
          <t xml:space="preserve">杨光耀</t>
        </r>
        <r>
          <rPr>
            <sz val="10"/>
            <rFont val="Arial"/>
            <family val="2"/>
          </rPr>
          <t xml:space="preserve">:
</t>
        </r>
        <r>
          <rPr>
            <sz val="9"/>
            <color rgb="FF000000"/>
            <rFont val="宋体"/>
            <family val="3"/>
            <charset val="134"/>
          </rPr>
          <t xml:space="preserve">通常由制造厂提供
气相初算：容器上0.65,管道上0.62
</t>
        </r>
      </text>
    </comment>
    <comment ref="A29" authorId="0">
      <text>
        <r>
          <rPr>
            <sz val="10"/>
            <rFont val="Noto Sans SC"/>
            <family val="2"/>
          </rPr>
          <t xml:space="preserve">杨光耀</t>
        </r>
        <r>
          <rPr>
            <sz val="10"/>
            <rFont val="Arial"/>
            <family val="2"/>
          </rPr>
          <t xml:space="preserve">:
</t>
        </r>
        <r>
          <rPr>
            <sz val="9"/>
            <color rgb="FF000000"/>
            <rFont val="宋体"/>
            <family val="3"/>
            <charset val="134"/>
          </rPr>
          <t xml:space="preserve">循环计算值（先假定粘度校正系数为1，算出泄放面积）</t>
        </r>
      </text>
    </comment>
    <comment ref="A30" authorId="0">
      <text>
        <r>
          <rPr>
            <sz val="10"/>
            <rFont val="Noto Sans SC"/>
            <family val="2"/>
          </rPr>
          <t xml:space="preserve">杨光耀</t>
        </r>
        <r>
          <rPr>
            <sz val="10"/>
            <rFont val="Arial"/>
            <family val="2"/>
          </rPr>
          <t xml:space="preserve">:
</t>
        </r>
        <r>
          <rPr>
            <sz val="9"/>
            <color rgb="FF000000"/>
            <rFont val="宋体"/>
            <family val="3"/>
            <charset val="134"/>
          </rPr>
          <t xml:space="preserve">查图B.2
当液体粘度不大于20℃水的粘度0.001Pa.S (1cP)时，取1</t>
        </r>
      </text>
    </comment>
    <comment ref="A31" authorId="0">
      <text>
        <r>
          <rPr>
            <sz val="10"/>
            <rFont val="Noto Sans SC"/>
            <family val="2"/>
          </rPr>
          <t xml:space="preserve">杨光耀</t>
        </r>
        <r>
          <rPr>
            <sz val="10"/>
            <rFont val="Arial"/>
            <family val="2"/>
          </rPr>
          <t xml:space="preserve">:
</t>
        </r>
        <r>
          <rPr>
            <sz val="9"/>
            <color rgb="FF000000"/>
            <rFont val="宋体"/>
            <family val="3"/>
            <charset val="134"/>
          </rPr>
          <t xml:space="preserve">饱和蒸汽中蒸汽量不小于98%，过热度不大于11℃</t>
        </r>
      </text>
    </comment>
    <comment ref="A39" authorId="0">
      <text>
        <r>
          <rPr>
            <sz val="10"/>
            <rFont val="Noto Sans SC"/>
            <family val="2"/>
          </rPr>
          <t xml:space="preserve">杨光耀</t>
        </r>
        <r>
          <rPr>
            <sz val="10"/>
            <rFont val="Arial"/>
            <family val="2"/>
          </rPr>
          <t xml:space="preserve">:
</t>
        </r>
        <r>
          <rPr>
            <sz val="9"/>
            <color rgb="FF000000"/>
            <rFont val="宋体"/>
            <family val="3"/>
            <charset val="134"/>
          </rPr>
          <t xml:space="preserve">容器置于地下用砂土覆盖时，F=0.3；
容器置于地面上时，F=1；
容器置于大于10L/（m2.min)喷淋装置下时,F=0.5</t>
        </r>
      </text>
    </comment>
    <comment ref="A40" authorId="0">
      <text>
        <r>
          <rPr>
            <sz val="10"/>
            <rFont val="Arial"/>
            <family val="2"/>
          </rPr>
          <t xml:space="preserve">wangjiamin:
</t>
        </r>
        <r>
          <rPr>
            <sz val="9"/>
            <color rgb="FF000000"/>
            <rFont val="宋体"/>
            <family val="3"/>
            <charset val="134"/>
          </rPr>
          <t xml:space="preserve">无火压力容器Pa=0.1Ps；着火有爆炸危险容器Pa=0.2Ps</t>
        </r>
      </text>
    </comment>
    <comment ref="A43" authorId="0">
      <text>
        <r>
          <rPr>
            <sz val="10"/>
            <rFont val="Noto Sans SC"/>
            <family val="2"/>
          </rPr>
          <t xml:space="preserve">杨光耀</t>
        </r>
        <r>
          <rPr>
            <sz val="10"/>
            <rFont val="Arial"/>
            <family val="2"/>
          </rPr>
          <t xml:space="preserve">:
</t>
        </r>
        <r>
          <rPr>
            <sz val="9"/>
            <color rgb="FF000000"/>
            <rFont val="宋体"/>
            <family val="3"/>
            <charset val="134"/>
          </rPr>
          <t xml:space="preserve">此值可能不等于动力故障的温度</t>
        </r>
      </text>
    </comment>
    <comment ref="A52" authorId="0">
      <text>
        <r>
          <rPr>
            <sz val="10"/>
            <rFont val="Noto Sans SC"/>
            <family val="2"/>
          </rPr>
          <t xml:space="preserve">杨光耀</t>
        </r>
        <r>
          <rPr>
            <sz val="10"/>
            <rFont val="Arial"/>
            <family val="2"/>
          </rPr>
          <t xml:space="preserve">:
</t>
        </r>
        <r>
          <rPr>
            <sz val="9"/>
            <color rgb="FF000000"/>
            <rFont val="宋体"/>
            <family val="3"/>
            <charset val="134"/>
          </rPr>
          <t xml:space="preserve">导热系数取值见SH3010第7页</t>
        </r>
      </text>
    </comment>
    <comment ref="A69" authorId="0">
      <text>
        <r>
          <rPr>
            <sz val="10"/>
            <rFont val="Noto Sans SC"/>
            <family val="2"/>
          </rPr>
          <t xml:space="preserve">杨光耀</t>
        </r>
        <r>
          <rPr>
            <sz val="10"/>
            <rFont val="Arial"/>
            <family val="2"/>
          </rPr>
          <t xml:space="preserve">:
</t>
        </r>
        <r>
          <rPr>
            <sz val="9"/>
            <color rgb="FF000000"/>
            <rFont val="宋体"/>
            <family val="3"/>
            <charset val="134"/>
          </rPr>
          <t xml:space="preserve">蒸汽最小喉径大于20mm，
见TSG G0001-2012第6.1.6条</t>
        </r>
      </text>
    </comment>
    <comment ref="N2" authorId="0">
      <text>
        <r>
          <rPr>
            <sz val="10"/>
            <rFont val="Arial"/>
            <family val="2"/>
          </rPr>
          <t xml:space="preserve">@</t>
        </r>
        <r>
          <rPr>
            <sz val="10"/>
            <rFont val="Noto Sans SC"/>
            <family val="2"/>
          </rPr>
          <t xml:space="preserve">袁兴才 </t>
        </r>
        <r>
          <rPr>
            <sz val="10"/>
            <rFont val="Arial"/>
            <family val="2"/>
          </rPr>
          <t xml:space="preserve">- </t>
        </r>
        <r>
          <rPr>
            <sz val="10"/>
            <rFont val="Noto Sans SC"/>
            <family val="2"/>
          </rPr>
          <t xml:space="preserve">原值</t>
        </r>
        <r>
          <rPr>
            <sz val="10"/>
            <rFont val="Arial"/>
            <family val="2"/>
          </rPr>
          <t xml:space="preserve">: </t>
        </r>
        <r>
          <rPr>
            <sz val="10"/>
            <rFont val="Noto Sans SC"/>
            <family val="2"/>
          </rPr>
          <t xml:space="preserve">燃料气脱硫塔顶安全阀 </t>
        </r>
        <r>
          <rPr>
            <sz val="10"/>
            <rFont val="Arial"/>
            <family val="2"/>
          </rPr>
          <t xml:space="preserve">-2013/12/19 16:25</t>
        </r>
      </text>
    </comment>
    <comment ref="N3" authorId="0">
      <text>
        <r>
          <rPr>
            <sz val="10"/>
            <rFont val="Arial"/>
            <family val="2"/>
          </rPr>
          <t xml:space="preserve">@</t>
        </r>
        <r>
          <rPr>
            <sz val="10"/>
            <rFont val="Noto Sans SC"/>
            <family val="2"/>
          </rPr>
          <t xml:space="preserve">袁兴才 </t>
        </r>
        <r>
          <rPr>
            <sz val="10"/>
            <rFont val="Arial"/>
            <family val="2"/>
          </rPr>
          <t xml:space="preserve">- </t>
        </r>
        <r>
          <rPr>
            <sz val="10"/>
            <rFont val="Noto Sans SC"/>
            <family val="2"/>
          </rPr>
          <t xml:space="preserve">原值</t>
        </r>
        <r>
          <rPr>
            <sz val="10"/>
            <rFont val="Arial"/>
            <family val="2"/>
          </rPr>
          <t xml:space="preserve">: </t>
        </r>
        <r>
          <rPr>
            <sz val="10"/>
            <rFont val="Noto Sans SC"/>
            <family val="2"/>
          </rPr>
          <t xml:space="preserve">燃料气脱硫塔</t>
        </r>
        <r>
          <rPr>
            <sz val="10"/>
            <rFont val="Arial"/>
            <family val="2"/>
          </rPr>
          <t xml:space="preserve">T-105</t>
        </r>
        <r>
          <rPr>
            <sz val="10"/>
            <rFont val="Noto Sans SC"/>
            <family val="2"/>
          </rPr>
          <t xml:space="preserve">顶部 </t>
        </r>
        <r>
          <rPr>
            <sz val="10"/>
            <rFont val="Arial"/>
            <family val="2"/>
          </rPr>
          <t xml:space="preserve">-2013/12/19 16:25</t>
        </r>
      </text>
    </comment>
    <comment ref="N4" authorId="0">
      <text>
        <r>
          <rPr>
            <sz val="10"/>
            <rFont val="Arial"/>
            <family val="2"/>
          </rPr>
          <t xml:space="preserve">@</t>
        </r>
        <r>
          <rPr>
            <sz val="10"/>
            <rFont val="Noto Sans SC"/>
            <family val="2"/>
          </rPr>
          <t xml:space="preserve">袁兴才 </t>
        </r>
        <r>
          <rPr>
            <sz val="10"/>
            <rFont val="Arial"/>
            <family val="2"/>
          </rPr>
          <t xml:space="preserve">- </t>
        </r>
        <r>
          <rPr>
            <sz val="10"/>
            <rFont val="Noto Sans SC"/>
            <family val="2"/>
          </rPr>
          <t xml:space="preserve">原值</t>
        </r>
        <r>
          <rPr>
            <sz val="10"/>
            <rFont val="Arial"/>
            <family val="2"/>
          </rPr>
          <t xml:space="preserve">: </t>
        </r>
        <r>
          <rPr>
            <sz val="10"/>
            <rFont val="Noto Sans SC"/>
            <family val="2"/>
          </rPr>
          <t xml:space="preserve">减顶油气、胺液 </t>
        </r>
        <r>
          <rPr>
            <sz val="10"/>
            <rFont val="Arial"/>
            <family val="2"/>
          </rPr>
          <t xml:space="preserve">-2013/12/19 16:26</t>
        </r>
      </text>
    </comment>
  </commentList>
</comments>
</file>

<file path=xl/comments19.xml><?xml version="1.0" encoding="utf-8"?>
<comments xmlns="http://schemas.openxmlformats.org/spreadsheetml/2006/main" xmlns:xdr="http://schemas.openxmlformats.org/drawingml/2006/spreadsheetDrawing">
  <authors>
    <author>Unknown Author</author>
  </authors>
  <commentList>
    <comment ref="A10" authorId="0">
      <text>
        <r>
          <rPr>
            <sz val="10"/>
            <rFont val="Arial"/>
            <family val="2"/>
          </rPr>
          <t xml:space="preserve">wangjiamin:
</t>
        </r>
        <r>
          <rPr>
            <sz val="9"/>
            <color rgb="FF000000"/>
            <rFont val="宋体"/>
            <family val="3"/>
            <charset val="134"/>
          </rPr>
          <t xml:space="preserve">无火压力容器Pa=0.1Ps；着火有爆炸危险容器Pa=0.2Ps</t>
        </r>
      </text>
    </comment>
    <comment ref="A14" authorId="0">
      <text>
        <r>
          <rPr>
            <sz val="10"/>
            <rFont val="Arial"/>
            <family val="2"/>
          </rPr>
          <t xml:space="preserve">wangjiamin:
</t>
        </r>
        <r>
          <rPr>
            <sz val="9"/>
            <color rgb="FF000000"/>
            <rFont val="宋体"/>
            <family val="3"/>
            <charset val="134"/>
          </rPr>
          <t xml:space="preserve">包括操作故障，蒸汽故障等。</t>
        </r>
      </text>
    </comment>
    <comment ref="B10" authorId="0">
      <text>
        <r>
          <rPr>
            <sz val="10"/>
            <rFont val="Arial"/>
            <family val="2"/>
          </rPr>
          <t xml:space="preserve">chengyan:
</t>
        </r>
        <r>
          <rPr>
            <sz val="9"/>
            <color rgb="FF000000"/>
            <rFont val="宋体"/>
            <family val="3"/>
            <charset val="134"/>
          </rPr>
          <t xml:space="preserve">液体最大允许超压</t>
        </r>
        <r>
          <rPr>
            <sz val="9"/>
            <color rgb="FF000000"/>
            <rFont val="Tahoma"/>
            <family val="2"/>
            <charset val="1"/>
          </rPr>
          <t xml:space="preserve">20%</t>
        </r>
      </text>
    </comment>
    <comment ref="X8" authorId="0">
      <text>
        <r>
          <rPr>
            <sz val="10"/>
            <rFont val="Arial"/>
            <family val="2"/>
          </rPr>
          <t xml:space="preserve">YGY:
</t>
        </r>
        <r>
          <rPr>
            <sz val="9"/>
            <color rgb="FF000000"/>
            <rFont val="宋体"/>
            <family val="3"/>
            <charset val="134"/>
          </rPr>
          <t xml:space="preserve">防高压冲击，取安全阀最高操作压力低于容器设计用的最高操作压力</t>
        </r>
      </text>
    </comment>
    <comment ref="Z8" authorId="0">
      <text>
        <r>
          <rPr>
            <sz val="10"/>
            <rFont val="Arial"/>
            <family val="2"/>
          </rPr>
          <t xml:space="preserve">YGY:
</t>
        </r>
        <r>
          <rPr>
            <sz val="9"/>
            <color rgb="FF000000"/>
            <rFont val="宋体"/>
            <family val="3"/>
            <charset val="134"/>
          </rPr>
          <t xml:space="preserve">防高压冲击，取安全阀最高操作压力低于容器设计用的最高操作压力</t>
        </r>
      </text>
    </comment>
    <comment ref="AN10" authorId="0">
      <text>
        <r>
          <rPr>
            <sz val="10"/>
            <rFont val="Arial"/>
            <family val="2"/>
          </rPr>
          <t xml:space="preserve">chengyan:
</t>
        </r>
        <r>
          <rPr>
            <sz val="9"/>
            <color rgb="FF000000"/>
            <rFont val="宋体"/>
            <family val="3"/>
            <charset val="134"/>
          </rPr>
          <t xml:space="preserve">蒸汽最大允许超压3%</t>
        </r>
      </text>
    </comment>
    <comment ref="AP10" authorId="0">
      <text>
        <r>
          <rPr>
            <sz val="10"/>
            <rFont val="Arial"/>
            <family val="2"/>
          </rPr>
          <t xml:space="preserve">chengyan:
</t>
        </r>
        <r>
          <rPr>
            <sz val="9"/>
            <color rgb="FF000000"/>
            <rFont val="宋体"/>
            <family val="3"/>
            <charset val="134"/>
          </rPr>
          <t xml:space="preserve">液体最大允许超压</t>
        </r>
        <r>
          <rPr>
            <sz val="9"/>
            <color rgb="FF000000"/>
            <rFont val="Tahoma"/>
            <family val="2"/>
            <charset val="1"/>
          </rPr>
          <t xml:space="preserve">20%</t>
        </r>
      </text>
    </comment>
    <comment ref="AV19" authorId="0">
      <text>
        <r>
          <rPr>
            <sz val="10"/>
            <rFont val="Noto Sans SC"/>
            <family val="2"/>
          </rPr>
          <t xml:space="preserve">张学智</t>
        </r>
        <r>
          <rPr>
            <sz val="10"/>
            <rFont val="Arial"/>
            <family val="2"/>
          </rPr>
          <t xml:space="preserve">:
</t>
        </r>
        <r>
          <rPr>
            <sz val="9"/>
            <color rgb="FF000000"/>
            <rFont val="宋体"/>
            <family val="3"/>
            <charset val="134"/>
          </rPr>
          <t xml:space="preserve">1.288</t>
        </r>
      </text>
    </comment>
    <comment ref="AV22" authorId="0">
      <text>
        <r>
          <rPr>
            <sz val="10"/>
            <rFont val="Noto Sans SC"/>
            <family val="2"/>
          </rPr>
          <t xml:space="preserve">张学智</t>
        </r>
        <r>
          <rPr>
            <sz val="10"/>
            <rFont val="Arial"/>
            <family val="2"/>
          </rPr>
          <t xml:space="preserve">:
</t>
        </r>
        <r>
          <rPr>
            <sz val="9"/>
            <color rgb="FF000000"/>
            <rFont val="宋体"/>
            <family val="3"/>
            <charset val="134"/>
          </rPr>
          <t xml:space="preserve">0.9937</t>
        </r>
      </text>
    </comment>
    <comment ref="AZ2" authorId="0">
      <text>
        <r>
          <rPr>
            <sz val="10"/>
            <rFont val="Noto Sans SC"/>
            <family val="2"/>
          </rPr>
          <t xml:space="preserve">秦士江</t>
        </r>
        <r>
          <rPr>
            <sz val="10"/>
            <rFont val="Arial"/>
            <family val="2"/>
          </rPr>
          <t xml:space="preserve">:
</t>
        </r>
        <r>
          <rPr>
            <sz val="9"/>
            <color rgb="FF000000"/>
            <rFont val="宋体"/>
            <family val="3"/>
            <charset val="134"/>
          </rPr>
          <t xml:space="preserve">已删除</t>
        </r>
      </text>
    </comment>
    <comment ref="BB10" authorId="0">
      <text>
        <r>
          <rPr>
            <sz val="10"/>
            <rFont val="Arial"/>
            <family val="2"/>
          </rPr>
          <t xml:space="preserve">chengyan:
</t>
        </r>
        <r>
          <rPr>
            <sz val="9"/>
            <color rgb="FF000000"/>
            <rFont val="宋体"/>
            <family val="3"/>
            <charset val="134"/>
          </rPr>
          <t xml:space="preserve">蒸汽最大允许超压3%</t>
        </r>
      </text>
    </comment>
  </commentList>
</comments>
</file>

<file path=xl/comments20.xml><?xml version="1.0" encoding="utf-8"?>
<comments xmlns="http://schemas.openxmlformats.org/spreadsheetml/2006/main" xmlns:xdr="http://schemas.openxmlformats.org/drawingml/2006/spreadsheetDrawing">
  <authors>
    <author>Unknown Author</author>
  </authors>
  <commentList>
    <comment ref="A37" authorId="0">
      <text>
        <r>
          <rPr>
            <sz val="10"/>
            <rFont val="Arial"/>
            <family val="2"/>
          </rPr>
          <t xml:space="preserve">YGY:
</t>
        </r>
        <r>
          <rPr>
            <sz val="9"/>
            <color rgb="FF000000"/>
            <rFont val="宋体"/>
            <family val="3"/>
            <charset val="134"/>
          </rPr>
          <t xml:space="preserve">当选泵时，计算泵出入直径用到</t>
        </r>
      </text>
    </comment>
    <comment ref="II10" authorId="0">
      <text>
        <r>
          <rPr>
            <sz val="10"/>
            <rFont val="Arial"/>
            <family val="2"/>
          </rPr>
          <t xml:space="preserve">YGY:
</t>
        </r>
        <r>
          <rPr>
            <sz val="9"/>
            <color rgb="FF000000"/>
            <rFont val="宋体"/>
            <family val="3"/>
            <charset val="134"/>
          </rPr>
          <t xml:space="preserve">一般原料油量的4~6%</t>
        </r>
      </text>
    </comment>
    <comment ref="IK10" authorId="0">
      <text>
        <r>
          <rPr>
            <sz val="10"/>
            <rFont val="Arial"/>
            <family val="2"/>
          </rPr>
          <t xml:space="preserve">YGY:
</t>
        </r>
        <r>
          <rPr>
            <sz val="9"/>
            <color rgb="FF000000"/>
            <rFont val="宋体"/>
            <family val="3"/>
            <charset val="134"/>
          </rPr>
          <t xml:space="preserve">计算回流比0，考虑回流比1</t>
        </r>
      </text>
    </comment>
    <comment ref="IP10" authorId="0">
      <text>
        <r>
          <rPr>
            <sz val="10"/>
            <rFont val="Arial"/>
            <family val="2"/>
          </rPr>
          <t xml:space="preserve">YGY:
</t>
        </r>
        <r>
          <rPr>
            <sz val="16"/>
            <color rgb="FF000000"/>
            <rFont val="宋体"/>
            <family val="3"/>
            <charset val="134"/>
          </rPr>
          <t xml:space="preserve">破乳剂用量根据原油不同，使用量差别很大，对于轻质原油破乳剂用量可以小于5ppm就能达到脱盐脱水效果（实际上这种油即使不加破乳剂都可以）；而对于某些特殊油，比如奥里油要加到800-1000ppm；对于国内如山东地炼炼制的一些重油、特稠油以及燃料油，使用量大多在10-150ppm都有，视油品性质而定。
本次设计，破乳剂占原料油量50ppm,浓度1~2%</t>
        </r>
      </text>
    </comment>
    <comment ref="IQ7" authorId="0">
      <text>
        <r>
          <rPr>
            <sz val="10"/>
            <rFont val="Arial"/>
            <family val="2"/>
          </rPr>
          <t xml:space="preserve">YGY:
</t>
        </r>
        <r>
          <rPr>
            <sz val="9"/>
            <color rgb="FF000000"/>
            <rFont val="宋体"/>
            <family val="3"/>
            <charset val="134"/>
          </rPr>
          <t xml:space="preserve">性质按原料油考虑</t>
        </r>
      </text>
    </comment>
    <comment ref="IQ10" authorId="0">
      <text>
        <r>
          <rPr>
            <sz val="10"/>
            <rFont val="Arial"/>
            <family val="2"/>
          </rPr>
          <t xml:space="preserve">YGY:
</t>
        </r>
        <r>
          <rPr>
            <sz val="16"/>
            <color rgb="FF000000"/>
            <rFont val="宋体"/>
            <family val="3"/>
            <charset val="134"/>
          </rPr>
          <t xml:space="preserve">按1h泵送污油罐量</t>
        </r>
      </text>
    </comment>
    <comment ref="IR10" authorId="0">
      <text>
        <r>
          <rPr>
            <sz val="10"/>
            <rFont val="Arial"/>
            <family val="2"/>
          </rPr>
          <t xml:space="preserve">YGY:
</t>
        </r>
        <r>
          <rPr>
            <sz val="9"/>
            <color rgb="FF000000"/>
            <rFont val="宋体"/>
            <family val="3"/>
            <charset val="134"/>
          </rPr>
          <t xml:space="preserve">取循环量30%</t>
        </r>
      </text>
    </comment>
    <comment ref="IS10" authorId="0">
      <text>
        <r>
          <rPr>
            <sz val="10"/>
            <rFont val="Arial"/>
            <family val="2"/>
          </rPr>
          <t xml:space="preserve">YGY:
</t>
        </r>
        <r>
          <rPr>
            <sz val="9"/>
            <color rgb="FF000000"/>
            <rFont val="宋体"/>
            <family val="3"/>
            <charset val="134"/>
          </rPr>
          <t xml:space="preserve">加入量0.5%</t>
        </r>
      </text>
    </comment>
    <comment ref="IT10" authorId="0">
      <text>
        <r>
          <rPr>
            <sz val="10"/>
            <rFont val="Arial"/>
            <family val="2"/>
          </rPr>
          <t xml:space="preserve">YGY:
</t>
        </r>
        <r>
          <rPr>
            <sz val="12"/>
            <color rgb="FF000000"/>
            <rFont val="宋体"/>
            <family val="3"/>
            <charset val="134"/>
          </rPr>
          <t xml:space="preserve">20吨油车1小时卸料完</t>
        </r>
      </text>
    </comment>
    <comment ref="IU10" authorId="0">
      <text>
        <r>
          <rPr>
            <sz val="10"/>
            <rFont val="Arial"/>
            <family val="2"/>
          </rPr>
          <t xml:space="preserve">YGY:
</t>
        </r>
        <r>
          <rPr>
            <sz val="9"/>
            <color rgb="FF000000"/>
            <rFont val="宋体"/>
            <family val="3"/>
            <charset val="134"/>
          </rPr>
          <t xml:space="preserve">回流比2.5</t>
        </r>
      </text>
    </comment>
    <comment ref="IV10" authorId="0">
      <text>
        <r>
          <rPr>
            <sz val="10"/>
            <rFont val="Arial"/>
            <family val="2"/>
          </rPr>
          <t xml:space="preserve">YGY:
</t>
        </r>
        <r>
          <rPr>
            <sz val="12"/>
            <color rgb="FF000000"/>
            <rFont val="宋体"/>
            <family val="3"/>
            <charset val="134"/>
          </rPr>
          <t xml:space="preserve">干气脱硫、液化气的MDEA浓度取30wt%,H2S/MDEA摩尔比分别取0.25、0.2;公式中的119为MDEA分子量</t>
        </r>
      </text>
    </comment>
    <comment ref="IW10" authorId="0">
      <text>
        <r>
          <rPr>
            <sz val="10"/>
            <rFont val="Arial"/>
            <family val="2"/>
          </rPr>
          <t xml:space="preserve">YGY:
</t>
        </r>
        <r>
          <rPr>
            <sz val="12"/>
            <color rgb="FF000000"/>
            <rFont val="宋体"/>
            <family val="3"/>
            <charset val="134"/>
          </rPr>
          <t xml:space="preserve">循环氢脱硫和干气脱硫、液化气的MDEA浓度取30wt%,H2S/MDEA摩尔比分别取0.4、0.25、0.2;公式中的119为MDEA分子量</t>
        </r>
      </text>
    </comment>
    <comment ref="IX10" authorId="0">
      <text>
        <r>
          <rPr>
            <sz val="10"/>
            <rFont val="Arial"/>
            <family val="2"/>
          </rPr>
          <t xml:space="preserve">YGY:
</t>
        </r>
        <r>
          <rPr>
            <sz val="12"/>
            <color rgb="FF000000"/>
            <rFont val="宋体"/>
            <family val="3"/>
            <charset val="134"/>
          </rPr>
          <t xml:space="preserve">按1h泵送罐量</t>
        </r>
      </text>
    </comment>
    <comment ref="IZ10" authorId="0">
      <text>
        <r>
          <rPr>
            <sz val="10"/>
            <rFont val="Arial"/>
            <family val="2"/>
          </rPr>
          <t xml:space="preserve">YGY:
</t>
        </r>
        <r>
          <rPr>
            <sz val="9"/>
            <color rgb="FF000000"/>
            <rFont val="宋体"/>
            <family val="3"/>
            <charset val="134"/>
          </rPr>
          <t xml:space="preserve">电脱盐注水量为原料油的6%</t>
        </r>
      </text>
    </comment>
    <comment ref="JA10" authorId="0">
      <text>
        <r>
          <rPr>
            <sz val="10"/>
            <rFont val="Arial"/>
            <family val="2"/>
          </rPr>
          <t xml:space="preserve">YGY:
</t>
        </r>
        <r>
          <rPr>
            <sz val="12"/>
            <color rgb="FF000000"/>
            <rFont val="宋体"/>
            <family val="3"/>
            <charset val="134"/>
          </rPr>
          <t xml:space="preserve">缓蚀剂占塔顶气量50PPM，浓度1%</t>
        </r>
      </text>
    </comment>
    <comment ref="JB10" authorId="0">
      <text>
        <r>
          <rPr>
            <sz val="10"/>
            <rFont val="Arial"/>
            <family val="2"/>
          </rPr>
          <t xml:space="preserve">YGY:
</t>
        </r>
        <r>
          <rPr>
            <sz val="12"/>
            <color rgb="FF000000"/>
            <rFont val="宋体"/>
            <family val="3"/>
            <charset val="134"/>
          </rPr>
          <t xml:space="preserve">按1h泵送罐量</t>
        </r>
      </text>
    </comment>
    <comment ref="JC10" authorId="0">
      <text>
        <r>
          <rPr>
            <sz val="10"/>
            <rFont val="Arial"/>
            <family val="2"/>
          </rPr>
          <t xml:space="preserve">YGY:
</t>
        </r>
        <r>
          <rPr>
            <sz val="10"/>
            <color rgb="FF000000"/>
            <rFont val="宋体"/>
            <family val="3"/>
            <charset val="134"/>
          </rPr>
          <t xml:space="preserve">每台泵封油量约0.5m3/h,考虑循环量2倍,7台泵</t>
        </r>
      </text>
    </comment>
  </commentList>
</comments>
</file>

<file path=xl/comments21.xml><?xml version="1.0" encoding="utf-8"?>
<comments xmlns="http://schemas.openxmlformats.org/spreadsheetml/2006/main" xmlns:xdr="http://schemas.openxmlformats.org/drawingml/2006/spreadsheetDrawing">
  <authors>
    <author>Unknown Author</author>
  </authors>
  <commentList>
    <comment ref="A22" authorId="0">
      <text>
        <r>
          <rPr>
            <sz val="10"/>
            <rFont val="Arial"/>
            <family val="2"/>
          </rPr>
          <t xml:space="preserve">YGY:
</t>
        </r>
        <r>
          <rPr>
            <sz val="9"/>
            <color rgb="FF000000"/>
            <rFont val="宋体"/>
            <family val="3"/>
            <charset val="134"/>
          </rPr>
          <t xml:space="preserve">伯克流型用到</t>
        </r>
      </text>
    </comment>
    <comment ref="A25" authorId="0">
      <text>
        <r>
          <rPr>
            <sz val="10"/>
            <rFont val="Arial"/>
            <family val="2"/>
          </rPr>
          <t xml:space="preserve">YGY:
</t>
        </r>
        <r>
          <rPr>
            <sz val="9"/>
            <color rgb="FF000000"/>
            <rFont val="宋体"/>
            <family val="3"/>
            <charset val="134"/>
          </rPr>
          <t xml:space="preserve">流量取50%,估流速/4</t>
        </r>
      </text>
    </comment>
    <comment ref="A30" authorId="0">
      <text>
        <r>
          <rPr>
            <sz val="10"/>
            <rFont val="Arial"/>
            <family val="2"/>
          </rPr>
          <t xml:space="preserve">YGY:
</t>
        </r>
        <r>
          <rPr>
            <sz val="9"/>
            <color rgb="FF000000"/>
            <rFont val="宋体"/>
            <family val="3"/>
            <charset val="134"/>
          </rPr>
          <t xml:space="preserve">流量取50%,估流速/4</t>
        </r>
      </text>
    </comment>
    <comment ref="A31" authorId="0">
      <text>
        <r>
          <rPr>
            <sz val="10"/>
            <rFont val="Arial"/>
            <family val="2"/>
          </rPr>
          <t xml:space="preserve">YGY:
</t>
        </r>
        <r>
          <rPr>
            <sz val="9"/>
            <color rgb="FF000000"/>
            <rFont val="宋体"/>
            <family val="3"/>
            <charset val="134"/>
          </rPr>
          <t xml:space="preserve">流量取50%,估流速/4</t>
        </r>
      </text>
    </comment>
  </commentList>
</comments>
</file>

<file path=xl/comments22.xml><?xml version="1.0" encoding="utf-8"?>
<comments xmlns="http://schemas.openxmlformats.org/spreadsheetml/2006/main" xmlns:xdr="http://schemas.openxmlformats.org/drawingml/2006/spreadsheetDrawing">
  <authors>
    <author>Unknown Author</author>
  </authors>
  <commentList>
    <comment ref="L3" authorId="0">
      <text>
        <r>
          <rPr>
            <sz val="10"/>
            <rFont val="Arial"/>
            <family val="2"/>
          </rPr>
          <t xml:space="preserve">huangchunhong:
</t>
        </r>
        <r>
          <rPr>
            <sz val="9"/>
            <color rgb="FF000000"/>
            <rFont val="宋体"/>
            <family val="3"/>
            <charset val="134"/>
          </rPr>
          <t xml:space="preserve">可减小管径，避开柱状流，减少管线震动。</t>
        </r>
      </text>
    </comment>
  </commentList>
</comments>
</file>

<file path=xl/comments23.xml><?xml version="1.0" encoding="utf-8"?>
<comments xmlns="http://schemas.openxmlformats.org/spreadsheetml/2006/main" xmlns:xdr="http://schemas.openxmlformats.org/drawingml/2006/spreadsheetDrawing">
  <authors>
    <author>Unknown Author</author>
  </authors>
  <commentList>
    <comment ref="C17" authorId="0">
      <text>
        <r>
          <rPr>
            <sz val="10"/>
            <rFont val="Arial"/>
            <family val="2"/>
          </rPr>
          <t xml:space="preserve">YGY:
</t>
        </r>
        <r>
          <rPr>
            <sz val="9"/>
            <color rgb="FF000000"/>
            <rFont val="宋体"/>
            <family val="3"/>
            <charset val="134"/>
          </rPr>
          <t xml:space="preserve">30wt%</t>
        </r>
      </text>
    </comment>
    <comment ref="C24" authorId="0">
      <text>
        <r>
          <rPr>
            <sz val="10"/>
            <rFont val="Arial"/>
            <family val="2"/>
          </rPr>
          <t xml:space="preserve">YGY:
</t>
        </r>
        <r>
          <rPr>
            <sz val="9"/>
            <color rgb="FF000000"/>
            <rFont val="宋体"/>
            <family val="3"/>
            <charset val="134"/>
          </rPr>
          <t xml:space="preserve">30wt%浓度</t>
        </r>
      </text>
    </comment>
  </commentList>
</comments>
</file>

<file path=xl/comments24.xml><?xml version="1.0" encoding="utf-8"?>
<comments xmlns="http://schemas.openxmlformats.org/spreadsheetml/2006/main" xmlns:xdr="http://schemas.openxmlformats.org/drawingml/2006/spreadsheetDrawing">
  <authors>
    <author>Unknown Author</author>
  </authors>
  <commentList>
    <comment ref="I43" authorId="0">
      <text>
        <r>
          <rPr>
            <sz val="10"/>
            <rFont val="Arial"/>
            <family val="2"/>
          </rPr>
          <t xml:space="preserve">chengyan:
</t>
        </r>
        <r>
          <rPr>
            <sz val="9"/>
            <color rgb="FF000000"/>
            <rFont val="宋体"/>
            <family val="3"/>
            <charset val="134"/>
          </rPr>
          <t xml:space="preserve">泵计算有改动
</t>
        </r>
      </text>
    </comment>
  </commentList>
</comments>
</file>

<file path=xl/comments27.xml><?xml version="1.0" encoding="utf-8"?>
<comments xmlns="http://schemas.openxmlformats.org/spreadsheetml/2006/main" xmlns:xdr="http://schemas.openxmlformats.org/drawingml/2006/spreadsheetDrawing">
  <authors>
    <author>Unknown Author</author>
  </authors>
  <commentList>
    <comment ref="F9" authorId="0">
      <text>
        <r>
          <rPr>
            <sz val="10"/>
            <rFont val="Arial"/>
            <family val="2"/>
          </rPr>
          <t xml:space="preserve">chengyan:
</t>
        </r>
        <r>
          <rPr>
            <sz val="9"/>
            <color rgb="FF000000"/>
            <rFont val="宋体"/>
            <family val="3"/>
            <charset val="134"/>
          </rPr>
          <t xml:space="preserve">用作电脱盐注水</t>
        </r>
      </text>
    </comment>
  </commentList>
</comments>
</file>

<file path=xl/sharedStrings.xml><?xml version="1.0" encoding="utf-8"?>
<sst xmlns="http://schemas.openxmlformats.org/spreadsheetml/2006/main" count="8107" uniqueCount="2209">
  <si>
    <t xml:space="preserve">说明：</t>
  </si>
  <si>
    <t xml:space="preserve">本计算输入数据来自杜邦工艺包及Htri5.0的计算结果：</t>
  </si>
  <si>
    <t xml:space="preserve">表Streams中的数据为Aspen Plus计算结果的物流数据表。</t>
  </si>
  <si>
    <t xml:space="preserve">表TraySizingT-101、TraySizingT-103为Aspen Plus进行的塔板塔径等计算数据，可供确定塔径用。</t>
  </si>
  <si>
    <t xml:space="preserve">表HydraulicsT-101、HydraulicsT-103为Aspen Plus塔的水力学计算数据，可供塔内件厂家选型计算用。</t>
  </si>
  <si>
    <t xml:space="preserve">文字颜色意义定义：</t>
  </si>
  <si>
    <t xml:space="preserve">输入文字及数据</t>
  </si>
  <si>
    <t xml:space="preserve">链接文字及数据</t>
  </si>
  <si>
    <t xml:space="preserve">公式计算数据</t>
  </si>
  <si>
    <t xml:space="preserve">提示注意数据</t>
  </si>
  <si>
    <t xml:space="preserve">判断文字或数据</t>
  </si>
  <si>
    <t xml:space="preserve">通过</t>
  </si>
  <si>
    <t xml:space="preserve">警告</t>
  </si>
  <si>
    <t xml:space="preserve">未通过</t>
  </si>
  <si>
    <t xml:space="preserve">工艺专业作业流程——惠州二期340万吨/年柴油加氢装置</t>
  </si>
  <si>
    <t xml:space="preserve">表头</t>
  </si>
  <si>
    <t xml:space="preserve">项目信息</t>
  </si>
  <si>
    <t xml:space="preserve">输入</t>
  </si>
  <si>
    <t xml:space="preserve">序列</t>
  </si>
  <si>
    <t xml:space="preserve">主流程项</t>
  </si>
  <si>
    <t xml:space="preserve">进度</t>
  </si>
  <si>
    <t xml:space="preserve">外部专业条件1</t>
  </si>
  <si>
    <t xml:space="preserve">外部专业条件2</t>
  </si>
  <si>
    <t xml:space="preserve">外部专业条件3</t>
  </si>
  <si>
    <t xml:space="preserve">外部专业条件4</t>
  </si>
  <si>
    <t xml:space="preserve">外部专业条件5</t>
  </si>
  <si>
    <t xml:space="preserve">开始时间</t>
  </si>
  <si>
    <t xml:space="preserve">完成时间</t>
  </si>
  <si>
    <t xml:space="preserve">整理基础设计资料</t>
  </si>
  <si>
    <t xml:space="preserve">完成</t>
  </si>
  <si>
    <t xml:space="preserve">PFD图</t>
  </si>
  <si>
    <t xml:space="preserve">流程模拟</t>
  </si>
  <si>
    <t xml:space="preserve">不需要</t>
  </si>
  <si>
    <t xml:space="preserve">下游装置物料条件发下游装置工艺专业</t>
  </si>
  <si>
    <t xml:space="preserve">未开始</t>
  </si>
  <si>
    <t xml:space="preserve">换热网络设计</t>
  </si>
  <si>
    <t xml:space="preserve">进行中</t>
  </si>
  <si>
    <t xml:space="preserve">燃料消耗、化学药剂消耗发项目工程师、安全环保专业</t>
  </si>
  <si>
    <t xml:space="preserve">加热炉条件发工业炉专业</t>
  </si>
  <si>
    <t xml:space="preserve">分析化验项目条件发项目工程师、管道专业</t>
  </si>
  <si>
    <t xml:space="preserve">反应器计算</t>
  </si>
  <si>
    <t xml:space="preserve">反应器数据表共享给设备、自控、管道专业编辑</t>
  </si>
  <si>
    <t xml:space="preserve">反应器汇总表共享给设备专业编辑</t>
  </si>
  <si>
    <t xml:space="preserve">反应器数据表订货资料发项目工程师</t>
  </si>
  <si>
    <t xml:space="preserve">污染物的排放（处理）资料提项目工程师</t>
  </si>
  <si>
    <t xml:space="preserve">塔径计算</t>
  </si>
  <si>
    <t xml:space="preserve">塔数据表共享给设备、自控、管道专业编辑</t>
  </si>
  <si>
    <t xml:space="preserve">塔汇总表共享给设备专业编辑</t>
  </si>
  <si>
    <t xml:space="preserve">塔数据表订货资料发项目工程师</t>
  </si>
  <si>
    <t xml:space="preserve">换热器计算</t>
  </si>
  <si>
    <t xml:space="preserve">换热器数据表共享给设备、管道专业编辑</t>
  </si>
  <si>
    <t xml:space="preserve">换热器汇总表共享给设备专业编辑</t>
  </si>
  <si>
    <t xml:space="preserve">换热器数据表订货资料发项目工程师</t>
  </si>
  <si>
    <t xml:space="preserve">给排水设计条件发给排水专业</t>
  </si>
  <si>
    <t xml:space="preserve">公用工程（含氢气、氮气）消耗给项目工程师</t>
  </si>
  <si>
    <t xml:space="preserve">空冷计算</t>
  </si>
  <si>
    <t xml:space="preserve">空冷器数据表共享给设备、管道、电气专业编辑</t>
  </si>
  <si>
    <t xml:space="preserve">空冷器汇总表共享给设备、电气专业编辑</t>
  </si>
  <si>
    <t xml:space="preserve">空冷器数据表订货资料发项目工程师</t>
  </si>
  <si>
    <t xml:space="preserve">容器选型</t>
  </si>
  <si>
    <t xml:space="preserve">容器数据表共享给设备、自控、管道专业编辑</t>
  </si>
  <si>
    <t xml:space="preserve">容器汇总表共享给设备、管道专业编辑</t>
  </si>
  <si>
    <t xml:space="preserve">容器数据表订货资料发项目工程师</t>
  </si>
  <si>
    <t xml:space="preserve">设备基础条件发管道</t>
  </si>
  <si>
    <t xml:space="preserve">安全阀选型</t>
  </si>
  <si>
    <t xml:space="preserve">安全阀数据表共享给管道专业编辑</t>
  </si>
  <si>
    <t xml:space="preserve">安全阀汇总表共享给管道专业编辑</t>
  </si>
  <si>
    <t xml:space="preserve">安全阀数据表订货资料发项目工程师</t>
  </si>
  <si>
    <t xml:space="preserve">管径核算</t>
  </si>
  <si>
    <t xml:space="preserve">管道表共享给管道专业编辑</t>
  </si>
  <si>
    <t xml:space="preserve">界区条件表共享给管道专业编辑</t>
  </si>
  <si>
    <t xml:space="preserve">界区条件表发项目工程师</t>
  </si>
  <si>
    <t xml:space="preserve">机泵、压缩机选型</t>
  </si>
  <si>
    <t xml:space="preserve">泵、压缩机数据表共享给电气、管道、机械专业编辑</t>
  </si>
  <si>
    <t xml:space="preserve">电专业条件发电气专业</t>
  </si>
  <si>
    <t xml:space="preserve">过滤器、喷射器选型</t>
  </si>
  <si>
    <t xml:space="preserve">过滤器、喷射器数据表共享给管道、自控专业编辑</t>
  </si>
  <si>
    <t xml:space="preserve">P&amp;ID图</t>
  </si>
  <si>
    <t xml:space="preserve">P&amp;ID图共享给管道、自控专业编辑</t>
  </si>
  <si>
    <t xml:space="preserve">“图例符号说明”共享给自控签字</t>
  </si>
  <si>
    <t xml:space="preserve">自控专业条件发自控专业</t>
  </si>
  <si>
    <t xml:space="preserve">盲板、限流或降压孔板设计条件发管道专业</t>
  </si>
  <si>
    <t xml:space="preserve">说明书</t>
  </si>
  <si>
    <t xml:space="preserve">目录</t>
  </si>
  <si>
    <t xml:space="preserve">签字检查</t>
  </si>
  <si>
    <t xml:space="preserve">注：</t>
  </si>
  <si>
    <t xml:space="preserve">以本专业主流程为Y轴，以外专业条件为X轴。每完成一个Y轴主流程后，就要完成X轴上的所有任务：主流程项1--〉外部专业条件1--〉外部专业条件2--&gt;外部专业条件X……--&gt;主流程项2--&gt;……</t>
  </si>
  <si>
    <r>
      <rPr>
        <sz val="11"/>
        <color theme="1"/>
        <rFont val="宋体"/>
        <family val="3"/>
        <charset val="134"/>
      </rPr>
      <t xml:space="preserve">公称规模，万吨</t>
    </r>
    <r>
      <rPr>
        <sz val="11"/>
        <color theme="1"/>
        <rFont val="Arial"/>
        <family val="2"/>
        <charset val="1"/>
      </rPr>
      <t xml:space="preserve">/</t>
    </r>
    <r>
      <rPr>
        <sz val="11"/>
        <color theme="1"/>
        <rFont val="宋体"/>
        <family val="3"/>
        <charset val="134"/>
      </rPr>
      <t xml:space="preserve">年</t>
    </r>
  </si>
  <si>
    <t xml:space="preserve">操作弹性</t>
  </si>
  <si>
    <r>
      <rPr>
        <sz val="11"/>
        <color theme="1"/>
        <rFont val="宋体"/>
        <family val="3"/>
        <charset val="134"/>
      </rPr>
      <t xml:space="preserve">年工作时数，</t>
    </r>
    <r>
      <rPr>
        <sz val="11"/>
        <color theme="1"/>
        <rFont val="Arial"/>
        <family val="2"/>
        <charset val="1"/>
      </rPr>
      <t xml:space="preserve">h</t>
    </r>
  </si>
  <si>
    <t xml:space="preserve">基本风压</t>
  </si>
  <si>
    <t xml:space="preserve">Pa</t>
  </si>
  <si>
    <t xml:space="preserve">抗震设防烈度</t>
  </si>
  <si>
    <r>
      <rPr>
        <sz val="11"/>
        <color theme="1"/>
        <rFont val="Arial"/>
        <family val="2"/>
        <charset val="1"/>
      </rPr>
      <t xml:space="preserve">7  </t>
    </r>
    <r>
      <rPr>
        <sz val="11"/>
        <color theme="1"/>
        <rFont val="宋体"/>
        <family val="3"/>
        <charset val="134"/>
      </rPr>
      <t xml:space="preserve">度</t>
    </r>
    <r>
      <rPr>
        <sz val="11"/>
        <color theme="1"/>
        <rFont val="Arial"/>
        <family val="2"/>
        <charset val="1"/>
      </rPr>
      <t xml:space="preserve">Grade</t>
    </r>
  </si>
  <si>
    <t xml:space="preserve">地面粗糙度类别</t>
  </si>
  <si>
    <r>
      <rPr>
        <sz val="9"/>
        <rFont val="Arial"/>
        <family val="2"/>
        <charset val="1"/>
      </rPr>
      <t xml:space="preserve">A</t>
    </r>
    <r>
      <rPr>
        <sz val="9"/>
        <rFont val="宋体"/>
        <family val="3"/>
        <charset val="134"/>
      </rPr>
      <t xml:space="preserve">类 </t>
    </r>
    <r>
      <rPr>
        <sz val="9"/>
        <rFont val="Arial"/>
        <family val="2"/>
        <charset val="1"/>
      </rPr>
      <t xml:space="preserve">Category A</t>
    </r>
  </si>
  <si>
    <t xml:space="preserve">合同技术附件中没有定</t>
  </si>
  <si>
    <t xml:space="preserve">场地土类别 </t>
  </si>
  <si>
    <r>
      <rPr>
        <sz val="11"/>
        <color theme="1"/>
        <rFont val="宋体"/>
        <family val="3"/>
        <charset val="134"/>
      </rPr>
      <t xml:space="preserve">Ⅲ类 </t>
    </r>
    <r>
      <rPr>
        <sz val="11"/>
        <color theme="1"/>
        <rFont val="Arial"/>
        <family val="2"/>
        <charset val="1"/>
      </rPr>
      <t xml:space="preserve">Class</t>
    </r>
    <r>
      <rPr>
        <sz val="11"/>
        <color theme="1"/>
        <rFont val="宋体"/>
        <family val="3"/>
        <charset val="134"/>
      </rPr>
      <t xml:space="preserve">Ⅲ</t>
    </r>
  </si>
  <si>
    <t xml:space="preserve">设计地震分组 </t>
  </si>
  <si>
    <r>
      <rPr>
        <sz val="9"/>
        <color rgb="FF000000"/>
        <rFont val="宋体"/>
        <family val="3"/>
        <charset val="134"/>
      </rPr>
      <t xml:space="preserve">第二组 </t>
    </r>
    <r>
      <rPr>
        <sz val="9"/>
        <color rgb="FF000000"/>
        <rFont val="Arial"/>
        <family val="2"/>
        <charset val="1"/>
      </rPr>
      <t xml:space="preserve">Number 2</t>
    </r>
  </si>
  <si>
    <t xml:space="preserve">基本加速度</t>
  </si>
  <si>
    <t xml:space="preserve">0.10g</t>
  </si>
  <si>
    <t xml:space="preserve">最高气温，℃</t>
  </si>
  <si>
    <t xml:space="preserve">最低气温，℃</t>
  </si>
  <si>
    <r>
      <rPr>
        <sz val="11"/>
        <color theme="1"/>
        <rFont val="宋体"/>
        <family val="3"/>
        <charset val="134"/>
      </rPr>
      <t xml:space="preserve">年平均气压，</t>
    </r>
    <r>
      <rPr>
        <sz val="11"/>
        <color theme="1"/>
        <rFont val="Arial"/>
        <family val="2"/>
        <charset val="1"/>
      </rPr>
      <t xml:space="preserve">Kpa</t>
    </r>
  </si>
  <si>
    <r>
      <rPr>
        <sz val="11"/>
        <color theme="1"/>
        <rFont val="宋体"/>
        <family val="3"/>
        <charset val="134"/>
      </rPr>
      <t xml:space="preserve">海拔高度，</t>
    </r>
    <r>
      <rPr>
        <sz val="11"/>
        <color theme="1"/>
        <rFont val="Arial"/>
        <family val="2"/>
        <charset val="1"/>
      </rPr>
      <t xml:space="preserve">m</t>
    </r>
  </si>
  <si>
    <r>
      <rPr>
        <sz val="11"/>
        <color theme="1"/>
        <rFont val="宋体"/>
        <family val="3"/>
        <charset val="134"/>
      </rPr>
      <t xml:space="preserve">非净化压缩空气压力，</t>
    </r>
    <r>
      <rPr>
        <sz val="11"/>
        <color theme="1"/>
        <rFont val="Arial"/>
        <family val="2"/>
        <charset val="1"/>
      </rPr>
      <t xml:space="preserve">MPaG</t>
    </r>
  </si>
  <si>
    <t xml:space="preserve">非净化压缩空气温度，℃</t>
  </si>
  <si>
    <t xml:space="preserve">常温</t>
  </si>
  <si>
    <r>
      <rPr>
        <sz val="11"/>
        <color theme="1"/>
        <rFont val="宋体"/>
        <family val="3"/>
        <charset val="134"/>
      </rPr>
      <t xml:space="preserve">净化压缩空气压力，</t>
    </r>
    <r>
      <rPr>
        <sz val="11"/>
        <color theme="1"/>
        <rFont val="Arial"/>
        <family val="2"/>
        <charset val="1"/>
      </rPr>
      <t xml:space="preserve">MPaG</t>
    </r>
  </si>
  <si>
    <t xml:space="preserve">净化压缩空气温度，℃</t>
  </si>
  <si>
    <r>
      <rPr>
        <sz val="11"/>
        <color theme="1"/>
        <rFont val="宋体"/>
        <family val="3"/>
        <charset val="134"/>
      </rPr>
      <t xml:space="preserve">氮气压力，</t>
    </r>
    <r>
      <rPr>
        <sz val="11"/>
        <color theme="1"/>
        <rFont val="Arial"/>
        <family val="2"/>
        <charset val="1"/>
      </rPr>
      <t xml:space="preserve">MPaG</t>
    </r>
  </si>
  <si>
    <t xml:space="preserve">氮气温度，℃</t>
  </si>
  <si>
    <r>
      <rPr>
        <sz val="11"/>
        <color theme="1"/>
        <rFont val="宋体"/>
        <family val="3"/>
        <charset val="134"/>
      </rPr>
      <t xml:space="preserve">新鲜水压力，</t>
    </r>
    <r>
      <rPr>
        <sz val="11"/>
        <color theme="1"/>
        <rFont val="Arial"/>
        <family val="2"/>
        <charset val="1"/>
      </rPr>
      <t xml:space="preserve">MPaG</t>
    </r>
  </si>
  <si>
    <t xml:space="preserve">新鲜水温度，℃</t>
  </si>
  <si>
    <r>
      <rPr>
        <sz val="11"/>
        <color theme="1"/>
        <rFont val="宋体"/>
        <family val="3"/>
        <charset val="134"/>
      </rPr>
      <t xml:space="preserve">循环水给水压力，</t>
    </r>
    <r>
      <rPr>
        <sz val="11"/>
        <color theme="1"/>
        <rFont val="Arial"/>
        <family val="2"/>
        <charset val="1"/>
      </rPr>
      <t xml:space="preserve">MPaG</t>
    </r>
  </si>
  <si>
    <t xml:space="preserve">循环水给水温度，℃</t>
  </si>
  <si>
    <r>
      <rPr>
        <sz val="11"/>
        <color theme="1"/>
        <rFont val="宋体"/>
        <family val="3"/>
        <charset val="134"/>
      </rPr>
      <t xml:space="preserve">循环水回水压力，</t>
    </r>
    <r>
      <rPr>
        <sz val="11"/>
        <color theme="1"/>
        <rFont val="Arial"/>
        <family val="2"/>
        <charset val="1"/>
      </rPr>
      <t xml:space="preserve">MPaG</t>
    </r>
  </si>
  <si>
    <t xml:space="preserve">循环水回水温度，℃</t>
  </si>
  <si>
    <r>
      <rPr>
        <sz val="11"/>
        <color theme="1"/>
        <rFont val="宋体"/>
        <family val="3"/>
        <charset val="134"/>
      </rPr>
      <t xml:space="preserve">低温热水给水压力，</t>
    </r>
    <r>
      <rPr>
        <sz val="11"/>
        <color theme="1"/>
        <rFont val="Arial"/>
        <family val="2"/>
        <charset val="1"/>
      </rPr>
      <t xml:space="preserve">MPaG</t>
    </r>
  </si>
  <si>
    <t xml:space="preserve">低温热水给水温度，℃</t>
  </si>
  <si>
    <r>
      <rPr>
        <sz val="11"/>
        <color theme="1"/>
        <rFont val="宋体"/>
        <family val="3"/>
        <charset val="134"/>
      </rPr>
      <t xml:space="preserve">低温热水回水压力，</t>
    </r>
    <r>
      <rPr>
        <sz val="11"/>
        <color theme="1"/>
        <rFont val="Arial"/>
        <family val="2"/>
        <charset val="1"/>
      </rPr>
      <t xml:space="preserve">MPaG</t>
    </r>
  </si>
  <si>
    <t xml:space="preserve">低温热水回水温度，℃</t>
  </si>
  <si>
    <r>
      <rPr>
        <sz val="11"/>
        <color theme="1"/>
        <rFont val="宋体"/>
        <family val="3"/>
        <charset val="134"/>
      </rPr>
      <t xml:space="preserve">冷凝水压力，</t>
    </r>
    <r>
      <rPr>
        <sz val="11"/>
        <color theme="1"/>
        <rFont val="Arial"/>
        <family val="2"/>
        <charset val="1"/>
      </rPr>
      <t xml:space="preserve">MPaG</t>
    </r>
  </si>
  <si>
    <t xml:space="preserve">冷凝水温度，℃</t>
  </si>
  <si>
    <r>
      <rPr>
        <sz val="11"/>
        <color theme="1"/>
        <rFont val="宋体"/>
        <family val="3"/>
        <charset val="134"/>
      </rPr>
      <t xml:space="preserve">中压蒸汽压力，</t>
    </r>
    <r>
      <rPr>
        <sz val="11"/>
        <color theme="1"/>
        <rFont val="Arial"/>
        <family val="2"/>
        <charset val="1"/>
      </rPr>
      <t xml:space="preserve">MPaG</t>
    </r>
  </si>
  <si>
    <t xml:space="preserve">中压蒸汽温度，℃</t>
  </si>
  <si>
    <r>
      <rPr>
        <sz val="11"/>
        <color theme="1"/>
        <rFont val="宋体"/>
        <family val="3"/>
        <charset val="134"/>
      </rPr>
      <t xml:space="preserve">低压蒸汽压力，</t>
    </r>
    <r>
      <rPr>
        <sz val="11"/>
        <color theme="1"/>
        <rFont val="Arial"/>
        <family val="2"/>
        <charset val="1"/>
      </rPr>
      <t xml:space="preserve">MPaG</t>
    </r>
  </si>
  <si>
    <t xml:space="preserve">低压蒸汽温度，℃</t>
  </si>
  <si>
    <r>
      <rPr>
        <sz val="11"/>
        <color theme="1"/>
        <rFont val="宋体"/>
        <family val="3"/>
        <charset val="134"/>
      </rPr>
      <t xml:space="preserve">高压电，</t>
    </r>
    <r>
      <rPr>
        <sz val="11"/>
        <color theme="1"/>
        <rFont val="Arial"/>
        <family val="2"/>
        <charset val="1"/>
      </rPr>
      <t xml:space="preserve">v</t>
    </r>
  </si>
  <si>
    <r>
      <rPr>
        <sz val="11"/>
        <color theme="1"/>
        <rFont val="宋体"/>
        <family val="3"/>
        <charset val="134"/>
      </rPr>
      <t xml:space="preserve">中压电，</t>
    </r>
    <r>
      <rPr>
        <sz val="11"/>
        <color theme="1"/>
        <rFont val="Arial"/>
        <family val="2"/>
        <charset val="1"/>
      </rPr>
      <t xml:space="preserve">v</t>
    </r>
  </si>
  <si>
    <r>
      <rPr>
        <sz val="11"/>
        <color theme="1"/>
        <rFont val="宋体"/>
        <family val="3"/>
        <charset val="134"/>
      </rPr>
      <t xml:space="preserve">低压电，</t>
    </r>
    <r>
      <rPr>
        <sz val="11"/>
        <color theme="1"/>
        <rFont val="Arial"/>
        <family val="2"/>
        <charset val="1"/>
      </rPr>
      <t xml:space="preserve">v</t>
    </r>
  </si>
  <si>
    <r>
      <rPr>
        <sz val="11"/>
        <color theme="1"/>
        <rFont val="宋体"/>
        <family val="3"/>
        <charset val="134"/>
      </rPr>
      <t xml:space="preserve">频率，</t>
    </r>
    <r>
      <rPr>
        <sz val="11"/>
        <color theme="1"/>
        <rFont val="Arial"/>
        <family val="2"/>
        <charset val="1"/>
      </rPr>
      <t xml:space="preserve">HZ</t>
    </r>
  </si>
  <si>
    <t xml:space="preserve">50±0.5</t>
  </si>
  <si>
    <r>
      <rPr>
        <sz val="11"/>
        <color theme="1"/>
        <rFont val="宋体"/>
        <family val="3"/>
        <charset val="134"/>
      </rPr>
      <t xml:space="preserve">空气湿度（最大）</t>
    </r>
    <r>
      <rPr>
        <sz val="11"/>
        <color theme="1"/>
        <rFont val="Arial"/>
        <family val="2"/>
        <charset val="1"/>
      </rPr>
      <t xml:space="preserve">,%</t>
    </r>
  </si>
  <si>
    <r>
      <rPr>
        <sz val="11"/>
        <color theme="1"/>
        <rFont val="宋体"/>
        <family val="3"/>
        <charset val="134"/>
      </rPr>
      <t xml:space="preserve">空气湿度（最小）</t>
    </r>
    <r>
      <rPr>
        <sz val="11"/>
        <color theme="1"/>
        <rFont val="Arial"/>
        <family val="2"/>
        <charset val="1"/>
      </rPr>
      <t xml:space="preserve">,%</t>
    </r>
  </si>
  <si>
    <r>
      <rPr>
        <sz val="11"/>
        <color theme="1"/>
        <rFont val="宋体"/>
        <family val="3"/>
        <charset val="134"/>
      </rPr>
      <t xml:space="preserve">空气湿度（年平均）</t>
    </r>
    <r>
      <rPr>
        <sz val="11"/>
        <color theme="1"/>
        <rFont val="Arial"/>
        <family val="2"/>
        <charset val="1"/>
      </rPr>
      <t xml:space="preserve">,%</t>
    </r>
  </si>
  <si>
    <r>
      <rPr>
        <sz val="11"/>
        <color theme="1"/>
        <rFont val="宋体"/>
        <family val="3"/>
        <charset val="134"/>
      </rPr>
      <t xml:space="preserve">年平均降雨量，</t>
    </r>
    <r>
      <rPr>
        <sz val="11"/>
        <color theme="1"/>
        <rFont val="Arial"/>
        <family val="2"/>
        <charset val="1"/>
      </rPr>
      <t xml:space="preserve">mm</t>
    </r>
  </si>
  <si>
    <r>
      <rPr>
        <sz val="11"/>
        <color theme="1"/>
        <rFont val="宋体"/>
        <family val="3"/>
        <charset val="134"/>
      </rPr>
      <t xml:space="preserve">风压，</t>
    </r>
    <r>
      <rPr>
        <sz val="11"/>
        <color theme="1"/>
        <rFont val="Arial"/>
        <family val="2"/>
        <charset val="1"/>
      </rPr>
      <t xml:space="preserve">Pa</t>
    </r>
  </si>
  <si>
    <r>
      <rPr>
        <sz val="11"/>
        <color theme="1"/>
        <rFont val="宋体"/>
        <family val="3"/>
        <charset val="134"/>
      </rPr>
      <t xml:space="preserve">年平均风速（夏季），</t>
    </r>
    <r>
      <rPr>
        <sz val="11"/>
        <color theme="1"/>
        <rFont val="Arial"/>
        <family val="2"/>
        <charset val="1"/>
      </rPr>
      <t xml:space="preserve">m/s</t>
    </r>
  </si>
  <si>
    <r>
      <rPr>
        <sz val="11"/>
        <color theme="1"/>
        <rFont val="宋体"/>
        <family val="3"/>
        <charset val="134"/>
      </rPr>
      <t xml:space="preserve">年平均风速（冬季），</t>
    </r>
    <r>
      <rPr>
        <sz val="11"/>
        <color theme="1"/>
        <rFont val="Arial"/>
        <family val="2"/>
        <charset val="1"/>
      </rPr>
      <t xml:space="preserve">m/s</t>
    </r>
  </si>
  <si>
    <r>
      <rPr>
        <sz val="11"/>
        <color theme="1"/>
        <rFont val="宋体"/>
        <family val="3"/>
        <charset val="134"/>
      </rPr>
      <t xml:space="preserve">除盐水压力，</t>
    </r>
    <r>
      <rPr>
        <sz val="11"/>
        <color theme="1"/>
        <rFont val="Arial"/>
        <family val="2"/>
        <charset val="1"/>
      </rPr>
      <t xml:space="preserve">MPaG</t>
    </r>
  </si>
  <si>
    <t xml:space="preserve">除盐水温度，℃</t>
  </si>
  <si>
    <r>
      <rPr>
        <sz val="11"/>
        <color theme="1"/>
        <rFont val="宋体"/>
        <family val="3"/>
        <charset val="134"/>
      </rPr>
      <t xml:space="preserve">除氧水压力，</t>
    </r>
    <r>
      <rPr>
        <sz val="11"/>
        <color theme="1"/>
        <rFont val="Arial"/>
        <family val="2"/>
        <charset val="1"/>
      </rPr>
      <t xml:space="preserve">MPaG</t>
    </r>
  </si>
  <si>
    <t xml:space="preserve">除氧水温度，℃</t>
  </si>
  <si>
    <r>
      <rPr>
        <sz val="11"/>
        <color theme="1"/>
        <rFont val="宋体"/>
        <family val="3"/>
        <charset val="134"/>
      </rPr>
      <t xml:space="preserve">净化水压力，</t>
    </r>
    <r>
      <rPr>
        <sz val="11"/>
        <color theme="1"/>
        <rFont val="Arial"/>
        <family val="2"/>
        <charset val="1"/>
      </rPr>
      <t xml:space="preserve">MPaG</t>
    </r>
  </si>
  <si>
    <t xml:space="preserve">净化水温度，℃</t>
  </si>
  <si>
    <r>
      <rPr>
        <sz val="11"/>
        <color theme="1"/>
        <rFont val="宋体"/>
        <family val="3"/>
        <charset val="134"/>
      </rPr>
      <t xml:space="preserve">燃料气压力，</t>
    </r>
    <r>
      <rPr>
        <sz val="11"/>
        <color theme="1"/>
        <rFont val="Arial"/>
        <family val="2"/>
        <charset val="1"/>
      </rPr>
      <t xml:space="preserve">MPaG</t>
    </r>
  </si>
  <si>
    <t xml:space="preserve">燃料气温度，℃</t>
  </si>
  <si>
    <t xml:space="preserve">惠州柴油加氢</t>
  </si>
  <si>
    <t xml:space="preserve">装置规模</t>
  </si>
  <si>
    <t xml:space="preserve">万吨/年</t>
  </si>
  <si>
    <t xml:space="preserve">%</t>
  </si>
  <si>
    <t xml:space="preserve">60~110</t>
  </si>
  <si>
    <t xml:space="preserve">年开工时数</t>
  </si>
  <si>
    <t xml:space="preserve">小时</t>
  </si>
  <si>
    <t xml:space="preserve">生产方案</t>
  </si>
  <si>
    <t xml:space="preserve">混合芳烃</t>
  </si>
  <si>
    <t xml:space="preserve">低硫中芳烃</t>
  </si>
  <si>
    <t xml:space="preserve">蜡油</t>
  </si>
  <si>
    <t xml:space="preserve">减压尾油</t>
  </si>
  <si>
    <t xml:space="preserve">兼产液化气</t>
  </si>
  <si>
    <t xml:space="preserve">物料平衡</t>
  </si>
  <si>
    <t xml:space="preserve">按氢耗3%(相对于新鲜原料)修订:</t>
  </si>
  <si>
    <t xml:space="preserve">wt%</t>
  </si>
  <si>
    <t xml:space="preserve">kg/h</t>
  </si>
  <si>
    <t xml:space="preserve">进料</t>
  </si>
  <si>
    <t xml:space="preserve">委内瑞拉玛瑞燃料油</t>
  </si>
  <si>
    <t xml:space="preserve">催化剂与助剂</t>
  </si>
  <si>
    <t xml:space="preserve">耗氢量</t>
  </si>
  <si>
    <t xml:space="preserve">合计</t>
  </si>
  <si>
    <t xml:space="preserve">出料</t>
  </si>
  <si>
    <r>
      <rPr>
        <sz val="10.5"/>
        <color rgb="FF000000"/>
        <rFont val="Times New Roman"/>
        <family val="1"/>
        <charset val="1"/>
      </rPr>
      <t xml:space="preserve">NH</t>
    </r>
    <r>
      <rPr>
        <vertAlign val="subscript"/>
        <sz val="10.5"/>
        <color rgb="FF000000"/>
        <rFont val="Times New Roman"/>
        <family val="1"/>
        <charset val="1"/>
      </rPr>
      <t xml:space="preserve">3</t>
    </r>
  </si>
  <si>
    <r>
      <rPr>
        <sz val="10.5"/>
        <color rgb="FF000000"/>
        <rFont val="Times New Roman"/>
        <family val="1"/>
        <charset val="1"/>
      </rPr>
      <t xml:space="preserve">H</t>
    </r>
    <r>
      <rPr>
        <vertAlign val="subscript"/>
        <sz val="10.5"/>
        <color rgb="FF000000"/>
        <rFont val="Times New Roman"/>
        <family val="1"/>
        <charset val="1"/>
      </rPr>
      <t xml:space="preserve">2</t>
    </r>
    <r>
      <rPr>
        <sz val="10.5"/>
        <color rgb="FF000000"/>
        <rFont val="Times New Roman"/>
        <family val="1"/>
        <charset val="1"/>
      </rPr>
      <t xml:space="preserve">S</t>
    </r>
  </si>
  <si>
    <t xml:space="preserve">干气</t>
  </si>
  <si>
    <t xml:space="preserve">液化气</t>
  </si>
  <si>
    <t xml:space="preserve">混合芳烃（C5～180℃）</t>
  </si>
  <si>
    <t xml:space="preserve">低硫中芳烃（180～360℃）</t>
  </si>
  <si>
    <r>
      <rPr>
        <sz val="10.5"/>
        <color rgb="FF000000"/>
        <rFont val="宋体"/>
        <family val="3"/>
        <charset val="134"/>
      </rPr>
      <t xml:space="preserve">蜡油（</t>
    </r>
    <r>
      <rPr>
        <sz val="10.5"/>
        <color rgb="FF000000"/>
        <rFont val="Times New Roman"/>
        <family val="1"/>
        <charset val="1"/>
      </rPr>
      <t xml:space="preserve">360</t>
    </r>
    <r>
      <rPr>
        <sz val="10.5"/>
        <color rgb="FF000000"/>
        <rFont val="宋体"/>
        <family val="3"/>
        <charset val="134"/>
      </rPr>
      <t xml:space="preserve">～</t>
    </r>
    <r>
      <rPr>
        <sz val="10.5"/>
        <color rgb="FF000000"/>
        <rFont val="Times New Roman"/>
        <family val="1"/>
        <charset val="1"/>
      </rPr>
      <t xml:space="preserve">540</t>
    </r>
    <r>
      <rPr>
        <sz val="10.5"/>
        <color rgb="FF000000"/>
        <rFont val="宋体"/>
        <family val="3"/>
        <charset val="134"/>
      </rPr>
      <t xml:space="preserve">℃）</t>
    </r>
  </si>
  <si>
    <r>
      <rPr>
        <sz val="10.5"/>
        <color rgb="FF000000"/>
        <rFont val="宋体"/>
        <family val="3"/>
        <charset val="134"/>
      </rPr>
      <t xml:space="preserve">减压尾油（</t>
    </r>
    <r>
      <rPr>
        <sz val="10.5"/>
        <color rgb="FF000000"/>
        <rFont val="Times New Roman"/>
        <family val="1"/>
        <charset val="1"/>
      </rPr>
      <t xml:space="preserve">&gt;540</t>
    </r>
    <r>
      <rPr>
        <sz val="10.5"/>
        <color rgb="FF000000"/>
        <rFont val="宋体"/>
        <family val="3"/>
        <charset val="134"/>
      </rPr>
      <t xml:space="preserve">℃）</t>
    </r>
  </si>
  <si>
    <t xml:space="preserve">反应器型式</t>
  </si>
  <si>
    <t xml:space="preserve">临氢热裂解反应器</t>
  </si>
  <si>
    <t xml:space="preserve">浆液床</t>
  </si>
  <si>
    <t xml:space="preserve">后加氢精制反应器</t>
  </si>
  <si>
    <t xml:space="preserve">滴流床</t>
  </si>
  <si>
    <t xml:space="preserve">主要操作条件</t>
  </si>
  <si>
    <t xml:space="preserve">反应器名称</t>
  </si>
  <si>
    <r>
      <rPr>
        <sz val="10.5"/>
        <color theme="1"/>
        <rFont val="宋体"/>
        <family val="3"/>
        <charset val="134"/>
      </rPr>
      <t xml:space="preserve">出口总压</t>
    </r>
    <r>
      <rPr>
        <sz val="10.5"/>
        <color rgb="FF000000"/>
        <rFont val="Arial"/>
        <family val="2"/>
        <charset val="1"/>
      </rPr>
      <t xml:space="preserve">MPaG </t>
    </r>
  </si>
  <si>
    <r>
      <rPr>
        <sz val="10.5"/>
        <color theme="1"/>
        <rFont val="宋体"/>
        <family val="3"/>
        <charset val="134"/>
      </rPr>
      <t xml:space="preserve">体积空速</t>
    </r>
    <r>
      <rPr>
        <sz val="10.5"/>
        <color rgb="FF000000"/>
        <rFont val="Arial"/>
        <family val="2"/>
        <charset val="1"/>
      </rPr>
      <t xml:space="preserve">/hr </t>
    </r>
  </si>
  <si>
    <t xml:space="preserve">温度℃ </t>
  </si>
  <si>
    <t xml:space="preserve">氢油比，Nm3/m3</t>
  </si>
  <si>
    <t xml:space="preserve">加氢裂解反应器入口</t>
  </si>
  <si>
    <t xml:space="preserve">加氢裂解反应器出口</t>
  </si>
  <si>
    <t xml:space="preserve">加氢精制反应器入口</t>
  </si>
  <si>
    <t xml:space="preserve">加氢精制反应器出口</t>
  </si>
  <si>
    <t xml:space="preserve">原来</t>
  </si>
  <si>
    <t xml:space="preserve">调整后</t>
  </si>
  <si>
    <t xml:space="preserve">惠州高压蜡油加氢循环氢压缩机入口、出口压降</t>
  </si>
  <si>
    <t xml:space="preserve">新氢压缩机入口压力</t>
  </si>
  <si>
    <t xml:space="preserve">MPaG</t>
  </si>
  <si>
    <t xml:space="preserve">sor</t>
  </si>
  <si>
    <t xml:space="preserve">eor</t>
  </si>
  <si>
    <t xml:space="preserve">新氢压缩机出口压力</t>
  </si>
  <si>
    <t xml:space="preserve">1.5MPG系统压降</t>
  </si>
  <si>
    <t xml:space="preserve">循环氢压缩机入口压力</t>
  </si>
  <si>
    <t xml:space="preserve">2.25MPa系统压降</t>
  </si>
  <si>
    <t xml:space="preserve">循环氢压缩机出口压力</t>
  </si>
  <si>
    <t xml:space="preserve">低硫中芳烃汽提塔顶压力</t>
  </si>
  <si>
    <t xml:space="preserve">减压塔顶压力</t>
  </si>
  <si>
    <t xml:space="preserve">kPaA</t>
  </si>
  <si>
    <t xml:space="preserve">硫化氢汽提塔顶压力</t>
  </si>
  <si>
    <t xml:space="preserve">汽提蒸汽压力</t>
  </si>
  <si>
    <t xml:space="preserve">常压塔顶压力</t>
  </si>
  <si>
    <t xml:space="preserve">吸收脱吸塔顶压力</t>
  </si>
  <si>
    <t xml:space="preserve">稳定塔顶压力</t>
  </si>
  <si>
    <t xml:space="preserve">循环氢脱硫塔顶压力</t>
  </si>
  <si>
    <t xml:space="preserve">裂解热高分罐压力</t>
  </si>
  <si>
    <t xml:space="preserve">裂解热低分罐压力</t>
  </si>
  <si>
    <t xml:space="preserve">裂解冷低分罐压力</t>
  </si>
  <si>
    <t xml:space="preserve">精制热高分罐压力</t>
  </si>
  <si>
    <t xml:space="preserve">精制热低分罐压力</t>
  </si>
  <si>
    <t xml:space="preserve">精制冷高分罐压力</t>
  </si>
  <si>
    <t xml:space="preserve">基准</t>
  </si>
  <si>
    <t xml:space="preserve">精制冷低分罐压力</t>
  </si>
  <si>
    <t xml:space="preserve">设计要点</t>
  </si>
  <si>
    <t xml:space="preserve">反应器</t>
  </si>
  <si>
    <t xml:space="preserve">加氢裂解反应器</t>
  </si>
  <si>
    <t xml:space="preserve">加氢精制反应器</t>
  </si>
  <si>
    <t xml:space="preserve">裂解热高分罐前加换热器,降温至400℃,防止裂解热高分中发生二次裂解反应</t>
  </si>
  <si>
    <t xml:space="preserve">裂解热高分罐顶设蜡油洗涤线,防止雾沫夹带渣油至精制反应器</t>
  </si>
  <si>
    <t xml:space="preserve">裂解热低分油进减压塔前增设汽提闪蒸塔,尽量让低硫中芳烃从塔顶闪蒸出去,降低减压塔进料中低硫中芳烃含量</t>
  </si>
  <si>
    <t xml:space="preserve">计算</t>
  </si>
  <si>
    <t xml:space="preserve">初步</t>
  </si>
  <si>
    <t xml:space="preserve">最终确定</t>
  </si>
  <si>
    <t xml:space="preserve">低硫中芳烃汽提塔直径 mm</t>
  </si>
  <si>
    <t xml:space="preserve">减压塔直径 mm</t>
  </si>
  <si>
    <t xml:space="preserve">硫化氢汽提塔直径 mm</t>
  </si>
  <si>
    <t xml:space="preserve">常压塔直径 mm</t>
  </si>
  <si>
    <t xml:space="preserve">吸收塔直径 mm</t>
  </si>
  <si>
    <t xml:space="preserve">解吸塔直径 mm</t>
  </si>
  <si>
    <t xml:space="preserve">稳定塔直径 mm</t>
  </si>
  <si>
    <t xml:space="preserve">循环氢脱硫塔直径 mm</t>
  </si>
  <si>
    <t xml:space="preserve">设计参考</t>
  </si>
  <si>
    <t xml:space="preserve">参考装置</t>
  </si>
  <si>
    <r>
      <rPr>
        <sz val="11"/>
        <color theme="1"/>
        <rFont val="宋体"/>
        <family val="3"/>
        <charset val="134"/>
      </rPr>
      <t xml:space="preserve">中国海洋石油总公司惠州炼油项目400万吨</t>
    </r>
    <r>
      <rPr>
        <sz val="11"/>
        <color rgb="FF000000"/>
        <rFont val="宋体"/>
        <family val="3"/>
        <charset val="134"/>
      </rPr>
      <t xml:space="preserve">/年高压蜡油加氢裂化装置</t>
    </r>
  </si>
  <si>
    <r>
      <rPr>
        <sz val="11"/>
        <color theme="1"/>
        <rFont val="宋体"/>
        <family val="3"/>
        <charset val="134"/>
      </rPr>
      <t xml:space="preserve">中国石油股份有限公司抚顺分公司5万吨</t>
    </r>
    <r>
      <rPr>
        <sz val="11"/>
        <color rgb="FF000000"/>
        <rFont val="宋体"/>
        <family val="3"/>
        <charset val="134"/>
      </rPr>
      <t xml:space="preserve">/年悬浮床渣油加氢工业试验装置</t>
    </r>
  </si>
  <si>
    <t xml:space="preserve">其他</t>
  </si>
  <si>
    <t xml:space="preserve">参见技术附件</t>
  </si>
  <si>
    <t xml:space="preserve">硫分布</t>
  </si>
  <si>
    <t xml:space="preserve">项目</t>
  </si>
  <si>
    <t xml:space="preserve">硫含量W%</t>
  </si>
  <si>
    <t xml:space="preserve">总硫量kg/h</t>
  </si>
  <si>
    <t xml:space="preserve">硫分布W%</t>
  </si>
  <si>
    <t xml:space="preserve">流量kg/h</t>
  </si>
  <si>
    <t xml:space="preserve">（对组分）</t>
  </si>
  <si>
    <t xml:space="preserve">（对原料）</t>
  </si>
  <si>
    <t xml:space="preserve">原料</t>
  </si>
  <si>
    <r>
      <rPr>
        <sz val="12"/>
        <rFont val="宋体"/>
        <family val="3"/>
        <charset val="134"/>
      </rPr>
      <t xml:space="preserve">H</t>
    </r>
    <r>
      <rPr>
        <vertAlign val="subscript"/>
        <sz val="12"/>
        <rFont val="宋体"/>
        <family val="3"/>
        <charset val="134"/>
      </rPr>
      <t xml:space="preserve">2</t>
    </r>
    <r>
      <rPr>
        <sz val="12"/>
        <rFont val="宋体"/>
        <family val="3"/>
        <charset val="134"/>
      </rPr>
      <t xml:space="preserve">S </t>
    </r>
  </si>
  <si>
    <t xml:space="preserve">尾油</t>
  </si>
  <si>
    <t xml:space="preserve">氮分布</t>
  </si>
  <si>
    <t xml:space="preserve">N含量W%</t>
  </si>
  <si>
    <t xml:space="preserve">总N量kg/h</t>
  </si>
  <si>
    <t xml:space="preserve">N分布W%</t>
  </si>
  <si>
    <r>
      <rPr>
        <sz val="12"/>
        <rFont val="宋体"/>
        <family val="3"/>
        <charset val="134"/>
      </rPr>
      <t xml:space="preserve">NH</t>
    </r>
    <r>
      <rPr>
        <vertAlign val="subscript"/>
        <sz val="12"/>
        <rFont val="宋体"/>
        <family val="3"/>
        <charset val="134"/>
      </rPr>
      <t xml:space="preserve">3</t>
    </r>
  </si>
  <si>
    <t xml:space="preserve">处理能力：</t>
  </si>
  <si>
    <t xml:space="preserve">操作时数</t>
  </si>
  <si>
    <t xml:space="preserve">小时/年</t>
  </si>
  <si>
    <t xml:space="preserve">加氢装置物料平衡</t>
  </si>
  <si>
    <t xml:space="preserve">总物料平衡（按氢耗3w%调整）</t>
  </si>
  <si>
    <t xml:space="preserve">产品硫分布计算</t>
  </si>
  <si>
    <t xml:space="preserve">产品氮分布计算</t>
  </si>
  <si>
    <t xml:space="preserve">进出料名称</t>
  </si>
  <si>
    <r>
      <rPr>
        <sz val="10.5"/>
        <color rgb="FF000000"/>
        <rFont val="宋体"/>
        <family val="3"/>
        <charset val="134"/>
      </rPr>
      <t xml:space="preserve">百分率，</t>
    </r>
    <r>
      <rPr>
        <sz val="10.5"/>
        <color rgb="FF000000"/>
        <rFont val="Times New Roman"/>
        <family val="1"/>
        <charset val="1"/>
      </rPr>
      <t xml:space="preserve">wt%</t>
    </r>
  </si>
  <si>
    <t xml:space="preserve">数量</t>
  </si>
  <si>
    <t xml:space="preserve">单位</t>
  </si>
  <si>
    <t xml:space="preserve">数值</t>
  </si>
  <si>
    <t xml:space="preserve">备注</t>
  </si>
  <si>
    <t xml:space="preserve">原料油硫含量（m,%)</t>
  </si>
  <si>
    <t xml:space="preserve">见本次“设计基础数据”表1</t>
  </si>
  <si>
    <t xml:space="preserve">原料油氮含量（m,%)</t>
  </si>
  <si>
    <t xml:space="preserve">见“设计基础数据”表1</t>
  </si>
  <si>
    <t xml:space="preserve">原料油硫占总进料（m,%)</t>
  </si>
  <si>
    <t xml:space="preserve">原料油氮占总进料（m,%)</t>
  </si>
  <si>
    <t xml:space="preserve">减压尾油硫含量(m,%)</t>
  </si>
  <si>
    <t xml:space="preserve">见本次“设计基础数据”表16</t>
  </si>
  <si>
    <t xml:space="preserve">减压尾油氮含量(m,%)</t>
  </si>
  <si>
    <t xml:space="preserve">见“设计基础数据”表16</t>
  </si>
  <si>
    <t xml:space="preserve">总进料</t>
  </si>
  <si>
    <t xml:space="preserve">减压尾油硫占总出料含量(m,%)</t>
  </si>
  <si>
    <t xml:space="preserve">尾油未精制</t>
  </si>
  <si>
    <t xml:space="preserve">减压尾油氮占总出料含量(m,%)</t>
  </si>
  <si>
    <t xml:space="preserve">液化气中硫含量(m,ppm)</t>
  </si>
  <si>
    <t xml:space="preserve">液化气中氮含量(m,ppm)</t>
  </si>
  <si>
    <t xml:space="preserve">液化气中硫占总出料含量(m,%)</t>
  </si>
  <si>
    <t xml:space="preserve">液化气中氮占总出料含量(m,%)</t>
  </si>
  <si>
    <t xml:space="preserve">石脑油中硫含量(m,%)</t>
  </si>
  <si>
    <t xml:space="preserve">380#精制后实验数据，GB17920-2011为0.015</t>
  </si>
  <si>
    <t xml:space="preserve">石脑油中氮含量(m,%)</t>
  </si>
  <si>
    <t xml:space="preserve">380#精制后实验数据</t>
  </si>
  <si>
    <t xml:space="preserve">石脑油中硫占总出料含量(m,%)</t>
  </si>
  <si>
    <t xml:space="preserve">石脑油中氮占总出料含量(m,%)</t>
  </si>
  <si>
    <r>
      <rPr>
        <sz val="10.5"/>
        <color rgb="FF000000"/>
        <rFont val="宋体"/>
        <family val="3"/>
        <charset val="134"/>
      </rPr>
      <t xml:space="preserve">石脑油（</t>
    </r>
    <r>
      <rPr>
        <sz val="10.5"/>
        <color rgb="FF000000"/>
        <rFont val="Times New Roman"/>
        <family val="1"/>
        <charset val="1"/>
      </rPr>
      <t xml:space="preserve">C</t>
    </r>
    <r>
      <rPr>
        <vertAlign val="subscript"/>
        <sz val="10.5"/>
        <color rgb="FF000000"/>
        <rFont val="Times New Roman"/>
        <family val="1"/>
        <charset val="1"/>
      </rPr>
      <t xml:space="preserve">5</t>
    </r>
    <r>
      <rPr>
        <sz val="10.5"/>
        <color rgb="FF000000"/>
        <rFont val="宋体"/>
        <family val="3"/>
        <charset val="134"/>
      </rPr>
      <t xml:space="preserve">～</t>
    </r>
    <r>
      <rPr>
        <sz val="10.5"/>
        <color rgb="FF000000"/>
        <rFont val="Times New Roman"/>
        <family val="1"/>
        <charset val="1"/>
      </rPr>
      <t xml:space="preserve">180</t>
    </r>
    <r>
      <rPr>
        <sz val="10.5"/>
        <color rgb="FF000000"/>
        <rFont val="宋体"/>
        <family val="3"/>
        <charset val="134"/>
      </rPr>
      <t xml:space="preserve">℃）</t>
    </r>
  </si>
  <si>
    <t xml:space="preserve">柴油中硫含量(m,%)</t>
  </si>
  <si>
    <t xml:space="preserve">380#精制后实验数据，GB19147-2009为0.035</t>
  </si>
  <si>
    <t xml:space="preserve">柴油中氮含量(m,%)</t>
  </si>
  <si>
    <r>
      <rPr>
        <sz val="10.5"/>
        <color rgb="FF000000"/>
        <rFont val="宋体"/>
        <family val="3"/>
        <charset val="134"/>
      </rPr>
      <t xml:space="preserve">柴油馏分（</t>
    </r>
    <r>
      <rPr>
        <sz val="10.5"/>
        <color rgb="FF000000"/>
        <rFont val="Times New Roman"/>
        <family val="1"/>
        <charset val="1"/>
      </rPr>
      <t xml:space="preserve">180</t>
    </r>
    <r>
      <rPr>
        <sz val="10.5"/>
        <color rgb="FF000000"/>
        <rFont val="宋体"/>
        <family val="3"/>
        <charset val="134"/>
      </rPr>
      <t xml:space="preserve">～</t>
    </r>
    <r>
      <rPr>
        <sz val="10.5"/>
        <color rgb="FF000000"/>
        <rFont val="Times New Roman"/>
        <family val="1"/>
        <charset val="1"/>
      </rPr>
      <t xml:space="preserve">360</t>
    </r>
    <r>
      <rPr>
        <sz val="10.5"/>
        <color rgb="FF000000"/>
        <rFont val="宋体"/>
        <family val="3"/>
        <charset val="134"/>
      </rPr>
      <t xml:space="preserve">℃）</t>
    </r>
  </si>
  <si>
    <t xml:space="preserve">柴油中硫占总出料含量(m,%)</t>
  </si>
  <si>
    <t xml:space="preserve">柴油中氮占总出料含量(m,%)</t>
  </si>
  <si>
    <t xml:space="preserve">蜡油中硫含量(m,%)</t>
  </si>
  <si>
    <t xml:space="preserve">蜡油中氮含量(m,%)</t>
  </si>
  <si>
    <t xml:space="preserve">蜡油中硫占总出料含量(m,%)</t>
  </si>
  <si>
    <t xml:space="preserve">蜡油中氮占总出料含量(m,%)</t>
  </si>
  <si>
    <t xml:space="preserve">H2S中硫占总出料含量(m,%)</t>
  </si>
  <si>
    <t xml:space="preserve">NH3中氮占总出料含量(m,%)</t>
  </si>
  <si>
    <t xml:space="preserve">甲苯不溶物</t>
  </si>
  <si>
    <t xml:space="preserve">H2S占总出料含量(m,%)</t>
  </si>
  <si>
    <t xml:space="preserve">NH3占总出料含量(m,%)</t>
  </si>
  <si>
    <t xml:space="preserve">注：本表数据由石油大学提供</t>
  </si>
  <si>
    <t xml:space="preserve">注：按精制后仅蜡油减少计算产品分布</t>
  </si>
  <si>
    <t xml:space="preserve">修改后物料平衡</t>
  </si>
  <si>
    <t xml:space="preserve">S%</t>
  </si>
  <si>
    <t xml:space="preserve">S，kg/h</t>
  </si>
  <si>
    <t xml:space="preserve">分布，%</t>
  </si>
  <si>
    <t xml:space="preserve">N%</t>
  </si>
  <si>
    <t xml:space="preserve">N，kg/h</t>
  </si>
  <si>
    <t xml:space="preserve">Unit</t>
  </si>
  <si>
    <t xml:space="preserve">TOTAL MASS FLOW</t>
  </si>
  <si>
    <t xml:space="preserve">TOTAL MOLAR FLOW</t>
  </si>
  <si>
    <t xml:space="preserve">kmol/h</t>
  </si>
  <si>
    <t xml:space="preserve">TEMPERATURE</t>
  </si>
  <si>
    <t xml:space="preserve">°C</t>
  </si>
  <si>
    <t xml:space="preserve">PRESSURE</t>
  </si>
  <si>
    <t xml:space="preserve">MPa(g)</t>
  </si>
  <si>
    <t xml:space="preserve">ENTHALPY</t>
  </si>
  <si>
    <t xml:space="preserve">kJ/kg</t>
  </si>
  <si>
    <t xml:space="preserve">ENERGY</t>
  </si>
  <si>
    <t xml:space="preserve">MW</t>
  </si>
  <si>
    <t xml:space="preserve">SPECIFIC HEAT</t>
  </si>
  <si>
    <t xml:space="preserve">kJ/(kg-°C)</t>
  </si>
  <si>
    <t xml:space="preserve">CRITICAL TEMP.</t>
  </si>
  <si>
    <t xml:space="preserve">CRITICAL PRESS.</t>
  </si>
  <si>
    <t xml:space="preserve">PHASE</t>
  </si>
  <si>
    <t xml:space="preserve">LIQUID</t>
  </si>
  <si>
    <t xml:space="preserve">VAPOR</t>
  </si>
  <si>
    <t xml:space="preserve">MIXED</t>
  </si>
  <si>
    <t xml:space="preserve">VAPOR FRACTION</t>
  </si>
  <si>
    <t xml:space="preserve">LIQ. FLOW @ P&amp;T</t>
  </si>
  <si>
    <t xml:space="preserve">m³/h</t>
  </si>
  <si>
    <t xml:space="preserve">LIQ. FLOW @ 15.6°C</t>
  </si>
  <si>
    <t xml:space="preserve">LIQUID DENSITY</t>
  </si>
  <si>
    <t xml:space="preserve">kg/m³</t>
  </si>
  <si>
    <t xml:space="preserve">LIQ. DENISTY @ 15.6°C</t>
  </si>
  <si>
    <t xml:space="preserve">API LIQUID GRAVITY</t>
  </si>
  <si>
    <t xml:space="preserve">LIQ. VISC @ P&amp;T</t>
  </si>
  <si>
    <t xml:space="preserve">cP</t>
  </si>
  <si>
    <t xml:space="preserve">SURFACE TENSION</t>
  </si>
  <si>
    <t xml:space="preserve">dyne/cm</t>
  </si>
  <si>
    <t xml:space="preserve">LIQ. THERM. COND.</t>
  </si>
  <si>
    <t xml:space="preserve">W/(m.K)</t>
  </si>
  <si>
    <t xml:space="preserve">VAPOR PRESSURE</t>
  </si>
  <si>
    <t xml:space="preserve">MPa(a)</t>
  </si>
  <si>
    <t xml:space="preserve">VAP. FLOW @ 0°C</t>
  </si>
  <si>
    <t xml:space="preserve">Nm³/hr</t>
  </si>
  <si>
    <t xml:space="preserve">VAP. DENSITY @ 0°C</t>
  </si>
  <si>
    <t xml:space="preserve">VAP. VISC @ P&amp;T</t>
  </si>
  <si>
    <t xml:space="preserve">VAP. THERM COND</t>
  </si>
  <si>
    <t xml:space="preserve">VAPOR MW</t>
  </si>
  <si>
    <t xml:space="preserve">g/mol</t>
  </si>
  <si>
    <t xml:space="preserve">VAP. DENSITY</t>
  </si>
  <si>
    <t xml:space="preserve"> DENSITY</t>
  </si>
  <si>
    <r>
      <rPr>
        <sz val="12"/>
        <rFont val="宋体"/>
        <family val="3"/>
        <charset val="134"/>
      </rPr>
      <t xml:space="preserve">汽相</t>
    </r>
    <r>
      <rPr>
        <sz val="12"/>
        <rFont val="Arial"/>
        <family val="2"/>
        <charset val="1"/>
      </rPr>
      <t xml:space="preserve">H2</t>
    </r>
    <r>
      <rPr>
        <sz val="12"/>
        <rFont val="宋体"/>
        <family val="3"/>
        <charset val="134"/>
      </rPr>
      <t xml:space="preserve">分压</t>
    </r>
  </si>
  <si>
    <t xml:space="preserve">MPaA</t>
  </si>
  <si>
    <r>
      <rPr>
        <sz val="12"/>
        <rFont val="宋体"/>
        <family val="3"/>
        <charset val="134"/>
      </rPr>
      <t xml:space="preserve">汽相</t>
    </r>
    <r>
      <rPr>
        <sz val="12"/>
        <rFont val="Arial"/>
        <family val="2"/>
        <charset val="1"/>
      </rPr>
      <t xml:space="preserve">H2S</t>
    </r>
    <r>
      <rPr>
        <sz val="12"/>
        <rFont val="宋体"/>
        <family val="3"/>
        <charset val="134"/>
      </rPr>
      <t xml:space="preserve">浓度</t>
    </r>
  </si>
  <si>
    <t xml:space="preserve">mol%</t>
  </si>
  <si>
    <r>
      <rPr>
        <sz val="12"/>
        <rFont val="宋体"/>
        <family val="3"/>
        <charset val="134"/>
      </rPr>
      <t xml:space="preserve">液相</t>
    </r>
    <r>
      <rPr>
        <sz val="12"/>
        <rFont val="Arial"/>
        <family val="2"/>
        <charset val="1"/>
      </rPr>
      <t xml:space="preserve">H2S</t>
    </r>
    <r>
      <rPr>
        <sz val="12"/>
        <rFont val="宋体"/>
        <family val="3"/>
        <charset val="134"/>
      </rPr>
      <t xml:space="preserve">浓度</t>
    </r>
  </si>
  <si>
    <t xml:space="preserve">mg/l</t>
  </si>
  <si>
    <t xml:space="preserve">Phase Comp Mole Frac (Vapour Phase-Ammonia)</t>
  </si>
  <si>
    <t xml:space="preserve">&lt;empty&gt;</t>
  </si>
  <si>
    <t xml:space="preserve">Phase Comp Mass Flow (Liquid Phase-Ammonia)</t>
  </si>
  <si>
    <r>
      <rPr>
        <sz val="12"/>
        <rFont val="宋体"/>
        <family val="3"/>
        <charset val="134"/>
      </rPr>
      <t xml:space="preserve">汽相</t>
    </r>
    <r>
      <rPr>
        <sz val="12"/>
        <rFont val="Arial"/>
        <family val="2"/>
        <charset val="1"/>
      </rPr>
      <t xml:space="preserve">NH3</t>
    </r>
    <r>
      <rPr>
        <sz val="12"/>
        <rFont val="宋体"/>
        <family val="3"/>
        <charset val="134"/>
      </rPr>
      <t xml:space="preserve">浓度</t>
    </r>
  </si>
  <si>
    <r>
      <rPr>
        <sz val="12"/>
        <rFont val="宋体"/>
        <family val="3"/>
        <charset val="134"/>
      </rPr>
      <t xml:space="preserve">液相</t>
    </r>
    <r>
      <rPr>
        <sz val="12"/>
        <rFont val="Arial"/>
        <family val="2"/>
        <charset val="1"/>
      </rPr>
      <t xml:space="preserve">NH3</t>
    </r>
    <r>
      <rPr>
        <sz val="12"/>
        <rFont val="宋体"/>
        <family val="3"/>
        <charset val="134"/>
      </rPr>
      <t xml:space="preserve">浓度</t>
    </r>
  </si>
  <si>
    <r>
      <rPr>
        <sz val="12"/>
        <rFont val="宋体"/>
        <family val="3"/>
        <charset val="134"/>
      </rPr>
      <t xml:space="preserve">液相总</t>
    </r>
    <r>
      <rPr>
        <sz val="12"/>
        <rFont val="Arial"/>
        <family val="2"/>
        <charset val="1"/>
      </rPr>
      <t xml:space="preserve">mol</t>
    </r>
    <r>
      <rPr>
        <sz val="12"/>
        <rFont val="宋体"/>
        <family val="3"/>
        <charset val="134"/>
      </rPr>
      <t xml:space="preserve">流率</t>
    </r>
  </si>
  <si>
    <r>
      <rPr>
        <sz val="12"/>
        <rFont val="Arial"/>
        <family val="2"/>
        <charset val="1"/>
      </rPr>
      <t xml:space="preserve">H2S mol</t>
    </r>
    <r>
      <rPr>
        <sz val="12"/>
        <rFont val="宋体"/>
        <family val="3"/>
        <charset val="134"/>
      </rPr>
      <t xml:space="preserve">流率</t>
    </r>
  </si>
  <si>
    <r>
      <rPr>
        <sz val="12"/>
        <rFont val="Arial"/>
        <family val="2"/>
        <charset val="1"/>
      </rPr>
      <t xml:space="preserve">H2S mol</t>
    </r>
    <r>
      <rPr>
        <sz val="12"/>
        <rFont val="宋体"/>
        <family val="3"/>
        <charset val="134"/>
      </rPr>
      <t xml:space="preserve">含量</t>
    </r>
  </si>
  <si>
    <r>
      <rPr>
        <sz val="12"/>
        <rFont val="Arial"/>
        <family val="2"/>
        <charset val="1"/>
      </rPr>
      <t xml:space="preserve">NH3 mol</t>
    </r>
    <r>
      <rPr>
        <sz val="12"/>
        <rFont val="宋体"/>
        <family val="3"/>
        <charset val="134"/>
      </rPr>
      <t xml:space="preserve">流率</t>
    </r>
  </si>
  <si>
    <r>
      <rPr>
        <sz val="12"/>
        <rFont val="Arial"/>
        <family val="2"/>
        <charset val="1"/>
      </rPr>
      <t xml:space="preserve">NH3 mol</t>
    </r>
    <r>
      <rPr>
        <sz val="12"/>
        <rFont val="宋体"/>
        <family val="3"/>
        <charset val="134"/>
      </rPr>
      <t xml:space="preserve">含量</t>
    </r>
  </si>
  <si>
    <t xml:space="preserve">新增</t>
  </si>
  <si>
    <t xml:space="preserve">手输</t>
  </si>
  <si>
    <t xml:space="preserve">编号</t>
  </si>
  <si>
    <t xml:space="preserve">131-R-101</t>
  </si>
  <si>
    <t xml:space="preserve">131-R-102</t>
  </si>
  <si>
    <t xml:space="preserve">加氢反应器</t>
  </si>
  <si>
    <t xml:space="preserve">在线精制反应器</t>
  </si>
  <si>
    <t xml:space="preserve">立式 Vertical</t>
  </si>
  <si>
    <t xml:space="preserve">反应器规格</t>
  </si>
  <si>
    <t xml:space="preserve">反应器数量</t>
  </si>
  <si>
    <t xml:space="preserve">台</t>
  </si>
  <si>
    <t xml:space="preserve">介质</t>
  </si>
  <si>
    <t xml:space="preserve">柴油,催化剂, H2,H2S</t>
  </si>
  <si>
    <t xml:space="preserve">液化气,混合芳烃,低硫中芳烃,蜡油,H2,H2S</t>
  </si>
  <si>
    <t xml:space="preserve">入口温度</t>
  </si>
  <si>
    <t xml:space="preserve">℃ </t>
  </si>
  <si>
    <t xml:space="preserve">入口压力</t>
  </si>
  <si>
    <t xml:space="preserve">出口温度</t>
  </si>
  <si>
    <t xml:space="preserve">出口压力</t>
  </si>
  <si>
    <t xml:space="preserve">最高操作压力</t>
  </si>
  <si>
    <t xml:space="preserve">最高操作温度</t>
  </si>
  <si>
    <t xml:space="preserve">新鲜原料体积流量        m³/h</t>
  </si>
  <si>
    <t xml:space="preserve">cum/h</t>
  </si>
  <si>
    <t xml:space="preserve">进料标准液体体积流量</t>
  </si>
  <si>
    <t xml:space="preserve">反应进料量</t>
  </si>
  <si>
    <t xml:space="preserve">t/h</t>
  </si>
  <si>
    <t xml:space="preserve">新鲜原料体积空速  </t>
  </si>
  <si>
    <r>
      <rPr>
        <sz val="12"/>
        <rFont val="宋体"/>
        <family val="3"/>
        <charset val="134"/>
      </rPr>
      <t xml:space="preserve">h</t>
    </r>
    <r>
      <rPr>
        <vertAlign val="superscript"/>
        <sz val="12"/>
        <rFont val="宋体"/>
        <family val="3"/>
        <charset val="134"/>
      </rPr>
      <t xml:space="preserve">-1</t>
    </r>
  </si>
  <si>
    <t xml:space="preserve">喷淋密度</t>
  </si>
  <si>
    <t xml:space="preserve">t/m2.h</t>
  </si>
  <si>
    <t xml:space="preserve">催化剂体积  </t>
  </si>
  <si>
    <t xml:space="preserve">cum</t>
  </si>
  <si>
    <t xml:space="preserve">直径取值</t>
  </si>
  <si>
    <t xml:space="preserve">m</t>
  </si>
  <si>
    <t xml:space="preserve">计算高度        </t>
  </si>
  <si>
    <t xml:space="preserve">计算直径        </t>
  </si>
  <si>
    <t xml:space="preserve">最高液位高度</t>
  </si>
  <si>
    <t xml:space="preserve">高度取值</t>
  </si>
  <si>
    <t xml:space="preserve">催化剂计算高度        </t>
  </si>
  <si>
    <t xml:space="preserve">长径比</t>
  </si>
  <si>
    <t xml:space="preserve">催化剂高度圆整取值</t>
  </si>
  <si>
    <t xml:space="preserve">设备尺寸取可研</t>
  </si>
  <si>
    <t xml:space="preserve">床层数</t>
  </si>
  <si>
    <t xml:space="preserve">冷氢箱高</t>
  </si>
  <si>
    <t xml:space="preserve">瓷球高</t>
  </si>
  <si>
    <t xml:space="preserve">保护剂距上切线</t>
  </si>
  <si>
    <t xml:space="preserve">上层保护剂</t>
  </si>
  <si>
    <t xml:space="preserve">反应器总高1</t>
  </si>
  <si>
    <t xml:space="preserve">切线下部装填</t>
  </si>
  <si>
    <t xml:space="preserve">反应器总高</t>
  </si>
  <si>
    <t xml:space="preserve">瓷球量</t>
  </si>
  <si>
    <t xml:space="preserve">瓷球密度</t>
  </si>
  <si>
    <t xml:space="preserve">kg/cum</t>
  </si>
  <si>
    <t xml:space="preserve">t</t>
  </si>
  <si>
    <t xml:space="preserve">催化剂密度</t>
  </si>
  <si>
    <t xml:space="preserve">催化剂量</t>
  </si>
  <si>
    <t xml:space="preserve">进口混相流速</t>
  </si>
  <si>
    <t xml:space="preserve">m/s</t>
  </si>
  <si>
    <t xml:space="preserve">进口液相质量流量</t>
  </si>
  <si>
    <t xml:space="preserve">进口液相分子量</t>
  </si>
  <si>
    <t xml:space="preserve">进口液相标准密度</t>
  </si>
  <si>
    <t xml:space="preserve">进口液相实际密度</t>
  </si>
  <si>
    <t xml:space="preserve">进口液相H2S浓度</t>
  </si>
  <si>
    <t xml:space="preserve">进口汽相质量流量</t>
  </si>
  <si>
    <t xml:space="preserve">进口汽相分子量</t>
  </si>
  <si>
    <t xml:space="preserve">进口汽相密度</t>
  </si>
  <si>
    <t xml:space="preserve">进口汽相H2分压</t>
  </si>
  <si>
    <t xml:space="preserve">进口汽相H2S浓度</t>
  </si>
  <si>
    <t xml:space="preserve">出口液相质量流量</t>
  </si>
  <si>
    <t xml:space="preserve">出口液相分子量</t>
  </si>
  <si>
    <t xml:space="preserve">出口液相标准密度</t>
  </si>
  <si>
    <t xml:space="preserve">出口液相实际密度</t>
  </si>
  <si>
    <t xml:space="preserve">出口液相H2S浓度</t>
  </si>
  <si>
    <t xml:space="preserve">出口汽相质量流量</t>
  </si>
  <si>
    <t xml:space="preserve">出口汽相分子量</t>
  </si>
  <si>
    <t xml:space="preserve">出口汽相密度</t>
  </si>
  <si>
    <t xml:space="preserve">出口汽相H2分压</t>
  </si>
  <si>
    <t xml:space="preserve">出口汽相H2S浓度</t>
  </si>
  <si>
    <t xml:space="preserve">入口混相密度</t>
  </si>
  <si>
    <t xml:space="preserve">出口混相密度</t>
  </si>
  <si>
    <t xml:space="preserve">操作介质重</t>
  </si>
  <si>
    <t xml:space="preserve">kg</t>
  </si>
  <si>
    <t xml:space="preserve"> </t>
  </si>
  <si>
    <t xml:space="preserve">HYSYS计算泛点率 %</t>
  </si>
  <si>
    <t xml:space="preserve">HYSYS计算塔径 mm</t>
  </si>
  <si>
    <t xml:space="preserve">选取塔径 mm</t>
  </si>
  <si>
    <t xml:space="preserve">参考塔径 mm</t>
  </si>
  <si>
    <t xml:space="preserve">汽提塔</t>
  </si>
  <si>
    <t xml:space="preserve">常压塔</t>
  </si>
  <si>
    <t xml:space="preserve">常压侧线汽提塔</t>
  </si>
  <si>
    <t xml:space="preserve">吸收塔</t>
  </si>
  <si>
    <t xml:space="preserve">循环氢脱硫塔</t>
  </si>
  <si>
    <t xml:space="preserve">设备编号</t>
  </si>
  <si>
    <t xml:space="preserve">217-T-101</t>
  </si>
  <si>
    <t xml:space="preserve">217-T-102</t>
  </si>
  <si>
    <t xml:space="preserve">217-T-103</t>
  </si>
  <si>
    <t xml:space="preserve">217-T-201</t>
  </si>
  <si>
    <t xml:space="preserve">设备表选取塔径 mm</t>
  </si>
  <si>
    <t xml:space="preserve">塔釜液位高度(m)</t>
  </si>
  <si>
    <t xml:space="preserve">塔釜介质</t>
  </si>
  <si>
    <t xml:space="preserve">混合芳烃,低硫中芳烃,蜡油</t>
  </si>
  <si>
    <t xml:space="preserve">胺液</t>
  </si>
  <si>
    <t xml:space="preserve">温度(℃)</t>
  </si>
  <si>
    <t xml:space="preserve">正常操作压力(MPaG)</t>
  </si>
  <si>
    <t xml:space="preserve">操作条件下液体产品质量流量(kg/h)</t>
  </si>
  <si>
    <t xml:space="preserve">操作条件下液体产品密度(kg/m3)</t>
  </si>
  <si>
    <t xml:space="preserve">操作条件下液体产品体积流量(m3/h)</t>
  </si>
  <si>
    <r>
      <rPr>
        <sz val="12"/>
        <rFont val="宋体"/>
        <family val="0"/>
        <charset val="134"/>
      </rPr>
      <t xml:space="preserve">液体产品停留时间(min</t>
    </r>
    <r>
      <rPr>
        <sz val="12"/>
        <rFont val="宋体"/>
        <family val="3"/>
        <charset val="134"/>
      </rPr>
      <t xml:space="preserve">)</t>
    </r>
  </si>
  <si>
    <t xml:space="preserve">液体产品最小停留时间(min)</t>
  </si>
  <si>
    <t xml:space="preserve">塔板数</t>
  </si>
  <si>
    <t xml:space="preserve">塔板间距 mm</t>
  </si>
  <si>
    <t xml:space="preserve">进料处塔板间距 mm</t>
  </si>
  <si>
    <t xml:space="preserve">塔顶切线距第一块塔板间距 mm</t>
  </si>
  <si>
    <t xml:space="preserve">最下层塔板距塔釜最高液位 mm</t>
  </si>
  <si>
    <t xml:space="preserve">最高液位距正常液位 mm</t>
  </si>
  <si>
    <t xml:space="preserve">塔釜正常液位高度(NL) mm</t>
  </si>
  <si>
    <t xml:space="preserve">总人孔数</t>
  </si>
  <si>
    <t xml:space="preserve">塔板间人孔数</t>
  </si>
  <si>
    <t xml:space="preserve">人孔处塔板间距 mm</t>
  </si>
  <si>
    <t xml:space="preserve">侧线抽出、返回口</t>
  </si>
  <si>
    <t xml:space="preserve">侧线抽出口塔板间距 mm</t>
  </si>
  <si>
    <t xml:space="preserve">液位计口距塔底切线（LL） mm</t>
  </si>
  <si>
    <t xml:space="preserve">塔切线高度 mm</t>
  </si>
  <si>
    <t xml:space="preserve">H2S</t>
  </si>
  <si>
    <t xml:space="preserve">MDEA</t>
  </si>
  <si>
    <t xml:space="preserve">容器编号</t>
  </si>
  <si>
    <t xml:space="preserve">217-V-203</t>
  </si>
  <si>
    <t xml:space="preserve">217-V-207</t>
  </si>
  <si>
    <t xml:space="preserve">217-V-209</t>
  </si>
  <si>
    <t xml:space="preserve">容器名称</t>
  </si>
  <si>
    <t xml:space="preserve">高压闪蒸罐</t>
  </si>
  <si>
    <t xml:space="preserve">热高压分离器</t>
  </si>
  <si>
    <t xml:space="preserve">冷高压分离器</t>
  </si>
  <si>
    <t xml:space="preserve">容器形式</t>
  </si>
  <si>
    <t xml:space="preserve">立式</t>
  </si>
  <si>
    <t xml:space="preserve">容器规格</t>
  </si>
  <si>
    <t xml:space="preserve">分水包规格</t>
  </si>
  <si>
    <r>
      <rPr>
        <sz val="12"/>
        <color rgb="FF0000FF"/>
        <rFont val="宋体"/>
        <family val="3"/>
        <charset val="134"/>
      </rPr>
      <t xml:space="preserve">容器直径</t>
    </r>
    <r>
      <rPr>
        <sz val="12"/>
        <color rgb="FF0000FF"/>
        <rFont val="Times New Roman"/>
        <family val="1"/>
        <charset val="1"/>
      </rPr>
      <t xml:space="preserve">(m)</t>
    </r>
  </si>
  <si>
    <r>
      <rPr>
        <sz val="12"/>
        <color rgb="FF0000FF"/>
        <rFont val="宋体"/>
        <family val="3"/>
        <charset val="134"/>
      </rPr>
      <t xml:space="preserve">容器切线长度</t>
    </r>
    <r>
      <rPr>
        <sz val="12"/>
        <color rgb="FF0000FF"/>
        <rFont val="Times New Roman"/>
        <family val="1"/>
        <charset val="1"/>
      </rPr>
      <t xml:space="preserve">(m)</t>
    </r>
  </si>
  <si>
    <r>
      <rPr>
        <sz val="12"/>
        <color rgb="FF0000FF"/>
        <rFont val="宋体"/>
        <family val="3"/>
        <charset val="134"/>
      </rPr>
      <t xml:space="preserve">分水包直径</t>
    </r>
    <r>
      <rPr>
        <sz val="12"/>
        <color rgb="FF0000FF"/>
        <rFont val="Times New Roman"/>
        <family val="1"/>
        <charset val="1"/>
      </rPr>
      <t xml:space="preserve">(m)</t>
    </r>
  </si>
  <si>
    <r>
      <rPr>
        <sz val="12"/>
        <color rgb="FF0000FF"/>
        <rFont val="宋体"/>
        <family val="3"/>
        <charset val="134"/>
      </rPr>
      <t xml:space="preserve">分水包长度</t>
    </r>
    <r>
      <rPr>
        <sz val="12"/>
        <color rgb="FF0000FF"/>
        <rFont val="Times New Roman"/>
        <family val="1"/>
        <charset val="1"/>
      </rPr>
      <t xml:space="preserve">(m)</t>
    </r>
  </si>
  <si>
    <r>
      <rPr>
        <sz val="12"/>
        <rFont val="宋体"/>
        <family val="3"/>
        <charset val="134"/>
      </rPr>
      <t xml:space="preserve">容器容积，m</t>
    </r>
    <r>
      <rPr>
        <vertAlign val="superscript"/>
        <sz val="12"/>
        <rFont val="宋体"/>
        <family val="3"/>
        <charset val="134"/>
      </rPr>
      <t xml:space="preserve">3</t>
    </r>
  </si>
  <si>
    <t xml:space="preserve">油气, H2,H2S</t>
  </si>
  <si>
    <t xml:space="preserve">最高操作压力(MPaG)</t>
  </si>
  <si>
    <t xml:space="preserve">操作条件下气体产品流量(kg/h)</t>
  </si>
  <si>
    <t xml:space="preserve">操作条件下液体产品流量(kg/h)</t>
  </si>
  <si>
    <t xml:space="preserve">介质最大流量系数</t>
  </si>
  <si>
    <t xml:space="preserve">最大气体产品流量(kg/h)</t>
  </si>
  <si>
    <t xml:space="preserve">最大液体产品流量(kg/h)</t>
  </si>
  <si>
    <t xml:space="preserve">操作条件下的气体密度(kg/m3)</t>
  </si>
  <si>
    <t xml:space="preserve">操作条件下的液体密度(kg/m3)</t>
  </si>
  <si>
    <t xml:space="preserve">操作条件下气体产品流率(m3/s)</t>
  </si>
  <si>
    <t xml:space="preserve">操作条件下的液体产品流率(m3/s)</t>
  </si>
  <si>
    <t xml:space="preserve">操作条件下气体产品流速(m/s)</t>
  </si>
  <si>
    <t xml:space="preserve">操作条件下液体产品流速(m/s)</t>
  </si>
  <si>
    <t xml:space="preserve">气相H2S分压(MPaA)</t>
  </si>
  <si>
    <t xml:space="preserve">气相H2分压(MPaA)</t>
  </si>
  <si>
    <t xml:space="preserve">液相H2S浓度(wt%)</t>
  </si>
  <si>
    <t xml:space="preserve">按气相计算：</t>
  </si>
  <si>
    <r>
      <rPr>
        <sz val="12"/>
        <rFont val="宋体"/>
        <family val="3"/>
        <charset val="134"/>
      </rPr>
      <t xml:space="preserve">气体在容器的气体空间的临界速度</t>
    </r>
    <r>
      <rPr>
        <sz val="12"/>
        <rFont val="Times New Roman"/>
        <family val="1"/>
        <charset val="1"/>
      </rPr>
      <t xml:space="preserve">uc(m/s)</t>
    </r>
  </si>
  <si>
    <r>
      <rPr>
        <sz val="12"/>
        <rFont val="宋体"/>
        <family val="3"/>
        <charset val="134"/>
      </rPr>
      <t xml:space="preserve">气体允许速度</t>
    </r>
    <r>
      <rPr>
        <sz val="12"/>
        <rFont val="Times New Roman"/>
        <family val="1"/>
        <charset val="1"/>
      </rPr>
      <t xml:space="preserve">uo(m/s)</t>
    </r>
  </si>
  <si>
    <t xml:space="preserve">容器计算直径(m)</t>
  </si>
  <si>
    <t xml:space="preserve">按液相计算：</t>
  </si>
  <si>
    <t xml:space="preserve">最高液速(m/s)</t>
  </si>
  <si>
    <t xml:space="preserve">容器计算直径（m）</t>
  </si>
  <si>
    <t xml:space="preserve">取直径(m)</t>
  </si>
  <si>
    <t xml:space="preserve">切线高度计算：</t>
  </si>
  <si>
    <t xml:space="preserve">从顶部切线到油入口-L1(m)</t>
  </si>
  <si>
    <t xml:space="preserve">从油入口到HHL-L2(m)</t>
  </si>
  <si>
    <t xml:space="preserve">取L2(m)</t>
  </si>
  <si>
    <t xml:space="preserve">从HHL到HL-L3(m),取L3=L2</t>
  </si>
  <si>
    <t xml:space="preserve">从HL到LL-L4(m)</t>
  </si>
  <si>
    <t xml:space="preserve">取L4(m)</t>
  </si>
  <si>
    <t xml:space="preserve">从LL到LLL（LLSD）(m),取L5=L2</t>
  </si>
  <si>
    <t xml:space="preserve">从LLL到底部切线(m),取L6=L2</t>
  </si>
  <si>
    <t xml:space="preserve">总高(m)</t>
  </si>
  <si>
    <t xml:space="preserve">高径比</t>
  </si>
  <si>
    <t xml:space="preserve">罐体容积(m3)</t>
  </si>
  <si>
    <t xml:space="preserve">正常操作液体体积(m3)</t>
  </si>
  <si>
    <t xml:space="preserve">正常操作液位(距罐底)(m)</t>
  </si>
  <si>
    <t xml:space="preserve">液位控制要求体积范围：</t>
  </si>
  <si>
    <t xml:space="preserve">低液位体积(m3)</t>
  </si>
  <si>
    <t xml:space="preserve">高液位体积(m3)</t>
  </si>
  <si>
    <t xml:space="preserve">正常液位到放空时间(min)</t>
  </si>
  <si>
    <t xml:space="preserve">操作介质重,kg</t>
  </si>
  <si>
    <t xml:space="preserve">132-D-102</t>
  </si>
  <si>
    <t xml:space="preserve">131-D-105</t>
  </si>
  <si>
    <t xml:space="preserve">132-D-202</t>
  </si>
  <si>
    <t xml:space="preserve">132-D-302</t>
  </si>
  <si>
    <t xml:space="preserve">132-D-405</t>
  </si>
  <si>
    <t xml:space="preserve">132-D-406</t>
  </si>
  <si>
    <t xml:space="preserve">132-D-103</t>
  </si>
  <si>
    <t xml:space="preserve">132-D-401</t>
  </si>
  <si>
    <t xml:space="preserve">132-D-402</t>
  </si>
  <si>
    <t xml:space="preserve">132-D-403</t>
  </si>
  <si>
    <t xml:space="preserve">132-D-409</t>
  </si>
  <si>
    <t xml:space="preserve">132-D-410</t>
  </si>
  <si>
    <t xml:space="preserve">132-D-411</t>
  </si>
  <si>
    <t xml:space="preserve">参考：</t>
  </si>
  <si>
    <t xml:space="preserve">217-V-501</t>
  </si>
  <si>
    <t xml:space="preserve">217-V-506</t>
  </si>
  <si>
    <t xml:space="preserve">131-D-110</t>
  </si>
  <si>
    <t xml:space="preserve">热低分罐</t>
  </si>
  <si>
    <t xml:space="preserve">新氢压缩机入口分液罐</t>
  </si>
  <si>
    <t xml:space="preserve">预闪蒸罐</t>
  </si>
  <si>
    <t xml:space="preserve">低分气分液罐</t>
  </si>
  <si>
    <t xml:space="preserve">燃料气分液罐</t>
  </si>
  <si>
    <t xml:space="preserve">净化压缩空气分液罐</t>
  </si>
  <si>
    <t xml:space="preserve">冷低分罐</t>
  </si>
  <si>
    <t xml:space="preserve">0.4MPaG汽包</t>
  </si>
  <si>
    <t xml:space="preserve">低压放空罐</t>
  </si>
  <si>
    <t xml:space="preserve">地下轻污油罐</t>
  </si>
  <si>
    <t xml:space="preserve">地下重污油罐</t>
  </si>
  <si>
    <t xml:space="preserve">汽包</t>
  </si>
  <si>
    <t xml:space="preserve">高压放空罐</t>
  </si>
  <si>
    <t xml:space="preserve">1.0MPaG汽包</t>
  </si>
  <si>
    <t xml:space="preserve">火炬气分液罐</t>
  </si>
  <si>
    <t xml:space="preserve">卧式</t>
  </si>
  <si>
    <t xml:space="preserve">H2、C1</t>
  </si>
  <si>
    <t xml:space="preserve">汽提塔底油</t>
  </si>
  <si>
    <t xml:space="preserve">低分气、富胺液</t>
  </si>
  <si>
    <t xml:space="preserve">燃料气</t>
  </si>
  <si>
    <t xml:space="preserve">空气</t>
  </si>
  <si>
    <t xml:space="preserve">蒸汽，除氧水</t>
  </si>
  <si>
    <t xml:space="preserve">污油</t>
  </si>
  <si>
    <t xml:space="preserve">蒸汽、水</t>
  </si>
  <si>
    <t xml:space="preserve">火炬气</t>
  </si>
  <si>
    <t xml:space="preserve">是否允许有一定液沫夹带？</t>
  </si>
  <si>
    <t xml:space="preserve">否</t>
  </si>
  <si>
    <t xml:space="preserve">是</t>
  </si>
  <si>
    <t xml:space="preserve">是否安装破沫网？</t>
  </si>
  <si>
    <t xml:space="preserve">结构系数</t>
  </si>
  <si>
    <r>
      <rPr>
        <sz val="12"/>
        <rFont val="宋体"/>
        <family val="0"/>
        <charset val="134"/>
      </rPr>
      <t xml:space="preserve">气相空间截面积（m</t>
    </r>
    <r>
      <rPr>
        <vertAlign val="superscript"/>
        <sz val="12"/>
        <rFont val="宋体"/>
        <family val="3"/>
        <charset val="134"/>
      </rPr>
      <t xml:space="preserve">2</t>
    </r>
    <r>
      <rPr>
        <sz val="12"/>
        <rFont val="宋体"/>
        <family val="3"/>
        <charset val="134"/>
      </rPr>
      <t xml:space="preserve">）</t>
    </r>
  </si>
  <si>
    <t xml:space="preserve">实际气体流速(m/s)</t>
  </si>
  <si>
    <t xml:space="preserve">气体流速是否合适</t>
  </si>
  <si>
    <t xml:space="preserve">气体空间高度(m)</t>
  </si>
  <si>
    <t xml:space="preserve">液体空间高度(m)</t>
  </si>
  <si>
    <r>
      <rPr>
        <sz val="12"/>
        <rFont val="宋体"/>
        <family val="3"/>
        <charset val="134"/>
      </rPr>
      <t xml:space="preserve">液体空间容积（m</t>
    </r>
    <r>
      <rPr>
        <vertAlign val="superscript"/>
        <sz val="12"/>
        <rFont val="宋体"/>
        <family val="3"/>
        <charset val="134"/>
      </rPr>
      <t xml:space="preserve">3</t>
    </r>
    <r>
      <rPr>
        <sz val="12"/>
        <rFont val="宋体"/>
        <family val="3"/>
        <charset val="134"/>
      </rPr>
      <t xml:space="preserve">）</t>
    </r>
  </si>
  <si>
    <t xml:space="preserve">塔顶油品去向</t>
  </si>
  <si>
    <t xml:space="preserve">下一工序</t>
  </si>
  <si>
    <t xml:space="preserve">液体产品停留时间(min)</t>
  </si>
  <si>
    <t xml:space="preserve">液体的停留时间是否合适</t>
  </si>
  <si>
    <t xml:space="preserve">核算检查</t>
  </si>
  <si>
    <t xml:space="preserve">核算油水分离时间,min</t>
  </si>
  <si>
    <t xml:space="preserve">液体流速（m/s）</t>
  </si>
  <si>
    <t xml:space="preserve">总容积（m3）</t>
  </si>
  <si>
    <t xml:space="preserve">装满系数</t>
  </si>
  <si>
    <t xml:space="preserve">操作介质重（kg）</t>
  </si>
  <si>
    <t xml:space="preserve">操作条件下水流率(kg/h，指分水包)</t>
  </si>
  <si>
    <t xml:space="preserve">最大水流率(kg/h，指分水包)</t>
  </si>
  <si>
    <t xml:space="preserve">分水斗中水的停留时间(min)</t>
  </si>
  <si>
    <t xml:space="preserve">分水斗中水的最小停留时间(min)</t>
  </si>
  <si>
    <t xml:space="preserve">分水斗中水的停留时间是否合适</t>
  </si>
  <si>
    <t xml:space="preserve">132-D-201</t>
  </si>
  <si>
    <t xml:space="preserve">132-D-203</t>
  </si>
  <si>
    <t xml:space="preserve">汽提塔顶回流罐</t>
  </si>
  <si>
    <t xml:space="preserve">分馏塔顶回流罐</t>
  </si>
  <si>
    <t xml:space="preserve">不凝气，粗石脑油</t>
  </si>
  <si>
    <t xml:space="preserve">石脑油</t>
  </si>
  <si>
    <t xml:space="preserve">操作条件下回流流量(kg/h)</t>
  </si>
  <si>
    <t xml:space="preserve">最大回流流量(kg/h)</t>
  </si>
  <si>
    <t xml:space="preserve">操作条件下回流流率(m3/s)</t>
  </si>
  <si>
    <r>
      <rPr>
        <sz val="12"/>
        <rFont val="宋体"/>
        <family val="0"/>
        <charset val="134"/>
      </rPr>
      <t xml:space="preserve">液体空间截面积（m</t>
    </r>
    <r>
      <rPr>
        <vertAlign val="superscript"/>
        <sz val="12"/>
        <rFont val="宋体"/>
        <family val="3"/>
        <charset val="134"/>
      </rPr>
      <t xml:space="preserve">2</t>
    </r>
    <r>
      <rPr>
        <sz val="12"/>
        <rFont val="宋体"/>
        <family val="3"/>
        <charset val="134"/>
      </rPr>
      <t xml:space="preserve">）</t>
    </r>
  </si>
  <si>
    <r>
      <rPr>
        <sz val="12"/>
        <rFont val="宋体"/>
        <family val="0"/>
        <charset val="134"/>
      </rPr>
      <t xml:space="preserve">回流停留时间(min</t>
    </r>
    <r>
      <rPr>
        <sz val="12"/>
        <rFont val="宋体"/>
        <family val="3"/>
        <charset val="134"/>
      </rPr>
      <t xml:space="preserve">)</t>
    </r>
  </si>
  <si>
    <t xml:space="preserve">最小停留时间要求</t>
  </si>
  <si>
    <r>
      <rPr>
        <sz val="12"/>
        <rFont val="宋体"/>
        <family val="3"/>
        <charset val="134"/>
      </rPr>
      <t xml:space="preserve">容积，m</t>
    </r>
    <r>
      <rPr>
        <vertAlign val="superscript"/>
        <sz val="12"/>
        <rFont val="宋体"/>
        <family val="3"/>
        <charset val="134"/>
      </rPr>
      <t xml:space="preserve">3</t>
    </r>
  </si>
  <si>
    <t xml:space="preserve">水相H2S浓度(wt%)</t>
  </si>
  <si>
    <t xml:space="preserve">132-D-110</t>
  </si>
  <si>
    <t xml:space="preserve">132-D-101</t>
  </si>
  <si>
    <t xml:space="preserve">132-D-104</t>
  </si>
  <si>
    <t xml:space="preserve">132-D-109</t>
  </si>
  <si>
    <t xml:space="preserve">132-D-301</t>
  </si>
  <si>
    <t xml:space="preserve">132-D-407</t>
  </si>
  <si>
    <t xml:space="preserve">132-D-108</t>
  </si>
  <si>
    <t xml:space="preserve">132-D-415</t>
  </si>
  <si>
    <t xml:space="preserve">132-D-412</t>
  </si>
  <si>
    <t xml:space="preserve">132-D-413</t>
  </si>
  <si>
    <t xml:space="preserve">原料油缓冲罐</t>
  </si>
  <si>
    <t xml:space="preserve">加氢进料缓冲罐</t>
  </si>
  <si>
    <t xml:space="preserve">除氧水罐</t>
  </si>
  <si>
    <t xml:space="preserve">循环泵封油罐</t>
  </si>
  <si>
    <t xml:space="preserve">贫胺液罐</t>
  </si>
  <si>
    <t xml:space="preserve">硫化剂罐</t>
  </si>
  <si>
    <t xml:space="preserve">反冲洗污油罐</t>
  </si>
  <si>
    <t xml:space="preserve">压缩机区污油罐</t>
  </si>
  <si>
    <t xml:space="preserve">排污扩容器</t>
  </si>
  <si>
    <t xml:space="preserve">废胺液罐</t>
  </si>
  <si>
    <t xml:space="preserve">容器直径(m)</t>
  </si>
  <si>
    <t xml:space="preserve">容器切线长度(m)</t>
  </si>
  <si>
    <t xml:space="preserve">原料蜡油</t>
  </si>
  <si>
    <t xml:space="preserve">除氧水</t>
  </si>
  <si>
    <t xml:space="preserve">柴油</t>
  </si>
  <si>
    <t xml:space="preserve">贫胺液</t>
  </si>
  <si>
    <t xml:space="preserve">硫化剂</t>
  </si>
  <si>
    <t xml:space="preserve">反冲洗污油</t>
  </si>
  <si>
    <t xml:space="preserve">压缩机污油</t>
  </si>
  <si>
    <t xml:space="preserve">汽包排污水</t>
  </si>
  <si>
    <t xml:space="preserve">废胺液、污油</t>
  </si>
  <si>
    <t xml:space="preserve">压力(MPaG)</t>
  </si>
  <si>
    <t xml:space="preserve">正常质量流率(kg/h)</t>
  </si>
  <si>
    <t xml:space="preserve">最大液体质量流率(kg/h)</t>
  </si>
  <si>
    <t xml:space="preserve">介质密度(kg/cum)</t>
  </si>
  <si>
    <t xml:space="preserve">介质体积流率(cum/h)</t>
  </si>
  <si>
    <r>
      <rPr>
        <sz val="12"/>
        <rFont val="宋体"/>
        <family val="3"/>
        <charset val="134"/>
      </rPr>
      <t xml:space="preserve">罐体介质流通面积</t>
    </r>
    <r>
      <rPr>
        <sz val="12"/>
        <rFont val="Times New Roman"/>
        <family val="1"/>
        <charset val="1"/>
      </rPr>
      <t xml:space="preserve">(m</t>
    </r>
    <r>
      <rPr>
        <vertAlign val="superscript"/>
        <sz val="12"/>
        <rFont val="Times New Roman"/>
        <family val="1"/>
        <charset val="1"/>
      </rPr>
      <t xml:space="preserve">2</t>
    </r>
    <r>
      <rPr>
        <sz val="12"/>
        <rFont val="Times New Roman"/>
        <family val="1"/>
        <charset val="1"/>
      </rPr>
      <t xml:space="preserve">)</t>
    </r>
  </si>
  <si>
    <r>
      <rPr>
        <sz val="12"/>
        <rFont val="宋体"/>
        <family val="3"/>
        <charset val="134"/>
      </rPr>
      <t xml:space="preserve">介质在罐内流速</t>
    </r>
    <r>
      <rPr>
        <sz val="12"/>
        <rFont val="Times New Roman"/>
        <family val="1"/>
        <charset val="1"/>
      </rPr>
      <t xml:space="preserve">(m/s)</t>
    </r>
  </si>
  <si>
    <t xml:space="preserve">介质在罐内的最大流速(m/s)</t>
  </si>
  <si>
    <r>
      <rPr>
        <sz val="12"/>
        <rFont val="宋体"/>
        <family val="0"/>
        <charset val="134"/>
      </rPr>
      <t xml:space="preserve">罐体流通容积</t>
    </r>
    <r>
      <rPr>
        <sz val="12"/>
        <rFont val="Times New Roman"/>
        <family val="1"/>
        <charset val="1"/>
      </rPr>
      <t xml:space="preserve">(cum)</t>
    </r>
  </si>
  <si>
    <r>
      <rPr>
        <sz val="12"/>
        <rFont val="宋体"/>
        <family val="3"/>
        <charset val="134"/>
      </rPr>
      <t xml:space="preserve">介质停留时间</t>
    </r>
    <r>
      <rPr>
        <sz val="12"/>
        <rFont val="Times New Roman"/>
        <family val="1"/>
        <charset val="1"/>
      </rPr>
      <t xml:space="preserve">(min)</t>
    </r>
  </si>
  <si>
    <r>
      <rPr>
        <sz val="12"/>
        <color rgb="FF0000FF"/>
        <rFont val="宋体"/>
        <family val="3"/>
        <charset val="134"/>
      </rPr>
      <t xml:space="preserve">要求的最小停留时间(min</t>
    </r>
    <r>
      <rPr>
        <sz val="12"/>
        <rFont val="宋体"/>
        <family val="3"/>
        <charset val="134"/>
      </rPr>
      <t xml:space="preserve">)</t>
    </r>
  </si>
  <si>
    <t xml:space="preserve">最高液位高度，m</t>
  </si>
  <si>
    <t xml:space="preserve">低液位高度,m</t>
  </si>
  <si>
    <t xml:space="preserve">高低液位差,m</t>
  </si>
  <si>
    <t xml:space="preserve">停留时间,(min)</t>
  </si>
  <si>
    <t xml:space="preserve">正常气体质量流率(kg/h)</t>
  </si>
  <si>
    <t xml:space="preserve">最大气体质量流率(kg/h)</t>
  </si>
  <si>
    <t xml:space="preserve">气体密度(kg/cum)</t>
  </si>
  <si>
    <t xml:space="preserve">气体体积流率(cum/h)</t>
  </si>
  <si>
    <r>
      <rPr>
        <sz val="12"/>
        <rFont val="宋体"/>
        <family val="3"/>
        <charset val="134"/>
      </rPr>
      <t xml:space="preserve">气体在罐内流速</t>
    </r>
    <r>
      <rPr>
        <sz val="12"/>
        <rFont val="Times New Roman"/>
        <family val="1"/>
        <charset val="1"/>
      </rPr>
      <t xml:space="preserve">(m/s)</t>
    </r>
  </si>
  <si>
    <t xml:space="preserve">222-V-113</t>
  </si>
  <si>
    <t xml:space="preserve">净化压缩空气罐</t>
  </si>
  <si>
    <t xml:space="preserve">净化空气</t>
  </si>
  <si>
    <t xml:space="preserve">空气质量流率(Nm3/h)</t>
  </si>
  <si>
    <t xml:space="preserve">空气质量流率(kg/h)</t>
  </si>
  <si>
    <t xml:space="preserve">空气密度(kg/cum)</t>
  </si>
  <si>
    <t xml:space="preserve">空气体积流率(cum/h)</t>
  </si>
  <si>
    <r>
      <rPr>
        <sz val="12"/>
        <rFont val="宋体"/>
        <family val="3"/>
        <charset val="134"/>
      </rPr>
      <t xml:space="preserve">罐体流通面积</t>
    </r>
    <r>
      <rPr>
        <sz val="12"/>
        <rFont val="Times New Roman"/>
        <family val="1"/>
        <charset val="1"/>
      </rPr>
      <t xml:space="preserve">(m</t>
    </r>
    <r>
      <rPr>
        <vertAlign val="superscript"/>
        <sz val="12"/>
        <rFont val="Times New Roman"/>
        <family val="1"/>
        <charset val="1"/>
      </rPr>
      <t xml:space="preserve">2</t>
    </r>
    <r>
      <rPr>
        <sz val="12"/>
        <rFont val="Times New Roman"/>
        <family val="1"/>
        <charset val="1"/>
      </rPr>
      <t xml:space="preserve">)</t>
    </r>
  </si>
  <si>
    <r>
      <rPr>
        <sz val="12"/>
        <rFont val="宋体"/>
        <family val="3"/>
        <charset val="134"/>
      </rPr>
      <t xml:space="preserve">空气在罐内流速</t>
    </r>
    <r>
      <rPr>
        <sz val="12"/>
        <rFont val="Times New Roman"/>
        <family val="1"/>
        <charset val="1"/>
      </rPr>
      <t xml:space="preserve">(m/s)</t>
    </r>
  </si>
  <si>
    <t xml:space="preserve">空气在罐内的最大流速(m/s)</t>
  </si>
  <si>
    <r>
      <rPr>
        <sz val="12"/>
        <rFont val="宋体"/>
        <family val="3"/>
        <charset val="134"/>
      </rPr>
      <t xml:space="preserve">罐体流通容积</t>
    </r>
    <r>
      <rPr>
        <sz val="12"/>
        <rFont val="Times New Roman"/>
        <family val="1"/>
        <charset val="1"/>
      </rPr>
      <t xml:space="preserve">(cum)</t>
    </r>
  </si>
  <si>
    <r>
      <rPr>
        <sz val="12"/>
        <rFont val="宋体"/>
        <family val="3"/>
        <charset val="134"/>
      </rPr>
      <t xml:space="preserve">罐总容积</t>
    </r>
    <r>
      <rPr>
        <sz val="12"/>
        <rFont val="Times New Roman"/>
        <family val="1"/>
        <charset val="1"/>
      </rPr>
      <t xml:space="preserve">(cum)</t>
    </r>
  </si>
  <si>
    <r>
      <rPr>
        <sz val="12"/>
        <rFont val="宋体"/>
        <family val="3"/>
        <charset val="134"/>
      </rPr>
      <t xml:space="preserve">液体停留时间</t>
    </r>
    <r>
      <rPr>
        <sz val="12"/>
        <rFont val="Times New Roman"/>
        <family val="1"/>
        <charset val="1"/>
      </rPr>
      <t xml:space="preserve">(min)</t>
    </r>
  </si>
  <si>
    <t xml:space="preserve">要求出口最低压力(MPaG)</t>
  </si>
  <si>
    <t xml:space="preserve">要求的最小容积(cum)</t>
  </si>
  <si>
    <r>
      <rPr>
        <sz val="12"/>
        <rFont val="宋体"/>
        <family val="3"/>
        <charset val="134"/>
      </rPr>
      <t xml:space="preserve">直径 </t>
    </r>
    <r>
      <rPr>
        <sz val="12"/>
        <rFont val="Times New Roman"/>
        <family val="1"/>
        <charset val="1"/>
      </rPr>
      <t xml:space="preserve">m</t>
    </r>
  </si>
  <si>
    <r>
      <rPr>
        <sz val="12"/>
        <rFont val="宋体"/>
        <family val="3"/>
        <charset val="134"/>
      </rPr>
      <t xml:space="preserve">高度或长度 </t>
    </r>
    <r>
      <rPr>
        <sz val="12"/>
        <rFont val="Times New Roman"/>
        <family val="1"/>
        <charset val="1"/>
      </rPr>
      <t xml:space="preserve">m</t>
    </r>
  </si>
  <si>
    <r>
      <rPr>
        <sz val="12"/>
        <rFont val="宋体"/>
        <family val="3"/>
        <charset val="134"/>
      </rPr>
      <t xml:space="preserve">体积  </t>
    </r>
    <r>
      <rPr>
        <sz val="12"/>
        <rFont val="Times New Roman"/>
        <family val="1"/>
        <charset val="1"/>
      </rPr>
      <t xml:space="preserve">m3</t>
    </r>
  </si>
  <si>
    <t xml:space="preserve">裂解反应器1</t>
  </si>
  <si>
    <t xml:space="preserve">裂解反应器2</t>
  </si>
  <si>
    <t xml:space="preserve">精制反应器</t>
  </si>
  <si>
    <t xml:space="preserve">精制催化剂体积</t>
  </si>
  <si>
    <t xml:space="preserve">精制催化剂空隙率</t>
  </si>
  <si>
    <t xml:space="preserve">裂解热高分</t>
  </si>
  <si>
    <t xml:space="preserve">精制热高分</t>
  </si>
  <si>
    <t xml:space="preserve">精制冷高分</t>
  </si>
  <si>
    <t xml:space="preserve">循环氢分液罐</t>
  </si>
  <si>
    <t xml:space="preserve">裂解高压换热器1</t>
  </si>
  <si>
    <t xml:space="preserve">裂解高压换热器2</t>
  </si>
  <si>
    <t xml:space="preserve">精制高压换热器1</t>
  </si>
  <si>
    <t xml:space="preserve">精制高压换热器2</t>
  </si>
  <si>
    <t xml:space="preserve">管线</t>
  </si>
  <si>
    <t xml:space="preserve">加热炉</t>
  </si>
  <si>
    <r>
      <rPr>
        <sz val="12"/>
        <rFont val="宋体"/>
        <family val="3"/>
        <charset val="134"/>
      </rPr>
      <t xml:space="preserve">总体积  </t>
    </r>
    <r>
      <rPr>
        <sz val="12"/>
        <rFont val="Times New Roman"/>
        <family val="1"/>
        <charset val="1"/>
      </rPr>
      <t xml:space="preserve">m3</t>
    </r>
  </si>
  <si>
    <r>
      <rPr>
        <sz val="12"/>
        <rFont val="宋体"/>
        <family val="3"/>
        <charset val="134"/>
      </rPr>
      <t xml:space="preserve">气密压力  </t>
    </r>
    <r>
      <rPr>
        <sz val="12"/>
        <rFont val="Times New Roman"/>
        <family val="1"/>
        <charset val="1"/>
      </rPr>
      <t xml:space="preserve">Bar</t>
    </r>
  </si>
  <si>
    <t xml:space="preserve">安全系数</t>
  </si>
  <si>
    <r>
      <rPr>
        <sz val="12"/>
        <rFont val="Times New Roman"/>
        <family val="1"/>
        <charset val="1"/>
      </rPr>
      <t xml:space="preserve">0.7MPa/min  </t>
    </r>
    <r>
      <rPr>
        <sz val="12"/>
        <rFont val="宋体"/>
        <family val="3"/>
        <charset val="134"/>
      </rPr>
      <t xml:space="preserve">泄放量   </t>
    </r>
    <r>
      <rPr>
        <sz val="12"/>
        <rFont val="Times New Roman"/>
        <family val="1"/>
        <charset val="1"/>
      </rPr>
      <t xml:space="preserve">NM3/h</t>
    </r>
  </si>
  <si>
    <r>
      <rPr>
        <sz val="12"/>
        <rFont val="Times New Roman"/>
        <family val="1"/>
        <charset val="1"/>
      </rPr>
      <t xml:space="preserve">1.4MPa/min  </t>
    </r>
    <r>
      <rPr>
        <sz val="12"/>
        <rFont val="宋体"/>
        <family val="3"/>
        <charset val="134"/>
      </rPr>
      <t xml:space="preserve">泄放量   </t>
    </r>
    <r>
      <rPr>
        <sz val="12"/>
        <rFont val="Times New Roman"/>
        <family val="1"/>
        <charset val="1"/>
      </rPr>
      <t xml:space="preserve">NM3/h</t>
    </r>
  </si>
  <si>
    <r>
      <rPr>
        <sz val="12"/>
        <rFont val="Times New Roman"/>
        <family val="1"/>
        <charset val="1"/>
      </rPr>
      <t xml:space="preserve">2.1Mpa/min  </t>
    </r>
    <r>
      <rPr>
        <sz val="12"/>
        <rFont val="宋体"/>
        <family val="3"/>
        <charset val="134"/>
      </rPr>
      <t xml:space="preserve">泄放量   </t>
    </r>
    <r>
      <rPr>
        <sz val="12"/>
        <rFont val="Times New Roman"/>
        <family val="1"/>
        <charset val="1"/>
      </rPr>
      <t xml:space="preserve">NM3/h</t>
    </r>
  </si>
  <si>
    <r>
      <rPr>
        <sz val="12"/>
        <rFont val="宋体"/>
        <family val="3"/>
        <charset val="134"/>
      </rPr>
      <t xml:space="preserve">气密氮气量  </t>
    </r>
    <r>
      <rPr>
        <sz val="12"/>
        <rFont val="Times New Roman"/>
        <family val="1"/>
        <charset val="1"/>
      </rPr>
      <t xml:space="preserve">NM3</t>
    </r>
  </si>
  <si>
    <t xml:space="preserve">容器类别</t>
  </si>
  <si>
    <t xml:space="preserve">缓冲罐</t>
  </si>
  <si>
    <t xml:space="preserve">卧式回流罐</t>
  </si>
  <si>
    <t xml:space="preserve">汽液分离罐</t>
  </si>
  <si>
    <t xml:space="preserve">正常操作温度(℃)</t>
  </si>
  <si>
    <t xml:space="preserve">最高操作温度(℃)</t>
  </si>
  <si>
    <t xml:space="preserve">操作条件下水流量(kg/h，指分水包)</t>
  </si>
  <si>
    <t xml:space="preserve">最大水流量(kg/h，指分水包)</t>
  </si>
  <si>
    <t xml:space="preserve">气体空间最小高度(m)</t>
  </si>
  <si>
    <t xml:space="preserve">允许最小结构系数</t>
  </si>
  <si>
    <t xml:space="preserve">液体的流速是否合适</t>
  </si>
  <si>
    <t xml:space="preserve">液体最小停留时间要求</t>
  </si>
  <si>
    <r>
      <rPr>
        <sz val="11"/>
        <color rgb="FF0000FF"/>
        <rFont val="宋体"/>
        <family val="3"/>
        <charset val="134"/>
      </rPr>
      <t xml:space="preserve">模拟中物流编号               </t>
    </r>
    <r>
      <rPr>
        <sz val="12"/>
        <rFont val="宋体"/>
        <family val="3"/>
        <charset val="134"/>
      </rPr>
      <t xml:space="preserve">        进</t>
    </r>
  </si>
  <si>
    <t xml:space="preserve">泵设备编号</t>
  </si>
  <si>
    <t xml:space="preserve">132-P-101A/B</t>
  </si>
  <si>
    <t xml:space="preserve">132-P-101-T</t>
  </si>
  <si>
    <t xml:space="preserve">132-P-102A/B</t>
  </si>
  <si>
    <t xml:space="preserve">132-P-103A/B</t>
  </si>
  <si>
    <t xml:space="preserve">132-P-104A/B</t>
  </si>
  <si>
    <t xml:space="preserve">132-P-105A/B/C/D</t>
  </si>
  <si>
    <t xml:space="preserve">132-P-106A/B</t>
  </si>
  <si>
    <t xml:space="preserve">132-P-201A/B</t>
  </si>
  <si>
    <t xml:space="preserve">132-P-202A/B</t>
  </si>
  <si>
    <t xml:space="preserve">132-P-203A/B</t>
  </si>
  <si>
    <t xml:space="preserve">132-P-204A/B</t>
  </si>
  <si>
    <t xml:space="preserve">132-P-205A/B</t>
  </si>
  <si>
    <t xml:space="preserve">132-P-206A/B</t>
  </si>
  <si>
    <t xml:space="preserve">132-P-207A/B</t>
  </si>
  <si>
    <t xml:space="preserve">132-P-301A/B</t>
  </si>
  <si>
    <t xml:space="preserve">132-P-401</t>
  </si>
  <si>
    <t xml:space="preserve">132-P-404</t>
  </si>
  <si>
    <t xml:space="preserve">132-P-406A/B</t>
  </si>
  <si>
    <t xml:space="preserve">泵名称</t>
  </si>
  <si>
    <t xml:space="preserve">反应进料泵</t>
  </si>
  <si>
    <t xml:space="preserve">液力透平</t>
  </si>
  <si>
    <t xml:space="preserve">循环油泵</t>
  </si>
  <si>
    <t xml:space="preserve">注水泵</t>
  </si>
  <si>
    <t xml:space="preserve">反冲洗污油泵</t>
  </si>
  <si>
    <t xml:space="preserve">循环油冲洗液泵</t>
  </si>
  <si>
    <t xml:space="preserve">原料油泵</t>
  </si>
  <si>
    <t xml:space="preserve">汽提塔顶回流泵</t>
  </si>
  <si>
    <t xml:space="preserve">分馏塔进料泵</t>
  </si>
  <si>
    <t xml:space="preserve">分馏塔顶回流泵</t>
  </si>
  <si>
    <t xml:space="preserve">分馏塔切水泵</t>
  </si>
  <si>
    <t xml:space="preserve">分馏塔中段回流泵</t>
  </si>
  <si>
    <t xml:space="preserve">柴油产品泵</t>
  </si>
  <si>
    <t xml:space="preserve">加氢蜡油泵</t>
  </si>
  <si>
    <t xml:space="preserve">贫胺液泵</t>
  </si>
  <si>
    <t xml:space="preserve">地下轻污油泵</t>
  </si>
  <si>
    <t xml:space="preserve">地下废胺液泵</t>
  </si>
  <si>
    <t xml:space="preserve">排污水泵</t>
  </si>
  <si>
    <t xml:space="preserve">介质名称</t>
  </si>
  <si>
    <t xml:space="preserve">原料油</t>
  </si>
  <si>
    <t xml:space="preserve">反应产物</t>
  </si>
  <si>
    <t xml:space="preserve">循环油</t>
  </si>
  <si>
    <t xml:space="preserve">锅炉给水</t>
  </si>
  <si>
    <t xml:space="preserve">粗石脑油</t>
  </si>
  <si>
    <t xml:space="preserve">分馏塔进料</t>
  </si>
  <si>
    <t xml:space="preserve">切水</t>
  </si>
  <si>
    <t xml:space="preserve">加氢蜡油</t>
  </si>
  <si>
    <t xml:space="preserve">轻污油</t>
  </si>
  <si>
    <t xml:space="preserve">废胺液</t>
  </si>
  <si>
    <t xml:space="preserve">污水</t>
  </si>
  <si>
    <t xml:space="preserve">模拟的介质质量流量(KG/H)</t>
  </si>
  <si>
    <t xml:space="preserve">介质正常工况质量流量(KG/H)</t>
  </si>
  <si>
    <t xml:space="preserve">介质额定流量系数</t>
  </si>
  <si>
    <t xml:space="preserve">介质最小流量系数</t>
  </si>
  <si>
    <t xml:space="preserve">介质额定质量流量(KG/H)</t>
  </si>
  <si>
    <t xml:space="preserve">介质最小质量流量(KG/H)</t>
  </si>
  <si>
    <t xml:space="preserve">模拟的介质体积流量(CUM/H)</t>
  </si>
  <si>
    <t xml:space="preserve">介质正常工况体积流量(CUM/H)</t>
  </si>
  <si>
    <t xml:space="preserve">介质额定体积流量(CUM/H)</t>
  </si>
  <si>
    <t xml:space="preserve">介质最小体积流量(CUM/H)</t>
  </si>
  <si>
    <t xml:space="preserve">粘度校正后正常工况介质体积流量(CUM/H)</t>
  </si>
  <si>
    <t xml:space="preserve">粘度校正后介质额定体积流量(CUM/H)</t>
  </si>
  <si>
    <t xml:space="preserve">粘度校正后最小介质体积流量（CUM/H)</t>
  </si>
  <si>
    <t xml:space="preserve">泵开工（介质为水）时体积流量(CUM/H)</t>
  </si>
  <si>
    <t xml:space="preserve">输送温度(C)</t>
  </si>
  <si>
    <t xml:space="preserve">输送密度(KG/CUM)</t>
  </si>
  <si>
    <t xml:space="preserve">操作温度时介质饱和蒸汽压(Mpa，绝)</t>
  </si>
  <si>
    <t xml:space="preserve">介质输送粘度(cS)</t>
  </si>
  <si>
    <t xml:space="preserve">粘度对流量的校正系数KQ</t>
  </si>
  <si>
    <t xml:space="preserve">粘度对扬程的校正系数KH</t>
  </si>
  <si>
    <t xml:space="preserve">粘度对效率的校正系数Kη</t>
  </si>
  <si>
    <t xml:space="preserve">粘度对泵所需气蚀余量的校正系数K△h</t>
  </si>
  <si>
    <t xml:space="preserve">泵入口侧设备最高操作压力(MPa，表)</t>
  </si>
  <si>
    <t xml:space="preserve">排入侧(设备)压力(Mpa，绝)</t>
  </si>
  <si>
    <t xml:space="preserve">排出侧(设备)压力(Mpa，绝)</t>
  </si>
  <si>
    <t xml:space="preserve">排出口侧与进口侧压差(Mpa)</t>
  </si>
  <si>
    <t xml:space="preserve">泵入口(设备)液面高度(m）</t>
  </si>
  <si>
    <t xml:space="preserve">泵出口(设备)液面高度(m）</t>
  </si>
  <si>
    <t xml:space="preserve">泵出口与泵进口(设备)高差(m)</t>
  </si>
  <si>
    <t xml:space="preserve">泵入口直管段估算长度(m)</t>
  </si>
  <si>
    <t xml:space="preserve">泵入口弯头三通大小头等管件个数估算(个)</t>
  </si>
  <si>
    <t xml:space="preserve">泵入口阀门个数估算(个)</t>
  </si>
  <si>
    <t xml:space="preserve">泵入口管径(m)</t>
  </si>
  <si>
    <t xml:space="preserve">泵入口当量管长(m)</t>
  </si>
  <si>
    <t xml:space="preserve">泵入口每100m管线压降(kpa)</t>
  </si>
  <si>
    <t xml:space="preserve">泵入口管线压降(Mpa)</t>
  </si>
  <si>
    <t xml:space="preserve">泵出口直管段估算长度(m)</t>
  </si>
  <si>
    <t xml:space="preserve">泵出口弯头三通大小头等管件个数估算(个)</t>
  </si>
  <si>
    <t xml:space="preserve">泵出口阀门(不含调节阀）个数估算(个)</t>
  </si>
  <si>
    <t xml:space="preserve">泵出口管径(m)</t>
  </si>
  <si>
    <t xml:space="preserve">泵出口当量管长(m)</t>
  </si>
  <si>
    <t xml:space="preserve">泵出口每100m管线压降(kpa)</t>
  </si>
  <si>
    <t xml:space="preserve">泵出口管线压力降(Mpa)</t>
  </si>
  <si>
    <t xml:space="preserve">加热炉压降(Mpa)</t>
  </si>
  <si>
    <t xml:space="preserve">容器压降(Mpa)</t>
  </si>
  <si>
    <t xml:space="preserve">换热器、冷却器总压降Mpa)</t>
  </si>
  <si>
    <t xml:space="preserve">空冷器压降(Mpa)</t>
  </si>
  <si>
    <t xml:space="preserve">蒸汽发生器压降(Mpa)</t>
  </si>
  <si>
    <t xml:space="preserve">混合设备的压降(Mpa)</t>
  </si>
  <si>
    <t xml:space="preserve">过滤设备压降(Mpa)</t>
  </si>
  <si>
    <t xml:space="preserve">孔板压降(Mpa)</t>
  </si>
  <si>
    <t xml:space="preserve">流量计压降(Mpa)</t>
  </si>
  <si>
    <t xml:space="preserve">调节阀压降(Mpa)</t>
  </si>
  <si>
    <t xml:space="preserve">泵出口系统压力降(Mpa)</t>
  </si>
  <si>
    <t xml:space="preserve">调节阀压力降占泵出口系统压降比例</t>
  </si>
  <si>
    <t xml:space="preserve">计算扬程(Mpa)</t>
  </si>
  <si>
    <t xml:space="preserve">以米计的泵计算扬程(m)</t>
  </si>
  <si>
    <t xml:space="preserve">粘度校正后泵的计算扬程(m)</t>
  </si>
  <si>
    <t xml:space="preserve">选用扬程系数</t>
  </si>
  <si>
    <t xml:space="preserve">正常工况泵所需的扬程(m)</t>
  </si>
  <si>
    <t xml:space="preserve">额定流量下泵所需的一般扬程(m)</t>
  </si>
  <si>
    <t xml:space="preserve">泵的正常入口压力(Mpa，绝)</t>
  </si>
  <si>
    <t xml:space="preserve">泵入口最大压力(Mpa，绝)</t>
  </si>
  <si>
    <t xml:space="preserve">泵出口所需的压力(Mpa，绝)</t>
  </si>
  <si>
    <t xml:space="preserve">选用的泵型号</t>
  </si>
  <si>
    <t xml:space="preserve">SCS-40II×9         Φ=160</t>
  </si>
  <si>
    <t xml:space="preserve">EAP40-400                  Φ=324</t>
  </si>
  <si>
    <t xml:space="preserve">HSA200-95D</t>
  </si>
  <si>
    <t xml:space="preserve">EAP-65-40-250      Φ=250</t>
  </si>
  <si>
    <t xml:space="preserve">EAP200-315  
Φ=315</t>
  </si>
  <si>
    <t xml:space="preserve">EAP50-450
Φ=410</t>
  </si>
  <si>
    <t xml:space="preserve">SCS25I×4         Φ=165   </t>
  </si>
  <si>
    <t xml:space="preserve">EAP150-250       Φ=240</t>
  </si>
  <si>
    <t xml:space="preserve">EAP50-400       Φ=409</t>
  </si>
  <si>
    <t xml:space="preserve">480HDD270×2-2      Φ=320</t>
  </si>
  <si>
    <t xml:space="preserve">SCS-100×4       Φ=258</t>
  </si>
  <si>
    <t xml:space="preserve">ZX-65-40-315</t>
  </si>
  <si>
    <t xml:space="preserve">ZX-65-40-250</t>
  </si>
  <si>
    <t xml:space="preserve">HC 32-200              Φ=200   </t>
  </si>
  <si>
    <t xml:space="preserve">泵重（kg）</t>
  </si>
  <si>
    <t xml:space="preserve">选泵后泵零流量时的扬程(m)</t>
  </si>
  <si>
    <t xml:space="preserve">选泵后的正常工况时的扬程(m)</t>
  </si>
  <si>
    <t xml:space="preserve">泵开工（介质为水）时的扬程(m)</t>
  </si>
  <si>
    <t xml:space="preserve">选泵后的额定流量时的扬程(m)</t>
  </si>
  <si>
    <t xml:space="preserve">正常工况时泵效率</t>
  </si>
  <si>
    <t xml:space="preserve">最小流量时泵效率</t>
  </si>
  <si>
    <t xml:space="preserve">泵开工(介质为水)情况下的泵效率</t>
  </si>
  <si>
    <t xml:space="preserve">额定流量时泵效率</t>
  </si>
  <si>
    <t xml:space="preserve">额定流量时泵所需的气蚀余量NPSHr(m)</t>
  </si>
  <si>
    <t xml:space="preserve">粘度校正后泵所需的气蚀余量NPSHr(m)</t>
  </si>
  <si>
    <t xml:space="preserve">有效气蚀余量NPSHa(m)</t>
  </si>
  <si>
    <t xml:space="preserve">提供给泵厂家的最大有效气蚀余量(m)</t>
  </si>
  <si>
    <t xml:space="preserve">泵所需气蚀余量的安全余量(m)</t>
  </si>
  <si>
    <t xml:space="preserve">正常工况时泵出口压力(Mpa，绝)</t>
  </si>
  <si>
    <t xml:space="preserve">泵零流量时泵出口压力(Mpa，绝)</t>
  </si>
  <si>
    <t xml:space="preserve">泵出口最大压力(Mpa，绝)</t>
  </si>
  <si>
    <t xml:space="preserve">泵正常工况下所需的轴功率(KW)</t>
  </si>
  <si>
    <t xml:space="preserve">泵最小流量下所需的轴功率(KW)</t>
  </si>
  <si>
    <t xml:space="preserve">泵额定工况下所需的轴功率(KW)</t>
  </si>
  <si>
    <t xml:space="preserve">泵开工(介质为水)情况下的轴功率(KW)</t>
  </si>
  <si>
    <t xml:space="preserve">泵所需的最大轴功率(KW)</t>
  </si>
  <si>
    <t xml:space="preserve">功率裕量系数</t>
  </si>
  <si>
    <t xml:space="preserve">电机的配用功率</t>
  </si>
  <si>
    <t xml:space="preserve">新选电机功率（kw）</t>
  </si>
  <si>
    <t xml:space="preserve">新选电机型号</t>
  </si>
  <si>
    <t xml:space="preserve">新选电机质量（t）</t>
  </si>
  <si>
    <t xml:space="preserve">新选电机转速（r/min）</t>
  </si>
  <si>
    <t xml:space="preserve">最大允许安装高度(m)</t>
  </si>
  <si>
    <t xml:space="preserve">最大自吸高度为5.8米</t>
  </si>
  <si>
    <t xml:space="preserve">最大自吸高度为5.5米</t>
  </si>
  <si>
    <t xml:space="preserve">出</t>
  </si>
  <si>
    <t xml:space="preserve">电机选型</t>
  </si>
  <si>
    <t xml:space="preserve">功率</t>
  </si>
  <si>
    <t xml:space="preserve">型号</t>
  </si>
  <si>
    <t xml:space="preserve">转速r/min</t>
  </si>
  <si>
    <t xml:space="preserve">质量/t</t>
  </si>
  <si>
    <t xml:space="preserve">YB2-63 1-2WTH</t>
  </si>
  <si>
    <t xml:space="preserve">YB2-63 2-2WTH</t>
  </si>
  <si>
    <t xml:space="preserve">YB2-71 1-2WTH</t>
  </si>
  <si>
    <t xml:space="preserve">YB2-71 2-2WTH</t>
  </si>
  <si>
    <t xml:space="preserve">YB2-80 1-2WTH</t>
  </si>
  <si>
    <t xml:space="preserve">YB2-80 2-2WTH</t>
  </si>
  <si>
    <t xml:space="preserve">YB2-90S-2WTH</t>
  </si>
  <si>
    <t xml:space="preserve">YB2-90L-2WTH</t>
  </si>
  <si>
    <t xml:space="preserve">YB2-100L-2WTH</t>
  </si>
  <si>
    <t xml:space="preserve">YB2-112M-2WTH</t>
  </si>
  <si>
    <t xml:space="preserve">YB2-132S1-2WTH</t>
  </si>
  <si>
    <t xml:space="preserve">YB2-132S2-2WTH</t>
  </si>
  <si>
    <t xml:space="preserve">YB2-160M1-2WTH</t>
  </si>
  <si>
    <t xml:space="preserve">YB2-160M2-2WTH</t>
  </si>
  <si>
    <t xml:space="preserve">YB2-160L-2WTH</t>
  </si>
  <si>
    <t xml:space="preserve">YB2-180M-2WTH</t>
  </si>
  <si>
    <t xml:space="preserve">YB2-200L1-2WTH</t>
  </si>
  <si>
    <t xml:space="preserve">YB2-200L2-2WTH</t>
  </si>
  <si>
    <t xml:space="preserve">YB2-225M-2WTH</t>
  </si>
  <si>
    <t xml:space="preserve">YB2-250M-2WTH</t>
  </si>
  <si>
    <t xml:space="preserve">YB2-280S-2WTH</t>
  </si>
  <si>
    <t xml:space="preserve">YB2-280M-2WTH</t>
  </si>
  <si>
    <t xml:space="preserve">YB2-315S-2WTH</t>
  </si>
  <si>
    <t xml:space="preserve">YB2-315M-2WTH</t>
  </si>
  <si>
    <t xml:space="preserve">YB2-315L1-2WTH</t>
  </si>
  <si>
    <t xml:space="preserve">YB2-315L-2WTH</t>
  </si>
  <si>
    <t xml:space="preserve">YB2-4001-2</t>
  </si>
  <si>
    <t xml:space="preserve">YB2-4002-2</t>
  </si>
  <si>
    <t xml:space="preserve">YB2-4003-2WTH</t>
  </si>
  <si>
    <t xml:space="preserve">YB2-4004-2WTH</t>
  </si>
  <si>
    <t xml:space="preserve">YB2-4005-2WTH</t>
  </si>
  <si>
    <t xml:space="preserve">YB2-4501-2WTH</t>
  </si>
  <si>
    <t xml:space="preserve">YB2-4502-2WTH</t>
  </si>
  <si>
    <t xml:space="preserve">YB2-4503-2</t>
  </si>
  <si>
    <t xml:space="preserve">YB2-4504-2</t>
  </si>
  <si>
    <t xml:space="preserve">YB2-5001-2</t>
  </si>
  <si>
    <t xml:space="preserve">YB2-5002-2</t>
  </si>
  <si>
    <t xml:space="preserve">YB2-5003-2</t>
  </si>
  <si>
    <t xml:space="preserve">YB2-5004-2</t>
  </si>
  <si>
    <t xml:space="preserve">YB2-5005-2</t>
  </si>
  <si>
    <t xml:space="preserve">YB2-5601-2</t>
  </si>
  <si>
    <t xml:space="preserve">YB2-5602-2</t>
  </si>
  <si>
    <t xml:space="preserve">YB2-5603-2</t>
  </si>
  <si>
    <t xml:space="preserve">YB2-5604-2</t>
  </si>
  <si>
    <t xml:space="preserve">132-P-402</t>
  </si>
  <si>
    <t xml:space="preserve">132-P-405A/B</t>
  </si>
  <si>
    <t xml:space="preserve">132-P-403</t>
  </si>
  <si>
    <t xml:space="preserve">132-P-407A/B</t>
  </si>
  <si>
    <t xml:space="preserve">132-P-408</t>
  </si>
  <si>
    <t xml:space="preserve">冲洗油泵</t>
  </si>
  <si>
    <t xml:space="preserve">柴油泵</t>
  </si>
  <si>
    <t xml:space="preserve">轻污油泵</t>
  </si>
  <si>
    <t xml:space="preserve">重污油泵</t>
  </si>
  <si>
    <t xml:space="preserve">废胺液泵</t>
  </si>
  <si>
    <t xml:space="preserve">硫化剂泵</t>
  </si>
  <si>
    <t xml:space="preserve">阻垢剂泵</t>
  </si>
  <si>
    <t xml:space="preserve">缓蚀剂泵</t>
  </si>
  <si>
    <t xml:space="preserve">硫化剂气动隔膜泵</t>
  </si>
  <si>
    <t xml:space="preserve">重污油</t>
  </si>
  <si>
    <t xml:space="preserve">锅炉排污水</t>
  </si>
  <si>
    <t xml:space="preserve">二甲基二硫</t>
  </si>
  <si>
    <t xml:space="preserve">阻垢剂</t>
  </si>
  <si>
    <t xml:space="preserve">缓蚀剂</t>
  </si>
  <si>
    <t xml:space="preserve">模拟的介质质量流量(kg/h)</t>
  </si>
  <si>
    <t xml:space="preserve">介质正常工况质量流量(kg/h)</t>
  </si>
  <si>
    <t xml:space="preserve">介质额定质量流量(kg/h)</t>
  </si>
  <si>
    <t xml:space="preserve">介质最小质量流量(kg/h)</t>
  </si>
  <si>
    <r>
      <rPr>
        <sz val="11"/>
        <rFont val="宋体"/>
        <family val="3"/>
        <charset val="134"/>
      </rPr>
      <t xml:space="preserve">模拟的介质体积流量(m</t>
    </r>
    <r>
      <rPr>
        <vertAlign val="superscript"/>
        <sz val="11"/>
        <rFont val="宋体"/>
        <family val="3"/>
        <charset val="134"/>
      </rPr>
      <t xml:space="preserve">3</t>
    </r>
    <r>
      <rPr>
        <sz val="11"/>
        <rFont val="宋体"/>
        <family val="3"/>
        <charset val="134"/>
      </rPr>
      <t xml:space="preserve">/h)</t>
    </r>
  </si>
  <si>
    <r>
      <rPr>
        <sz val="11"/>
        <rFont val="宋体"/>
        <family val="3"/>
        <charset val="134"/>
      </rPr>
      <t xml:space="preserve">介质正常工况体积流量(m</t>
    </r>
    <r>
      <rPr>
        <vertAlign val="superscript"/>
        <sz val="11"/>
        <rFont val="宋体"/>
        <family val="3"/>
        <charset val="134"/>
      </rPr>
      <t xml:space="preserve">3</t>
    </r>
    <r>
      <rPr>
        <sz val="11"/>
        <rFont val="宋体"/>
        <family val="3"/>
        <charset val="134"/>
      </rPr>
      <t xml:space="preserve">/h)</t>
    </r>
  </si>
  <si>
    <r>
      <rPr>
        <sz val="11"/>
        <rFont val="宋体"/>
        <family val="3"/>
        <charset val="134"/>
      </rPr>
      <t xml:space="preserve">介质额定体积流量(m</t>
    </r>
    <r>
      <rPr>
        <vertAlign val="superscript"/>
        <sz val="11"/>
        <rFont val="宋体"/>
        <family val="3"/>
        <charset val="134"/>
      </rPr>
      <t xml:space="preserve">3</t>
    </r>
    <r>
      <rPr>
        <sz val="11"/>
        <rFont val="宋体"/>
        <family val="3"/>
        <charset val="134"/>
      </rPr>
      <t xml:space="preserve">/h)</t>
    </r>
  </si>
  <si>
    <r>
      <rPr>
        <sz val="11"/>
        <rFont val="宋体"/>
        <family val="3"/>
        <charset val="134"/>
      </rPr>
      <t xml:space="preserve">介质最小体积流量(m</t>
    </r>
    <r>
      <rPr>
        <vertAlign val="superscript"/>
        <sz val="11"/>
        <rFont val="宋体"/>
        <family val="3"/>
        <charset val="134"/>
      </rPr>
      <t xml:space="preserve">3</t>
    </r>
    <r>
      <rPr>
        <sz val="11"/>
        <rFont val="宋体"/>
        <family val="3"/>
        <charset val="134"/>
      </rPr>
      <t xml:space="preserve">/h)</t>
    </r>
  </si>
  <si>
    <r>
      <rPr>
        <sz val="11"/>
        <rFont val="宋体"/>
        <family val="3"/>
        <charset val="134"/>
      </rPr>
      <t xml:space="preserve">粘度校正后正常工况介质体积流量(m</t>
    </r>
    <r>
      <rPr>
        <vertAlign val="superscript"/>
        <sz val="11"/>
        <rFont val="宋体"/>
        <family val="3"/>
        <charset val="134"/>
      </rPr>
      <t xml:space="preserve">3</t>
    </r>
    <r>
      <rPr>
        <sz val="11"/>
        <rFont val="宋体"/>
        <family val="3"/>
        <charset val="134"/>
      </rPr>
      <t xml:space="preserve">/h)</t>
    </r>
  </si>
  <si>
    <r>
      <rPr>
        <sz val="11"/>
        <rFont val="宋体"/>
        <family val="3"/>
        <charset val="134"/>
      </rPr>
      <t xml:space="preserve">粘度校正后介质额定体积流量(m</t>
    </r>
    <r>
      <rPr>
        <vertAlign val="superscript"/>
        <sz val="11"/>
        <rFont val="宋体"/>
        <family val="3"/>
        <charset val="134"/>
      </rPr>
      <t xml:space="preserve">3</t>
    </r>
    <r>
      <rPr>
        <sz val="11"/>
        <rFont val="宋体"/>
        <family val="3"/>
        <charset val="134"/>
      </rPr>
      <t xml:space="preserve">/h)</t>
    </r>
  </si>
  <si>
    <r>
      <rPr>
        <sz val="11"/>
        <rFont val="宋体"/>
        <family val="3"/>
        <charset val="134"/>
      </rPr>
      <t xml:space="preserve">粘度校正后最小介质体积流量(m</t>
    </r>
    <r>
      <rPr>
        <vertAlign val="superscript"/>
        <sz val="11"/>
        <rFont val="宋体"/>
        <family val="3"/>
        <charset val="134"/>
      </rPr>
      <t xml:space="preserve">3</t>
    </r>
    <r>
      <rPr>
        <sz val="11"/>
        <rFont val="宋体"/>
        <family val="3"/>
        <charset val="134"/>
      </rPr>
      <t xml:space="preserve">/h)</t>
    </r>
  </si>
  <si>
    <r>
      <rPr>
        <sz val="11"/>
        <color rgb="FF0000FF"/>
        <rFont val="宋体"/>
        <family val="3"/>
        <charset val="134"/>
      </rPr>
      <t xml:space="preserve">开工水运时体积流量(m</t>
    </r>
    <r>
      <rPr>
        <vertAlign val="superscript"/>
        <sz val="11"/>
        <rFont val="宋体"/>
        <family val="3"/>
        <charset val="134"/>
      </rPr>
      <t xml:space="preserve">3</t>
    </r>
    <r>
      <rPr>
        <sz val="11"/>
        <rFont val="宋体"/>
        <family val="3"/>
        <charset val="134"/>
      </rPr>
      <t xml:space="preserve">/h)</t>
    </r>
  </si>
  <si>
    <t xml:space="preserve">输送温度(℃)</t>
  </si>
  <si>
    <r>
      <rPr>
        <sz val="11"/>
        <rFont val="宋体"/>
        <family val="3"/>
        <charset val="134"/>
      </rPr>
      <t xml:space="preserve">输送密度(kg/m</t>
    </r>
    <r>
      <rPr>
        <vertAlign val="superscript"/>
        <sz val="11"/>
        <rFont val="宋体"/>
        <family val="3"/>
        <charset val="134"/>
      </rPr>
      <t xml:space="preserve">3</t>
    </r>
    <r>
      <rPr>
        <sz val="11"/>
        <rFont val="宋体"/>
        <family val="3"/>
        <charset val="134"/>
      </rPr>
      <t xml:space="preserve">)</t>
    </r>
  </si>
  <si>
    <t xml:space="preserve">操作温度时介质饱和蒸汽压(MPaA)</t>
  </si>
  <si>
    <r>
      <rPr>
        <sz val="11"/>
        <rFont val="宋体"/>
        <family val="3"/>
        <charset val="134"/>
      </rPr>
      <t xml:space="preserve">介质输送粘度(mm</t>
    </r>
    <r>
      <rPr>
        <vertAlign val="superscript"/>
        <sz val="11"/>
        <rFont val="宋体"/>
        <family val="3"/>
        <charset val="134"/>
      </rPr>
      <t xml:space="preserve">2</t>
    </r>
    <r>
      <rPr>
        <sz val="11"/>
        <rFont val="宋体"/>
        <family val="3"/>
        <charset val="134"/>
      </rPr>
      <t xml:space="preserve">/s)</t>
    </r>
  </si>
  <si>
    <t xml:space="preserve">泵入口侧设备最高操作压力(MPaG)</t>
  </si>
  <si>
    <t xml:space="preserve">入口侧(设备)正常压力(MPaA)</t>
  </si>
  <si>
    <t xml:space="preserve">排出侧(设备)压力(MPaA)</t>
  </si>
  <si>
    <t xml:space="preserve">排出口侧与进口侧压差(MPa)</t>
  </si>
  <si>
    <t xml:space="preserve">泵入口每100m管线压降(kPa)</t>
  </si>
  <si>
    <t xml:space="preserve">泵入口管线压降(MPa)</t>
  </si>
  <si>
    <t xml:space="preserve">泵出口止回阀个数</t>
  </si>
  <si>
    <t xml:space="preserve">泵出口闸阀个数估算</t>
  </si>
  <si>
    <t xml:space="preserve">泵出口管线压力降(MPa)</t>
  </si>
  <si>
    <t xml:space="preserve">加热炉压降(MPa)</t>
  </si>
  <si>
    <t xml:space="preserve">容器压降(MPa)</t>
  </si>
  <si>
    <t xml:space="preserve">换热器、冷却器总压降MPa)</t>
  </si>
  <si>
    <t xml:space="preserve">空冷器压降(MPa)</t>
  </si>
  <si>
    <t xml:space="preserve">蒸汽发生器压降(MPa)</t>
  </si>
  <si>
    <t xml:space="preserve">混合设备的压降(MPa)</t>
  </si>
  <si>
    <t xml:space="preserve">过滤设备压降(MPa)</t>
  </si>
  <si>
    <t xml:space="preserve">孔板压降(MPa)</t>
  </si>
  <si>
    <t xml:space="preserve">流量计压降(MPa)</t>
  </si>
  <si>
    <t xml:space="preserve">调节阀压降(MPa)</t>
  </si>
  <si>
    <t xml:space="preserve">泵出口系统压力降(MPa)</t>
  </si>
  <si>
    <t xml:space="preserve">计算扬程(MPa)</t>
  </si>
  <si>
    <t xml:space="preserve">泵的正常入口压力(MPaA)</t>
  </si>
  <si>
    <t xml:space="preserve">泵入口最大压力(MPaA)</t>
  </si>
  <si>
    <t xml:space="preserve">泵出口所需的压力(MPaA)</t>
  </si>
  <si>
    <t xml:space="preserve">选用泵型号</t>
  </si>
  <si>
    <t xml:space="preserve">SCS-40II×10         Φ=180</t>
  </si>
  <si>
    <t xml:space="preserve">EAP-65-40-250          Φ=250</t>
  </si>
  <si>
    <t xml:space="preserve">EAP50-400
Φ=397</t>
  </si>
  <si>
    <t xml:space="preserve">EAP50-400          Φ=409</t>
  </si>
  <si>
    <t xml:space="preserve">选泵后最小流量时的扬程(m)</t>
  </si>
  <si>
    <t xml:space="preserve">正常工况时泵出口压力(MPaA)</t>
  </si>
  <si>
    <t xml:space="preserve">泵零流量时出口压力(MPaA)</t>
  </si>
  <si>
    <t xml:space="preserve">泵出口最大压力(MPaA)</t>
  </si>
  <si>
    <t xml:space="preserve">泵最小流量所需的轴功率(kW)</t>
  </si>
  <si>
    <t xml:space="preserve">泵正常工况下所需的轴功率(kW)</t>
  </si>
  <si>
    <t xml:space="preserve">泵额定工况下所需的轴功率(kW)</t>
  </si>
  <si>
    <t xml:space="preserve">泵开工水运时所需的轴功率(kW)</t>
  </si>
  <si>
    <t xml:space="preserve">泵所需的最大轴功率(kW)</t>
  </si>
  <si>
    <t xml:space="preserve">新选电机功率（kW）</t>
  </si>
  <si>
    <t xml:space="preserve">特性环境代号</t>
  </si>
  <si>
    <t xml:space="preserve">WTH</t>
  </si>
  <si>
    <t xml:space="preserve">电压</t>
  </si>
  <si>
    <t xml:space="preserve">年操作时间</t>
  </si>
  <si>
    <t xml:space="preserve">工作</t>
  </si>
  <si>
    <t xml:space="preserve">备用</t>
  </si>
  <si>
    <t xml:space="preserve">YB3-63 1-2WTH</t>
  </si>
  <si>
    <t xml:space="preserve">YB3-63 2-2WTH</t>
  </si>
  <si>
    <t xml:space="preserve">YB3-71 1-2WTH</t>
  </si>
  <si>
    <t xml:space="preserve">YB3-71 2-2WTH</t>
  </si>
  <si>
    <t xml:space="preserve">YB3-80 1-2WTH</t>
  </si>
  <si>
    <t xml:space="preserve">YB3-80 2-2WTH</t>
  </si>
  <si>
    <t xml:space="preserve">YB3-90S-2WTH</t>
  </si>
  <si>
    <t xml:space="preserve">YB3-90L-2WTH</t>
  </si>
  <si>
    <t xml:space="preserve">YB3-100L-2WTH</t>
  </si>
  <si>
    <t xml:space="preserve">YB3-112M-2WTH</t>
  </si>
  <si>
    <t xml:space="preserve">YB3-132S1-2WTH</t>
  </si>
  <si>
    <t xml:space="preserve">YB3-132S2-2WTH</t>
  </si>
  <si>
    <t xml:space="preserve">YB3-160M1-2WTH</t>
  </si>
  <si>
    <t xml:space="preserve">YB3-160M2-2WTH</t>
  </si>
  <si>
    <t xml:space="preserve">YB3-160L-2WTH</t>
  </si>
  <si>
    <t xml:space="preserve">YB3-180M-2WTH</t>
  </si>
  <si>
    <t xml:space="preserve">YB3-200L1-2WTH</t>
  </si>
  <si>
    <t xml:space="preserve">YB3-200L2-2WTH</t>
  </si>
  <si>
    <t xml:space="preserve">YB3-225M-2WTH</t>
  </si>
  <si>
    <t xml:space="preserve">YB3-250M-2WTH</t>
  </si>
  <si>
    <t xml:space="preserve">YB3-280S-2WTH</t>
  </si>
  <si>
    <t xml:space="preserve">YB3-280M-2WTH</t>
  </si>
  <si>
    <t xml:space="preserve">YB3-315S-2WTH</t>
  </si>
  <si>
    <t xml:space="preserve">YB3-315M-2WTH</t>
  </si>
  <si>
    <t xml:space="preserve">YB3-315L1-2WTH</t>
  </si>
  <si>
    <t xml:space="preserve">YB3-3551-2WTH</t>
  </si>
  <si>
    <t xml:space="preserve">YB3-3552-2WTH</t>
  </si>
  <si>
    <t xml:space="preserve">YB3-3553-2WTH</t>
  </si>
  <si>
    <t xml:space="preserve">YB3-3554-2WTH</t>
  </si>
  <si>
    <t xml:space="preserve">YB3-3555-2WTH</t>
  </si>
  <si>
    <t xml:space="preserve">YB3-4001-2WTH</t>
  </si>
  <si>
    <t xml:space="preserve">YB3-4002-2WTH</t>
  </si>
  <si>
    <t xml:space="preserve">YB3-4003-2WTH</t>
  </si>
  <si>
    <t xml:space="preserve">YB3-4004-2WTH</t>
  </si>
  <si>
    <t xml:space="preserve">YB3-4501-2WTH</t>
  </si>
  <si>
    <t xml:space="preserve">YB3-4502-2WTH</t>
  </si>
  <si>
    <t xml:space="preserve">YB3-4503-2WTH</t>
  </si>
  <si>
    <t xml:space="preserve">YB3-4504-2WTH</t>
  </si>
  <si>
    <t xml:space="preserve">YB3-5001-2WTH</t>
  </si>
  <si>
    <t xml:space="preserve">YB3-5002-2WTH</t>
  </si>
  <si>
    <t xml:space="preserve">YB3-5003-2WTH</t>
  </si>
  <si>
    <t xml:space="preserve">YB3-5004-2WTH</t>
  </si>
  <si>
    <t xml:space="preserve">YB3-5601-2WTH</t>
  </si>
  <si>
    <t xml:space="preserve">YB3-5602-2WTH</t>
  </si>
  <si>
    <t xml:space="preserve">YB3-5603-2WTH</t>
  </si>
  <si>
    <t xml:space="preserve">YB3-5604-2WTH</t>
  </si>
  <si>
    <t xml:space="preserve">132-PSV-1501</t>
  </si>
  <si>
    <t xml:space="preserve">名称</t>
  </si>
  <si>
    <t xml:space="preserve">加氢进料泵入口安全阀</t>
  </si>
  <si>
    <t xml:space="preserve">液力透平出口安全阀</t>
  </si>
  <si>
    <t xml:space="preserve">安装部位</t>
  </si>
  <si>
    <t xml:space="preserve">液力透平出口</t>
  </si>
  <si>
    <t xml:space="preserve">操作介质</t>
  </si>
  <si>
    <t xml:space="preserve">H2</t>
  </si>
  <si>
    <t xml:space="preserve">减压蜡油</t>
  </si>
  <si>
    <t xml:space="preserve">减压蜡油、H2</t>
  </si>
  <si>
    <t xml:space="preserve">热水、蒸汽</t>
  </si>
  <si>
    <t xml:space="preserve">最高操作温度，℃</t>
  </si>
  <si>
    <r>
      <rPr>
        <sz val="12"/>
        <rFont val="宋体"/>
        <family val="3"/>
        <charset val="134"/>
      </rPr>
      <t xml:space="preserve">最高操作压力，</t>
    </r>
    <r>
      <rPr>
        <sz val="12"/>
        <rFont val="Arial"/>
        <family val="2"/>
        <charset val="1"/>
      </rPr>
      <t xml:space="preserve">MPaG</t>
    </r>
  </si>
  <si>
    <r>
      <rPr>
        <sz val="12"/>
        <rFont val="宋体"/>
        <family val="3"/>
        <charset val="134"/>
      </rPr>
      <t xml:space="preserve">容器设计压力，</t>
    </r>
    <r>
      <rPr>
        <sz val="12"/>
        <rFont val="Arial"/>
        <family val="2"/>
        <charset val="1"/>
      </rPr>
      <t xml:space="preserve">MPaG</t>
    </r>
  </si>
  <si>
    <r>
      <rPr>
        <sz val="12"/>
        <rFont val="宋体"/>
        <family val="3"/>
        <charset val="134"/>
      </rPr>
      <t xml:space="preserve">定压值</t>
    </r>
    <r>
      <rPr>
        <sz val="12"/>
        <rFont val="Arial"/>
        <family val="2"/>
        <charset val="1"/>
      </rPr>
      <t xml:space="preserve">Ps</t>
    </r>
    <r>
      <rPr>
        <sz val="12"/>
        <rFont val="宋体"/>
        <family val="3"/>
        <charset val="134"/>
      </rPr>
      <t xml:space="preserve">≤设备设计压力</t>
    </r>
    <r>
      <rPr>
        <sz val="12"/>
        <rFont val="Arial"/>
        <family val="2"/>
        <charset val="1"/>
      </rPr>
      <t xml:space="preserve">PD</t>
    </r>
    <r>
      <rPr>
        <sz val="12"/>
        <rFont val="宋体"/>
        <family val="3"/>
        <charset val="134"/>
      </rPr>
      <t xml:space="preserve">，</t>
    </r>
    <r>
      <rPr>
        <sz val="12"/>
        <rFont val="Arial"/>
        <family val="2"/>
        <charset val="1"/>
      </rPr>
      <t xml:space="preserve">MPaG</t>
    </r>
  </si>
  <si>
    <r>
      <rPr>
        <sz val="12"/>
        <rFont val="Arial"/>
        <family val="2"/>
        <charset val="1"/>
      </rPr>
      <t xml:space="preserve">Po</t>
    </r>
    <r>
      <rPr>
        <sz val="12"/>
        <rFont val="宋体"/>
        <family val="3"/>
        <charset val="134"/>
      </rPr>
      <t xml:space="preserve">：安全阀出口压力，背压，</t>
    </r>
    <r>
      <rPr>
        <sz val="12"/>
        <rFont val="Arial"/>
        <family val="2"/>
        <charset val="1"/>
      </rPr>
      <t xml:space="preserve">MPaA</t>
    </r>
  </si>
  <si>
    <r>
      <rPr>
        <sz val="12"/>
        <rFont val="Arial"/>
        <family val="2"/>
        <charset val="1"/>
      </rPr>
      <t xml:space="preserve">Tg:</t>
    </r>
    <r>
      <rPr>
        <sz val="12"/>
        <rFont val="宋体"/>
        <family val="3"/>
        <charset val="134"/>
      </rPr>
      <t xml:space="preserve">过热蒸汽的过热度，℃</t>
    </r>
  </si>
  <si>
    <t xml:space="preserve">动力故障</t>
  </si>
  <si>
    <t xml:space="preserve">介质泄放温度，℃</t>
  </si>
  <si>
    <r>
      <rPr>
        <sz val="12"/>
        <rFont val="Arial"/>
        <family val="2"/>
        <charset val="1"/>
      </rPr>
      <t xml:space="preserve">Tf</t>
    </r>
    <r>
      <rPr>
        <sz val="12"/>
        <rFont val="宋体"/>
        <family val="3"/>
        <charset val="134"/>
      </rPr>
      <t xml:space="preserve">：泄放温度，</t>
    </r>
    <r>
      <rPr>
        <sz val="12"/>
        <rFont val="Arial"/>
        <family val="2"/>
        <charset val="1"/>
      </rPr>
      <t xml:space="preserve">K</t>
    </r>
  </si>
  <si>
    <r>
      <rPr>
        <sz val="12"/>
        <rFont val="Arial"/>
        <family val="2"/>
        <charset val="1"/>
      </rPr>
      <t xml:space="preserve">Pa</t>
    </r>
    <r>
      <rPr>
        <sz val="12"/>
        <rFont val="宋体"/>
        <family val="3"/>
        <charset val="134"/>
      </rPr>
      <t xml:space="preserve">：积聚压力，</t>
    </r>
    <r>
      <rPr>
        <sz val="12"/>
        <rFont val="Arial"/>
        <family val="2"/>
        <charset val="1"/>
      </rPr>
      <t xml:space="preserve">MPaG</t>
    </r>
  </si>
  <si>
    <r>
      <rPr>
        <sz val="12"/>
        <rFont val="Arial"/>
        <family val="2"/>
        <charset val="1"/>
      </rPr>
      <t xml:space="preserve">Pf</t>
    </r>
    <r>
      <rPr>
        <sz val="12"/>
        <rFont val="宋体"/>
        <family val="3"/>
        <charset val="134"/>
      </rPr>
      <t xml:space="preserve">：泄放压力，</t>
    </r>
    <r>
      <rPr>
        <sz val="12"/>
        <rFont val="Arial"/>
        <family val="2"/>
        <charset val="1"/>
      </rPr>
      <t xml:space="preserve">MPaA</t>
    </r>
  </si>
  <si>
    <t xml:space="preserve">泄放状态</t>
  </si>
  <si>
    <t xml:space="preserve">相态</t>
  </si>
  <si>
    <t xml:space="preserve">气态</t>
  </si>
  <si>
    <t xml:space="preserve">液态</t>
  </si>
  <si>
    <r>
      <rPr>
        <sz val="12"/>
        <rFont val="Arial"/>
        <family val="2"/>
        <charset val="1"/>
      </rPr>
      <t xml:space="preserve">M</t>
    </r>
    <r>
      <rPr>
        <sz val="12"/>
        <rFont val="宋体"/>
        <family val="3"/>
        <charset val="134"/>
      </rPr>
      <t xml:space="preserve">：气体分子量</t>
    </r>
  </si>
  <si>
    <r>
      <rPr>
        <i val="true"/>
        <sz val="12"/>
        <rFont val="Arial"/>
        <family val="2"/>
        <charset val="1"/>
      </rPr>
      <t xml:space="preserve">k</t>
    </r>
    <r>
      <rPr>
        <sz val="12"/>
        <rFont val="Arial"/>
        <family val="2"/>
        <charset val="1"/>
      </rPr>
      <t xml:space="preserve">:</t>
    </r>
    <r>
      <rPr>
        <sz val="12"/>
        <rFont val="宋体"/>
        <family val="3"/>
        <charset val="134"/>
      </rPr>
      <t xml:space="preserve">气体绝热指数</t>
    </r>
    <r>
      <rPr>
        <sz val="12"/>
        <rFont val="Arial"/>
        <family val="2"/>
        <charset val="1"/>
      </rPr>
      <t xml:space="preserve">CP/CV</t>
    </r>
  </si>
  <si>
    <r>
      <rPr>
        <sz val="12"/>
        <rFont val="Arial"/>
        <family val="2"/>
        <charset val="1"/>
      </rPr>
      <t xml:space="preserve">C</t>
    </r>
    <r>
      <rPr>
        <sz val="12"/>
        <rFont val="宋体"/>
        <family val="3"/>
        <charset val="134"/>
      </rPr>
      <t xml:space="preserve">： 气体特性因数</t>
    </r>
  </si>
  <si>
    <r>
      <rPr>
        <sz val="12"/>
        <rFont val="Arial"/>
        <family val="2"/>
        <charset val="1"/>
      </rPr>
      <t xml:space="preserve">Pcf</t>
    </r>
    <r>
      <rPr>
        <sz val="12"/>
        <rFont val="宋体"/>
        <family val="3"/>
        <charset val="134"/>
      </rPr>
      <t xml:space="preserve">：临界流动压力，</t>
    </r>
    <r>
      <rPr>
        <sz val="12"/>
        <rFont val="Arial"/>
        <family val="2"/>
        <charset val="1"/>
      </rPr>
      <t xml:space="preserve">MPaA</t>
    </r>
  </si>
  <si>
    <r>
      <rPr>
        <sz val="12"/>
        <rFont val="Arial"/>
        <family val="2"/>
        <charset val="1"/>
      </rPr>
      <t xml:space="preserve">Z</t>
    </r>
    <r>
      <rPr>
        <sz val="12"/>
        <rFont val="宋体"/>
        <family val="3"/>
        <charset val="134"/>
      </rPr>
      <t xml:space="preserve">：在</t>
    </r>
    <r>
      <rPr>
        <sz val="12"/>
        <rFont val="Arial"/>
        <family val="2"/>
        <charset val="1"/>
      </rPr>
      <t xml:space="preserve">Pf</t>
    </r>
    <r>
      <rPr>
        <sz val="12"/>
        <rFont val="宋体"/>
        <family val="3"/>
        <charset val="134"/>
      </rPr>
      <t xml:space="preserve">压力下气体的压缩系数</t>
    </r>
  </si>
  <si>
    <r>
      <rPr>
        <sz val="12"/>
        <rFont val="宋体"/>
        <family val="3"/>
        <charset val="134"/>
      </rPr>
      <t xml:space="preserve">液体或</t>
    </r>
    <r>
      <rPr>
        <sz val="12"/>
        <color rgb="FFFF0000"/>
        <rFont val="宋体"/>
        <family val="3"/>
        <charset val="134"/>
      </rPr>
      <t xml:space="preserve">蒸汽</t>
    </r>
    <r>
      <rPr>
        <sz val="12"/>
        <rFont val="宋体"/>
        <family val="3"/>
        <charset val="134"/>
      </rPr>
      <t xml:space="preserve">泄放介质密度，</t>
    </r>
    <r>
      <rPr>
        <sz val="12"/>
        <rFont val="Arial"/>
        <family val="2"/>
        <charset val="1"/>
      </rPr>
      <t xml:space="preserve">kg/m3</t>
    </r>
  </si>
  <si>
    <r>
      <rPr>
        <sz val="12"/>
        <rFont val="Symbol"/>
        <family val="1"/>
        <charset val="2"/>
      </rPr>
      <t xml:space="preserve">m</t>
    </r>
    <r>
      <rPr>
        <sz val="12"/>
        <rFont val="宋体"/>
        <family val="3"/>
        <charset val="134"/>
      </rPr>
      <t xml:space="preserve">：液体动力黏度，</t>
    </r>
    <r>
      <rPr>
        <sz val="12"/>
        <rFont val="Arial"/>
        <family val="2"/>
        <charset val="1"/>
      </rPr>
      <t xml:space="preserve">Pa.S</t>
    </r>
  </si>
  <si>
    <r>
      <rPr>
        <sz val="12"/>
        <rFont val="宋体"/>
        <family val="3"/>
        <charset val="134"/>
      </rPr>
      <t xml:space="preserve">实际进料量下的泄放量，</t>
    </r>
    <r>
      <rPr>
        <sz val="12"/>
        <rFont val="Arial"/>
        <family val="2"/>
        <charset val="1"/>
      </rPr>
      <t xml:space="preserve">kg/h</t>
    </r>
  </si>
  <si>
    <r>
      <rPr>
        <sz val="12"/>
        <rFont val="Arial"/>
        <family val="2"/>
        <charset val="1"/>
      </rPr>
      <t xml:space="preserve">Ws</t>
    </r>
    <r>
      <rPr>
        <sz val="12"/>
        <rFont val="宋体"/>
        <family val="3"/>
        <charset val="134"/>
      </rPr>
      <t xml:space="preserve">：容器的安全泄放量，</t>
    </r>
    <r>
      <rPr>
        <sz val="12"/>
        <rFont val="Arial"/>
        <family val="2"/>
        <charset val="1"/>
      </rPr>
      <t xml:space="preserve">kg/h</t>
    </r>
  </si>
  <si>
    <r>
      <rPr>
        <i val="true"/>
        <sz val="12"/>
        <rFont val="Arial"/>
        <family val="2"/>
        <charset val="1"/>
      </rPr>
      <t xml:space="preserve">K</t>
    </r>
    <r>
      <rPr>
        <sz val="12"/>
        <rFont val="宋体"/>
        <family val="3"/>
        <charset val="134"/>
      </rPr>
      <t xml:space="preserve">：泄放系数</t>
    </r>
  </si>
  <si>
    <r>
      <rPr>
        <sz val="12"/>
        <rFont val="Arial"/>
        <family val="2"/>
        <charset val="1"/>
      </rPr>
      <t xml:space="preserve">Re</t>
    </r>
    <r>
      <rPr>
        <sz val="12"/>
        <rFont val="宋体"/>
        <family val="3"/>
        <charset val="134"/>
      </rPr>
      <t xml:space="preserve">：雷诺数</t>
    </r>
  </si>
  <si>
    <r>
      <rPr>
        <sz val="12"/>
        <rFont val="Symbol"/>
        <family val="1"/>
        <charset val="2"/>
      </rPr>
      <t xml:space="preserve">z</t>
    </r>
    <r>
      <rPr>
        <sz val="12"/>
        <rFont val="宋体"/>
        <family val="3"/>
        <charset val="134"/>
      </rPr>
      <t xml:space="preserve">：液体粘度校正系数</t>
    </r>
  </si>
  <si>
    <r>
      <rPr>
        <sz val="12"/>
        <rFont val="宋体"/>
        <family val="3"/>
        <charset val="134"/>
      </rPr>
      <t xml:space="preserve">泄放喷嘴分面积</t>
    </r>
    <r>
      <rPr>
        <sz val="12"/>
        <rFont val="Arial"/>
        <family val="2"/>
        <charset val="1"/>
      </rPr>
      <t xml:space="preserve">A0</t>
    </r>
    <r>
      <rPr>
        <sz val="12"/>
        <rFont val="宋体"/>
        <family val="3"/>
        <charset val="134"/>
      </rPr>
      <t xml:space="preserve">，</t>
    </r>
    <r>
      <rPr>
        <sz val="12"/>
        <rFont val="Arial"/>
        <family val="2"/>
        <charset val="1"/>
      </rPr>
      <t xml:space="preserve">mm2</t>
    </r>
  </si>
  <si>
    <r>
      <rPr>
        <sz val="12"/>
        <rFont val="宋体"/>
        <family val="3"/>
        <charset val="134"/>
      </rPr>
      <t xml:space="preserve">泄放喷嘴总面积</t>
    </r>
    <r>
      <rPr>
        <sz val="12"/>
        <rFont val="Arial"/>
        <family val="2"/>
        <charset val="1"/>
      </rPr>
      <t xml:space="preserve">A0</t>
    </r>
    <r>
      <rPr>
        <sz val="12"/>
        <rFont val="宋体"/>
        <family val="3"/>
        <charset val="134"/>
      </rPr>
      <t xml:space="preserve">，</t>
    </r>
    <r>
      <rPr>
        <sz val="12"/>
        <rFont val="Arial"/>
        <family val="2"/>
        <charset val="1"/>
      </rPr>
      <t xml:space="preserve">mm2</t>
    </r>
  </si>
  <si>
    <t xml:space="preserve">火灾</t>
  </si>
  <si>
    <r>
      <rPr>
        <sz val="12"/>
        <rFont val="宋体"/>
        <family val="3"/>
        <charset val="134"/>
      </rPr>
      <t xml:space="preserve">容器直径，</t>
    </r>
    <r>
      <rPr>
        <sz val="12"/>
        <rFont val="Arial"/>
        <family val="2"/>
        <charset val="1"/>
      </rPr>
      <t xml:space="preserve">m</t>
    </r>
  </si>
  <si>
    <r>
      <rPr>
        <sz val="12"/>
        <rFont val="宋体"/>
        <family val="3"/>
        <charset val="134"/>
      </rPr>
      <t xml:space="preserve">容器长度，</t>
    </r>
    <r>
      <rPr>
        <sz val="12"/>
        <rFont val="Arial"/>
        <family val="2"/>
        <charset val="1"/>
      </rPr>
      <t xml:space="preserve">m</t>
    </r>
  </si>
  <si>
    <r>
      <rPr>
        <sz val="12"/>
        <rFont val="宋体"/>
        <family val="3"/>
        <charset val="134"/>
      </rPr>
      <t xml:space="preserve">容器的受热面积</t>
    </r>
    <r>
      <rPr>
        <sz val="12"/>
        <rFont val="Arial"/>
        <family val="2"/>
        <charset val="1"/>
      </rPr>
      <t xml:space="preserve">A,m2</t>
    </r>
  </si>
  <si>
    <r>
      <rPr>
        <sz val="12"/>
        <rFont val="宋体"/>
        <family val="3"/>
        <charset val="134"/>
      </rPr>
      <t xml:space="preserve">容器保温厚度，</t>
    </r>
    <r>
      <rPr>
        <sz val="12"/>
        <rFont val="Arial"/>
        <family val="2"/>
        <charset val="1"/>
      </rPr>
      <t xml:space="preserve">m</t>
    </r>
  </si>
  <si>
    <r>
      <rPr>
        <sz val="12"/>
        <rFont val="宋体"/>
        <family val="3"/>
        <charset val="134"/>
      </rPr>
      <t xml:space="preserve">系数</t>
    </r>
    <r>
      <rPr>
        <sz val="12"/>
        <rFont val="Arial"/>
        <family val="2"/>
        <charset val="1"/>
      </rPr>
      <t xml:space="preserve">F</t>
    </r>
  </si>
  <si>
    <r>
      <rPr>
        <sz val="12"/>
        <rFont val="Arial"/>
        <family val="2"/>
        <charset val="1"/>
      </rPr>
      <t xml:space="preserve">t</t>
    </r>
    <r>
      <rPr>
        <sz val="12"/>
        <rFont val="宋体"/>
        <family val="3"/>
        <charset val="134"/>
      </rPr>
      <t xml:space="preserve">：泄放压力下的饱和温度，℃</t>
    </r>
  </si>
  <si>
    <t xml:space="preserve">保温材料类型</t>
  </si>
  <si>
    <r>
      <rPr>
        <sz val="12"/>
        <rFont val="宋体"/>
        <family val="3"/>
        <charset val="134"/>
      </rPr>
      <t xml:space="preserve">液体泄放介质密度，</t>
    </r>
    <r>
      <rPr>
        <sz val="12"/>
        <rFont val="Arial"/>
        <family val="2"/>
        <charset val="1"/>
      </rPr>
      <t xml:space="preserve">kg/cum</t>
    </r>
  </si>
  <si>
    <r>
      <rPr>
        <sz val="12"/>
        <rFont val="Arial"/>
        <family val="2"/>
        <charset val="1"/>
      </rPr>
      <t xml:space="preserve">Ws</t>
    </r>
    <r>
      <rPr>
        <sz val="12"/>
        <rFont val="宋体"/>
        <family val="3"/>
        <charset val="134"/>
      </rPr>
      <t xml:space="preserve">：安全泄放量,</t>
    </r>
    <r>
      <rPr>
        <sz val="12"/>
        <rFont val="Arial"/>
        <family val="2"/>
        <charset val="1"/>
      </rPr>
      <t xml:space="preserve">kg/h</t>
    </r>
  </si>
  <si>
    <r>
      <rPr>
        <sz val="12"/>
        <rFont val="宋体"/>
        <family val="3"/>
        <charset val="134"/>
      </rPr>
      <t xml:space="preserve">蒸发潜热</t>
    </r>
    <r>
      <rPr>
        <sz val="12"/>
        <rFont val="Arial"/>
        <family val="2"/>
        <charset val="1"/>
      </rPr>
      <t xml:space="preserve">Hv</t>
    </r>
    <r>
      <rPr>
        <sz val="12"/>
        <rFont val="宋体"/>
        <family val="3"/>
        <charset val="134"/>
      </rPr>
      <t xml:space="preserve">，</t>
    </r>
    <r>
      <rPr>
        <sz val="12"/>
        <rFont val="Arial"/>
        <family val="2"/>
        <charset val="1"/>
      </rPr>
      <t xml:space="preserve">kJ/kg</t>
    </r>
  </si>
  <si>
    <r>
      <rPr>
        <sz val="12"/>
        <rFont val="宋体"/>
        <family val="3"/>
        <charset val="134"/>
      </rPr>
      <t xml:space="preserve">火灾工况喷嘴面积，</t>
    </r>
    <r>
      <rPr>
        <sz val="12"/>
        <rFont val="Arial"/>
        <family val="2"/>
        <charset val="1"/>
      </rPr>
      <t xml:space="preserve">mm2</t>
    </r>
  </si>
  <si>
    <t xml:space="preserve">最大安全阀工况</t>
  </si>
  <si>
    <t xml:space="preserve">泄放温度，℃</t>
  </si>
  <si>
    <r>
      <rPr>
        <sz val="12"/>
        <rFont val="宋体"/>
        <family val="3"/>
        <charset val="134"/>
      </rPr>
      <t xml:space="preserve">安全阀所需喷嘴面积</t>
    </r>
    <r>
      <rPr>
        <sz val="12"/>
        <rFont val="Arial"/>
        <family val="2"/>
        <charset val="1"/>
      </rPr>
      <t xml:space="preserve">A0</t>
    </r>
    <r>
      <rPr>
        <sz val="12"/>
        <rFont val="宋体"/>
        <family val="3"/>
        <charset val="134"/>
      </rPr>
      <t xml:space="preserve">，</t>
    </r>
    <r>
      <rPr>
        <sz val="12"/>
        <rFont val="Arial"/>
        <family val="2"/>
        <charset val="1"/>
      </rPr>
      <t xml:space="preserve">mm2</t>
    </r>
  </si>
  <si>
    <r>
      <rPr>
        <sz val="12"/>
        <rFont val="宋体"/>
        <family val="3"/>
        <charset val="134"/>
      </rPr>
      <t xml:space="preserve">安全阀所需喉径</t>
    </r>
    <r>
      <rPr>
        <sz val="12"/>
        <rFont val="Arial"/>
        <family val="2"/>
        <charset val="1"/>
      </rPr>
      <t xml:space="preserve">do</t>
    </r>
    <r>
      <rPr>
        <sz val="12"/>
        <rFont val="宋体"/>
        <family val="3"/>
        <charset val="134"/>
      </rPr>
      <t xml:space="preserve">，</t>
    </r>
    <r>
      <rPr>
        <sz val="12"/>
        <rFont val="Arial"/>
        <family val="2"/>
        <charset val="1"/>
      </rPr>
      <t xml:space="preserve">mm</t>
    </r>
  </si>
  <si>
    <t xml:space="preserve">新选安全阀流道代号</t>
  </si>
  <si>
    <t xml:space="preserve">P</t>
  </si>
  <si>
    <t xml:space="preserve">G</t>
  </si>
  <si>
    <t xml:space="preserve">L</t>
  </si>
  <si>
    <t xml:space="preserve">J</t>
  </si>
  <si>
    <t xml:space="preserve">M</t>
  </si>
  <si>
    <t xml:space="preserve">Q</t>
  </si>
  <si>
    <t xml:space="preserve">R</t>
  </si>
  <si>
    <t xml:space="preserve">K</t>
  </si>
  <si>
    <t xml:space="preserve">D</t>
  </si>
  <si>
    <t xml:space="preserve">H</t>
  </si>
  <si>
    <t xml:space="preserve">N</t>
  </si>
  <si>
    <r>
      <rPr>
        <sz val="11"/>
        <rFont val="宋体"/>
        <family val="3"/>
        <charset val="134"/>
      </rPr>
      <t xml:space="preserve">新选安全阀入口径</t>
    </r>
    <r>
      <rPr>
        <sz val="11"/>
        <rFont val="Arial"/>
        <family val="2"/>
        <charset val="1"/>
      </rPr>
      <t xml:space="preserve">Inlet</t>
    </r>
    <r>
      <rPr>
        <sz val="11"/>
        <rFont val="宋体"/>
        <family val="3"/>
        <charset val="134"/>
      </rPr>
      <t xml:space="preserve">，</t>
    </r>
    <r>
      <rPr>
        <sz val="11"/>
        <rFont val="Arial"/>
        <family val="2"/>
        <charset val="1"/>
      </rPr>
      <t xml:space="preserve">inch</t>
    </r>
  </si>
  <si>
    <r>
      <rPr>
        <sz val="11"/>
        <rFont val="宋体"/>
        <family val="3"/>
        <charset val="134"/>
      </rPr>
      <t xml:space="preserve">新选安全阀出口径</t>
    </r>
    <r>
      <rPr>
        <sz val="11"/>
        <rFont val="Arial"/>
        <family val="2"/>
        <charset val="1"/>
      </rPr>
      <t xml:space="preserve">Outlet</t>
    </r>
    <r>
      <rPr>
        <sz val="11"/>
        <rFont val="宋体"/>
        <family val="3"/>
        <charset val="134"/>
      </rPr>
      <t xml:space="preserve">，</t>
    </r>
    <r>
      <rPr>
        <sz val="11"/>
        <rFont val="Arial"/>
        <family val="2"/>
        <charset val="1"/>
      </rPr>
      <t xml:space="preserve">inch</t>
    </r>
  </si>
  <si>
    <r>
      <rPr>
        <sz val="12"/>
        <rFont val="宋体"/>
        <family val="3"/>
        <charset val="134"/>
      </rPr>
      <t xml:space="preserve">新选安全阀喉径</t>
    </r>
    <r>
      <rPr>
        <sz val="12"/>
        <rFont val="Arial"/>
        <family val="2"/>
        <charset val="1"/>
      </rPr>
      <t xml:space="preserve">do</t>
    </r>
    <r>
      <rPr>
        <sz val="12"/>
        <rFont val="宋体"/>
        <family val="3"/>
        <charset val="134"/>
      </rPr>
      <t xml:space="preserve">，</t>
    </r>
    <r>
      <rPr>
        <sz val="12"/>
        <rFont val="Arial"/>
        <family val="2"/>
        <charset val="1"/>
      </rPr>
      <t xml:space="preserve">mm</t>
    </r>
  </si>
  <si>
    <r>
      <rPr>
        <sz val="12"/>
        <rFont val="宋体"/>
        <family val="3"/>
        <charset val="134"/>
      </rPr>
      <t xml:space="preserve">新选安全阀流道面积</t>
    </r>
    <r>
      <rPr>
        <sz val="12"/>
        <rFont val="Arial"/>
        <family val="2"/>
        <charset val="1"/>
      </rPr>
      <t xml:space="preserve">A</t>
    </r>
    <r>
      <rPr>
        <sz val="12"/>
        <rFont val="宋体"/>
        <family val="3"/>
        <charset val="134"/>
      </rPr>
      <t xml:space="preserve">，</t>
    </r>
    <r>
      <rPr>
        <sz val="12"/>
        <rFont val="Arial"/>
        <family val="2"/>
        <charset val="1"/>
      </rPr>
      <t xml:space="preserve">mm2</t>
    </r>
  </si>
  <si>
    <t xml:space="preserve">新选安全阀型号</t>
  </si>
  <si>
    <r>
      <rPr>
        <sz val="12"/>
        <rFont val="宋体"/>
        <family val="3"/>
        <charset val="134"/>
      </rPr>
      <t xml:space="preserve">安全阀入口直径，</t>
    </r>
    <r>
      <rPr>
        <sz val="12"/>
        <rFont val="Arial"/>
        <family val="2"/>
        <charset val="1"/>
      </rPr>
      <t xml:space="preserve">mm</t>
    </r>
  </si>
  <si>
    <r>
      <rPr>
        <sz val="12"/>
        <rFont val="宋体"/>
        <family val="3"/>
        <charset val="134"/>
      </rPr>
      <t xml:space="preserve">安全阀出口直径，</t>
    </r>
    <r>
      <rPr>
        <sz val="12"/>
        <rFont val="Arial"/>
        <family val="2"/>
        <charset val="1"/>
      </rPr>
      <t xml:space="preserve">mm</t>
    </r>
  </si>
  <si>
    <r>
      <rPr>
        <sz val="12"/>
        <rFont val="宋体"/>
        <family val="3"/>
        <charset val="134"/>
      </rPr>
      <t xml:space="preserve">新选安全阀动力故障工况泄放量</t>
    </r>
    <r>
      <rPr>
        <i val="true"/>
        <sz val="12"/>
        <rFont val="Arial"/>
        <family val="2"/>
        <charset val="1"/>
      </rPr>
      <t xml:space="preserve">W</t>
    </r>
    <r>
      <rPr>
        <sz val="12"/>
        <rFont val="宋体"/>
        <family val="3"/>
        <charset val="134"/>
      </rPr>
      <t xml:space="preserve">，</t>
    </r>
    <r>
      <rPr>
        <sz val="12"/>
        <rFont val="Arial"/>
        <family val="2"/>
        <charset val="1"/>
      </rPr>
      <t xml:space="preserve">kg/h</t>
    </r>
  </si>
  <si>
    <r>
      <rPr>
        <sz val="12"/>
        <rFont val="宋体"/>
        <family val="3"/>
        <charset val="134"/>
      </rPr>
      <t xml:space="preserve">新选安全阀火灾工况泄放量</t>
    </r>
    <r>
      <rPr>
        <i val="true"/>
        <sz val="12"/>
        <rFont val="Arial"/>
        <family val="2"/>
        <charset val="1"/>
      </rPr>
      <t xml:space="preserve">W</t>
    </r>
    <r>
      <rPr>
        <sz val="12"/>
        <rFont val="宋体"/>
        <family val="3"/>
        <charset val="134"/>
      </rPr>
      <t xml:space="preserve">，</t>
    </r>
    <r>
      <rPr>
        <sz val="12"/>
        <rFont val="Arial"/>
        <family val="2"/>
        <charset val="1"/>
      </rPr>
      <t xml:space="preserve">kg/h</t>
    </r>
  </si>
  <si>
    <t xml:space="preserve">已删除</t>
  </si>
  <si>
    <t xml:space="preserve">模拟编号</t>
  </si>
  <si>
    <t xml:space="preserve">132-PSV-0701A/B</t>
  </si>
  <si>
    <t xml:space="preserve">132-PSV-0702AB</t>
  </si>
  <si>
    <t xml:space="preserve">132-PSV-1101A/B</t>
  </si>
  <si>
    <t xml:space="preserve">132-PSV-1301A/B</t>
  </si>
  <si>
    <t xml:space="preserve">132-PSV-1801A/B</t>
  </si>
  <si>
    <t xml:space="preserve">132-PSV-2001A/B</t>
  </si>
  <si>
    <t xml:space="preserve">132-PSV-2101A/B</t>
  </si>
  <si>
    <t xml:space="preserve">132-PSV-2401A/B</t>
  </si>
  <si>
    <t xml:space="preserve">132-PSV-2501</t>
  </si>
  <si>
    <t xml:space="preserve">132-PSV-2502</t>
  </si>
  <si>
    <t xml:space="preserve">132-PSV-2601</t>
  </si>
  <si>
    <t xml:space="preserve">132-PSV-2602</t>
  </si>
  <si>
    <t xml:space="preserve">132-PSV-2201</t>
  </si>
  <si>
    <t xml:space="preserve">132-PSV-2801</t>
  </si>
  <si>
    <t xml:space="preserve">132-PSV-3001</t>
  </si>
  <si>
    <t xml:space="preserve">132-PSV-3002</t>
  </si>
  <si>
    <t xml:space="preserve">132-PSV-3201A/B</t>
  </si>
  <si>
    <t xml:space="preserve">132-PSV-3301A/B</t>
  </si>
  <si>
    <t xml:space="preserve">132-PSV-3701A/B</t>
  </si>
  <si>
    <t xml:space="preserve">132-PSV-3702A/B</t>
  </si>
  <si>
    <t xml:space="preserve">132-PSV-4201A/B</t>
  </si>
  <si>
    <t xml:space="preserve">132-PSV-4601A/B</t>
  </si>
  <si>
    <t xml:space="preserve">132-PSV-5101A/B</t>
  </si>
  <si>
    <t xml:space="preserve">132-PSV-5501A/B</t>
  </si>
  <si>
    <t xml:space="preserve">132-PSV-5601</t>
  </si>
  <si>
    <t xml:space="preserve">132-PSV-5901</t>
  </si>
  <si>
    <t xml:space="preserve">217-PSV-502AB</t>
  </si>
  <si>
    <t xml:space="preserve">217-PSV-503AB</t>
  </si>
  <si>
    <t xml:space="preserve">217-PSV-504AB</t>
  </si>
  <si>
    <t xml:space="preserve">217-PSV-505AB</t>
  </si>
  <si>
    <t xml:space="preserve">217-PSV-506AB</t>
  </si>
  <si>
    <t xml:space="preserve">217-PSV-206AB</t>
  </si>
  <si>
    <t xml:space="preserve">217-PSV-207AB</t>
  </si>
  <si>
    <t xml:space="preserve">加氢进料缓冲罐顶安全阀</t>
  </si>
  <si>
    <t xml:space="preserve">1#加氢反应器顶安全阀</t>
  </si>
  <si>
    <t xml:space="preserve">循环泵冲洗液罐顶安全阀</t>
  </si>
  <si>
    <t xml:space="preserve">冷低分罐顶安全阀</t>
  </si>
  <si>
    <t xml:space="preserve">汽提塔顶回流罐安全阀</t>
  </si>
  <si>
    <t xml:space="preserve">预闪蒸罐顶安全阀</t>
  </si>
  <si>
    <t xml:space="preserve">分馏塔顶回流罐安全阀</t>
  </si>
  <si>
    <t xml:space="preserve">分一中低压蒸汽发生器安全阀一</t>
  </si>
  <si>
    <t xml:space="preserve">分一中低压蒸汽发生器安全阀二</t>
  </si>
  <si>
    <t xml:space="preserve">分一低低压蒸汽发生器安全阀一</t>
  </si>
  <si>
    <t xml:space="preserve">分一中低低压蒸汽发生器安全阀二</t>
  </si>
  <si>
    <t xml:space="preserve">低压蒸汽安全阀</t>
  </si>
  <si>
    <t xml:space="preserve">柴油/锅炉给水换热器管程泄放阀</t>
  </si>
  <si>
    <t xml:space="preserve">加氢蜡油/低压蒸汽发生器安全阀一</t>
  </si>
  <si>
    <t xml:space="preserve">加氢蜡油/低压蒸汽发生器安全阀二</t>
  </si>
  <si>
    <t xml:space="preserve">注水罐顶安全阀</t>
  </si>
  <si>
    <t xml:space="preserve">新氢缓冲罐顶安全阀</t>
  </si>
  <si>
    <t xml:space="preserve">低分气脱硫塔顶安全阀</t>
  </si>
  <si>
    <t xml:space="preserve">贫胺液罐顶安全阀</t>
  </si>
  <si>
    <t xml:space="preserve">原料油缓冲罐顶安全阀</t>
  </si>
  <si>
    <t xml:space="preserve">压缩机区污油罐安全阀</t>
  </si>
  <si>
    <t xml:space="preserve">硫化剂罐安全阀</t>
  </si>
  <si>
    <t xml:space="preserve">燃料气分液罐安全阀</t>
  </si>
  <si>
    <t xml:space="preserve">净化风罐安全阀</t>
  </si>
  <si>
    <t xml:space="preserve">低压蒸汽主管安全阀</t>
  </si>
  <si>
    <t xml:space="preserve">1.0MPa汽包B顶部安全阀</t>
  </si>
  <si>
    <t xml:space="preserve">硫化剂罐顶安全阀</t>
  </si>
  <si>
    <t xml:space="preserve">净化压缩空气罐顶安全阀 </t>
  </si>
  <si>
    <t xml:space="preserve">燃料气分液罐顶安全阀</t>
  </si>
  <si>
    <t xml:space="preserve">热媒水罐顶安全阀</t>
  </si>
  <si>
    <t xml:space="preserve">新氢分液罐顶安全阀</t>
  </si>
  <si>
    <t xml:space="preserve">低压闪蒸罐顶安全阀</t>
  </si>
  <si>
    <t xml:space="preserve">加氢进料缓冲罐D-101顶</t>
  </si>
  <si>
    <t xml:space="preserve">CHARGE PUMP P-101</t>
  </si>
  <si>
    <t xml:space="preserve">1#加氢反应器顶</t>
  </si>
  <si>
    <t xml:space="preserve">D-109</t>
  </si>
  <si>
    <t xml:space="preserve">D-103</t>
  </si>
  <si>
    <t xml:space="preserve">D-201</t>
  </si>
  <si>
    <t xml:space="preserve">D-202</t>
  </si>
  <si>
    <t xml:space="preserve">D-203</t>
  </si>
  <si>
    <t xml:space="preserve">E-206</t>
  </si>
  <si>
    <t xml:space="preserve">E-207</t>
  </si>
  <si>
    <t xml:space="preserve">管线LS-02605上</t>
  </si>
  <si>
    <t xml:space="preserve">E-205 TUBE SIDE</t>
  </si>
  <si>
    <t xml:space="preserve">E-106 SHELL SIDE</t>
  </si>
  <si>
    <t xml:space="preserve">D-104</t>
  </si>
  <si>
    <t xml:space="preserve">D-105</t>
  </si>
  <si>
    <t xml:space="preserve">C-301</t>
  </si>
  <si>
    <t xml:space="preserve">D-300</t>
  </si>
  <si>
    <t xml:space="preserve">原料油缓冲罐D-110顶</t>
  </si>
  <si>
    <t xml:space="preserve">压缩机区污油罐顶</t>
  </si>
  <si>
    <t xml:space="preserve">硫化剂罐顶</t>
  </si>
  <si>
    <t xml:space="preserve">燃料气分液罐顶</t>
  </si>
  <si>
    <t xml:space="preserve">净化风罐V-403顶</t>
  </si>
  <si>
    <t xml:space="preserve">MS主管</t>
  </si>
  <si>
    <t xml:space="preserve">1.0MPa汽包V-501B顶部</t>
  </si>
  <si>
    <t xml:space="preserve">硫化剂罐V-504顶</t>
  </si>
  <si>
    <t xml:space="preserve">净化压缩空气管V-508顶</t>
  </si>
  <si>
    <t xml:space="preserve">燃料气分液罐V-509顶</t>
  </si>
  <si>
    <t xml:space="preserve">热媒水罐V-511顶</t>
  </si>
  <si>
    <t xml:space="preserve">新氢分液罐V-215顶</t>
  </si>
  <si>
    <t xml:space="preserve">低压闪蒸罐V-204顶</t>
  </si>
  <si>
    <t xml:space="preserve">Hydrogen</t>
  </si>
  <si>
    <t xml:space="preserve">VGO</t>
  </si>
  <si>
    <t xml:space="preserve">VGO+H2</t>
  </si>
  <si>
    <t xml:space="preserve">DIESEL</t>
  </si>
  <si>
    <t xml:space="preserve">轻烃,柴油, H2S，H2</t>
  </si>
  <si>
    <t xml:space="preserve">油汽、H20、H2S</t>
  </si>
  <si>
    <t xml:space="preserve">油气、蜡油</t>
  </si>
  <si>
    <t xml:space="preserve">中压蒸气</t>
  </si>
  <si>
    <t xml:space="preserve">低压蒸气</t>
  </si>
  <si>
    <t xml:space="preserve">热水</t>
  </si>
  <si>
    <t xml:space="preserve">热水/STEAM</t>
  </si>
  <si>
    <t xml:space="preserve">脱硫低分气</t>
  </si>
  <si>
    <t xml:space="preserve">油气</t>
  </si>
  <si>
    <t xml:space="preserve">氮气</t>
  </si>
  <si>
    <t xml:space="preserve">净化风</t>
  </si>
  <si>
    <t xml:space="preserve">水蒸汽</t>
  </si>
  <si>
    <t xml:space="preserve">氢气</t>
  </si>
  <si>
    <t xml:space="preserve">H2S,H2,轻烃</t>
  </si>
  <si>
    <r>
      <rPr>
        <sz val="12"/>
        <rFont val="Arial"/>
        <family val="2"/>
        <charset val="1"/>
      </rPr>
      <t xml:space="preserve">M</t>
    </r>
    <r>
      <rPr>
        <sz val="12"/>
        <rFont val="宋体"/>
        <family val="3"/>
        <charset val="134"/>
      </rPr>
      <t xml:space="preserve">：分子量</t>
    </r>
  </si>
  <si>
    <r>
      <rPr>
        <sz val="12"/>
        <rFont val="宋体"/>
        <family val="3"/>
        <charset val="134"/>
      </rPr>
      <t xml:space="preserve">容器设计压力（</t>
    </r>
    <r>
      <rPr>
        <sz val="12"/>
        <rFont val="Arial"/>
        <family val="2"/>
        <charset val="1"/>
      </rPr>
      <t xml:space="preserve">Mpa</t>
    </r>
    <r>
      <rPr>
        <sz val="12"/>
        <rFont val="宋体"/>
        <family val="3"/>
        <charset val="134"/>
      </rPr>
      <t xml:space="preserve">，表压）</t>
    </r>
  </si>
  <si>
    <r>
      <rPr>
        <sz val="12"/>
        <rFont val="宋体"/>
        <family val="3"/>
        <charset val="134"/>
      </rPr>
      <t xml:space="preserve">最高操作压力（</t>
    </r>
    <r>
      <rPr>
        <sz val="12"/>
        <rFont val="Arial"/>
        <family val="2"/>
        <charset val="1"/>
      </rPr>
      <t xml:space="preserve">Mpa</t>
    </r>
    <r>
      <rPr>
        <sz val="12"/>
        <rFont val="宋体"/>
        <family val="3"/>
        <charset val="134"/>
      </rPr>
      <t xml:space="preserve">，表压）</t>
    </r>
  </si>
  <si>
    <r>
      <rPr>
        <sz val="12"/>
        <rFont val="宋体"/>
        <family val="3"/>
        <charset val="134"/>
      </rPr>
      <t xml:space="preserve">定压值</t>
    </r>
    <r>
      <rPr>
        <sz val="12"/>
        <rFont val="Arial"/>
        <family val="2"/>
        <charset val="1"/>
      </rPr>
      <t xml:space="preserve">Ps</t>
    </r>
    <r>
      <rPr>
        <sz val="12"/>
        <rFont val="宋体"/>
        <family val="3"/>
        <charset val="134"/>
      </rPr>
      <t xml:space="preserve">≤设备设计压力</t>
    </r>
    <r>
      <rPr>
        <sz val="12"/>
        <rFont val="Arial"/>
        <family val="2"/>
        <charset val="1"/>
      </rPr>
      <t xml:space="preserve">PD</t>
    </r>
    <r>
      <rPr>
        <sz val="12"/>
        <rFont val="宋体"/>
        <family val="3"/>
        <charset val="134"/>
      </rPr>
      <t xml:space="preserve">（</t>
    </r>
    <r>
      <rPr>
        <sz val="12"/>
        <rFont val="Arial"/>
        <family val="2"/>
        <charset val="1"/>
      </rPr>
      <t xml:space="preserve">Mpa</t>
    </r>
    <r>
      <rPr>
        <sz val="12"/>
        <rFont val="宋体"/>
        <family val="3"/>
        <charset val="134"/>
      </rPr>
      <t xml:space="preserve">，表压）</t>
    </r>
  </si>
  <si>
    <r>
      <rPr>
        <sz val="12"/>
        <rFont val="Arial"/>
        <family val="2"/>
        <charset val="1"/>
      </rPr>
      <t xml:space="preserve">Pa</t>
    </r>
    <r>
      <rPr>
        <sz val="12"/>
        <rFont val="宋体"/>
        <family val="3"/>
        <charset val="134"/>
      </rPr>
      <t xml:space="preserve">：积聚压力（</t>
    </r>
    <r>
      <rPr>
        <sz val="12"/>
        <rFont val="Arial"/>
        <family val="2"/>
        <charset val="1"/>
      </rPr>
      <t xml:space="preserve">Mpa</t>
    </r>
    <r>
      <rPr>
        <sz val="12"/>
        <rFont val="宋体"/>
        <family val="3"/>
        <charset val="134"/>
      </rPr>
      <t xml:space="preserve">，表压）</t>
    </r>
  </si>
  <si>
    <r>
      <rPr>
        <sz val="12"/>
        <rFont val="Arial"/>
        <family val="2"/>
        <charset val="1"/>
      </rPr>
      <t xml:space="preserve">Pm</t>
    </r>
    <r>
      <rPr>
        <sz val="12"/>
        <rFont val="宋体"/>
        <family val="3"/>
        <charset val="134"/>
      </rPr>
      <t xml:space="preserve">：最高泄放压力（</t>
    </r>
    <r>
      <rPr>
        <sz val="12"/>
        <rFont val="Arial"/>
        <family val="2"/>
        <charset val="1"/>
      </rPr>
      <t xml:space="preserve">Mpa</t>
    </r>
    <r>
      <rPr>
        <sz val="12"/>
        <rFont val="宋体"/>
        <family val="3"/>
        <charset val="134"/>
      </rPr>
      <t xml:space="preserve">，绝压）</t>
    </r>
  </si>
  <si>
    <r>
      <rPr>
        <sz val="12"/>
        <rFont val="Arial"/>
        <family val="2"/>
        <charset val="1"/>
      </rPr>
      <t xml:space="preserve">P2</t>
    </r>
    <r>
      <rPr>
        <sz val="12"/>
        <rFont val="宋体"/>
        <family val="3"/>
        <charset val="134"/>
      </rPr>
      <t xml:space="preserve">：安全阀出口压力（背压，</t>
    </r>
    <r>
      <rPr>
        <sz val="12"/>
        <rFont val="Arial"/>
        <family val="2"/>
        <charset val="1"/>
      </rPr>
      <t xml:space="preserve">Mpa</t>
    </r>
    <r>
      <rPr>
        <sz val="12"/>
        <rFont val="宋体"/>
        <family val="3"/>
        <charset val="134"/>
      </rPr>
      <t xml:space="preserve">，表压）</t>
    </r>
  </si>
  <si>
    <t xml:space="preserve">动力故障工况</t>
  </si>
  <si>
    <t xml:space="preserve">227.33</t>
  </si>
  <si>
    <r>
      <rPr>
        <sz val="12"/>
        <rFont val="Arial"/>
        <family val="2"/>
        <charset val="1"/>
      </rPr>
      <t xml:space="preserve">T1</t>
    </r>
    <r>
      <rPr>
        <sz val="12"/>
        <rFont val="宋体"/>
        <family val="3"/>
        <charset val="134"/>
      </rPr>
      <t xml:space="preserve">：进口温度，</t>
    </r>
    <r>
      <rPr>
        <sz val="12"/>
        <rFont val="Arial"/>
        <family val="2"/>
        <charset val="1"/>
      </rPr>
      <t xml:space="preserve">K</t>
    </r>
  </si>
  <si>
    <r>
      <rPr>
        <sz val="12"/>
        <rFont val="Arial"/>
        <family val="2"/>
        <charset val="1"/>
      </rPr>
      <t xml:space="preserve">K:</t>
    </r>
    <r>
      <rPr>
        <sz val="12"/>
        <rFont val="宋体"/>
        <family val="3"/>
        <charset val="134"/>
      </rPr>
      <t xml:space="preserve">气体绝热指数（</t>
    </r>
    <r>
      <rPr>
        <sz val="12"/>
        <rFont val="Arial"/>
        <family val="2"/>
        <charset val="1"/>
      </rPr>
      <t xml:space="preserve">CP/CV</t>
    </r>
    <r>
      <rPr>
        <sz val="12"/>
        <rFont val="宋体"/>
        <family val="3"/>
        <charset val="134"/>
      </rPr>
      <t xml:space="preserve">）</t>
    </r>
  </si>
  <si>
    <r>
      <rPr>
        <sz val="12"/>
        <rFont val="Arial"/>
        <family val="2"/>
        <charset val="1"/>
      </rPr>
      <t xml:space="preserve">Pcf</t>
    </r>
    <r>
      <rPr>
        <sz val="12"/>
        <rFont val="宋体"/>
        <family val="3"/>
        <charset val="134"/>
      </rPr>
      <t xml:space="preserve">：临界流动压力（</t>
    </r>
    <r>
      <rPr>
        <sz val="12"/>
        <rFont val="Arial"/>
        <family val="2"/>
        <charset val="1"/>
      </rPr>
      <t xml:space="preserve">Mpa</t>
    </r>
    <r>
      <rPr>
        <sz val="12"/>
        <rFont val="宋体"/>
        <family val="3"/>
        <charset val="134"/>
      </rPr>
      <t xml:space="preserve">，绝压）</t>
    </r>
  </si>
  <si>
    <r>
      <rPr>
        <sz val="12"/>
        <rFont val="Arial"/>
        <family val="2"/>
        <charset val="1"/>
      </rPr>
      <t xml:space="preserve">Z</t>
    </r>
    <r>
      <rPr>
        <sz val="12"/>
        <rFont val="宋体"/>
        <family val="3"/>
        <charset val="134"/>
      </rPr>
      <t xml:space="preserve">：在</t>
    </r>
    <r>
      <rPr>
        <sz val="12"/>
        <rFont val="Arial"/>
        <family val="2"/>
        <charset val="1"/>
      </rPr>
      <t xml:space="preserve">Pm</t>
    </r>
    <r>
      <rPr>
        <sz val="12"/>
        <rFont val="宋体"/>
        <family val="3"/>
        <charset val="134"/>
      </rPr>
      <t xml:space="preserve">压力下气体的压缩系数</t>
    </r>
  </si>
  <si>
    <r>
      <rPr>
        <sz val="12"/>
        <rFont val="宋体"/>
        <family val="3"/>
        <charset val="134"/>
      </rPr>
      <t xml:space="preserve">实际进料量下的泄放量</t>
    </r>
    <r>
      <rPr>
        <sz val="12"/>
        <rFont val="Arial"/>
        <family val="2"/>
        <charset val="1"/>
      </rPr>
      <t xml:space="preserve">(kg/h)</t>
    </r>
  </si>
  <si>
    <t xml:space="preserve">2557.51</t>
  </si>
  <si>
    <r>
      <rPr>
        <sz val="12"/>
        <rFont val="Arial"/>
        <family val="2"/>
        <charset val="1"/>
      </rPr>
      <t xml:space="preserve">KF</t>
    </r>
    <r>
      <rPr>
        <sz val="12"/>
        <rFont val="宋体"/>
        <family val="3"/>
        <charset val="134"/>
      </rPr>
      <t xml:space="preserve">：流量系数</t>
    </r>
  </si>
  <si>
    <r>
      <rPr>
        <sz val="12"/>
        <rFont val="Arial"/>
        <family val="2"/>
        <charset val="1"/>
      </rPr>
      <t xml:space="preserve">Kb</t>
    </r>
    <r>
      <rPr>
        <sz val="12"/>
        <rFont val="宋体"/>
        <family val="3"/>
        <charset val="134"/>
      </rPr>
      <t xml:space="preserve">：背压校正系数</t>
    </r>
  </si>
  <si>
    <r>
      <rPr>
        <sz val="12"/>
        <rFont val="Arial"/>
        <family val="2"/>
        <charset val="1"/>
      </rPr>
      <t xml:space="preserve">Kv</t>
    </r>
    <r>
      <rPr>
        <sz val="12"/>
        <rFont val="宋体"/>
        <family val="3"/>
        <charset val="134"/>
      </rPr>
      <t xml:space="preserve">：粘度校正系数</t>
    </r>
  </si>
  <si>
    <r>
      <rPr>
        <sz val="12"/>
        <rFont val="宋体"/>
        <family val="3"/>
        <charset val="134"/>
      </rPr>
      <t xml:space="preserve">安全泄放量</t>
    </r>
    <r>
      <rPr>
        <sz val="12"/>
        <rFont val="Arial"/>
        <family val="2"/>
        <charset val="1"/>
      </rPr>
      <t xml:space="preserve">G(kg/h)</t>
    </r>
  </si>
  <si>
    <r>
      <rPr>
        <sz val="12"/>
        <rFont val="宋体"/>
        <family val="3"/>
        <charset val="134"/>
      </rPr>
      <t xml:space="preserve">泄放喷嘴分面积</t>
    </r>
    <r>
      <rPr>
        <sz val="12"/>
        <rFont val="Arial"/>
        <family val="2"/>
        <charset val="1"/>
      </rPr>
      <t xml:space="preserve">A0</t>
    </r>
    <r>
      <rPr>
        <sz val="12"/>
        <rFont val="宋体"/>
        <family val="3"/>
        <charset val="134"/>
      </rPr>
      <t xml:space="preserve">（</t>
    </r>
    <r>
      <rPr>
        <sz val="12"/>
        <rFont val="Arial"/>
        <family val="2"/>
        <charset val="1"/>
      </rPr>
      <t xml:space="preserve">mm2</t>
    </r>
    <r>
      <rPr>
        <sz val="12"/>
        <rFont val="宋体"/>
        <family val="3"/>
        <charset val="134"/>
      </rPr>
      <t xml:space="preserve">）</t>
    </r>
  </si>
  <si>
    <r>
      <rPr>
        <sz val="12"/>
        <rFont val="宋体"/>
        <family val="3"/>
        <charset val="134"/>
      </rPr>
      <t xml:space="preserve">泄放喷嘴总面积</t>
    </r>
    <r>
      <rPr>
        <sz val="12"/>
        <rFont val="Arial"/>
        <family val="2"/>
        <charset val="1"/>
      </rPr>
      <t xml:space="preserve">A0</t>
    </r>
    <r>
      <rPr>
        <sz val="12"/>
        <rFont val="宋体"/>
        <family val="3"/>
        <charset val="134"/>
      </rPr>
      <t xml:space="preserve">（</t>
    </r>
    <r>
      <rPr>
        <sz val="12"/>
        <rFont val="Arial"/>
        <family val="2"/>
        <charset val="1"/>
      </rPr>
      <t xml:space="preserve">mm2</t>
    </r>
    <r>
      <rPr>
        <sz val="12"/>
        <rFont val="宋体"/>
        <family val="3"/>
        <charset val="134"/>
      </rPr>
      <t xml:space="preserve">）</t>
    </r>
  </si>
  <si>
    <t xml:space="preserve">火灾工况</t>
  </si>
  <si>
    <r>
      <rPr>
        <b val="true"/>
        <sz val="12"/>
        <color rgb="FF0000FF"/>
        <rFont val="宋体"/>
        <family val="3"/>
        <charset val="134"/>
      </rPr>
      <t xml:space="preserve">气态 </t>
    </r>
    <r>
      <rPr>
        <b val="true"/>
        <sz val="12"/>
        <color rgb="FF0000FF"/>
        <rFont val="Arial"/>
        <family val="2"/>
        <charset val="1"/>
      </rPr>
      <t xml:space="preserve">GAS</t>
    </r>
  </si>
  <si>
    <r>
      <rPr>
        <sz val="12"/>
        <rFont val="宋体"/>
        <family val="3"/>
        <charset val="134"/>
      </rPr>
      <t xml:space="preserve">气态 </t>
    </r>
    <r>
      <rPr>
        <sz val="12"/>
        <rFont val="Arial"/>
        <family val="2"/>
        <charset val="1"/>
      </rPr>
      <t xml:space="preserve">GAS</t>
    </r>
  </si>
  <si>
    <r>
      <rPr>
        <sz val="12"/>
        <rFont val="宋体"/>
        <family val="3"/>
        <charset val="134"/>
      </rPr>
      <t xml:space="preserve">泄放温度，</t>
    </r>
    <r>
      <rPr>
        <sz val="12"/>
        <rFont val="Arial"/>
        <family val="2"/>
        <charset val="1"/>
      </rPr>
      <t xml:space="preserve">K</t>
    </r>
  </si>
  <si>
    <r>
      <rPr>
        <sz val="12"/>
        <rFont val="宋体"/>
        <family val="3"/>
        <charset val="134"/>
      </rPr>
      <t xml:space="preserve">安全泄放量</t>
    </r>
    <r>
      <rPr>
        <sz val="12"/>
        <rFont val="Arial"/>
        <family val="2"/>
        <charset val="1"/>
      </rPr>
      <t xml:space="preserve">Gv</t>
    </r>
    <r>
      <rPr>
        <sz val="12"/>
        <rFont val="宋体"/>
        <family val="3"/>
        <charset val="134"/>
      </rPr>
      <t xml:space="preserve">（</t>
    </r>
    <r>
      <rPr>
        <sz val="12"/>
        <rFont val="Arial"/>
        <family val="2"/>
        <charset val="1"/>
      </rPr>
      <t xml:space="preserve">kg/h</t>
    </r>
    <r>
      <rPr>
        <sz val="12"/>
        <rFont val="宋体"/>
        <family val="3"/>
        <charset val="134"/>
      </rPr>
      <t xml:space="preserve">）</t>
    </r>
  </si>
  <si>
    <r>
      <rPr>
        <sz val="12"/>
        <rFont val="宋体"/>
        <family val="3"/>
        <charset val="134"/>
      </rPr>
      <t xml:space="preserve">容器的受热面积</t>
    </r>
    <r>
      <rPr>
        <sz val="12"/>
        <rFont val="Arial"/>
        <family val="2"/>
        <charset val="1"/>
      </rPr>
      <t xml:space="preserve">A</t>
    </r>
    <r>
      <rPr>
        <sz val="12"/>
        <rFont val="宋体"/>
        <family val="3"/>
        <charset val="134"/>
      </rPr>
      <t xml:space="preserve">（</t>
    </r>
    <r>
      <rPr>
        <sz val="12"/>
        <rFont val="Arial"/>
        <family val="2"/>
        <charset val="1"/>
      </rPr>
      <t xml:space="preserve">m2)</t>
    </r>
  </si>
  <si>
    <r>
      <rPr>
        <sz val="12"/>
        <rFont val="宋体"/>
        <family val="3"/>
        <charset val="134"/>
      </rPr>
      <t xml:space="preserve">蒸发潜热</t>
    </r>
    <r>
      <rPr>
        <sz val="12"/>
        <rFont val="Arial"/>
        <family val="2"/>
        <charset val="1"/>
      </rPr>
      <t xml:space="preserve">Hv</t>
    </r>
    <r>
      <rPr>
        <sz val="12"/>
        <rFont val="宋体"/>
        <family val="3"/>
        <charset val="134"/>
      </rPr>
      <t xml:space="preserve">（</t>
    </r>
    <r>
      <rPr>
        <sz val="12"/>
        <rFont val="Arial"/>
        <family val="2"/>
        <charset val="1"/>
      </rPr>
      <t xml:space="preserve">kJ/kg</t>
    </r>
    <r>
      <rPr>
        <sz val="12"/>
        <rFont val="宋体"/>
        <family val="3"/>
        <charset val="134"/>
      </rPr>
      <t xml:space="preserve">）</t>
    </r>
  </si>
  <si>
    <r>
      <rPr>
        <sz val="12"/>
        <rFont val="宋体"/>
        <family val="3"/>
        <charset val="134"/>
      </rPr>
      <t xml:space="preserve">火灾工况喷嘴面积（</t>
    </r>
    <r>
      <rPr>
        <sz val="12"/>
        <rFont val="Arial"/>
        <family val="2"/>
        <charset val="1"/>
      </rPr>
      <t xml:space="preserve">mm2</t>
    </r>
    <r>
      <rPr>
        <sz val="12"/>
        <rFont val="宋体"/>
        <family val="3"/>
        <charset val="134"/>
      </rPr>
      <t xml:space="preserve">）</t>
    </r>
  </si>
  <si>
    <t xml:space="preserve">泄放温度（℃）</t>
  </si>
  <si>
    <r>
      <rPr>
        <sz val="12"/>
        <rFont val="宋体"/>
        <family val="3"/>
        <charset val="134"/>
      </rPr>
      <t xml:space="preserve">安全阀喷嘴面积</t>
    </r>
    <r>
      <rPr>
        <sz val="12"/>
        <rFont val="Arial"/>
        <family val="2"/>
        <charset val="1"/>
      </rPr>
      <t xml:space="preserve">A0</t>
    </r>
    <r>
      <rPr>
        <sz val="12"/>
        <rFont val="宋体"/>
        <family val="3"/>
        <charset val="134"/>
      </rPr>
      <t xml:space="preserve">（</t>
    </r>
    <r>
      <rPr>
        <sz val="12"/>
        <rFont val="Arial"/>
        <family val="2"/>
        <charset val="1"/>
      </rPr>
      <t xml:space="preserve">mm2</t>
    </r>
    <r>
      <rPr>
        <sz val="12"/>
        <rFont val="宋体"/>
        <family val="3"/>
        <charset val="134"/>
      </rPr>
      <t xml:space="preserve">）</t>
    </r>
  </si>
  <si>
    <r>
      <rPr>
        <sz val="12"/>
        <rFont val="宋体"/>
        <family val="3"/>
        <charset val="134"/>
      </rPr>
      <t xml:space="preserve">安全阀所需喉径</t>
    </r>
    <r>
      <rPr>
        <sz val="12"/>
        <rFont val="Arial"/>
        <family val="2"/>
        <charset val="1"/>
      </rPr>
      <t xml:space="preserve">do</t>
    </r>
    <r>
      <rPr>
        <sz val="12"/>
        <rFont val="宋体"/>
        <family val="3"/>
        <charset val="134"/>
      </rPr>
      <t xml:space="preserve">（</t>
    </r>
    <r>
      <rPr>
        <sz val="12"/>
        <rFont val="Arial"/>
        <family val="2"/>
        <charset val="1"/>
      </rPr>
      <t xml:space="preserve">mm</t>
    </r>
    <r>
      <rPr>
        <sz val="12"/>
        <rFont val="宋体"/>
        <family val="3"/>
        <charset val="134"/>
      </rPr>
      <t xml:space="preserve">）</t>
    </r>
  </si>
  <si>
    <t xml:space="preserve">E</t>
  </si>
  <si>
    <r>
      <rPr>
        <sz val="11"/>
        <rFont val="宋体"/>
        <family val="3"/>
        <charset val="134"/>
      </rPr>
      <t xml:space="preserve">新选安全阀入口径</t>
    </r>
    <r>
      <rPr>
        <sz val="11"/>
        <rFont val="Arial"/>
        <family val="2"/>
        <charset val="1"/>
      </rPr>
      <t xml:space="preserve">Inlet</t>
    </r>
    <r>
      <rPr>
        <sz val="11"/>
        <rFont val="宋体"/>
        <family val="3"/>
        <charset val="134"/>
      </rPr>
      <t xml:space="preserve">（</t>
    </r>
    <r>
      <rPr>
        <sz val="11"/>
        <rFont val="Arial"/>
        <family val="2"/>
        <charset val="1"/>
      </rPr>
      <t xml:space="preserve">inch</t>
    </r>
    <r>
      <rPr>
        <sz val="11"/>
        <rFont val="宋体"/>
        <family val="3"/>
        <charset val="134"/>
      </rPr>
      <t xml:space="preserve">）</t>
    </r>
  </si>
  <si>
    <r>
      <rPr>
        <sz val="11"/>
        <rFont val="宋体"/>
        <family val="3"/>
        <charset val="134"/>
      </rPr>
      <t xml:space="preserve">新选安全阀出口径</t>
    </r>
    <r>
      <rPr>
        <sz val="11"/>
        <rFont val="Arial"/>
        <family val="2"/>
        <charset val="1"/>
      </rPr>
      <t xml:space="preserve">Outlet</t>
    </r>
    <r>
      <rPr>
        <sz val="11"/>
        <rFont val="宋体"/>
        <family val="3"/>
        <charset val="134"/>
      </rPr>
      <t xml:space="preserve">（</t>
    </r>
    <r>
      <rPr>
        <sz val="11"/>
        <rFont val="Arial"/>
        <family val="2"/>
        <charset val="1"/>
      </rPr>
      <t xml:space="preserve">inch</t>
    </r>
    <r>
      <rPr>
        <sz val="11"/>
        <rFont val="宋体"/>
        <family val="3"/>
        <charset val="134"/>
      </rPr>
      <t xml:space="preserve">）</t>
    </r>
  </si>
  <si>
    <r>
      <rPr>
        <sz val="12"/>
        <rFont val="宋体"/>
        <family val="3"/>
        <charset val="134"/>
      </rPr>
      <t xml:space="preserve">新选安全阀喉径</t>
    </r>
    <r>
      <rPr>
        <sz val="12"/>
        <rFont val="Arial"/>
        <family val="2"/>
        <charset val="1"/>
      </rPr>
      <t xml:space="preserve">do</t>
    </r>
    <r>
      <rPr>
        <sz val="12"/>
        <rFont val="宋体"/>
        <family val="3"/>
        <charset val="134"/>
      </rPr>
      <t xml:space="preserve">（</t>
    </r>
    <r>
      <rPr>
        <sz val="12"/>
        <rFont val="Arial"/>
        <family val="2"/>
        <charset val="1"/>
      </rPr>
      <t xml:space="preserve">mm</t>
    </r>
    <r>
      <rPr>
        <sz val="12"/>
        <rFont val="宋体"/>
        <family val="3"/>
        <charset val="134"/>
      </rPr>
      <t xml:space="preserve">）</t>
    </r>
  </si>
  <si>
    <r>
      <rPr>
        <sz val="12"/>
        <rFont val="宋体"/>
        <family val="3"/>
        <charset val="134"/>
      </rPr>
      <t xml:space="preserve">新选安全阀流道面积</t>
    </r>
    <r>
      <rPr>
        <sz val="12"/>
        <rFont val="Arial"/>
        <family val="2"/>
        <charset val="1"/>
      </rPr>
      <t xml:space="preserve">A</t>
    </r>
    <r>
      <rPr>
        <sz val="12"/>
        <rFont val="宋体"/>
        <family val="3"/>
        <charset val="134"/>
      </rPr>
      <t xml:space="preserve">（</t>
    </r>
    <r>
      <rPr>
        <sz val="12"/>
        <rFont val="Arial"/>
        <family val="2"/>
        <charset val="1"/>
      </rPr>
      <t xml:space="preserve">mm2</t>
    </r>
    <r>
      <rPr>
        <sz val="12"/>
        <rFont val="宋体"/>
        <family val="3"/>
        <charset val="134"/>
      </rPr>
      <t xml:space="preserve">）</t>
    </r>
  </si>
  <si>
    <t xml:space="preserve">WFO-30-4N6</t>
  </si>
  <si>
    <t xml:space="preserve">WFB-150-3L4</t>
  </si>
  <si>
    <t xml:space="preserve">WFO-30-3J4</t>
  </si>
  <si>
    <t xml:space="preserve">WFB-30-4M6</t>
  </si>
  <si>
    <t xml:space="preserve">WFB-30-6Q8</t>
  </si>
  <si>
    <t xml:space="preserve">WFB-30-6R8</t>
  </si>
  <si>
    <t xml:space="preserve">WFS-30-3K4</t>
  </si>
  <si>
    <t xml:space="preserve">WFS-30-4M6</t>
  </si>
  <si>
    <t xml:space="preserve">WFS-30-11/2H3</t>
  </si>
  <si>
    <t xml:space="preserve">WFO-30-1D2</t>
  </si>
  <si>
    <t xml:space="preserve">WFS-30-4P6</t>
  </si>
  <si>
    <t xml:space="preserve">WFB-15-1 1/2G3</t>
  </si>
  <si>
    <t xml:space="preserve">WFB-30-3J4</t>
  </si>
  <si>
    <t xml:space="preserve">WFB-30-2H3</t>
  </si>
  <si>
    <t xml:space="preserve">WFB-30-1 1/2H3</t>
  </si>
  <si>
    <t xml:space="preserve">WFB-30-1 1/2G3</t>
  </si>
  <si>
    <t xml:space="preserve">WFB-30-3L4</t>
  </si>
  <si>
    <t xml:space="preserve">WFO-30-1 1/2H3</t>
  </si>
  <si>
    <r>
      <rPr>
        <sz val="12"/>
        <rFont val="宋体"/>
        <family val="3"/>
        <charset val="134"/>
      </rPr>
      <t xml:space="preserve">安全阀入口直径（</t>
    </r>
    <r>
      <rPr>
        <sz val="12"/>
        <rFont val="Arial"/>
        <family val="2"/>
        <charset val="1"/>
      </rPr>
      <t xml:space="preserve">mm</t>
    </r>
    <r>
      <rPr>
        <sz val="12"/>
        <rFont val="宋体"/>
        <family val="3"/>
        <charset val="134"/>
      </rPr>
      <t xml:space="preserve">）</t>
    </r>
  </si>
  <si>
    <r>
      <rPr>
        <sz val="12"/>
        <rFont val="宋体"/>
        <family val="3"/>
        <charset val="134"/>
      </rPr>
      <t xml:space="preserve">安全阀出口直径（</t>
    </r>
    <r>
      <rPr>
        <sz val="12"/>
        <rFont val="Arial"/>
        <family val="2"/>
        <charset val="1"/>
      </rPr>
      <t xml:space="preserve">mm</t>
    </r>
    <r>
      <rPr>
        <sz val="12"/>
        <rFont val="宋体"/>
        <family val="3"/>
        <charset val="134"/>
      </rPr>
      <t xml:space="preserve">）</t>
    </r>
  </si>
  <si>
    <t xml:space="preserve">背压/定压</t>
  </si>
  <si>
    <t xml:space="preserve">面积余量%</t>
  </si>
  <si>
    <t xml:space="preserve">样本上不能选出来，温度压力太高</t>
  </si>
  <si>
    <t xml:space="preserve">压力等级1500lb不够</t>
  </si>
  <si>
    <t xml:space="preserve">火灾工况温度较高，选型压力等级高于管道</t>
  </si>
  <si>
    <r>
      <rPr>
        <sz val="10"/>
        <rFont val="宋体"/>
        <family val="3"/>
        <charset val="134"/>
      </rPr>
      <t xml:space="preserve">安全阀数据表上定压为</t>
    </r>
    <r>
      <rPr>
        <sz val="10"/>
        <rFont val="Arial"/>
        <family val="2"/>
        <charset val="1"/>
      </rPr>
      <t xml:space="preserve">1.3MPa.g,</t>
    </r>
    <r>
      <rPr>
        <sz val="10"/>
        <rFont val="宋体"/>
        <family val="3"/>
        <charset val="134"/>
      </rPr>
      <t xml:space="preserve">但设备设计压力为</t>
    </r>
    <r>
      <rPr>
        <sz val="10"/>
        <rFont val="Arial"/>
        <family val="2"/>
        <charset val="1"/>
      </rPr>
      <t xml:space="preserve">1.2MPa.g</t>
    </r>
  </si>
  <si>
    <t xml:space="preserve">数据表为混相，按气相计算。</t>
  </si>
  <si>
    <r>
      <rPr>
        <sz val="12"/>
        <rFont val="宋体"/>
        <family val="3"/>
        <charset val="134"/>
      </rPr>
      <t xml:space="preserve">要求 </t>
    </r>
    <r>
      <rPr>
        <sz val="12"/>
        <rFont val="Arial"/>
        <family val="2"/>
        <charset val="1"/>
      </rPr>
      <t xml:space="preserve">two PSVS equipped with manual lifting device</t>
    </r>
  </si>
  <si>
    <r>
      <rPr>
        <sz val="12"/>
        <color rgb="FFFF0000"/>
        <rFont val="宋体"/>
        <family val="3"/>
        <charset val="134"/>
      </rPr>
      <t xml:space="preserve">工况</t>
    </r>
    <r>
      <rPr>
        <sz val="12"/>
        <color rgb="FFFF0000"/>
        <rFont val="Arial"/>
        <family val="2"/>
        <charset val="1"/>
      </rPr>
      <t xml:space="preserve">;Closed Outlets - Feed Continues</t>
    </r>
  </si>
  <si>
    <r>
      <rPr>
        <sz val="12"/>
        <color rgb="FFFF0000"/>
        <rFont val="宋体"/>
        <family val="3"/>
        <charset val="134"/>
      </rPr>
      <t xml:space="preserve">选型喉径为</t>
    </r>
    <r>
      <rPr>
        <sz val="12"/>
        <color rgb="FFFF0000"/>
        <rFont val="Arial"/>
        <family val="2"/>
        <charset val="1"/>
      </rPr>
      <t xml:space="preserve">D,</t>
    </r>
    <r>
      <rPr>
        <sz val="12"/>
        <color rgb="FFFF0000"/>
        <rFont val="宋体"/>
        <family val="3"/>
        <charset val="134"/>
      </rPr>
      <t xml:space="preserve">却表示面积为</t>
    </r>
    <r>
      <rPr>
        <sz val="12"/>
        <color rgb="FFFF0000"/>
        <rFont val="Arial"/>
        <family val="2"/>
        <charset val="1"/>
      </rPr>
      <t xml:space="preserve">1185.8mm2</t>
    </r>
  </si>
  <si>
    <t xml:space="preserve">将被压修改0.32改为2.99</t>
  </si>
  <si>
    <t xml:space="preserve">泄放温度从附件选出，数据表无数据</t>
  </si>
  <si>
    <r>
      <rPr>
        <sz val="12"/>
        <rFont val="宋体"/>
        <family val="3"/>
        <charset val="134"/>
      </rPr>
      <t xml:space="preserve">现将定压改为</t>
    </r>
    <r>
      <rPr>
        <sz val="12"/>
        <rFont val="Arial"/>
        <family val="2"/>
        <charset val="1"/>
      </rPr>
      <t xml:space="preserve">1.2MPa.g,</t>
    </r>
  </si>
  <si>
    <t xml:space="preserve"> as per ASME SECTION #1 vessel</t>
  </si>
  <si>
    <t xml:space="preserve">as per ASME SECTION #1 vessel</t>
  </si>
  <si>
    <t xml:space="preserve">数据表显示排放热水，但排放至火炬</t>
  </si>
  <si>
    <r>
      <rPr>
        <sz val="12"/>
        <color rgb="FFFF0000"/>
        <rFont val="宋体"/>
        <family val="3"/>
        <charset val="134"/>
      </rPr>
      <t xml:space="preserve">实际火灾工况只需要</t>
    </r>
    <r>
      <rPr>
        <sz val="12"/>
        <color rgb="FFFF0000"/>
        <rFont val="Arial"/>
        <family val="2"/>
        <charset val="1"/>
      </rPr>
      <t xml:space="preserve">70mm2</t>
    </r>
    <r>
      <rPr>
        <sz val="12"/>
        <color rgb="FFFF0000"/>
        <rFont val="宋体"/>
        <family val="3"/>
        <charset val="134"/>
      </rPr>
      <t xml:space="preserve">的喉径，但考虑</t>
    </r>
  </si>
  <si>
    <t xml:space="preserve">压力等级比管道高一级</t>
  </si>
  <si>
    <t xml:space="preserve">要求平衡式，改成普通式</t>
  </si>
  <si>
    <t xml:space="preserve">现将排放点火炬改为就地，背压</t>
  </si>
  <si>
    <t xml:space="preserve">到外部关闭，选择氢气进气量作为泄放量。</t>
  </si>
  <si>
    <r>
      <rPr>
        <sz val="12"/>
        <rFont val="宋体"/>
        <family val="3"/>
        <charset val="134"/>
      </rPr>
      <t xml:space="preserve">背压改为</t>
    </r>
    <r>
      <rPr>
        <sz val="12"/>
        <rFont val="Arial"/>
        <family val="2"/>
        <charset val="1"/>
      </rPr>
      <t xml:space="preserve">0</t>
    </r>
  </si>
  <si>
    <r>
      <rPr>
        <sz val="12"/>
        <color rgb="FFFF0000"/>
        <rFont val="宋体"/>
        <family val="3"/>
        <charset val="134"/>
      </rPr>
      <t xml:space="preserve">也有</t>
    </r>
    <r>
      <rPr>
        <sz val="12"/>
        <color rgb="FFFF0000"/>
        <rFont val="Arial"/>
        <family val="2"/>
        <charset val="1"/>
      </rPr>
      <t xml:space="preserve">0.32MP</t>
    </r>
    <r>
      <rPr>
        <sz val="12"/>
        <color rgb="FFFF0000"/>
        <rFont val="宋体"/>
        <family val="3"/>
        <charset val="134"/>
      </rPr>
      <t xml:space="preserve">，改成</t>
    </r>
    <r>
      <rPr>
        <sz val="12"/>
        <color rgb="FFFF0000"/>
        <rFont val="Arial"/>
        <family val="2"/>
        <charset val="1"/>
      </rPr>
      <t xml:space="preserve">0</t>
    </r>
  </si>
  <si>
    <r>
      <rPr>
        <sz val="12"/>
        <color rgb="FFFF0000"/>
        <rFont val="宋体"/>
        <family val="3"/>
        <charset val="134"/>
      </rPr>
      <t xml:space="preserve">因此将</t>
    </r>
    <r>
      <rPr>
        <sz val="12"/>
        <color rgb="FFFF0000"/>
        <rFont val="Arial"/>
        <family val="2"/>
        <charset val="1"/>
      </rPr>
      <t xml:space="preserve">D</t>
    </r>
    <r>
      <rPr>
        <sz val="12"/>
        <color rgb="FFFF0000"/>
        <rFont val="宋体"/>
        <family val="3"/>
        <charset val="134"/>
      </rPr>
      <t xml:space="preserve">调为</t>
    </r>
    <r>
      <rPr>
        <sz val="12"/>
        <color rgb="FFFF0000"/>
        <rFont val="Arial"/>
        <family val="2"/>
        <charset val="1"/>
      </rPr>
      <t xml:space="preserve">J</t>
    </r>
  </si>
  <si>
    <r>
      <rPr>
        <sz val="12"/>
        <color rgb="FFFF0000"/>
        <rFont val="宋体"/>
        <family val="3"/>
        <charset val="134"/>
      </rPr>
      <t xml:space="preserve">背压校正系数</t>
    </r>
    <r>
      <rPr>
        <sz val="12"/>
        <color rgb="FFFF0000"/>
        <rFont val="Arial"/>
        <family val="2"/>
        <charset val="1"/>
      </rPr>
      <t xml:space="preserve">0.39</t>
    </r>
    <r>
      <rPr>
        <sz val="12"/>
        <color rgb="FFFF0000"/>
        <rFont val="宋体"/>
        <family val="3"/>
        <charset val="134"/>
      </rPr>
      <t xml:space="preserve">太小，应在</t>
    </r>
    <r>
      <rPr>
        <sz val="12"/>
        <color rgb="FFFF0000"/>
        <rFont val="Arial"/>
        <family val="2"/>
        <charset val="1"/>
      </rPr>
      <t xml:space="preserve">0.82</t>
    </r>
    <r>
      <rPr>
        <sz val="12"/>
        <color rgb="FFFF0000"/>
        <rFont val="宋体"/>
        <family val="3"/>
        <charset val="134"/>
      </rPr>
      <t xml:space="preserve">左右。</t>
    </r>
  </si>
  <si>
    <r>
      <rPr>
        <sz val="12"/>
        <rFont val="Arial"/>
        <family val="2"/>
        <charset val="1"/>
      </rPr>
      <t xml:space="preserve">HG/T20615</t>
    </r>
    <r>
      <rPr>
        <sz val="12"/>
        <rFont val="宋体"/>
        <family val="3"/>
        <charset val="134"/>
      </rPr>
      <t xml:space="preserve">，美标</t>
    </r>
    <r>
      <rPr>
        <sz val="12"/>
        <rFont val="Arial"/>
        <family val="2"/>
        <charset val="1"/>
      </rPr>
      <t xml:space="preserve">(API)</t>
    </r>
  </si>
  <si>
    <r>
      <rPr>
        <sz val="12"/>
        <color rgb="FFFF0000"/>
        <rFont val="宋体"/>
        <family val="3"/>
        <charset val="134"/>
      </rPr>
      <t xml:space="preserve">故将数据表推荐吼径代号由</t>
    </r>
    <r>
      <rPr>
        <sz val="12"/>
        <color rgb="FFFF0000"/>
        <rFont val="Arial"/>
        <family val="2"/>
        <charset val="1"/>
      </rPr>
      <t xml:space="preserve">H</t>
    </r>
    <r>
      <rPr>
        <sz val="12"/>
        <color rgb="FFFF0000"/>
        <rFont val="宋体"/>
        <family val="3"/>
        <charset val="134"/>
      </rPr>
      <t xml:space="preserve">改为</t>
    </r>
    <r>
      <rPr>
        <sz val="12"/>
        <color rgb="FFFF0000"/>
        <rFont val="Arial"/>
        <family val="2"/>
        <charset val="1"/>
      </rPr>
      <t xml:space="preserve">G</t>
    </r>
  </si>
  <si>
    <t xml:space="preserve">DN/CLASS 300</t>
  </si>
  <si>
    <t xml:space="preserve">inch</t>
  </si>
  <si>
    <t xml:space="preserve">mm</t>
  </si>
  <si>
    <r>
      <rPr>
        <sz val="12"/>
        <color rgb="FFFF0000"/>
        <rFont val="宋体"/>
        <family val="3"/>
        <charset val="134"/>
      </rPr>
      <t xml:space="preserve">流道面积 </t>
    </r>
    <r>
      <rPr>
        <sz val="12"/>
        <color rgb="FFFF0000"/>
        <rFont val="Arial"/>
        <family val="2"/>
        <charset val="1"/>
      </rPr>
      <t xml:space="preserve">/mm2</t>
    </r>
  </si>
  <si>
    <t xml:space="preserve">流道面积代号</t>
  </si>
  <si>
    <t xml:space="preserve">API</t>
  </si>
  <si>
    <t xml:space="preserve">Actual</t>
  </si>
  <si>
    <t xml:space="preserve">F</t>
  </si>
  <si>
    <t xml:space="preserve">T</t>
  </si>
  <si>
    <r>
      <rPr>
        <sz val="12"/>
        <rFont val="Arial"/>
        <family val="2"/>
        <charset val="1"/>
      </rPr>
      <t xml:space="preserve">HG/T20592-B</t>
    </r>
    <r>
      <rPr>
        <sz val="12"/>
        <rFont val="宋体"/>
        <family val="3"/>
        <charset val="134"/>
      </rPr>
      <t xml:space="preserve">系列，欧标</t>
    </r>
  </si>
  <si>
    <t xml:space="preserve">喉径</t>
  </si>
  <si>
    <t xml:space="preserve">DN/IN</t>
  </si>
  <si>
    <t xml:space="preserve">DN/OUT</t>
  </si>
  <si>
    <t xml:space="preserve">序号</t>
  </si>
  <si>
    <t xml:space="preserve">管线编号</t>
  </si>
  <si>
    <t xml:space="preserve">523-1</t>
  </si>
  <si>
    <t xml:space="preserve">524-1</t>
  </si>
  <si>
    <t xml:space="preserve">管线说明</t>
  </si>
  <si>
    <t xml:space="preserve">进装置</t>
  </si>
  <si>
    <t xml:space="preserve">进E-101</t>
  </si>
  <si>
    <t xml:space="preserve">进SR-101</t>
  </si>
  <si>
    <t xml:space="preserve">进D-101</t>
  </si>
  <si>
    <t xml:space="preserve">进P-101</t>
  </si>
  <si>
    <t xml:space="preserve">出P-101</t>
  </si>
  <si>
    <t xml:space="preserve">与原料油混合氢</t>
  </si>
  <si>
    <t xml:space="preserve">混合油</t>
  </si>
  <si>
    <t xml:space="preserve">出E-102</t>
  </si>
  <si>
    <t xml:space="preserve">出E-101</t>
  </si>
  <si>
    <t xml:space="preserve">进A-204</t>
  </si>
  <si>
    <t xml:space="preserve">出A-204</t>
  </si>
  <si>
    <t xml:space="preserve">出装置</t>
  </si>
  <si>
    <t xml:space="preserve">进F-101</t>
  </si>
  <si>
    <t xml:space="preserve">出F-101</t>
  </si>
  <si>
    <t xml:space="preserve">出R-102</t>
  </si>
  <si>
    <t xml:space="preserve">进P-102</t>
  </si>
  <si>
    <t xml:space="preserve">进R-101</t>
  </si>
  <si>
    <t xml:space="preserve">进R-102</t>
  </si>
  <si>
    <t xml:space="preserve">出R-101</t>
  </si>
  <si>
    <t xml:space="preserve">进A-101</t>
  </si>
  <si>
    <t xml:space="preserve">进E-203</t>
  </si>
  <si>
    <t xml:space="preserve">E-103管程出口</t>
  </si>
  <si>
    <t xml:space="preserve">P-101 T出口</t>
  </si>
  <si>
    <t xml:space="preserve">出DS-101</t>
  </si>
  <si>
    <t xml:space="preserve">进DS-101</t>
  </si>
  <si>
    <t xml:space="preserve">出D-102</t>
  </si>
  <si>
    <t xml:space="preserve">进E-104</t>
  </si>
  <si>
    <t xml:space="preserve">出E-104</t>
  </si>
  <si>
    <t xml:space="preserve">出A-101</t>
  </si>
  <si>
    <t xml:space="preserve">进E-105</t>
  </si>
  <si>
    <t xml:space="preserve">进D-103</t>
  </si>
  <si>
    <t xml:space="preserve">出D-103</t>
  </si>
  <si>
    <t xml:space="preserve">进C-301</t>
  </si>
  <si>
    <t xml:space="preserve">进C-201</t>
  </si>
  <si>
    <t xml:space="preserve">发蒸汽</t>
  </si>
  <si>
    <t xml:space="preserve">进D-104</t>
  </si>
  <si>
    <t xml:space="preserve">出D-104</t>
  </si>
  <si>
    <t xml:space="preserve">出P-103</t>
  </si>
  <si>
    <t xml:space="preserve">去C-201</t>
  </si>
  <si>
    <t xml:space="preserve">去A-101</t>
  </si>
  <si>
    <t xml:space="preserve">出C-201</t>
  </si>
  <si>
    <t xml:space="preserve">进E-202</t>
  </si>
  <si>
    <t xml:space="preserve">进D-202</t>
  </si>
  <si>
    <t xml:space="preserve">出D-202</t>
  </si>
  <si>
    <t xml:space="preserve">去C-202</t>
  </si>
  <si>
    <t xml:space="preserve">进P-202</t>
  </si>
  <si>
    <t xml:space="preserve">出P-202</t>
  </si>
  <si>
    <t xml:space="preserve">出F-201</t>
  </si>
  <si>
    <t xml:space="preserve">出E-202管程</t>
  </si>
  <si>
    <t xml:space="preserve">出E-203</t>
  </si>
  <si>
    <t xml:space="preserve">进A-201</t>
  </si>
  <si>
    <t xml:space="preserve">进E-201</t>
  </si>
  <si>
    <t xml:space="preserve">进D-201</t>
  </si>
  <si>
    <t xml:space="preserve">出D-201</t>
  </si>
  <si>
    <t xml:space="preserve">出P-201</t>
  </si>
  <si>
    <t xml:space="preserve">回流</t>
  </si>
  <si>
    <t xml:space="preserve">进DS-201</t>
  </si>
  <si>
    <t xml:space="preserve">出DS-201</t>
  </si>
  <si>
    <t xml:space="preserve">进F-201</t>
  </si>
  <si>
    <t xml:space="preserve">出C-202</t>
  </si>
  <si>
    <t xml:space="preserve">出P-207</t>
  </si>
  <si>
    <t xml:space="preserve">出A-202</t>
  </si>
  <si>
    <t xml:space="preserve">出D-203</t>
  </si>
  <si>
    <t xml:space="preserve">出P-203</t>
  </si>
  <si>
    <t xml:space="preserve">进E-204</t>
  </si>
  <si>
    <t xml:space="preserve">出E-204</t>
  </si>
  <si>
    <t xml:space="preserve">出P-204</t>
  </si>
  <si>
    <t xml:space="preserve">进P-205</t>
  </si>
  <si>
    <t xml:space="preserve">出P-205</t>
  </si>
  <si>
    <t xml:space="preserve">进E-207</t>
  </si>
  <si>
    <t xml:space="preserve">出E-207</t>
  </si>
  <si>
    <t xml:space="preserve">进C-203</t>
  </si>
  <si>
    <t xml:space="preserve">出C-203</t>
  </si>
  <si>
    <t xml:space="preserve">进P-206</t>
  </si>
  <si>
    <t xml:space="preserve">出P-206</t>
  </si>
  <si>
    <t xml:space="preserve">出E-205</t>
  </si>
  <si>
    <t xml:space="preserve">出A-203</t>
  </si>
  <si>
    <t xml:space="preserve">P-105入口</t>
  </si>
  <si>
    <t xml:space="preserve">P-105出口</t>
  </si>
  <si>
    <t xml:space="preserve">出E-206</t>
  </si>
  <si>
    <t xml:space="preserve">出E-106</t>
  </si>
  <si>
    <t xml:space="preserve">进C-202</t>
  </si>
  <si>
    <t xml:space="preserve">汽提蒸汽</t>
  </si>
  <si>
    <t xml:space="preserve">进D-105</t>
  </si>
  <si>
    <t xml:space="preserve">E-204出口</t>
  </si>
  <si>
    <t xml:space="preserve">出K-101</t>
  </si>
  <si>
    <t xml:space="preserve">进D-301</t>
  </si>
  <si>
    <t xml:space="preserve">出D-301</t>
  </si>
  <si>
    <t xml:space="preserve">出P-301</t>
  </si>
  <si>
    <t xml:space="preserve">出C-301</t>
  </si>
  <si>
    <t xml:space="preserve">出D-302</t>
  </si>
  <si>
    <t xml:space="preserve">水运</t>
  </si>
  <si>
    <t xml:space="preserve">混氢油</t>
  </si>
  <si>
    <t xml:space="preserve">释放气</t>
  </si>
  <si>
    <t xml:space="preserve">MS</t>
  </si>
  <si>
    <t xml:space="preserve">LS</t>
  </si>
  <si>
    <t xml:space="preserve">低分气</t>
  </si>
  <si>
    <t xml:space="preserve">低分油气</t>
  </si>
  <si>
    <t xml:space="preserve">酸性水</t>
  </si>
  <si>
    <t xml:space="preserve">冷低分油</t>
  </si>
  <si>
    <t xml:space="preserve">低分油</t>
  </si>
  <si>
    <t xml:space="preserve">闪蒸气</t>
  </si>
  <si>
    <t xml:space="preserve">拔头油</t>
  </si>
  <si>
    <t xml:space="preserve">汽提塔顶气</t>
  </si>
  <si>
    <t xml:space="preserve">汽提塔顶油气</t>
  </si>
  <si>
    <t xml:space="preserve">不稳定石脑油</t>
  </si>
  <si>
    <t xml:space="preserve">不凝气</t>
  </si>
  <si>
    <t xml:space="preserve">分馏塔顶气</t>
  </si>
  <si>
    <t xml:space="preserve">分一中</t>
  </si>
  <si>
    <t xml:space="preserve">柴油馏分</t>
  </si>
  <si>
    <t xml:space="preserve">富胺液</t>
  </si>
  <si>
    <t xml:space="preserve">新鲜水</t>
  </si>
  <si>
    <t xml:space="preserve">管道类型</t>
  </si>
  <si>
    <t xml:space="preserve">泵出口</t>
  </si>
  <si>
    <t xml:space="preserve">泵入口</t>
  </si>
  <si>
    <t xml:space="preserve">压缩机出口</t>
  </si>
  <si>
    <t xml:space="preserve">鼓风机出口</t>
  </si>
  <si>
    <t xml:space="preserve">余压</t>
  </si>
  <si>
    <t xml:space="preserve">流体性质</t>
  </si>
  <si>
    <t xml:space="preserve">不饱和液体</t>
  </si>
  <si>
    <t xml:space="preserve">饱和液体</t>
  </si>
  <si>
    <t xml:space="preserve">常压气体</t>
  </si>
  <si>
    <t xml:space="preserve">过热蒸汽</t>
  </si>
  <si>
    <t xml:space="preserve">饱和蒸汽</t>
  </si>
  <si>
    <t xml:space="preserve">两相流</t>
  </si>
  <si>
    <t xml:space="preserve">输送温度</t>
  </si>
  <si>
    <t xml:space="preserve">C</t>
  </si>
  <si>
    <t xml:space="preserve">压力</t>
  </si>
  <si>
    <t xml:space="preserve">bar</t>
  </si>
  <si>
    <t xml:space="preserve">汽化率</t>
  </si>
  <si>
    <t xml:space="preserve">介质操作流量</t>
  </si>
  <si>
    <t xml:space="preserve">介质最大操作流量</t>
  </si>
  <si>
    <t xml:space="preserve">输送密度</t>
  </si>
  <si>
    <t xml:space="preserve">kg/m3</t>
  </si>
  <si>
    <r>
      <rPr>
        <sz val="14"/>
        <rFont val="宋体"/>
        <family val="3"/>
        <charset val="134"/>
      </rPr>
      <t xml:space="preserve">介质粘度</t>
    </r>
    <r>
      <rPr>
        <sz val="14"/>
        <color rgb="FFFF0000"/>
        <rFont val="宋体"/>
        <family val="3"/>
        <charset val="134"/>
      </rPr>
      <t xml:space="preserve">/10</t>
    </r>
    <r>
      <rPr>
        <vertAlign val="superscript"/>
        <sz val="14"/>
        <color rgb="FFFF0000"/>
        <rFont val="宋体"/>
        <family val="3"/>
        <charset val="134"/>
      </rPr>
      <t xml:space="preserve">-6</t>
    </r>
    <r>
      <rPr>
        <sz val="14"/>
        <color rgb="FFFF0000"/>
        <rFont val="宋体"/>
        <family val="3"/>
        <charset val="134"/>
      </rPr>
      <t xml:space="preserve"> m2/s</t>
    </r>
  </si>
  <si>
    <t xml:space="preserve">cst</t>
  </si>
  <si>
    <t xml:space="preserve">动力粘度</t>
  </si>
  <si>
    <t xml:space="preserve">cp</t>
  </si>
  <si>
    <t xml:space="preserve">介质正常流量</t>
  </si>
  <si>
    <t xml:space="preserve">m3/h</t>
  </si>
  <si>
    <t xml:space="preserve">介质最大流量</t>
  </si>
  <si>
    <t xml:space="preserve">摩擦系数λ1</t>
  </si>
  <si>
    <t xml:space="preserve">摩擦系数λ2</t>
  </si>
  <si>
    <t xml:space="preserve">雷诺数Re1</t>
  </si>
  <si>
    <t xml:space="preserve">管径选型1</t>
  </si>
  <si>
    <t xml:space="preserve">管径选型1后最大流速</t>
  </si>
  <si>
    <t xml:space="preserve">管径选型1后一般流速范围</t>
  </si>
  <si>
    <t xml:space="preserve">侵蚀速度</t>
  </si>
  <si>
    <t xml:space="preserve">管径选型1后100米管线压力降</t>
  </si>
  <si>
    <t xml:space="preserve">kPa</t>
  </si>
  <si>
    <t xml:space="preserve">最大100米管线允许压力降</t>
  </si>
  <si>
    <t xml:space="preserve">选用管径</t>
  </si>
  <si>
    <t xml:space="preserve">核算检查1</t>
  </si>
  <si>
    <t xml:space="preserve">管径太小</t>
  </si>
  <si>
    <t xml:space="preserve">未算</t>
  </si>
  <si>
    <t xml:space="preserve">DN250改DN300</t>
  </si>
  <si>
    <t xml:space="preserve">设定选SCH160系列</t>
  </si>
  <si>
    <t xml:space="preserve">设定选SCH40系列</t>
  </si>
  <si>
    <t xml:space="preserve">实际按总量选管径</t>
  </si>
  <si>
    <t xml:space="preserve">DN400改DN500</t>
  </si>
  <si>
    <t xml:space="preserve">400改300</t>
  </si>
  <si>
    <t xml:space="preserve">SCH80</t>
  </si>
  <si>
    <t xml:space="preserve">DN550改DN600</t>
  </si>
  <si>
    <t xml:space="preserve">150//200</t>
  </si>
  <si>
    <t xml:space="preserve">200调成300</t>
  </si>
  <si>
    <t xml:space="preserve">原有管径过大</t>
  </si>
  <si>
    <t xml:space="preserve">300改250</t>
  </si>
  <si>
    <t xml:space="preserve">泵出口管径计算-泵编号</t>
  </si>
  <si>
    <t xml:space="preserve">SCH160</t>
  </si>
  <si>
    <t xml:space="preserve">DN400改DN300</t>
  </si>
  <si>
    <t xml:space="preserve">DN550改DN400</t>
  </si>
  <si>
    <t xml:space="preserve">摩擦系数λ1'</t>
  </si>
  <si>
    <t xml:space="preserve">摩擦系数λ2'</t>
  </si>
  <si>
    <t xml:space="preserve">雷诺数Re2</t>
  </si>
  <si>
    <t xml:space="preserve">管径选型2</t>
  </si>
  <si>
    <t xml:space="preserve">管径选型2后最大流速</t>
  </si>
  <si>
    <t xml:space="preserve">管径选型2后100米管线压力降</t>
  </si>
  <si>
    <t xml:space="preserve">说明：本计算的流速范围和100m允许压力降根据《SHT 3035-2007 石油化工企业工艺装置管径选择导则》确定,适用于单相介质的管径选择，混相介质时需要另外计算。</t>
  </si>
  <si>
    <t xml:space="preserve">流量系数</t>
  </si>
  <si>
    <t xml:space="preserve">正常</t>
  </si>
  <si>
    <t xml:space="preserve">公用工程</t>
  </si>
  <si>
    <t xml:space="preserve">负压管道</t>
  </si>
  <si>
    <t xml:space="preserve">净化水</t>
  </si>
  <si>
    <t xml:space="preserve">通风机管道</t>
  </si>
  <si>
    <t xml:space="preserve">压缩机入口</t>
  </si>
  <si>
    <t xml:space="preserve">鼓风机入口</t>
  </si>
  <si>
    <t xml:space="preserve">液氨</t>
  </si>
  <si>
    <t xml:space="preserve">碱液</t>
  </si>
  <si>
    <t xml:space="preserve">往复式真空泵入口</t>
  </si>
  <si>
    <t xml:space="preserve">往复式真空泵出口</t>
  </si>
  <si>
    <t xml:space="preserve">油封式真空泵入口</t>
  </si>
  <si>
    <t xml:space="preserve">凝结水</t>
  </si>
  <si>
    <t xml:space="preserve">加热蒸汽管道</t>
  </si>
  <si>
    <t xml:space="preserve">自流</t>
  </si>
  <si>
    <t xml:space="preserve">除盐水</t>
  </si>
  <si>
    <t xml:space="preserve">循环水</t>
  </si>
  <si>
    <t xml:space="preserve">DMDS</t>
  </si>
  <si>
    <t xml:space="preserve">冷却水</t>
  </si>
  <si>
    <t xml:space="preserve">泵送</t>
  </si>
  <si>
    <t xml:space="preserve">负压液体</t>
  </si>
  <si>
    <t xml:space="preserve">负压气体</t>
  </si>
  <si>
    <t xml:space="preserve">精制冷低分油</t>
  </si>
  <si>
    <t xml:space="preserve">F-201出口2路</t>
  </si>
  <si>
    <t xml:space="preserve">R-201AB出口2路</t>
  </si>
  <si>
    <t xml:space="preserve">精制进料</t>
  </si>
  <si>
    <t xml:space="preserve">进口压力</t>
  </si>
  <si>
    <t xml:space="preserve">Mpa</t>
  </si>
  <si>
    <r>
      <rPr>
        <sz val="12"/>
        <rFont val="宋体"/>
        <family val="3"/>
        <charset val="134"/>
      </rPr>
      <t xml:space="preserve">两相流均相密度ρ</t>
    </r>
    <r>
      <rPr>
        <vertAlign val="subscript"/>
        <sz val="12"/>
        <rFont val="宋体"/>
        <family val="3"/>
        <charset val="134"/>
      </rPr>
      <t xml:space="preserve">H</t>
    </r>
  </si>
  <si>
    <t xml:space="preserve">Vapor Phase</t>
  </si>
  <si>
    <r>
      <rPr>
        <sz val="12"/>
        <rFont val="宋体"/>
        <family val="3"/>
        <charset val="134"/>
      </rPr>
      <t xml:space="preserve">气相质量流量q</t>
    </r>
    <r>
      <rPr>
        <vertAlign val="subscript"/>
        <sz val="12"/>
        <rFont val="宋体"/>
        <family val="3"/>
        <charset val="134"/>
      </rPr>
      <t xml:space="preserve">mg</t>
    </r>
  </si>
  <si>
    <r>
      <rPr>
        <sz val="12"/>
        <rFont val="宋体"/>
        <family val="3"/>
        <charset val="134"/>
      </rPr>
      <t xml:space="preserve">气相密度ρ</t>
    </r>
    <r>
      <rPr>
        <vertAlign val="subscript"/>
        <sz val="12"/>
        <rFont val="宋体"/>
        <family val="3"/>
        <charset val="134"/>
      </rPr>
      <t xml:space="preserve">g</t>
    </r>
  </si>
  <si>
    <t xml:space="preserve">气相动力粘度</t>
  </si>
  <si>
    <t xml:space="preserve">气体绝热指数Cp/Cv</t>
  </si>
  <si>
    <r>
      <rPr>
        <sz val="12"/>
        <rFont val="宋体"/>
        <family val="3"/>
        <charset val="134"/>
      </rPr>
      <t xml:space="preserve">气相体积流量q</t>
    </r>
    <r>
      <rPr>
        <vertAlign val="subscript"/>
        <sz val="12"/>
        <rFont val="宋体"/>
        <family val="3"/>
        <charset val="134"/>
      </rPr>
      <t xml:space="preserve">vg</t>
    </r>
  </si>
  <si>
    <t xml:space="preserve">Liquid Phase</t>
  </si>
  <si>
    <r>
      <rPr>
        <sz val="12"/>
        <rFont val="宋体"/>
        <family val="3"/>
        <charset val="134"/>
      </rPr>
      <t xml:space="preserve">液体质量流量q</t>
    </r>
    <r>
      <rPr>
        <vertAlign val="subscript"/>
        <sz val="12"/>
        <rFont val="宋体"/>
        <family val="3"/>
        <charset val="134"/>
      </rPr>
      <t xml:space="preserve">ml</t>
    </r>
  </si>
  <si>
    <r>
      <rPr>
        <sz val="12"/>
        <rFont val="宋体"/>
        <family val="3"/>
        <charset val="134"/>
      </rPr>
      <t xml:space="preserve">液体体积流量q</t>
    </r>
    <r>
      <rPr>
        <vertAlign val="subscript"/>
        <sz val="12"/>
        <rFont val="宋体"/>
        <family val="3"/>
        <charset val="134"/>
      </rPr>
      <t xml:space="preserve">vl</t>
    </r>
  </si>
  <si>
    <r>
      <rPr>
        <sz val="12"/>
        <rFont val="宋体"/>
        <family val="3"/>
        <charset val="134"/>
      </rPr>
      <t xml:space="preserve">液相密度ρ</t>
    </r>
    <r>
      <rPr>
        <vertAlign val="subscript"/>
        <sz val="12"/>
        <rFont val="宋体"/>
        <family val="3"/>
        <charset val="134"/>
      </rPr>
      <t xml:space="preserve">l</t>
    </r>
  </si>
  <si>
    <t xml:space="preserve">液相动力粘度</t>
  </si>
  <si>
    <t xml:space="preserve">液相绝热指数 Cp/Cv</t>
  </si>
  <si>
    <t xml:space="preserve">液相表面张力</t>
  </si>
  <si>
    <t xml:space="preserve">流型判断</t>
  </si>
  <si>
    <r>
      <rPr>
        <sz val="12"/>
        <rFont val="宋体"/>
        <family val="3"/>
        <charset val="134"/>
      </rPr>
      <t xml:space="preserve">格里菲思X轴u</t>
    </r>
    <r>
      <rPr>
        <vertAlign val="subscript"/>
        <sz val="12"/>
        <rFont val="宋体"/>
        <family val="3"/>
        <charset val="134"/>
      </rPr>
      <t xml:space="preserve">H</t>
    </r>
    <r>
      <rPr>
        <vertAlign val="superscript"/>
        <sz val="12"/>
        <rFont val="宋体"/>
        <family val="3"/>
        <charset val="134"/>
      </rPr>
      <t xml:space="preserve">2</t>
    </r>
    <r>
      <rPr>
        <sz val="12"/>
        <rFont val="宋体"/>
        <family val="3"/>
        <charset val="134"/>
      </rPr>
      <t xml:space="preserve">/9.807di</t>
    </r>
  </si>
  <si>
    <t xml:space="preserve">两相流体积含气率β</t>
  </si>
  <si>
    <t xml:space="preserve">格里菲思流型判断</t>
  </si>
  <si>
    <t xml:space="preserve">块状流和沫状流</t>
  </si>
  <si>
    <t xml:space="preserve">泡状流</t>
  </si>
  <si>
    <r>
      <rPr>
        <sz val="12"/>
        <rFont val="宋体"/>
        <family val="3"/>
        <charset val="134"/>
      </rPr>
      <t xml:space="preserve">气相表观流速-X轴u</t>
    </r>
    <r>
      <rPr>
        <vertAlign val="subscript"/>
        <sz val="12"/>
        <rFont val="宋体"/>
        <family val="3"/>
        <charset val="134"/>
      </rPr>
      <t xml:space="preserve">gs</t>
    </r>
  </si>
  <si>
    <r>
      <rPr>
        <sz val="12"/>
        <rFont val="宋体"/>
        <family val="3"/>
        <charset val="134"/>
      </rPr>
      <t xml:space="preserve">液相表观流速-Y轴u</t>
    </r>
    <r>
      <rPr>
        <vertAlign val="subscript"/>
        <sz val="12"/>
        <rFont val="宋体"/>
        <family val="3"/>
        <charset val="134"/>
      </rPr>
      <t xml:space="preserve">ls</t>
    </r>
  </si>
  <si>
    <r>
      <rPr>
        <sz val="12"/>
        <rFont val="宋体"/>
        <family val="3"/>
        <charset val="134"/>
      </rPr>
      <t xml:space="preserve">海威特流型X轴ρ</t>
    </r>
    <r>
      <rPr>
        <vertAlign val="subscript"/>
        <sz val="12"/>
        <rFont val="宋体"/>
        <family val="3"/>
        <charset val="134"/>
      </rPr>
      <t xml:space="preserve">l</t>
    </r>
    <r>
      <rPr>
        <sz val="12"/>
        <rFont val="宋体"/>
        <family val="3"/>
        <charset val="134"/>
      </rPr>
      <t xml:space="preserve">u</t>
    </r>
    <r>
      <rPr>
        <vertAlign val="subscript"/>
        <sz val="12"/>
        <rFont val="宋体"/>
        <family val="3"/>
        <charset val="134"/>
      </rPr>
      <t xml:space="preserve">ls</t>
    </r>
    <r>
      <rPr>
        <vertAlign val="superscript"/>
        <sz val="12"/>
        <rFont val="宋体"/>
        <family val="3"/>
        <charset val="134"/>
      </rPr>
      <t xml:space="preserve">2</t>
    </r>
  </si>
  <si>
    <t xml:space="preserve">kg/s2.m</t>
  </si>
  <si>
    <r>
      <rPr>
        <sz val="12"/>
        <rFont val="宋体"/>
        <family val="3"/>
        <charset val="134"/>
      </rPr>
      <t xml:space="preserve">海威特流型Y轴ρ</t>
    </r>
    <r>
      <rPr>
        <vertAlign val="subscript"/>
        <sz val="12"/>
        <rFont val="宋体"/>
        <family val="3"/>
        <charset val="134"/>
      </rPr>
      <t xml:space="preserve">g</t>
    </r>
    <r>
      <rPr>
        <sz val="12"/>
        <rFont val="宋体"/>
        <family val="3"/>
        <charset val="134"/>
      </rPr>
      <t xml:space="preserve">u</t>
    </r>
    <r>
      <rPr>
        <vertAlign val="subscript"/>
        <sz val="12"/>
        <rFont val="宋体"/>
        <family val="3"/>
        <charset val="134"/>
      </rPr>
      <t xml:space="preserve">gs</t>
    </r>
    <r>
      <rPr>
        <vertAlign val="superscript"/>
        <sz val="12"/>
        <rFont val="宋体"/>
        <family val="3"/>
        <charset val="134"/>
      </rPr>
      <t xml:space="preserve">2</t>
    </r>
  </si>
  <si>
    <t xml:space="preserve">海威特流型判断</t>
  </si>
  <si>
    <t xml:space="preserve">环状流</t>
  </si>
  <si>
    <t xml:space="preserve">沫状流</t>
  </si>
  <si>
    <r>
      <rPr>
        <sz val="12"/>
        <rFont val="宋体"/>
        <family val="3"/>
        <charset val="134"/>
      </rPr>
      <t xml:space="preserve">气相表观质量流速G</t>
    </r>
    <r>
      <rPr>
        <vertAlign val="subscript"/>
        <sz val="12"/>
        <rFont val="宋体"/>
        <family val="3"/>
        <charset val="134"/>
      </rPr>
      <t xml:space="preserve">g</t>
    </r>
  </si>
  <si>
    <t xml:space="preserve">kg/m2.s</t>
  </si>
  <si>
    <r>
      <rPr>
        <sz val="12"/>
        <rFont val="宋体"/>
        <family val="3"/>
        <charset val="134"/>
      </rPr>
      <t xml:space="preserve">液相表观质量流速G</t>
    </r>
    <r>
      <rPr>
        <vertAlign val="subscript"/>
        <sz val="12"/>
        <rFont val="宋体"/>
        <family val="3"/>
        <charset val="134"/>
      </rPr>
      <t xml:space="preserve">l</t>
    </r>
  </si>
  <si>
    <t xml:space="preserve">曼德汉流型判断</t>
  </si>
  <si>
    <t xml:space="preserve">环、雾状流</t>
  </si>
  <si>
    <t xml:space="preserve">块状流</t>
  </si>
  <si>
    <t xml:space="preserve">伯克流型X轴</t>
  </si>
  <si>
    <t xml:space="preserve">伯克流型Y轴</t>
  </si>
  <si>
    <t xml:space="preserve">伯克流型判断</t>
  </si>
  <si>
    <t xml:space="preserve">雾状流</t>
  </si>
  <si>
    <t xml:space="preserve">波状流</t>
  </si>
  <si>
    <t xml:space="preserve">泡状(沫状)流</t>
  </si>
  <si>
    <t xml:space="preserve">塞状流</t>
  </si>
  <si>
    <t xml:space="preserve">管径选型</t>
  </si>
  <si>
    <t xml:space="preserve">均相流速最大值</t>
  </si>
  <si>
    <r>
      <rPr>
        <sz val="12"/>
        <rFont val="宋体"/>
        <family val="3"/>
        <charset val="134"/>
      </rPr>
      <t xml:space="preserve">两相流均相流速u</t>
    </r>
    <r>
      <rPr>
        <vertAlign val="subscript"/>
        <sz val="12"/>
        <rFont val="宋体"/>
        <family val="3"/>
        <charset val="134"/>
      </rPr>
      <t xml:space="preserve">H</t>
    </r>
  </si>
  <si>
    <t xml:space="preserve">管壁是否受流体严重侵蚀</t>
  </si>
  <si>
    <t xml:space="preserve">进出口压差〉进口绝对压力的30%</t>
  </si>
  <si>
    <t xml:space="preserve">极限质量流速</t>
  </si>
  <si>
    <t xml:space="preserve">出口两相流质量流速G</t>
  </si>
  <si>
    <t xml:space="preserve">是否符合极限质量流速判断</t>
  </si>
  <si>
    <t xml:space="preserve">均相法压降计算</t>
  </si>
  <si>
    <t xml:space="preserve">两相流质量含气率χ</t>
  </si>
  <si>
    <t xml:space="preserve">两相流的均相动力粘度</t>
  </si>
  <si>
    <t xml:space="preserve">Pa·S</t>
  </si>
  <si>
    <t xml:space="preserve">两相流的均相比容Vh</t>
  </si>
  <si>
    <t xml:space="preserve">m3/kg</t>
  </si>
  <si>
    <t xml:space="preserve">两相流的均相雷诺数ReH</t>
  </si>
  <si>
    <t xml:space="preserve">两相流的阻力系数λh</t>
  </si>
  <si>
    <t xml:space="preserve">直管长度L</t>
  </si>
  <si>
    <t xml:space="preserve">两相流直管阻力降△Pft</t>
  </si>
  <si>
    <t xml:space="preserve">kpa</t>
  </si>
  <si>
    <t xml:space="preserve">休马克法计算截面含气率</t>
  </si>
  <si>
    <t xml:space="preserve">假定截面含气率</t>
  </si>
  <si>
    <t xml:space="preserve">计算函数Z</t>
  </si>
  <si>
    <t xml:space="preserve">班可夫因子</t>
  </si>
  <si>
    <t xml:space="preserve">计算截面含气率</t>
  </si>
  <si>
    <t xml:space="preserve">截面含气率核算</t>
  </si>
  <si>
    <t xml:space="preserve">杜克勒法压降计算</t>
  </si>
  <si>
    <t xml:space="preserve">校正系数A</t>
  </si>
  <si>
    <t xml:space="preserve">校正系数B</t>
  </si>
  <si>
    <t xml:space="preserve">两相流雷诺数Re</t>
  </si>
  <si>
    <t xml:space="preserve">苏宁系数</t>
  </si>
  <si>
    <t xml:space="preserve">阻力系数λ</t>
  </si>
  <si>
    <t xml:space="preserve">两相流的真实密度ρg</t>
  </si>
  <si>
    <t xml:space="preserve">两相流在垂直或倾斜向上管段内的提升高度△Z</t>
  </si>
  <si>
    <t xml:space="preserve">两相流在管道出口端的均相比容Vh2</t>
  </si>
  <si>
    <t xml:space="preserve">两相流在管道进口端的均相比容Vh1</t>
  </si>
  <si>
    <t xml:space="preserve">两相流直管阻力降△Pf</t>
  </si>
  <si>
    <t xml:space="preserve">两相流加速度压力降△Pa</t>
  </si>
  <si>
    <t xml:space="preserve">两相流在垂直或倾斜向上管段内的重力压力降△Ph</t>
  </si>
  <si>
    <t xml:space="preserve">两相流管道的压力降△P</t>
  </si>
  <si>
    <t xml:space="preserve">压降判断</t>
  </si>
  <si>
    <t xml:space="preserve">方法修正</t>
  </si>
  <si>
    <t xml:space="preserve">说明：本计算的流速范围和100m允许压力降根据《SHT 3035-2007 石油化工企业工艺装置管径选择导则》确定。</t>
  </si>
  <si>
    <t xml:space="preserve">注：本计算方法不适用于水和水蒸汽两相流</t>
  </si>
  <si>
    <t xml:space="preserve">避开柱状流</t>
  </si>
  <si>
    <t xml:space="preserve">工况1</t>
  </si>
  <si>
    <r>
      <rPr>
        <sz val="9"/>
        <rFont val="宋体"/>
        <family val="3"/>
        <charset val="134"/>
      </rPr>
      <t xml:space="preserve">流量，</t>
    </r>
    <r>
      <rPr>
        <sz val="9"/>
        <rFont val="Arial"/>
        <family val="2"/>
        <charset val="1"/>
      </rPr>
      <t xml:space="preserve">kg/h</t>
    </r>
  </si>
  <si>
    <r>
      <rPr>
        <sz val="9"/>
        <rFont val="宋体"/>
        <family val="3"/>
        <charset val="134"/>
      </rPr>
      <t xml:space="preserve">密度，</t>
    </r>
    <r>
      <rPr>
        <sz val="9"/>
        <rFont val="Arial"/>
        <family val="2"/>
        <charset val="1"/>
      </rPr>
      <t xml:space="preserve">kg/m</t>
    </r>
    <r>
      <rPr>
        <b val="true"/>
        <sz val="9"/>
        <rFont val="Arial"/>
        <family val="2"/>
        <charset val="1"/>
      </rPr>
      <t xml:space="preserve">³</t>
    </r>
  </si>
  <si>
    <r>
      <rPr>
        <sz val="9"/>
        <rFont val="宋体"/>
        <family val="3"/>
        <charset val="134"/>
      </rPr>
      <t xml:space="preserve">粘度，</t>
    </r>
    <r>
      <rPr>
        <sz val="9"/>
        <color rgb="FF000000"/>
        <rFont val="Arial"/>
        <family val="2"/>
        <charset val="1"/>
      </rPr>
      <t xml:space="preserve">c</t>
    </r>
    <r>
      <rPr>
        <sz val="9"/>
        <rFont val="Arial"/>
        <family val="2"/>
        <charset val="1"/>
      </rPr>
      <t xml:space="preserve">p</t>
    </r>
  </si>
  <si>
    <r>
      <rPr>
        <sz val="9"/>
        <rFont val="宋体"/>
        <family val="3"/>
        <charset val="134"/>
      </rPr>
      <t xml:space="preserve">表面张力，</t>
    </r>
    <r>
      <rPr>
        <sz val="9"/>
        <rFont val="Arial"/>
        <family val="2"/>
        <charset val="1"/>
      </rPr>
      <t xml:space="preserve">dyne/cm</t>
    </r>
  </si>
  <si>
    <t xml:space="preserve">路数</t>
  </si>
  <si>
    <r>
      <rPr>
        <sz val="9"/>
        <color rgb="FF000000"/>
        <rFont val="宋体"/>
        <family val="3"/>
        <charset val="134"/>
      </rPr>
      <t xml:space="preserve">管径</t>
    </r>
    <r>
      <rPr>
        <sz val="9"/>
        <rFont val="Arial"/>
        <family val="2"/>
        <charset val="1"/>
      </rPr>
      <t xml:space="preserve">,mm</t>
    </r>
  </si>
  <si>
    <r>
      <rPr>
        <sz val="9"/>
        <color rgb="FF000000"/>
        <rFont val="宋体"/>
        <family val="3"/>
        <charset val="134"/>
      </rPr>
      <t xml:space="preserve">管速，</t>
    </r>
    <r>
      <rPr>
        <sz val="9"/>
        <rFont val="Arial"/>
        <family val="2"/>
        <charset val="1"/>
      </rPr>
      <t xml:space="preserve">m/s</t>
    </r>
  </si>
  <si>
    <r>
      <rPr>
        <sz val="9"/>
        <rFont val="Arial"/>
        <family val="2"/>
        <charset val="1"/>
      </rPr>
      <t xml:space="preserve">100</t>
    </r>
    <r>
      <rPr>
        <sz val="9"/>
        <rFont val="宋体"/>
        <family val="3"/>
        <charset val="134"/>
      </rPr>
      <t xml:space="preserve">米压降</t>
    </r>
    <r>
      <rPr>
        <sz val="9"/>
        <rFont val="Arial"/>
        <family val="2"/>
        <charset val="1"/>
      </rPr>
      <t xml:space="preserve">,kpa</t>
    </r>
  </si>
  <si>
    <t xml:space="preserve">两相流核算</t>
  </si>
  <si>
    <t xml:space="preserve">Bx</t>
  </si>
  <si>
    <t xml:space="preserve">By</t>
  </si>
  <si>
    <t xml:space="preserve">流动型式</t>
  </si>
  <si>
    <t xml:space="preserve">气相</t>
  </si>
  <si>
    <t xml:space="preserve">液相</t>
  </si>
  <si>
    <t xml:space="preserve">F2</t>
  </si>
  <si>
    <t xml:space="preserve">气泡流</t>
  </si>
  <si>
    <t xml:space="preserve">PS12</t>
  </si>
  <si>
    <t xml:space="preserve">F3</t>
  </si>
  <si>
    <t xml:space="preserve">分散流</t>
  </si>
  <si>
    <t xml:space="preserve">PSV1101</t>
  </si>
  <si>
    <r>
      <rPr>
        <sz val="12"/>
        <rFont val="Arial"/>
        <family val="2"/>
        <charset val="1"/>
      </rPr>
      <t xml:space="preserve">1.</t>
    </r>
    <r>
      <rPr>
        <sz val="12"/>
        <rFont val="宋体"/>
        <family val="3"/>
        <charset val="134"/>
      </rPr>
      <t xml:space="preserve">分散流：在水平和垂直管线中，大部分液体成为液滴状被气体带走，气体单相速度约＞</t>
    </r>
    <r>
      <rPr>
        <sz val="12"/>
        <rFont val="Arial"/>
        <family val="2"/>
        <charset val="1"/>
      </rPr>
      <t xml:space="preserve">50m/s</t>
    </r>
    <r>
      <rPr>
        <sz val="12"/>
        <rFont val="宋体"/>
        <family val="3"/>
        <charset val="134"/>
      </rPr>
      <t xml:space="preserve">。
</t>
    </r>
    <r>
      <rPr>
        <sz val="12"/>
        <rFont val="Arial"/>
        <family val="2"/>
        <charset val="1"/>
      </rPr>
      <t xml:space="preserve">2.</t>
    </r>
    <r>
      <rPr>
        <sz val="12"/>
        <rFont val="宋体"/>
        <family val="3"/>
        <charset val="134"/>
      </rPr>
      <t xml:space="preserve">环状流：在水平和垂直管线中，液体如膜状沿管内壁流动，气体则沿管中心流动，部分液体如雾状
                   而被气体带走，气体单相速度约＞</t>
    </r>
    <r>
      <rPr>
        <sz val="12"/>
        <rFont val="Arial"/>
        <family val="2"/>
        <charset val="1"/>
      </rPr>
      <t xml:space="preserve">6m/s</t>
    </r>
    <r>
      <rPr>
        <sz val="12"/>
        <rFont val="宋体"/>
        <family val="3"/>
        <charset val="134"/>
      </rPr>
      <t xml:space="preserve">。
</t>
    </r>
    <r>
      <rPr>
        <sz val="12"/>
        <rFont val="Arial"/>
        <family val="2"/>
        <charset val="1"/>
      </rPr>
      <t xml:space="preserve">3.</t>
    </r>
    <r>
      <rPr>
        <sz val="12"/>
        <rFont val="宋体"/>
        <family val="3"/>
        <charset val="134"/>
      </rPr>
      <t xml:space="preserve">气泡流：在水平和垂直管线中，气泡状气体与液体同速度流动，液体单相速度约</t>
    </r>
    <r>
      <rPr>
        <sz val="12"/>
        <rFont val="Arial"/>
        <family val="2"/>
        <charset val="1"/>
      </rPr>
      <t xml:space="preserve">1.5~4.5m/s</t>
    </r>
    <r>
      <rPr>
        <sz val="12"/>
        <rFont val="宋体"/>
        <family val="3"/>
        <charset val="134"/>
      </rPr>
      <t xml:space="preserve">，气体
                   单相速度约</t>
    </r>
    <r>
      <rPr>
        <sz val="12"/>
        <rFont val="Arial"/>
        <family val="2"/>
        <charset val="1"/>
      </rPr>
      <t xml:space="preserve">0.3~3m/s</t>
    </r>
    <r>
      <rPr>
        <sz val="12"/>
        <rFont val="宋体"/>
        <family val="3"/>
        <charset val="134"/>
      </rPr>
      <t xml:space="preserve">。
</t>
    </r>
    <r>
      <rPr>
        <sz val="12"/>
        <rFont val="Arial"/>
        <family val="2"/>
        <charset val="1"/>
      </rPr>
      <t xml:space="preserve">4.</t>
    </r>
    <r>
      <rPr>
        <sz val="12"/>
        <rFont val="宋体"/>
        <family val="3"/>
        <charset val="134"/>
      </rPr>
      <t xml:space="preserve">层流：在水平管线中，液体沿管底流动，气体在光滑的气液界面上流动，在界面上没有波动，液体
               单相速度＜</t>
    </r>
    <r>
      <rPr>
        <sz val="12"/>
        <rFont val="Arial"/>
        <family val="2"/>
        <charset val="1"/>
      </rPr>
      <t xml:space="preserve">0.2m/s</t>
    </r>
    <r>
      <rPr>
        <sz val="12"/>
        <rFont val="宋体"/>
        <family val="3"/>
        <charset val="134"/>
      </rPr>
      <t xml:space="preserve">，气体单相速度约</t>
    </r>
    <r>
      <rPr>
        <sz val="12"/>
        <rFont val="Arial"/>
        <family val="2"/>
        <charset val="1"/>
      </rPr>
      <t xml:space="preserve">1~3m/s</t>
    </r>
    <r>
      <rPr>
        <sz val="12"/>
        <rFont val="宋体"/>
        <family val="3"/>
        <charset val="134"/>
      </rPr>
      <t xml:space="preserve">。
</t>
    </r>
    <r>
      <rPr>
        <sz val="12"/>
        <rFont val="Arial"/>
        <family val="2"/>
        <charset val="1"/>
      </rPr>
      <t xml:space="preserve">5.</t>
    </r>
    <r>
      <rPr>
        <sz val="12"/>
        <rFont val="宋体"/>
        <family val="3"/>
        <charset val="134"/>
      </rPr>
      <t xml:space="preserve">波状流：与层流相似，但气液界面有波动，液体单相速度＜</t>
    </r>
    <r>
      <rPr>
        <sz val="12"/>
        <rFont val="Arial"/>
        <family val="2"/>
        <charset val="1"/>
      </rPr>
      <t xml:space="preserve">0.3m/s</t>
    </r>
    <r>
      <rPr>
        <sz val="12"/>
        <rFont val="宋体"/>
        <family val="3"/>
        <charset val="134"/>
      </rPr>
      <t xml:space="preserve">，气体单相速度约</t>
    </r>
    <r>
      <rPr>
        <sz val="12"/>
        <rFont val="Arial"/>
        <family val="2"/>
        <charset val="1"/>
      </rPr>
      <t xml:space="preserve">4.5m/s</t>
    </r>
    <r>
      <rPr>
        <sz val="12"/>
        <rFont val="宋体"/>
        <family val="3"/>
        <charset val="134"/>
      </rPr>
      <t xml:space="preserve">。
</t>
    </r>
    <r>
      <rPr>
        <sz val="12"/>
        <rFont val="Arial"/>
        <family val="2"/>
        <charset val="1"/>
      </rPr>
      <t xml:space="preserve">6.</t>
    </r>
    <r>
      <rPr>
        <sz val="12"/>
        <rFont val="宋体"/>
        <family val="3"/>
        <charset val="134"/>
      </rPr>
      <t xml:space="preserve">柱状流：在水平或垂直管线中，由于气体快速运动而周期性地卷起波状，形成泡沫栓，沿管以比液
                   体大得多的速度流动，碰撞回弯管件，会引起严重震动。
</t>
    </r>
    <r>
      <rPr>
        <sz val="12"/>
        <rFont val="Arial"/>
        <family val="2"/>
        <charset val="1"/>
      </rPr>
      <t xml:space="preserve">7.</t>
    </r>
    <r>
      <rPr>
        <sz val="12"/>
        <rFont val="宋体"/>
        <family val="3"/>
        <charset val="134"/>
      </rPr>
      <t xml:space="preserve">活塞流：在水平管线中，液体和气体沿管上部作活塞状交替运动，液体单相速度＜</t>
    </r>
    <r>
      <rPr>
        <sz val="12"/>
        <rFont val="Arial"/>
        <family val="2"/>
        <charset val="1"/>
      </rPr>
      <t xml:space="preserve">0.6m/s</t>
    </r>
    <r>
      <rPr>
        <sz val="12"/>
        <rFont val="宋体"/>
        <family val="3"/>
        <charset val="134"/>
      </rPr>
      <t xml:space="preserve">，气体单
                   相速度＜</t>
    </r>
    <r>
      <rPr>
        <sz val="12"/>
        <rFont val="Arial"/>
        <family val="2"/>
        <charset val="1"/>
      </rPr>
      <t xml:space="preserve">0.9m/s</t>
    </r>
    <r>
      <rPr>
        <sz val="12"/>
        <rFont val="宋体"/>
        <family val="3"/>
        <charset val="134"/>
      </rPr>
      <t xml:space="preserve">。</t>
    </r>
  </si>
  <si>
    <t xml:space="preserve">一、</t>
  </si>
  <si>
    <t xml:space="preserve">催化剂</t>
  </si>
  <si>
    <t xml:space="preserve">供应商</t>
  </si>
  <si>
    <t xml:space="preserve">外观</t>
  </si>
  <si>
    <t xml:space="preserve">装填量 m3</t>
  </si>
  <si>
    <t xml:space="preserve">装填形式</t>
  </si>
  <si>
    <t xml:space="preserve">堆密度 kg/m3</t>
  </si>
  <si>
    <t xml:space="preserve">装填重量 kg</t>
  </si>
  <si>
    <t xml:space="preserve">规格 mm</t>
  </si>
  <si>
    <t xml:space="preserve">抗压碎强度N/cm</t>
  </si>
  <si>
    <t xml:space="preserve">磨耗 wt%</t>
  </si>
  <si>
    <t xml:space="preserve">再生周期 年</t>
  </si>
  <si>
    <t xml:space="preserve">保证寿命 年</t>
  </si>
  <si>
    <t xml:space="preserve">二、</t>
  </si>
  <si>
    <t xml:space="preserve">MDEA一次装入量</t>
  </si>
  <si>
    <t xml:space="preserve">循环氢脱硫</t>
  </si>
  <si>
    <t xml:space="preserve">干气脱硫</t>
  </si>
  <si>
    <t xml:space="preserve">液化气脱硫</t>
  </si>
  <si>
    <t xml:space="preserve">缓冲罐存液</t>
  </si>
  <si>
    <t xml:space="preserve">管线直径</t>
  </si>
  <si>
    <t xml:space="preserve">管长</t>
  </si>
  <si>
    <t xml:space="preserve">管道存液</t>
  </si>
  <si>
    <t xml:space="preserve">一次购买MDEA量</t>
  </si>
  <si>
    <t xml:space="preserve">每年补充MDEA量</t>
  </si>
  <si>
    <t xml:space="preserve">三、</t>
  </si>
  <si>
    <t xml:space="preserve">破乳剂</t>
  </si>
  <si>
    <t xml:space="preserve">破乳剂占重芳烃量</t>
  </si>
  <si>
    <t xml:space="preserve">ppm</t>
  </si>
  <si>
    <t xml:space="preserve">破乳剂流量</t>
  </si>
  <si>
    <t xml:space="preserve">破乳剂年消耗量</t>
  </si>
  <si>
    <t xml:space="preserve">四、</t>
  </si>
  <si>
    <t xml:space="preserve">缓蚀剂占塔顶气量</t>
  </si>
  <si>
    <t xml:space="preserve">汽提塔顶不凝气量</t>
  </si>
  <si>
    <t xml:space="preserve">常压塔顶气量</t>
  </si>
  <si>
    <t xml:space="preserve">减压塔顶气量</t>
  </si>
  <si>
    <t xml:space="preserve">不凝气量合计</t>
  </si>
  <si>
    <t xml:space="preserve">缓蚀剂流量</t>
  </si>
  <si>
    <t xml:space="preserve">缓蚀剂年消耗量</t>
  </si>
  <si>
    <t xml:space="preserve">五、</t>
  </si>
  <si>
    <t xml:space="preserve">硫化剂DMDS</t>
  </si>
  <si>
    <t xml:space="preserve">DMDS流量</t>
  </si>
  <si>
    <t xml:space="preserve">总用量</t>
  </si>
  <si>
    <t xml:space="preserve">使用地点</t>
  </si>
  <si>
    <r>
      <rPr>
        <sz val="10.5"/>
        <color rgb="FF000000"/>
        <rFont val="宋体"/>
        <family val="3"/>
        <charset val="134"/>
      </rPr>
      <t xml:space="preserve">设备数量</t>
    </r>
    <r>
      <rPr>
        <sz val="10.5"/>
        <color rgb="FF000000"/>
        <rFont val="Arial"/>
        <family val="2"/>
        <charset val="1"/>
      </rPr>
      <t xml:space="preserve">(</t>
    </r>
    <r>
      <rPr>
        <sz val="10.5"/>
        <color rgb="FF000000"/>
        <rFont val="宋体"/>
        <family val="3"/>
        <charset val="134"/>
      </rPr>
      <t xml:space="preserve">台</t>
    </r>
    <r>
      <rPr>
        <sz val="10.5"/>
        <color rgb="FF000000"/>
        <rFont val="Arial"/>
        <family val="2"/>
        <charset val="1"/>
      </rPr>
      <t xml:space="preserve">)</t>
    </r>
  </si>
  <si>
    <t xml:space="preserve">设备容量kW</t>
  </si>
  <si>
    <t xml:space="preserve">轴功率</t>
  </si>
  <si>
    <t xml:space="preserve">年工作</t>
  </si>
  <si>
    <r>
      <rPr>
        <sz val="10.5"/>
        <color rgb="FF000000"/>
        <rFont val="宋体"/>
        <family val="3"/>
        <charset val="134"/>
      </rPr>
      <t xml:space="preserve">年用电量</t>
    </r>
    <r>
      <rPr>
        <sz val="10.5"/>
        <color rgb="FF000000"/>
        <rFont val="Arial"/>
        <family val="2"/>
        <charset val="1"/>
      </rPr>
      <t xml:space="preserve">X10</t>
    </r>
    <r>
      <rPr>
        <vertAlign val="superscript"/>
        <sz val="10.5"/>
        <color rgb="FF000000"/>
        <rFont val="Arial"/>
        <family val="2"/>
        <charset val="1"/>
      </rPr>
      <t xml:space="preserve">4</t>
    </r>
    <r>
      <rPr>
        <sz val="10.5"/>
        <color rgb="FF000000"/>
        <rFont val="Arial"/>
        <family val="2"/>
        <charset val="1"/>
      </rPr>
      <t xml:space="preserve">kWh/a</t>
    </r>
  </si>
  <si>
    <t xml:space="preserve">V</t>
  </si>
  <si>
    <t xml:space="preserve">操作</t>
  </si>
  <si>
    <t xml:space="preserve">kW</t>
  </si>
  <si>
    <t xml:space="preserve">时数</t>
  </si>
  <si>
    <t xml:space="preserve">217-C-201</t>
  </si>
  <si>
    <t xml:space="preserve">新氢压缩机</t>
  </si>
  <si>
    <t xml:space="preserve">217-C-202</t>
  </si>
  <si>
    <t xml:space="preserve">循环氢压缩机</t>
  </si>
  <si>
    <t xml:space="preserve">217-V-101</t>
  </si>
  <si>
    <t xml:space="preserve">电脱盐变压器</t>
  </si>
  <si>
    <t xml:space="preserve">仪表用电</t>
  </si>
  <si>
    <t xml:space="preserve">照明用电</t>
  </si>
  <si>
    <t xml:space="preserve">   </t>
  </si>
  <si>
    <t xml:space="preserve">折合连续用电量</t>
  </si>
  <si>
    <t xml:space="preserve">混合器选型</t>
  </si>
  <si>
    <t xml:space="preserve">222-MI-101</t>
  </si>
  <si>
    <t xml:space="preserve">设备名称</t>
  </si>
  <si>
    <t xml:space="preserve">原料混合器</t>
  </si>
  <si>
    <t xml:space="preserve">混合C4+甲醇</t>
  </si>
  <si>
    <t xml:space="preserve">质量流量  </t>
  </si>
  <si>
    <t xml:space="preserve">  kg/hr</t>
  </si>
  <si>
    <t xml:space="preserve">体积流量  </t>
  </si>
  <si>
    <t xml:space="preserve">  cum/hr</t>
  </si>
  <si>
    <t xml:space="preserve">额定流量系数</t>
  </si>
  <si>
    <t xml:space="preserve">额定质量流量  </t>
  </si>
  <si>
    <t xml:space="preserve">额定体积流量</t>
  </si>
  <si>
    <t xml:space="preserve">输送密度  </t>
  </si>
  <si>
    <t xml:space="preserve">  kg/cum</t>
  </si>
  <si>
    <t xml:space="preserve">操作温度  </t>
  </si>
  <si>
    <t xml:space="preserve">  ℃</t>
  </si>
  <si>
    <t xml:space="preserve">操作压力</t>
  </si>
  <si>
    <t xml:space="preserve">  MPaG</t>
  </si>
  <si>
    <t xml:space="preserve">操作温度下饱和蒸汽压 </t>
  </si>
  <si>
    <t xml:space="preserve">  MPa</t>
  </si>
  <si>
    <t xml:space="preserve">流体粘度</t>
  </si>
  <si>
    <t xml:space="preserve">Pa·s</t>
  </si>
  <si>
    <t xml:space="preserve">设备参数</t>
  </si>
  <si>
    <t xml:space="preserve">SV-10/250</t>
  </si>
  <si>
    <t xml:space="preserve">公称直径</t>
  </si>
  <si>
    <t xml:space="preserve">（DN）m</t>
  </si>
  <si>
    <t xml:space="preserve">水力直径</t>
  </si>
  <si>
    <t xml:space="preserve">（dh）m</t>
  </si>
  <si>
    <t xml:space="preserve">空隙率</t>
  </si>
  <si>
    <t xml:space="preserve">（ε）</t>
  </si>
  <si>
    <t xml:space="preserve">单位长度</t>
  </si>
  <si>
    <t xml:space="preserve">（L）m</t>
  </si>
  <si>
    <t xml:space="preserve">处理量</t>
  </si>
  <si>
    <t xml:space="preserve">（m3/h）</t>
  </si>
  <si>
    <t xml:space="preserve">88～176</t>
  </si>
  <si>
    <t xml:space="preserve">流型</t>
  </si>
  <si>
    <t xml:space="preserve">湍流</t>
  </si>
  <si>
    <t xml:space="preserve">表观速度</t>
  </si>
  <si>
    <t xml:space="preserve">  m/s</t>
  </si>
  <si>
    <t xml:space="preserve">雷诺数Re</t>
  </si>
  <si>
    <t xml:space="preserve">摩擦系数f</t>
  </si>
  <si>
    <t xml:space="preserve">压力降△P</t>
  </si>
  <si>
    <t xml:space="preserve">过滤器选型</t>
  </si>
  <si>
    <t xml:space="preserve">222-FL-101</t>
  </si>
  <si>
    <t xml:space="preserve">混合碳四过滤分离器</t>
  </si>
  <si>
    <t xml:space="preserve">混合碳四</t>
  </si>
  <si>
    <t xml:space="preserve">操作温度    ℃  </t>
  </si>
  <si>
    <t xml:space="preserve">操作压力    MPaG</t>
  </si>
  <si>
    <t xml:space="preserve">操作密度    kg/cum</t>
  </si>
  <si>
    <t xml:space="preserve">操作粘度    mPa·s</t>
  </si>
  <si>
    <t xml:space="preserve">最大流速    m/s</t>
  </si>
  <si>
    <t xml:space="preserve">允许压降    MPa</t>
  </si>
  <si>
    <t xml:space="preserve">设计流量    cum/hr</t>
  </si>
  <si>
    <t xml:space="preserve">最大流量    cum/hr</t>
  </si>
  <si>
    <t xml:space="preserve">A-101OUT</t>
  </si>
  <si>
    <t xml:space="preserve">C4-OUT</t>
  </si>
  <si>
    <t xml:space="preserve">CH4O-CYC</t>
  </si>
  <si>
    <t xml:space="preserve">DMW</t>
  </si>
  <si>
    <t xml:space="preserve">E-101IN</t>
  </si>
  <si>
    <t xml:space="preserve">E-103OUT</t>
  </si>
  <si>
    <t xml:space="preserve">E-108IN</t>
  </si>
  <si>
    <t xml:space="preserve">E-108OUT</t>
  </si>
  <si>
    <t xml:space="preserve">E-110OUT</t>
  </si>
  <si>
    <t xml:space="preserve">FE-CH4O</t>
  </si>
  <si>
    <t xml:space="preserve">FE-WATER</t>
  </si>
  <si>
    <t xml:space="preserve">FEED-C4</t>
  </si>
  <si>
    <t xml:space="preserve">H2O</t>
  </si>
  <si>
    <t xml:space="preserve">H2O-1</t>
  </si>
  <si>
    <t xml:space="preserve">H2O-2</t>
  </si>
  <si>
    <t xml:space="preserve">H2O-3</t>
  </si>
  <si>
    <t xml:space="preserve">H2O-4</t>
  </si>
  <si>
    <t xml:space="preserve">MI-101IN</t>
  </si>
  <si>
    <t xml:space="preserve">MTBE</t>
  </si>
  <si>
    <t xml:space="preserve">MTBE-1</t>
  </si>
  <si>
    <t xml:space="preserve">MTBE-2</t>
  </si>
  <si>
    <t xml:space="preserve">MTBE-3</t>
  </si>
  <si>
    <t xml:space="preserve">MTBE-4</t>
  </si>
  <si>
    <t xml:space="preserve">P-101OUT</t>
  </si>
  <si>
    <t xml:space="preserve">P-102OUT</t>
  </si>
  <si>
    <t xml:space="preserve">P-104OUT</t>
  </si>
  <si>
    <t xml:space="preserve">PSV01IN</t>
  </si>
  <si>
    <t xml:space="preserve">PSV01OUT</t>
  </si>
  <si>
    <t xml:space="preserve">PSV02IN</t>
  </si>
  <si>
    <t xml:space="preserve">PSV02OUT</t>
  </si>
  <si>
    <t xml:space="preserve">PSV05IN</t>
  </si>
  <si>
    <t xml:space="preserve">PSV05OUT</t>
  </si>
  <si>
    <t xml:space="preserve">PSV07IN</t>
  </si>
  <si>
    <t xml:space="preserve">PSV07OUT</t>
  </si>
  <si>
    <t xml:space="preserve">PSV08IN</t>
  </si>
  <si>
    <t xml:space="preserve">PSV08OUT</t>
  </si>
  <si>
    <t xml:space="preserve">PSV09IN</t>
  </si>
  <si>
    <t xml:space="preserve">PSV09OUT</t>
  </si>
  <si>
    <t xml:space="preserve">PSV10IN</t>
  </si>
  <si>
    <t xml:space="preserve">PSV10OUT</t>
  </si>
  <si>
    <t xml:space="preserve">PSV11IN</t>
  </si>
  <si>
    <t xml:space="preserve">PSV11OUT</t>
  </si>
  <si>
    <t xml:space="preserve">PSV13IN</t>
  </si>
  <si>
    <t xml:space="preserve">PSV13OUT</t>
  </si>
  <si>
    <t xml:space="preserve">PSV14IN</t>
  </si>
  <si>
    <t xml:space="preserve">PSV14OUT</t>
  </si>
  <si>
    <t xml:space="preserve">R-101ABP</t>
  </si>
  <si>
    <t xml:space="preserve">R-101CFE</t>
  </si>
  <si>
    <t xml:space="preserve">R-101CPR</t>
  </si>
  <si>
    <t xml:space="preserve">R-101IN</t>
  </si>
  <si>
    <t xml:space="preserve">REC-CH4O</t>
  </si>
  <si>
    <t xml:space="preserve">T-101F</t>
  </si>
  <si>
    <t xml:space="preserve">T-101F1</t>
  </si>
  <si>
    <t xml:space="preserve">T-101L18</t>
  </si>
  <si>
    <t xml:space="preserve">T-101RBI</t>
  </si>
  <si>
    <t xml:space="preserve">T-101RBO</t>
  </si>
  <si>
    <t xml:space="preserve">T-101TOP</t>
  </si>
  <si>
    <t xml:space="preserve">T-101V2</t>
  </si>
  <si>
    <t xml:space="preserve">T-101V3</t>
  </si>
  <si>
    <t xml:space="preserve">T-101V19</t>
  </si>
  <si>
    <t xml:space="preserve">T-102BOT</t>
  </si>
  <si>
    <t xml:space="preserve">T-102TOP</t>
  </si>
  <si>
    <t xml:space="preserve">T-103BOT</t>
  </si>
  <si>
    <t xml:space="preserve">T-103F</t>
  </si>
  <si>
    <t xml:space="preserve">T-103GAS</t>
  </si>
  <si>
    <t xml:space="preserve">T-103REI</t>
  </si>
  <si>
    <t xml:space="preserve">T-103REO</t>
  </si>
  <si>
    <t xml:space="preserve">T-103V2</t>
  </si>
  <si>
    <t xml:space="preserve">T-103V3</t>
  </si>
  <si>
    <t xml:space="preserve">V-101GAS</t>
  </si>
  <si>
    <t xml:space="preserve">V-101LIQ</t>
  </si>
  <si>
    <t xml:space="preserve">V-102GAS</t>
  </si>
  <si>
    <t xml:space="preserve">V-102LIQ</t>
  </si>
  <si>
    <t xml:space="preserve">V-106GAS</t>
  </si>
  <si>
    <t xml:space="preserve">V-106LIQ</t>
  </si>
  <si>
    <t xml:space="preserve">V-111GAS</t>
  </si>
  <si>
    <t xml:space="preserve">V-111LIQ</t>
  </si>
  <si>
    <t xml:space="preserve">XR-101CF</t>
  </si>
  <si>
    <t xml:space="preserve">XR-101IN</t>
  </si>
  <si>
    <t xml:space="preserve">ZPSV01IN</t>
  </si>
  <si>
    <t xml:space="preserve">ZPSV01OT</t>
  </si>
  <si>
    <t xml:space="preserve">ZPSV02IN</t>
  </si>
  <si>
    <t xml:space="preserve">ZPSV02OT</t>
  </si>
  <si>
    <t xml:space="preserve">ZPSV05IN</t>
  </si>
  <si>
    <t xml:space="preserve">ZPSV05OT</t>
  </si>
  <si>
    <t xml:space="preserve">ZPSV07IN</t>
  </si>
  <si>
    <t xml:space="preserve">ZPSV07OT</t>
  </si>
  <si>
    <t xml:space="preserve">ZPSV08IN</t>
  </si>
  <si>
    <t xml:space="preserve">ZPSV08OT</t>
  </si>
  <si>
    <t xml:space="preserve">ZPSV09IN</t>
  </si>
  <si>
    <t xml:space="preserve">ZPSV09OT</t>
  </si>
  <si>
    <t xml:space="preserve">ZPSV10IN</t>
  </si>
  <si>
    <t xml:space="preserve">ZPSV10OT</t>
  </si>
  <si>
    <t xml:space="preserve">ZPSV11IN</t>
  </si>
  <si>
    <t xml:space="preserve">ZPSV11OT</t>
  </si>
  <si>
    <t xml:space="preserve">ZPSV12IN</t>
  </si>
  <si>
    <t xml:space="preserve">ZPSV12OT</t>
  </si>
  <si>
    <t xml:space="preserve">ZPSV13IN</t>
  </si>
  <si>
    <t xml:space="preserve">ZPSV13OT</t>
  </si>
  <si>
    <t xml:space="preserve">ZPSV14IN</t>
  </si>
  <si>
    <t xml:space="preserve">ZPSV14OT</t>
  </si>
  <si>
    <t xml:space="preserve">ZPSV15IN</t>
  </si>
  <si>
    <t xml:space="preserve">ZPSV15OT</t>
  </si>
  <si>
    <t xml:space="preserve">ZQSV12IN</t>
  </si>
  <si>
    <t xml:space="preserve">ZQSV12OT</t>
  </si>
  <si>
    <t xml:space="preserve">ZQSV15IN</t>
  </si>
  <si>
    <t xml:space="preserve">ZQSV15OT</t>
  </si>
  <si>
    <t xml:space="preserve">MX1</t>
  </si>
  <si>
    <t xml:space="preserve">E-101</t>
  </si>
  <si>
    <t xml:space="preserve">T-102</t>
  </si>
  <si>
    <t xml:space="preserve">E-108</t>
  </si>
  <si>
    <t xml:space="preserve">V-111</t>
  </si>
  <si>
    <t xml:space="preserve">V-102</t>
  </si>
  <si>
    <t xml:space="preserve">V-101</t>
  </si>
  <si>
    <t xml:space="preserve">P-105</t>
  </si>
  <si>
    <t xml:space="preserve">E-107</t>
  </si>
  <si>
    <t xml:space="preserve">E-106</t>
  </si>
  <si>
    <t xml:space="preserve">MI-101</t>
  </si>
  <si>
    <t xml:space="preserve">E-102</t>
  </si>
  <si>
    <t xml:space="preserve">E-105</t>
  </si>
  <si>
    <t xml:space="preserve">P-110</t>
  </si>
  <si>
    <t xml:space="preserve">SP1</t>
  </si>
  <si>
    <t xml:space="preserve">E-103</t>
  </si>
  <si>
    <t xml:space="preserve">PSV-101</t>
  </si>
  <si>
    <t xml:space="preserve">PSV-102</t>
  </si>
  <si>
    <t xml:space="preserve">PSV-1056</t>
  </si>
  <si>
    <t xml:space="preserve">PSV-107</t>
  </si>
  <si>
    <t xml:space="preserve">PSV-108</t>
  </si>
  <si>
    <t xml:space="preserve">PSV-109</t>
  </si>
  <si>
    <t xml:space="preserve">PSV-110</t>
  </si>
  <si>
    <t xml:space="preserve">PSV-111</t>
  </si>
  <si>
    <t xml:space="preserve">PSV-113</t>
  </si>
  <si>
    <t xml:space="preserve">PSV-114</t>
  </si>
  <si>
    <t xml:space="preserve">E-110</t>
  </si>
  <si>
    <t xml:space="preserve">R-101C</t>
  </si>
  <si>
    <t xml:space="preserve">R-101AB</t>
  </si>
  <si>
    <t xml:space="preserve">T-101</t>
  </si>
  <si>
    <t xml:space="preserve">P-104</t>
  </si>
  <si>
    <t xml:space="preserve">A-101</t>
  </si>
  <si>
    <t xml:space="preserve">V-106</t>
  </si>
  <si>
    <t xml:space="preserve">T-103</t>
  </si>
  <si>
    <t xml:space="preserve">A-102</t>
  </si>
  <si>
    <t xml:space="preserve">P-101</t>
  </si>
  <si>
    <t xml:space="preserve">P-102</t>
  </si>
  <si>
    <t xml:space="preserve">P-107</t>
  </si>
  <si>
    <t xml:space="preserve">P-109</t>
  </si>
  <si>
    <t xml:space="preserve">XR-101C</t>
  </si>
  <si>
    <t xml:space="preserve">XR-101AB</t>
  </si>
  <si>
    <t xml:space="preserve">ZPSV-101</t>
  </si>
  <si>
    <t xml:space="preserve">ZPSV-102</t>
  </si>
  <si>
    <t xml:space="preserve">ZPSV-105</t>
  </si>
  <si>
    <t xml:space="preserve">ZPSV-107</t>
  </si>
  <si>
    <t xml:space="preserve">ZPSV-108</t>
  </si>
  <si>
    <t xml:space="preserve">ZPSV-109</t>
  </si>
  <si>
    <t xml:space="preserve">ZPSV-110</t>
  </si>
  <si>
    <t xml:space="preserve">ZPSV-111</t>
  </si>
  <si>
    <t xml:space="preserve">ZPSV-112</t>
  </si>
  <si>
    <t xml:space="preserve">ZPSV-113</t>
  </si>
  <si>
    <t xml:space="preserve">ZPSV-114</t>
  </si>
  <si>
    <t xml:space="preserve">ZPSV-115</t>
  </si>
  <si>
    <t xml:space="preserve">PSV-112</t>
  </si>
  <si>
    <t xml:space="preserve">PSV-115</t>
  </si>
  <si>
    <t xml:space="preserve">MISSING</t>
  </si>
  <si>
    <t xml:space="preserve">Substream: MIXED          </t>
  </si>
  <si>
    <t xml:space="preserve">Mole Flow   kmol/hr       </t>
  </si>
  <si>
    <t xml:space="preserve">  PROPYLEN                </t>
  </si>
  <si>
    <t xml:space="preserve">  PROPANE                 </t>
  </si>
  <si>
    <t xml:space="preserve">  ISOBUT                  </t>
  </si>
  <si>
    <t xml:space="preserve">  ISOBUTYL                </t>
  </si>
  <si>
    <t xml:space="preserve">  NBUT                    </t>
  </si>
  <si>
    <t xml:space="preserve">  1BUTENE                 </t>
  </si>
  <si>
    <t xml:space="preserve">  CIS2B                   </t>
  </si>
  <si>
    <t xml:space="preserve">  TRANS2B                 </t>
  </si>
  <si>
    <t xml:space="preserve">  PENTANE                 </t>
  </si>
  <si>
    <t xml:space="preserve">  MTBE                    </t>
  </si>
  <si>
    <t xml:space="preserve">  METHANOL                </t>
  </si>
  <si>
    <t xml:space="preserve">  H2O                     </t>
  </si>
  <si>
    <t xml:space="preserve">  TBA                     </t>
  </si>
  <si>
    <t xml:space="preserve">  DME                     </t>
  </si>
  <si>
    <t xml:space="preserve">Mole Frac                 </t>
  </si>
  <si>
    <t xml:space="preserve">Mass Flow   kg/hr         </t>
  </si>
  <si>
    <t xml:space="preserve">Mass Frac                 </t>
  </si>
  <si>
    <t xml:space="preserve">Total Flow  kmol/hr       </t>
  </si>
  <si>
    <t xml:space="preserve">Total Flow  kg/hr         </t>
  </si>
  <si>
    <t xml:space="preserve">Total Flow  cum/hr        </t>
  </si>
  <si>
    <t xml:space="preserve">Temperature C             </t>
  </si>
  <si>
    <t xml:space="preserve">Pressure    MPa           </t>
  </si>
  <si>
    <t xml:space="preserve">Vapor Frac                </t>
  </si>
  <si>
    <t xml:space="preserve">Liquid Frac               </t>
  </si>
  <si>
    <t xml:space="preserve">Solid Frac                </t>
  </si>
  <si>
    <t xml:space="preserve">Enthalpy    kJ/kmol       </t>
  </si>
  <si>
    <t xml:space="preserve">Enthalpy    kJ/kg         </t>
  </si>
  <si>
    <t xml:space="preserve">Enthalpy    Watt          </t>
  </si>
  <si>
    <t xml:space="preserve">Entropy     J/kmol-K      </t>
  </si>
  <si>
    <t xml:space="preserve">Entropy     J/kg-K        </t>
  </si>
  <si>
    <t xml:space="preserve">Density     kmol/cum      </t>
  </si>
  <si>
    <t xml:space="preserve">Density     kg/cum        </t>
  </si>
  <si>
    <t xml:space="preserve">Average MW                </t>
  </si>
  <si>
    <t xml:space="preserve">Liq Vol 60F cum/hr        </t>
  </si>
  <si>
    <t xml:space="preserve">*** ALL PHASES ***        </t>
  </si>
  <si>
    <t xml:space="preserve">MASSVFRA                  </t>
  </si>
  <si>
    <t xml:space="preserve">Enthalpy    kJ/hr         </t>
  </si>
  <si>
    <t xml:space="preserve">CPMX        kJ/kg-K       </t>
  </si>
  <si>
    <t xml:space="preserve">CPCVMX                    </t>
  </si>
  <si>
    <t xml:space="preserve">ZCMX                      </t>
  </si>
  <si>
    <t xml:space="preserve">PBUB        MPa           </t>
  </si>
  <si>
    <t xml:space="preserve">TBUB        C             </t>
  </si>
  <si>
    <t xml:space="preserve">HFLMX       kJ/hr         </t>
  </si>
  <si>
    <t xml:space="preserve">*** VAPOR PHASE ***       </t>
  </si>
  <si>
    <t xml:space="preserve">KINVISC     cs            </t>
  </si>
  <si>
    <t xml:space="preserve">MUMX        cP            </t>
  </si>
  <si>
    <t xml:space="preserve">KMX         Watt/m-K      </t>
  </si>
  <si>
    <t xml:space="preserve">ZMX                       </t>
  </si>
  <si>
    <t xml:space="preserve">HIGMX       kJ/hr         </t>
  </si>
  <si>
    <t xml:space="preserve">HIGMX       kJ/kg         </t>
  </si>
  <si>
    <t xml:space="preserve">*** LIQUID PHASE ***      </t>
  </si>
  <si>
    <t xml:space="preserve">SIGMAMX     dyne/cm       </t>
  </si>
  <si>
    <t xml:space="preserve">给水t/h</t>
  </si>
  <si>
    <t xml:space="preserve">排水t/h</t>
  </si>
  <si>
    <t xml:space="preserve">生产给水</t>
  </si>
  <si>
    <t xml:space="preserve">循环热水</t>
  </si>
  <si>
    <t xml:space="preserve">含油污水</t>
  </si>
  <si>
    <t xml:space="preserve">含硫污水</t>
  </si>
  <si>
    <t xml:space="preserve">含盐污水</t>
  </si>
  <si>
    <t xml:space="preserve">电脱盐注水</t>
  </si>
  <si>
    <t xml:space="preserve">连续</t>
  </si>
  <si>
    <t xml:space="preserve">反应产物高压注水</t>
  </si>
  <si>
    <t xml:space="preserve">反应产物低压注水</t>
  </si>
  <si>
    <t xml:space="preserve">常压塔顶回流罐</t>
  </si>
  <si>
    <t xml:space="preserve">减顶分液罐</t>
  </si>
  <si>
    <t xml:space="preserve">稳定塔重沸器</t>
  </si>
  <si>
    <t xml:space="preserve">常一中油产汽</t>
  </si>
  <si>
    <t xml:space="preserve">常底重油产汽</t>
  </si>
  <si>
    <t xml:space="preserve">减压蜡油产汽</t>
  </si>
  <si>
    <t xml:space="preserve">减压渣油产汽</t>
  </si>
  <si>
    <t xml:space="preserve">新氢压缩机一级水冷器</t>
  </si>
  <si>
    <t xml:space="preserve">新氢压缩机二级水冷器</t>
  </si>
  <si>
    <t xml:space="preserve">汽提塔顶水冷器</t>
  </si>
  <si>
    <t xml:space="preserve">常顶油气水冷器</t>
  </si>
  <si>
    <t xml:space="preserve">电脱盐切水冷却器</t>
  </si>
  <si>
    <t xml:space="preserve">减顶循环油水冷器</t>
  </si>
  <si>
    <t xml:space="preserve">精制低分气水冷器</t>
  </si>
  <si>
    <t xml:space="preserve">闪蒸气水冷器</t>
  </si>
  <si>
    <t xml:space="preserve">富气冷凝器</t>
  </si>
  <si>
    <t xml:space="preserve">吸收塔一中冷却器</t>
  </si>
  <si>
    <t xml:space="preserve">吸收塔二中冷却器</t>
  </si>
  <si>
    <t xml:space="preserve">循环吸收剂冷却器</t>
  </si>
  <si>
    <t xml:space="preserve">液化气冷却器</t>
  </si>
  <si>
    <t xml:space="preserve">机泵冷却</t>
  </si>
  <si>
    <t xml:space="preserve">取样冷却器</t>
  </si>
  <si>
    <t xml:space="preserve">间断</t>
  </si>
  <si>
    <t xml:space="preserve">生活用水</t>
  </si>
  <si>
    <t xml:space="preserve">冲洗地面用水</t>
  </si>
  <si>
    <t xml:space="preserve">开工用水</t>
  </si>
  <si>
    <r>
      <rPr>
        <sz val="10.5"/>
        <color rgb="FF000000"/>
        <rFont val="宋体"/>
        <family val="3"/>
        <charset val="134"/>
      </rPr>
      <t xml:space="preserve">连续</t>
    </r>
    <r>
      <rPr>
        <sz val="10.5"/>
        <color rgb="FF000000"/>
        <rFont val="Arial"/>
        <family val="2"/>
        <charset val="1"/>
      </rPr>
      <t xml:space="preserve">/</t>
    </r>
    <r>
      <rPr>
        <sz val="10.5"/>
        <color rgb="FF000000"/>
        <rFont val="宋体"/>
        <family val="3"/>
        <charset val="134"/>
      </rPr>
      <t xml:space="preserve">间断</t>
    </r>
  </si>
  <si>
    <t xml:space="preserve">蒸汽用量t/h</t>
  </si>
  <si>
    <r>
      <rPr>
        <sz val="10.5"/>
        <color rgb="FF000000"/>
        <rFont val="宋体"/>
        <family val="3"/>
        <charset val="134"/>
      </rPr>
      <t xml:space="preserve">压力，</t>
    </r>
    <r>
      <rPr>
        <sz val="10.5"/>
        <color rgb="FF000000"/>
        <rFont val="Arial"/>
        <family val="2"/>
        <charset val="1"/>
      </rPr>
      <t xml:space="preserve">MPa</t>
    </r>
    <r>
      <rPr>
        <sz val="10.5"/>
        <color rgb="FF000000"/>
        <rFont val="宋体"/>
        <family val="3"/>
        <charset val="134"/>
      </rPr>
      <t xml:space="preserve">（</t>
    </r>
    <r>
      <rPr>
        <sz val="10.5"/>
        <color rgb="FF000000"/>
        <rFont val="Arial"/>
        <family val="2"/>
        <charset val="1"/>
      </rPr>
      <t xml:space="preserve">G</t>
    </r>
    <r>
      <rPr>
        <sz val="10.5"/>
        <color rgb="FF000000"/>
        <rFont val="宋体"/>
        <family val="3"/>
        <charset val="134"/>
      </rPr>
      <t xml:space="preserve">）</t>
    </r>
  </si>
  <si>
    <t xml:space="preserve">最大</t>
  </si>
  <si>
    <t xml:space="preserve">汽提塔底吹汽</t>
  </si>
  <si>
    <t xml:space="preserve">常压塔底吹汽</t>
  </si>
  <si>
    <t xml:space="preserve">侧线低硫中芳烃汽提塔吹汽</t>
  </si>
  <si>
    <t xml:space="preserve">减压塔底吹汽</t>
  </si>
  <si>
    <t xml:space="preserve">抽真空用蒸汽</t>
  </si>
  <si>
    <t xml:space="preserve">稳定塔重沸器用蒸汽</t>
  </si>
  <si>
    <t xml:space="preserve">负号表产出</t>
  </si>
  <si>
    <t xml:space="preserve">减二中油产汽</t>
  </si>
  <si>
    <t xml:space="preserve">伴热</t>
  </si>
  <si>
    <t xml:space="preserve">吹扫、消防</t>
  </si>
  <si>
    <t xml:space="preserve">标准燃料</t>
  </si>
  <si>
    <t xml:space="preserve">单烧燃料气</t>
  </si>
  <si>
    <t xml:space="preserve">负荷 KW</t>
  </si>
  <si>
    <t xml:space="preserve">效率 %</t>
  </si>
  <si>
    <t xml:space="preserve">(热值41868KJ/Kg)</t>
  </si>
  <si>
    <r>
      <rPr>
        <sz val="12"/>
        <color rgb="FF000000"/>
        <rFont val="宋体"/>
        <family val="3"/>
        <charset val="134"/>
      </rPr>
      <t xml:space="preserve">(热值26377KJ/Nm</t>
    </r>
    <r>
      <rPr>
        <vertAlign val="superscript"/>
        <sz val="12"/>
        <color rgb="FF000000"/>
        <rFont val="宋体"/>
        <family val="3"/>
        <charset val="134"/>
      </rPr>
      <t xml:space="preserve">3</t>
    </r>
    <r>
      <rPr>
        <sz val="12"/>
        <color rgb="FF000000"/>
        <rFont val="宋体"/>
        <family val="3"/>
        <charset val="134"/>
      </rPr>
      <t xml:space="preserve">)</t>
    </r>
  </si>
  <si>
    <t xml:space="preserve">t/a</t>
  </si>
  <si>
    <r>
      <rPr>
        <sz val="12"/>
        <color rgb="FF000000"/>
        <rFont val="宋体"/>
        <family val="3"/>
        <charset val="134"/>
      </rPr>
      <t xml:space="preserve">Nm</t>
    </r>
    <r>
      <rPr>
        <vertAlign val="superscript"/>
        <sz val="12"/>
        <color rgb="FF000000"/>
        <rFont val="宋体"/>
        <family val="3"/>
        <charset val="134"/>
      </rPr>
      <t xml:space="preserve">3</t>
    </r>
    <r>
      <rPr>
        <sz val="12"/>
        <color rgb="FF000000"/>
        <rFont val="宋体"/>
        <family val="3"/>
        <charset val="134"/>
      </rPr>
      <t xml:space="preserve">/h</t>
    </r>
  </si>
  <si>
    <r>
      <rPr>
        <sz val="12"/>
        <color rgb="FF000000"/>
        <rFont val="宋体"/>
        <family val="3"/>
        <charset val="134"/>
      </rPr>
      <t xml:space="preserve">*10</t>
    </r>
    <r>
      <rPr>
        <vertAlign val="superscript"/>
        <sz val="12"/>
        <color rgb="FF000000"/>
        <rFont val="宋体"/>
        <family val="3"/>
        <charset val="134"/>
      </rPr>
      <t xml:space="preserve">4</t>
    </r>
    <r>
      <rPr>
        <sz val="12"/>
        <color rgb="FF000000"/>
        <rFont val="宋体"/>
        <family val="3"/>
        <charset val="134"/>
      </rPr>
      <t xml:space="preserve">Nm3/a</t>
    </r>
  </si>
  <si>
    <t xml:space="preserve">反应进料炉</t>
  </si>
  <si>
    <t xml:space="preserve">常压炉</t>
  </si>
  <si>
    <t xml:space="preserve">减压炉</t>
  </si>
  <si>
    <t xml:space="preserve">加热炉委托</t>
  </si>
  <si>
    <t xml:space="preserve">开工</t>
  </si>
  <si>
    <t xml:space="preserve">效率</t>
  </si>
  <si>
    <t xml:space="preserve">进料炉</t>
  </si>
  <si>
    <t xml:space="preserve">饱和</t>
  </si>
  <si>
    <t xml:space="preserve">过热</t>
  </si>
  <si>
    <t xml:space="preserve">184.09℃</t>
  </si>
  <si>
    <t xml:space="preserve">400℃</t>
  </si>
  <si>
    <t xml:space="preserve">KJ/kg</t>
  </si>
  <si>
    <t xml:space="preserve">158.9℃</t>
  </si>
  <si>
    <t xml:space="preserve">装置能耗汇总</t>
  </si>
  <si>
    <t xml:space="preserve">项     目</t>
  </si>
  <si>
    <t xml:space="preserve">单  位</t>
  </si>
  <si>
    <t xml:space="preserve">数  量</t>
  </si>
  <si>
    <t xml:space="preserve">备   注</t>
  </si>
  <si>
    <t xml:space="preserve">电</t>
  </si>
  <si>
    <t xml:space="preserve">kWh/h</t>
  </si>
  <si>
    <t xml:space="preserve">0.3MPa蒸汽</t>
  </si>
  <si>
    <t xml:space="preserve">1.0MPa蒸汽</t>
  </si>
  <si>
    <r>
      <rPr>
        <sz val="10.5"/>
        <color rgb="FF000000"/>
        <rFont val="宋体"/>
        <family val="3"/>
        <charset val="134"/>
      </rPr>
      <t xml:space="preserve">正常</t>
    </r>
    <r>
      <rPr>
        <sz val="10.5"/>
        <color rgb="FF000000"/>
        <rFont val="Arial"/>
        <family val="2"/>
        <charset val="1"/>
      </rPr>
      <t xml:space="preserve">/</t>
    </r>
    <r>
      <rPr>
        <sz val="10.5"/>
        <color rgb="FF000000"/>
        <rFont val="宋体"/>
        <family val="3"/>
        <charset val="134"/>
      </rPr>
      <t xml:space="preserve">最大</t>
    </r>
  </si>
  <si>
    <r>
      <rPr>
        <sz val="10.5"/>
        <color rgb="FF000000"/>
        <rFont val="Arial"/>
        <family val="2"/>
        <charset val="1"/>
      </rPr>
      <t xml:space="preserve">Nm</t>
    </r>
    <r>
      <rPr>
        <vertAlign val="superscript"/>
        <sz val="10.5"/>
        <color rgb="FF000000"/>
        <rFont val="Arial"/>
        <family val="2"/>
        <charset val="1"/>
      </rPr>
      <t xml:space="preserve">3</t>
    </r>
    <r>
      <rPr>
        <sz val="10.5"/>
        <color rgb="FF000000"/>
        <rFont val="Arial"/>
        <family val="2"/>
        <charset val="1"/>
      </rPr>
      <t xml:space="preserve">/min</t>
    </r>
  </si>
  <si>
    <t xml:space="preserve">3/50</t>
  </si>
  <si>
    <t xml:space="preserve">能耗计算</t>
  </si>
  <si>
    <t xml:space="preserve">消耗</t>
  </si>
  <si>
    <t xml:space="preserve">能耗折算值</t>
  </si>
  <si>
    <t xml:space="preserve">单位能耗</t>
  </si>
  <si>
    <r>
      <rPr>
        <sz val="10.5"/>
        <color rgb="FF000000"/>
        <rFont val="Arial"/>
        <family val="2"/>
        <charset val="1"/>
      </rPr>
      <t xml:space="preserve">MJ/t</t>
    </r>
    <r>
      <rPr>
        <sz val="10.5"/>
        <color rgb="FF000000"/>
        <rFont val="宋体"/>
        <family val="3"/>
        <charset val="134"/>
      </rPr>
      <t xml:space="preserve">原料</t>
    </r>
  </si>
  <si>
    <t xml:space="preserve">MJ/ t</t>
  </si>
  <si>
    <t xml:space="preserve">MJ/kWh</t>
  </si>
  <si>
    <t xml:space="preserve">净化压缩空气</t>
  </si>
  <si>
    <r>
      <rPr>
        <sz val="10.5"/>
        <color rgb="FF000000"/>
        <rFont val="Arial"/>
        <family val="2"/>
        <charset val="1"/>
      </rPr>
      <t xml:space="preserve">Nm</t>
    </r>
    <r>
      <rPr>
        <vertAlign val="superscript"/>
        <sz val="10.5"/>
        <color rgb="FF000000"/>
        <rFont val="Arial"/>
        <family val="2"/>
        <charset val="1"/>
      </rPr>
      <t xml:space="preserve">3</t>
    </r>
    <r>
      <rPr>
        <sz val="10.5"/>
        <color rgb="FF000000"/>
        <rFont val="Arial"/>
        <family val="2"/>
        <charset val="1"/>
      </rPr>
      <t xml:space="preserve">/h</t>
    </r>
  </si>
  <si>
    <r>
      <rPr>
        <sz val="10.5"/>
        <color rgb="FF000000"/>
        <rFont val="Arial"/>
        <family val="2"/>
        <charset val="1"/>
      </rPr>
      <t xml:space="preserve">MJ/ Nm</t>
    </r>
    <r>
      <rPr>
        <vertAlign val="superscript"/>
        <sz val="10.5"/>
        <color rgb="FF000000"/>
        <rFont val="Arial"/>
        <family val="2"/>
        <charset val="1"/>
      </rPr>
      <t xml:space="preserve">3</t>
    </r>
  </si>
  <si>
    <t xml:space="preserve">非净化压缩空气</t>
  </si>
  <si>
    <r>
      <rPr>
        <sz val="10.5"/>
        <color rgb="FF000000"/>
        <rFont val="宋体"/>
        <family val="3"/>
        <charset val="134"/>
      </rPr>
      <t xml:space="preserve">折合kg标油</t>
    </r>
    <r>
      <rPr>
        <sz val="10.5"/>
        <color rgb="FF000000"/>
        <rFont val="Arial"/>
        <family val="2"/>
        <charset val="1"/>
      </rPr>
      <t xml:space="preserve">/</t>
    </r>
    <r>
      <rPr>
        <sz val="10.5"/>
        <color rgb="FF000000"/>
        <rFont val="宋体"/>
        <family val="3"/>
        <charset val="134"/>
      </rPr>
      <t xml:space="preserve">吨原料</t>
    </r>
  </si>
  <si>
    <t xml:space="preserve">催化蒸馏塔</t>
  </si>
  <si>
    <t xml:space="preserve">塔径(m)</t>
  </si>
  <si>
    <t xml:space="preserve">塔器操作介质重计算</t>
  </si>
  <si>
    <r>
      <rPr>
        <sz val="12"/>
        <rFont val="Times New Roman"/>
        <family val="1"/>
        <charset val="1"/>
      </rPr>
      <t xml:space="preserve">1.</t>
    </r>
    <r>
      <rPr>
        <sz val="12"/>
        <rFont val="宋体"/>
        <family val="3"/>
        <charset val="134"/>
      </rPr>
      <t xml:space="preserve">汽提塔</t>
    </r>
  </si>
  <si>
    <r>
      <rPr>
        <sz val="12"/>
        <rFont val="宋体"/>
        <family val="3"/>
        <charset val="134"/>
      </rPr>
      <t xml:space="preserve">塔内径</t>
    </r>
    <r>
      <rPr>
        <sz val="12"/>
        <rFont val="Times New Roman"/>
        <family val="1"/>
        <charset val="1"/>
      </rPr>
      <t xml:space="preserve">mm</t>
    </r>
  </si>
  <si>
    <r>
      <rPr>
        <sz val="12"/>
        <rFont val="宋体"/>
        <family val="3"/>
        <charset val="134"/>
      </rPr>
      <t xml:space="preserve">板间距</t>
    </r>
    <r>
      <rPr>
        <sz val="12"/>
        <rFont val="Times New Roman"/>
        <family val="1"/>
        <charset val="1"/>
      </rPr>
      <t xml:space="preserve">mm</t>
    </r>
  </si>
  <si>
    <t xml:space="preserve">集油箱数量</t>
  </si>
  <si>
    <t xml:space="preserve">集油箱液位高</t>
  </si>
  <si>
    <r>
      <rPr>
        <sz val="12"/>
        <rFont val="宋体"/>
        <family val="3"/>
        <charset val="134"/>
      </rPr>
      <t xml:space="preserve">操作介质密度</t>
    </r>
    <r>
      <rPr>
        <sz val="12"/>
        <rFont val="Times New Roman"/>
        <family val="1"/>
        <charset val="1"/>
      </rPr>
      <t xml:space="preserve">kg/m3</t>
    </r>
  </si>
  <si>
    <t xml:space="preserve">塔截面积</t>
  </si>
  <si>
    <t xml:space="preserve">降液管面积</t>
  </si>
  <si>
    <t xml:space="preserve">降液管截面积与塔截面积之比</t>
  </si>
  <si>
    <r>
      <rPr>
        <sz val="12"/>
        <rFont val="宋体"/>
        <family val="3"/>
        <charset val="134"/>
      </rPr>
      <t xml:space="preserve">塔板液面高度</t>
    </r>
    <r>
      <rPr>
        <sz val="12"/>
        <rFont val="Times New Roman"/>
        <family val="1"/>
        <charset val="1"/>
      </rPr>
      <t xml:space="preserve">mm</t>
    </r>
  </si>
  <si>
    <r>
      <rPr>
        <sz val="12"/>
        <rFont val="宋体"/>
        <family val="3"/>
        <charset val="134"/>
      </rPr>
      <t xml:space="preserve">塔底液位计最高点位置</t>
    </r>
    <r>
      <rPr>
        <sz val="12"/>
        <rFont val="Times New Roman"/>
        <family val="1"/>
        <charset val="1"/>
      </rPr>
      <t xml:space="preserve">(</t>
    </r>
    <r>
      <rPr>
        <sz val="12"/>
        <rFont val="宋体"/>
        <family val="3"/>
        <charset val="134"/>
      </rPr>
      <t xml:space="preserve">相对塔底切线</t>
    </r>
    <r>
      <rPr>
        <sz val="12"/>
        <rFont val="Times New Roman"/>
        <family val="1"/>
        <charset val="1"/>
      </rPr>
      <t xml:space="preserve">)mm</t>
    </r>
  </si>
  <si>
    <r>
      <rPr>
        <sz val="12"/>
        <rFont val="宋体"/>
        <family val="3"/>
        <charset val="134"/>
      </rPr>
      <t xml:space="preserve">塔底液面高度</t>
    </r>
    <r>
      <rPr>
        <sz val="12"/>
        <rFont val="Times New Roman"/>
        <family val="1"/>
        <charset val="1"/>
      </rPr>
      <t xml:space="preserve">mm</t>
    </r>
  </si>
  <si>
    <t xml:space="preserve">a</t>
  </si>
  <si>
    <r>
      <rPr>
        <sz val="12"/>
        <rFont val="宋体"/>
        <family val="3"/>
        <charset val="134"/>
      </rPr>
      <t xml:space="preserve">塔底封头介质体积</t>
    </r>
    <r>
      <rPr>
        <sz val="12"/>
        <rFont val="Times New Roman"/>
        <family val="1"/>
        <charset val="1"/>
      </rPr>
      <t xml:space="preserve">M3</t>
    </r>
  </si>
  <si>
    <t xml:space="preserve">V=0.1309D^3</t>
  </si>
  <si>
    <t xml:space="preserve">b</t>
  </si>
  <si>
    <r>
      <rPr>
        <sz val="12"/>
        <rFont val="宋体"/>
        <family val="3"/>
        <charset val="134"/>
      </rPr>
      <t xml:space="preserve">塔底介质体积</t>
    </r>
    <r>
      <rPr>
        <sz val="12"/>
        <rFont val="Times New Roman"/>
        <family val="1"/>
        <charset val="1"/>
      </rPr>
      <t xml:space="preserve">M3</t>
    </r>
    <r>
      <rPr>
        <sz val="12"/>
        <rFont val="宋体"/>
        <family val="3"/>
        <charset val="134"/>
      </rPr>
      <t xml:space="preserve">（去封头）</t>
    </r>
  </si>
  <si>
    <t xml:space="preserve">V=D^2*H</t>
  </si>
  <si>
    <t xml:space="preserve">c</t>
  </si>
  <si>
    <r>
      <rPr>
        <sz val="12"/>
        <rFont val="宋体"/>
        <family val="3"/>
        <charset val="134"/>
      </rPr>
      <t xml:space="preserve">塔板上介质体积</t>
    </r>
    <r>
      <rPr>
        <sz val="12"/>
        <rFont val="Times New Roman"/>
        <family val="1"/>
        <charset val="1"/>
      </rPr>
      <t xml:space="preserve">M3</t>
    </r>
  </si>
  <si>
    <t xml:space="preserve">V=0.25*N*H1*PI()*D^2*Ab</t>
  </si>
  <si>
    <t xml:space="preserve">d</t>
  </si>
  <si>
    <r>
      <rPr>
        <sz val="12"/>
        <rFont val="宋体"/>
        <family val="3"/>
        <charset val="134"/>
      </rPr>
      <t xml:space="preserve">降液管中介质体积</t>
    </r>
    <r>
      <rPr>
        <sz val="12"/>
        <rFont val="Times New Roman"/>
        <family val="1"/>
        <charset val="1"/>
      </rPr>
      <t xml:space="preserve">M3</t>
    </r>
  </si>
  <si>
    <t xml:space="preserve">V=N*0.5*H2*Aj*0.25*PI()*D^2</t>
  </si>
  <si>
    <t xml:space="preserve">e</t>
  </si>
  <si>
    <t xml:space="preserve">集油箱体积</t>
  </si>
  <si>
    <t xml:space="preserve">M3</t>
  </si>
  <si>
    <t xml:space="preserve">V=N*0.25*PI()*D^2*h</t>
  </si>
  <si>
    <r>
      <rPr>
        <sz val="12"/>
        <rFont val="宋体"/>
        <family val="3"/>
        <charset val="134"/>
      </rPr>
      <t xml:space="preserve">总操作介质重</t>
    </r>
    <r>
      <rPr>
        <sz val="12"/>
        <rFont val="Times New Roman"/>
        <family val="1"/>
        <charset val="1"/>
      </rPr>
      <t xml:space="preserve">KG</t>
    </r>
  </si>
  <si>
    <r>
      <rPr>
        <sz val="12"/>
        <rFont val="Times New Roman"/>
        <family val="1"/>
        <charset val="1"/>
      </rPr>
      <t xml:space="preserve">1.</t>
    </r>
    <r>
      <rPr>
        <sz val="12"/>
        <rFont val="宋体"/>
        <family val="3"/>
        <charset val="134"/>
      </rPr>
      <t xml:space="preserve">常压塔</t>
    </r>
  </si>
  <si>
    <r>
      <rPr>
        <sz val="12"/>
        <rFont val="Times New Roman"/>
        <family val="1"/>
        <charset val="1"/>
      </rPr>
      <t xml:space="preserve">1.</t>
    </r>
    <r>
      <rPr>
        <sz val="12"/>
        <rFont val="宋体"/>
        <family val="3"/>
        <charset val="134"/>
      </rPr>
      <t xml:space="preserve">低硫中芳烃汽提塔</t>
    </r>
  </si>
  <si>
    <r>
      <rPr>
        <sz val="12"/>
        <rFont val="Times New Roman"/>
        <family val="1"/>
        <charset val="1"/>
      </rPr>
      <t xml:space="preserve">1.</t>
    </r>
    <r>
      <rPr>
        <sz val="12"/>
        <rFont val="宋体"/>
        <family val="3"/>
        <charset val="134"/>
      </rPr>
      <t xml:space="preserve">循环氢脱硫塔</t>
    </r>
  </si>
  <si>
    <t xml:space="preserve">解吸塔</t>
  </si>
  <si>
    <t xml:space="preserve">稳定塔</t>
  </si>
  <si>
    <t xml:space="preserve">干气脱硫塔</t>
  </si>
  <si>
    <t xml:space="preserve">液化气脱硫塔</t>
  </si>
  <si>
    <t xml:space="preserve">减压塔</t>
  </si>
  <si>
    <t xml:space="preserve">填料高度mm</t>
  </si>
  <si>
    <t xml:space="preserve">填料部分液体体积占空隙体积</t>
  </si>
  <si>
    <t xml:space="preserve">f</t>
  </si>
  <si>
    <t xml:space="preserve">填料持液量 </t>
  </si>
  <si>
    <r>
      <rPr>
        <sz val="12"/>
        <rFont val="Times New Roman"/>
        <family val="1"/>
        <charset val="1"/>
      </rPr>
      <t xml:space="preserve">2. </t>
    </r>
    <r>
      <rPr>
        <sz val="12"/>
        <rFont val="宋体"/>
        <family val="3"/>
        <charset val="134"/>
      </rPr>
      <t xml:space="preserve">催化剂罐操作介质重的计算</t>
    </r>
  </si>
  <si>
    <r>
      <rPr>
        <sz val="12"/>
        <rFont val="宋体"/>
        <family val="3"/>
        <charset val="134"/>
      </rPr>
      <t xml:space="preserve">充水重</t>
    </r>
    <r>
      <rPr>
        <sz val="12"/>
        <rFont val="Times New Roman"/>
        <family val="1"/>
        <charset val="1"/>
      </rPr>
      <t xml:space="preserve">(kg)</t>
    </r>
  </si>
  <si>
    <r>
      <rPr>
        <sz val="12"/>
        <rFont val="宋体"/>
        <family val="3"/>
        <charset val="134"/>
      </rPr>
      <t xml:space="preserve">介质密度</t>
    </r>
    <r>
      <rPr>
        <sz val="12"/>
        <rFont val="Times New Roman"/>
        <family val="1"/>
        <charset val="1"/>
      </rPr>
      <t xml:space="preserve">(kg/m3)</t>
    </r>
  </si>
  <si>
    <t xml:space="preserve">系数</t>
  </si>
  <si>
    <r>
      <rPr>
        <sz val="12"/>
        <rFont val="宋体"/>
        <family val="3"/>
        <charset val="134"/>
      </rPr>
      <t xml:space="preserve">操作介质重</t>
    </r>
    <r>
      <rPr>
        <sz val="12"/>
        <rFont val="Times New Roman"/>
        <family val="1"/>
        <charset val="1"/>
      </rPr>
      <t xml:space="preserve">(kg)</t>
    </r>
  </si>
  <si>
    <t xml:space="preserve">常压下柴油粘度计算</t>
  </si>
  <si>
    <t xml:space="preserve">温度1</t>
  </si>
  <si>
    <t xml:space="preserve">℃</t>
  </si>
  <si>
    <t xml:space="preserve">温度1下粘度</t>
  </si>
  <si>
    <t xml:space="preserve">mm2/s</t>
  </si>
  <si>
    <t xml:space="preserve">温度2</t>
  </si>
  <si>
    <t xml:space="preserve">温度2下粘度</t>
  </si>
  <si>
    <t xml:space="preserve">系数b</t>
  </si>
  <si>
    <t xml:space="preserve">系数a</t>
  </si>
  <si>
    <t xml:space="preserve">计算温度</t>
  </si>
  <si>
    <t xml:space="preserve">计算粘度</t>
  </si>
  <si>
    <t xml:space="preserve">MI-201</t>
  </si>
  <si>
    <t xml:space="preserve">重芳烃-裂解催化剂混合器</t>
  </si>
  <si>
    <t xml:space="preserve">精制进料混合器</t>
  </si>
  <si>
    <t xml:space="preserve">重芳烃流率，m3/h</t>
  </si>
  <si>
    <t xml:space="preserve">高压闪蒸气</t>
  </si>
  <si>
    <t xml:space="preserve">裂解催化剂流率，m3/h</t>
  </si>
  <si>
    <t xml:space="preserve">循环重芳烃流率，m3/h</t>
  </si>
  <si>
    <t xml:space="preserve">流体总流率，m3/h</t>
  </si>
  <si>
    <t xml:space="preserve">流体粘度，cp</t>
  </si>
  <si>
    <t xml:space="preserve">流体密度，kg/m3</t>
  </si>
  <si>
    <t xml:space="preserve">管道内径，mm</t>
  </si>
  <si>
    <t xml:space="preserve">流体线速度，m/s</t>
  </si>
  <si>
    <t xml:space="preserve">混合器长度，mm</t>
  </si>
  <si>
    <t xml:space="preserve">雷诺数</t>
  </si>
  <si>
    <t xml:space="preserve">摩擦系数</t>
  </si>
  <si>
    <t xml:space="preserve">压降，kpa</t>
  </si>
</sst>
</file>

<file path=xl/styles.xml><?xml version="1.0" encoding="utf-8"?>
<styleSheet xmlns="http://schemas.openxmlformats.org/spreadsheetml/2006/main">
  <numFmts count="31">
    <numFmt numFmtId="164" formatCode="General"/>
    <numFmt numFmtId="165" formatCode="@"/>
    <numFmt numFmtId="166" formatCode="0.000_ "/>
    <numFmt numFmtId="167" formatCode="0%"/>
    <numFmt numFmtId="168" formatCode="0.00"/>
    <numFmt numFmtId="169" formatCode="0.0_ "/>
    <numFmt numFmtId="170" formatCode="0.00_ "/>
    <numFmt numFmtId="171" formatCode="General"/>
    <numFmt numFmtId="172" formatCode="yyyy\-m\-d"/>
    <numFmt numFmtId="173" formatCode="0.00%"/>
    <numFmt numFmtId="174" formatCode="0.00000000000_ "/>
    <numFmt numFmtId="175" formatCode="0.0000_ "/>
    <numFmt numFmtId="176" formatCode="0_ "/>
    <numFmt numFmtId="177" formatCode="0.00_);[RED]\(0.00\)"/>
    <numFmt numFmtId="178" formatCode="0.00E+00"/>
    <numFmt numFmtId="179" formatCode="0.00000_ "/>
    <numFmt numFmtId="180" formatCode="0.000"/>
    <numFmt numFmtId="181" formatCode="m\月d\日"/>
    <numFmt numFmtId="182" formatCode="0"/>
    <numFmt numFmtId="183" formatCode="0_);[RED]\(0\)"/>
    <numFmt numFmtId="184" formatCode="0.0"/>
    <numFmt numFmtId="185" formatCode="0.0000"/>
    <numFmt numFmtId="186" formatCode="0.0000_);[RED]\(0.0000\)"/>
    <numFmt numFmtId="187" formatCode="0.00000"/>
    <numFmt numFmtId="188" formatCode="0.0%"/>
    <numFmt numFmtId="189" formatCode="0.000_);[RED]\(0.000\)"/>
    <numFmt numFmtId="190" formatCode="0.0_);[RED]\(0.0\)"/>
    <numFmt numFmtId="191" formatCode="#"/>
    <numFmt numFmtId="192" formatCode="# ?/?"/>
    <numFmt numFmtId="193" formatCode="0.000000_ "/>
    <numFmt numFmtId="194" formatCode="0.000E+00"/>
  </numFmts>
  <fonts count="160">
    <font>
      <sz val="12"/>
      <name val="宋体"/>
      <family val="0"/>
      <charset val="134"/>
    </font>
    <font>
      <sz val="10"/>
      <name val="Arial"/>
      <family val="0"/>
    </font>
    <font>
      <sz val="10"/>
      <name val="Arial"/>
      <family val="0"/>
    </font>
    <font>
      <sz val="10"/>
      <name val="Arial"/>
      <family val="0"/>
    </font>
    <font>
      <sz val="11"/>
      <color rgb="FF000000"/>
      <name val="宋体"/>
      <family val="3"/>
      <charset val="134"/>
    </font>
    <font>
      <sz val="11"/>
      <color rgb="FFFFFFFF"/>
      <name val="宋体"/>
      <family val="3"/>
      <charset val="134"/>
    </font>
    <font>
      <sz val="10"/>
      <name val="Arial"/>
      <family val="2"/>
      <charset val="1"/>
    </font>
    <font>
      <sz val="8"/>
      <color rgb="FF000000"/>
      <name val="Arial"/>
      <family val="2"/>
      <charset val="1"/>
    </font>
    <font>
      <b val="true"/>
      <sz val="10"/>
      <color rgb="FF000000"/>
      <name val="Arial"/>
      <family val="2"/>
      <charset val="1"/>
    </font>
    <font>
      <b val="true"/>
      <sz val="8"/>
      <color rgb="FF000000"/>
      <name val="Arial"/>
      <family val="2"/>
      <charset val="1"/>
    </font>
    <font>
      <sz val="11"/>
      <color rgb="FF008000"/>
      <name val="宋体"/>
      <family val="3"/>
      <charset val="134"/>
    </font>
    <font>
      <sz val="11"/>
      <color rgb="FF800080"/>
      <name val="宋体"/>
      <family val="3"/>
      <charset val="134"/>
    </font>
    <font>
      <sz val="11"/>
      <color theme="1"/>
      <name val="宋体"/>
      <family val="3"/>
      <charset val="134"/>
    </font>
    <font>
      <sz val="11"/>
      <color theme="1"/>
      <name val="宋体"/>
      <family val="2"/>
      <charset val="134"/>
    </font>
    <font>
      <sz val="12"/>
      <name val="宋体"/>
      <family val="3"/>
      <charset val="134"/>
    </font>
    <font>
      <sz val="12"/>
      <name val="Times New Roman"/>
      <family val="1"/>
      <charset val="1"/>
    </font>
    <font>
      <b val="true"/>
      <sz val="15"/>
      <color rgb="FF003366"/>
      <name val="宋体"/>
      <family val="3"/>
      <charset val="134"/>
    </font>
    <font>
      <b val="true"/>
      <sz val="13"/>
      <color rgb="FF003366"/>
      <name val="宋体"/>
      <family val="3"/>
      <charset val="134"/>
    </font>
    <font>
      <b val="true"/>
      <sz val="11"/>
      <color rgb="FF003366"/>
      <name val="宋体"/>
      <family val="3"/>
      <charset val="134"/>
    </font>
    <font>
      <b val="true"/>
      <sz val="18"/>
      <color rgb="FF003366"/>
      <name val="宋体"/>
      <family val="3"/>
      <charset val="134"/>
    </font>
    <font>
      <b val="true"/>
      <sz val="11"/>
      <color rgb="FFFFFFFF"/>
      <name val="宋体"/>
      <family val="3"/>
      <charset val="134"/>
    </font>
    <font>
      <b val="true"/>
      <sz val="11"/>
      <color rgb="FF000000"/>
      <name val="宋体"/>
      <family val="3"/>
      <charset val="134"/>
    </font>
    <font>
      <i val="true"/>
      <sz val="11"/>
      <color rgb="FF808080"/>
      <name val="宋体"/>
      <family val="3"/>
      <charset val="134"/>
    </font>
    <font>
      <sz val="11"/>
      <color rgb="FFFF0000"/>
      <name val="宋体"/>
      <family val="3"/>
      <charset val="134"/>
    </font>
    <font>
      <b val="true"/>
      <sz val="11"/>
      <color rgb="FFFF9900"/>
      <name val="宋体"/>
      <family val="3"/>
      <charset val="134"/>
    </font>
    <font>
      <u val="single"/>
      <sz val="11"/>
      <color rgb="FF0000FF"/>
      <name val="宋体"/>
      <family val="3"/>
      <charset val="134"/>
    </font>
    <font>
      <sz val="11"/>
      <color rgb="FF333399"/>
      <name val="宋体"/>
      <family val="3"/>
      <charset val="134"/>
    </font>
    <font>
      <b val="true"/>
      <sz val="11"/>
      <color rgb="FF333333"/>
      <name val="宋体"/>
      <family val="3"/>
      <charset val="134"/>
    </font>
    <font>
      <sz val="11"/>
      <color rgb="FF993300"/>
      <name val="宋体"/>
      <family val="3"/>
      <charset val="134"/>
    </font>
    <font>
      <sz val="11"/>
      <color rgb="FFFF9900"/>
      <name val="宋体"/>
      <family val="3"/>
      <charset val="134"/>
    </font>
    <font>
      <b val="true"/>
      <sz val="12"/>
      <color rgb="FF0000FF"/>
      <name val="宋体"/>
      <family val="3"/>
      <charset val="134"/>
    </font>
    <font>
      <sz val="12"/>
      <color rgb="FFFF0000"/>
      <name val="宋体"/>
      <family val="3"/>
      <charset val="134"/>
    </font>
    <font>
      <b val="true"/>
      <sz val="16"/>
      <color theme="1"/>
      <name val="宋体"/>
      <family val="3"/>
      <charset val="134"/>
    </font>
    <font>
      <sz val="12"/>
      <color theme="1"/>
      <name val="宋体"/>
      <family val="3"/>
      <charset val="134"/>
    </font>
    <font>
      <sz val="11"/>
      <color rgb="FF0070C0"/>
      <name val="宋体"/>
      <family val="3"/>
      <charset val="134"/>
    </font>
    <font>
      <sz val="10"/>
      <name val="Noto Sans SC"/>
      <family val="2"/>
    </font>
    <font>
      <sz val="10"/>
      <name val="Arial"/>
      <family val="2"/>
    </font>
    <font>
      <sz val="9"/>
      <color rgb="FF000000"/>
      <name val="宋体"/>
      <family val="3"/>
      <charset val="134"/>
    </font>
    <font>
      <sz val="11"/>
      <color theme="1"/>
      <name val="Arial"/>
      <family val="2"/>
      <charset val="1"/>
    </font>
    <font>
      <sz val="9"/>
      <name val="Arial"/>
      <family val="2"/>
      <charset val="1"/>
    </font>
    <font>
      <sz val="9"/>
      <name val="宋体"/>
      <family val="3"/>
      <charset val="134"/>
    </font>
    <font>
      <sz val="9"/>
      <color rgb="FF000000"/>
      <name val="Arial"/>
      <family val="2"/>
      <charset val="1"/>
    </font>
    <font>
      <sz val="11"/>
      <color rgb="FFFF0000"/>
      <name val="Arial"/>
      <family val="2"/>
      <charset val="1"/>
    </font>
    <font>
      <sz val="12"/>
      <color rgb="FF000000"/>
      <name val="宋体"/>
      <family val="0"/>
      <charset val="1"/>
    </font>
    <font>
      <b val="true"/>
      <sz val="11"/>
      <color rgb="FF0070C0"/>
      <name val="Arial"/>
      <family val="2"/>
      <charset val="1"/>
    </font>
    <font>
      <sz val="10"/>
      <name val="Times New Roman"/>
      <family val="1"/>
      <charset val="1"/>
    </font>
    <font>
      <sz val="10.5"/>
      <color rgb="FF000000"/>
      <name val="宋体"/>
      <family val="3"/>
      <charset val="134"/>
    </font>
    <font>
      <sz val="11"/>
      <name val="宋体"/>
      <family val="3"/>
      <charset val="134"/>
    </font>
    <font>
      <sz val="10.5"/>
      <color rgb="FF000000"/>
      <name val="Times New Roman"/>
      <family val="1"/>
      <charset val="1"/>
    </font>
    <font>
      <vertAlign val="subscript"/>
      <sz val="10.5"/>
      <color rgb="FF000000"/>
      <name val="Times New Roman"/>
      <family val="1"/>
      <charset val="1"/>
    </font>
    <font>
      <sz val="10.5"/>
      <color theme="1"/>
      <name val="宋体"/>
      <family val="3"/>
      <charset val="134"/>
    </font>
    <font>
      <sz val="10.5"/>
      <color rgb="FF000000"/>
      <name val="Arial"/>
      <family val="2"/>
      <charset val="1"/>
    </font>
    <font>
      <sz val="10.5"/>
      <color theme="1"/>
      <name val="Times New Roman"/>
      <family val="1"/>
      <charset val="1"/>
    </font>
    <font>
      <b val="true"/>
      <sz val="11"/>
      <color rgb="FF0070C0"/>
      <name val="宋体"/>
      <family val="3"/>
      <charset val="134"/>
    </font>
    <font>
      <sz val="9"/>
      <color rgb="FFFF0000"/>
      <name val="宋体"/>
      <family val="3"/>
      <charset val="134"/>
    </font>
    <font>
      <b val="true"/>
      <sz val="11"/>
      <color rgb="FFFF0000"/>
      <name val="宋体"/>
      <family val="3"/>
      <charset val="134"/>
    </font>
    <font>
      <sz val="9"/>
      <color theme="1"/>
      <name val="宋体"/>
      <family val="3"/>
      <charset val="134"/>
    </font>
    <font>
      <vertAlign val="subscript"/>
      <sz val="12"/>
      <name val="宋体"/>
      <family val="3"/>
      <charset val="134"/>
    </font>
    <font>
      <b val="true"/>
      <sz val="10.5"/>
      <color rgb="FF0070C0"/>
      <name val="Times New Roman"/>
      <family val="1"/>
      <charset val="1"/>
    </font>
    <font>
      <sz val="10.5"/>
      <name val="Times New Roman"/>
      <family val="1"/>
      <charset val="1"/>
    </font>
    <font>
      <b val="true"/>
      <sz val="12"/>
      <color rgb="FF0070C0"/>
      <name val="宋体"/>
      <family val="3"/>
      <charset val="134"/>
    </font>
    <font>
      <sz val="10.5"/>
      <color rgb="FFFF0000"/>
      <name val="Times New Roman"/>
      <family val="1"/>
      <charset val="1"/>
    </font>
    <font>
      <sz val="10.5"/>
      <name val="宋体"/>
      <family val="3"/>
      <charset val="134"/>
    </font>
    <font>
      <sz val="10"/>
      <name val="宋体"/>
      <family val="3"/>
      <charset val="134"/>
    </font>
    <font>
      <b val="true"/>
      <sz val="12"/>
      <color rgb="FFFF0000"/>
      <name val="宋体"/>
      <family val="3"/>
      <charset val="134"/>
    </font>
    <font>
      <sz val="8"/>
      <name val="宋体"/>
      <family val="3"/>
      <charset val="134"/>
    </font>
    <font>
      <sz val="12"/>
      <color rgb="FFFF0000"/>
      <name val="宋体"/>
      <family val="0"/>
      <charset val="134"/>
    </font>
    <font>
      <i val="true"/>
      <sz val="11"/>
      <color rgb="FF000000"/>
      <name val="Arial"/>
      <family val="2"/>
      <charset val="1"/>
    </font>
    <font>
      <b val="true"/>
      <sz val="11"/>
      <color rgb="FF000000"/>
      <name val="Arial"/>
      <family val="2"/>
      <charset val="1"/>
    </font>
    <font>
      <b val="true"/>
      <sz val="11"/>
      <color rgb="FF000000"/>
      <name val="宋体"/>
      <family val="0"/>
      <charset val="134"/>
    </font>
    <font>
      <sz val="11"/>
      <name val="Arial"/>
      <family val="2"/>
      <charset val="1"/>
    </font>
    <font>
      <sz val="12"/>
      <name val="Arial"/>
      <family val="2"/>
      <charset val="1"/>
    </font>
    <font>
      <sz val="11"/>
      <color rgb="FF000000"/>
      <name val="Arial"/>
      <family val="2"/>
      <charset val="1"/>
    </font>
    <font>
      <sz val="11"/>
      <color rgb="FF0000FF"/>
      <name val="Arial"/>
      <family val="2"/>
      <charset val="1"/>
    </font>
    <font>
      <sz val="11"/>
      <color rgb="FF000000"/>
      <name val="宋体"/>
      <family val="0"/>
      <charset val="134"/>
    </font>
    <font>
      <i val="true"/>
      <sz val="11"/>
      <color rgb="FF000000"/>
      <name val="宋体"/>
      <family val="0"/>
      <charset val="134"/>
    </font>
    <font>
      <sz val="11"/>
      <name val="宋体"/>
      <family val="0"/>
      <charset val="134"/>
    </font>
    <font>
      <i val="true"/>
      <sz val="11"/>
      <name val="宋体"/>
      <family val="2"/>
      <charset val="134"/>
    </font>
    <font>
      <i val="true"/>
      <sz val="11"/>
      <name val="Arial"/>
      <family val="2"/>
      <charset val="1"/>
    </font>
    <font>
      <sz val="10"/>
      <name val="宋体"/>
      <family val="0"/>
      <charset val="134"/>
    </font>
    <font>
      <sz val="11"/>
      <color rgb="FFFF0000"/>
      <name val="宋体"/>
      <family val="0"/>
      <charset val="134"/>
    </font>
    <font>
      <vertAlign val="superscript"/>
      <sz val="12"/>
      <name val="宋体"/>
      <family val="3"/>
      <charset val="134"/>
    </font>
    <font>
      <sz val="9"/>
      <color rgb="FF000000"/>
      <name val="Tahoma"/>
      <family val="2"/>
      <charset val="1"/>
    </font>
    <font>
      <sz val="12"/>
      <color rgb="FF0000FF"/>
      <name val="宋体"/>
      <family val="3"/>
      <charset val="134"/>
    </font>
    <font>
      <sz val="12"/>
      <color rgb="FF0000FF"/>
      <name val="Times New Roman"/>
      <family val="1"/>
      <charset val="1"/>
    </font>
    <font>
      <b val="true"/>
      <sz val="11"/>
      <color rgb="FF008000"/>
      <name val="宋体"/>
      <family val="3"/>
      <charset val="134"/>
    </font>
    <font>
      <sz val="12"/>
      <color rgb="FF000000"/>
      <name val="Times New Roman"/>
      <family val="0"/>
    </font>
    <font>
      <b val="true"/>
      <sz val="12"/>
      <color rgb="FF3333FF"/>
      <name val="宋体"/>
      <family val="3"/>
      <charset val="134"/>
    </font>
    <font>
      <b val="true"/>
      <sz val="12"/>
      <color theme="1"/>
      <name val="宋体"/>
      <family val="3"/>
      <charset val="134"/>
    </font>
    <font>
      <b val="true"/>
      <sz val="11"/>
      <color theme="1"/>
      <name val="宋体"/>
      <family val="3"/>
      <charset val="134"/>
    </font>
    <font>
      <b val="true"/>
      <sz val="12"/>
      <name val="宋体"/>
      <family val="3"/>
      <charset val="134"/>
    </font>
    <font>
      <vertAlign val="superscript"/>
      <sz val="12"/>
      <name val="Times New Roman"/>
      <family val="1"/>
      <charset val="1"/>
    </font>
    <font>
      <sz val="11"/>
      <color rgb="FF0000FF"/>
      <name val="宋体"/>
      <family val="3"/>
      <charset val="134"/>
    </font>
    <font>
      <b val="true"/>
      <sz val="11"/>
      <color rgb="FFFF0000"/>
      <name val="宋体"/>
      <family val="0"/>
      <charset val="1"/>
    </font>
    <font>
      <b val="true"/>
      <sz val="11"/>
      <color rgb="FF0000FF"/>
      <name val="宋体"/>
      <family val="3"/>
      <charset val="134"/>
    </font>
    <font>
      <b val="true"/>
      <sz val="10"/>
      <color rgb="FF0000FF"/>
      <name val="宋体"/>
      <family val="3"/>
      <charset val="134"/>
    </font>
    <font>
      <b val="true"/>
      <sz val="11"/>
      <color rgb="FF3333FF"/>
      <name val="宋体"/>
      <family val="3"/>
      <charset val="134"/>
    </font>
    <font>
      <b val="true"/>
      <strike val="true"/>
      <sz val="11"/>
      <color rgb="FF0000FF"/>
      <name val="宋体"/>
      <family val="3"/>
      <charset val="134"/>
    </font>
    <font>
      <vertAlign val="superscript"/>
      <sz val="11"/>
      <name val="宋体"/>
      <family val="3"/>
      <charset val="134"/>
    </font>
    <font>
      <b val="true"/>
      <sz val="12"/>
      <color rgb="FF3366FF"/>
      <name val="宋体"/>
      <family val="3"/>
      <charset val="134"/>
    </font>
    <font>
      <b val="true"/>
      <sz val="12"/>
      <color rgb="FF0000FF"/>
      <name val="Arial"/>
      <family val="2"/>
      <charset val="1"/>
    </font>
    <font>
      <b val="true"/>
      <strike val="true"/>
      <sz val="12"/>
      <color rgb="FF0000FF"/>
      <name val="宋体"/>
      <family val="3"/>
      <charset val="134"/>
    </font>
    <font>
      <sz val="12"/>
      <color rgb="FF0066CC"/>
      <name val="宋体"/>
      <family val="3"/>
      <charset val="134"/>
    </font>
    <font>
      <sz val="11"/>
      <color rgb="FF008000"/>
      <name val="Arial"/>
      <family val="2"/>
      <charset val="1"/>
    </font>
    <font>
      <strike val="true"/>
      <sz val="11"/>
      <color rgb="FF008000"/>
      <name val="宋体"/>
      <family val="3"/>
      <charset val="134"/>
    </font>
    <font>
      <sz val="12"/>
      <color rgb="FFFF00FF"/>
      <name val="宋体"/>
      <family val="3"/>
      <charset val="134"/>
    </font>
    <font>
      <strike val="true"/>
      <sz val="12"/>
      <name val="宋体"/>
      <family val="3"/>
      <charset val="134"/>
    </font>
    <font>
      <sz val="12"/>
      <color rgb="FF008000"/>
      <name val="Arial"/>
      <family val="2"/>
      <charset val="1"/>
    </font>
    <font>
      <strike val="true"/>
      <sz val="12"/>
      <color rgb="FF008000"/>
      <name val="宋体"/>
      <family val="3"/>
      <charset val="134"/>
    </font>
    <font>
      <sz val="12"/>
      <color rgb="FF0000FF"/>
      <name val="Arial"/>
      <family val="2"/>
      <charset val="1"/>
    </font>
    <font>
      <i val="true"/>
      <sz val="12"/>
      <name val="Arial"/>
      <family val="2"/>
      <charset val="1"/>
    </font>
    <font>
      <b val="true"/>
      <sz val="11"/>
      <color rgb="FF3366FF"/>
      <name val="Arial"/>
      <family val="2"/>
      <charset val="1"/>
    </font>
    <font>
      <sz val="12"/>
      <name val="Symbol"/>
      <family val="1"/>
      <charset val="2"/>
    </font>
    <font>
      <b val="true"/>
      <sz val="12"/>
      <color rgb="FF0066CC"/>
      <name val="宋体"/>
      <family val="3"/>
      <charset val="134"/>
    </font>
    <font>
      <b val="true"/>
      <strike val="true"/>
      <sz val="12"/>
      <color rgb="FF0000FF"/>
      <name val="Arial"/>
      <family val="2"/>
      <charset val="1"/>
    </font>
    <font>
      <strike val="true"/>
      <sz val="12"/>
      <name val="Arial"/>
      <family val="2"/>
      <charset val="1"/>
    </font>
    <font>
      <sz val="10"/>
      <color rgb="FF000000"/>
      <name val="宋体"/>
      <family val="3"/>
      <charset val="134"/>
    </font>
    <font>
      <b val="true"/>
      <sz val="12"/>
      <color rgb="FF3333FF"/>
      <name val="Arial"/>
      <family val="2"/>
      <charset val="1"/>
    </font>
    <font>
      <sz val="11"/>
      <color rgb="FF3333FF"/>
      <name val="Arial"/>
      <family val="2"/>
      <charset val="1"/>
    </font>
    <font>
      <sz val="12"/>
      <color rgb="FF3333FF"/>
      <name val="Arial"/>
      <family val="2"/>
      <charset val="1"/>
    </font>
    <font>
      <sz val="12"/>
      <color rgb="FF339966"/>
      <name val="Arial"/>
      <family val="2"/>
      <charset val="1"/>
    </font>
    <font>
      <sz val="12"/>
      <color rgb="FFFF0000"/>
      <name val="Arial"/>
      <family val="2"/>
      <charset val="1"/>
    </font>
    <font>
      <sz val="12"/>
      <color rgb="FF3333FF"/>
      <name val="宋体"/>
      <family val="3"/>
      <charset val="134"/>
    </font>
    <font>
      <b val="true"/>
      <sz val="11"/>
      <color rgb="FF3333FF"/>
      <name val="Arial"/>
      <family val="2"/>
      <charset val="1"/>
    </font>
    <font>
      <sz val="12"/>
      <color rgb="FF0066CC"/>
      <name val="Arial"/>
      <family val="2"/>
      <charset val="1"/>
    </font>
    <font>
      <b val="true"/>
      <sz val="12"/>
      <color rgb="FFFF0000"/>
      <name val="Arial"/>
      <family val="2"/>
      <charset val="1"/>
    </font>
    <font>
      <sz val="14"/>
      <name val="宋体"/>
      <family val="3"/>
      <charset val="134"/>
    </font>
    <font>
      <sz val="14"/>
      <color theme="1"/>
      <name val="宋体"/>
      <family val="3"/>
      <charset val="134"/>
    </font>
    <font>
      <b val="true"/>
      <sz val="14"/>
      <color rgb="FF0000FF"/>
      <name val="宋体"/>
      <family val="3"/>
      <charset val="134"/>
    </font>
    <font>
      <b val="true"/>
      <sz val="14"/>
      <color rgb="FF000000"/>
      <name val="宋体"/>
      <family val="3"/>
      <charset val="134"/>
    </font>
    <font>
      <b val="true"/>
      <strike val="true"/>
      <sz val="14"/>
      <color theme="1"/>
      <name val="宋体"/>
      <family val="3"/>
      <charset val="134"/>
    </font>
    <font>
      <b val="true"/>
      <sz val="14"/>
      <name val="宋体"/>
      <family val="3"/>
      <charset val="134"/>
    </font>
    <font>
      <b val="true"/>
      <sz val="14"/>
      <color rgb="FFFF0000"/>
      <name val="宋体"/>
      <family val="3"/>
      <charset val="134"/>
    </font>
    <font>
      <b val="true"/>
      <strike val="true"/>
      <sz val="14"/>
      <color rgb="FF3333FF"/>
      <name val="宋体"/>
      <family val="3"/>
      <charset val="134"/>
    </font>
    <font>
      <sz val="14"/>
      <color rgb="FF008000"/>
      <name val="宋体"/>
      <family val="3"/>
      <charset val="134"/>
    </font>
    <font>
      <strike val="true"/>
      <sz val="14"/>
      <color theme="1"/>
      <name val="宋体"/>
      <family val="3"/>
      <charset val="134"/>
    </font>
    <font>
      <sz val="14"/>
      <color rgb="FFFF0000"/>
      <name val="宋体"/>
      <family val="3"/>
      <charset val="134"/>
    </font>
    <font>
      <sz val="14"/>
      <color rgb="FF0000FF"/>
      <name val="宋体"/>
      <family val="3"/>
      <charset val="134"/>
    </font>
    <font>
      <b val="true"/>
      <sz val="14"/>
      <color rgb="FF3333FF"/>
      <name val="宋体"/>
      <family val="3"/>
      <charset val="134"/>
    </font>
    <font>
      <vertAlign val="superscript"/>
      <sz val="14"/>
      <color rgb="FFFF0000"/>
      <name val="宋体"/>
      <family val="3"/>
      <charset val="134"/>
    </font>
    <font>
      <b val="true"/>
      <sz val="14"/>
      <color rgb="FF00B050"/>
      <name val="宋体"/>
      <family val="3"/>
      <charset val="134"/>
    </font>
    <font>
      <strike val="true"/>
      <sz val="14"/>
      <name val="宋体"/>
      <family val="3"/>
      <charset val="134"/>
    </font>
    <font>
      <sz val="16"/>
      <color rgb="FF000000"/>
      <name val="宋体"/>
      <family val="3"/>
      <charset val="134"/>
    </font>
    <font>
      <sz val="12"/>
      <color rgb="FF000000"/>
      <name val="宋体"/>
      <family val="3"/>
      <charset val="134"/>
    </font>
    <font>
      <b val="true"/>
      <sz val="12"/>
      <color rgb="FF00B050"/>
      <name val="宋体"/>
      <family val="3"/>
      <charset val="134"/>
    </font>
    <font>
      <b val="true"/>
      <sz val="12"/>
      <color rgb="FF0033CC"/>
      <name val="宋体"/>
      <family val="3"/>
      <charset val="134"/>
    </font>
    <font>
      <b val="true"/>
      <sz val="9"/>
      <name val="Arial"/>
      <family val="2"/>
      <charset val="1"/>
    </font>
    <font>
      <sz val="10"/>
      <color rgb="FF008000"/>
      <name val="宋体"/>
      <family val="3"/>
      <charset val="134"/>
    </font>
    <font>
      <b val="true"/>
      <sz val="9"/>
      <color rgb="FF0000FF"/>
      <name val="宋体"/>
      <family val="3"/>
      <charset val="134"/>
    </font>
    <font>
      <vertAlign val="superscript"/>
      <sz val="10.5"/>
      <color rgb="FF000000"/>
      <name val="Arial"/>
      <family val="2"/>
      <charset val="1"/>
    </font>
    <font>
      <b val="true"/>
      <sz val="10.5"/>
      <color rgb="FF3333FF"/>
      <name val="Arial"/>
      <family val="2"/>
      <charset val="1"/>
    </font>
    <font>
      <b val="true"/>
      <sz val="10.5"/>
      <color rgb="FF3333FF"/>
      <name val="宋体"/>
      <family val="3"/>
      <charset val="134"/>
    </font>
    <font>
      <b val="true"/>
      <sz val="10.5"/>
      <color rgb="FF0000FF"/>
      <name val="Arial"/>
      <family val="2"/>
      <charset val="1"/>
    </font>
    <font>
      <sz val="10.5"/>
      <color rgb="FF000000"/>
      <name val="宋体"/>
      <family val="0"/>
      <charset val="134"/>
    </font>
    <font>
      <sz val="12"/>
      <color rgb="FF993300"/>
      <name val="宋体"/>
      <family val="3"/>
      <charset val="134"/>
    </font>
    <font>
      <sz val="12"/>
      <color rgb="FF993366"/>
      <name val="宋体"/>
      <family val="3"/>
      <charset val="134"/>
    </font>
    <font>
      <sz val="10.5"/>
      <color rgb="FFFF0000"/>
      <name val="Arial"/>
      <family val="2"/>
      <charset val="1"/>
    </font>
    <font>
      <b val="true"/>
      <sz val="10.5"/>
      <color rgb="FF0000FF"/>
      <name val="宋体"/>
      <family val="3"/>
      <charset val="134"/>
    </font>
    <font>
      <vertAlign val="superscript"/>
      <sz val="12"/>
      <color rgb="FF000000"/>
      <name val="宋体"/>
      <family val="3"/>
      <charset val="134"/>
    </font>
    <font>
      <sz val="12"/>
      <name val="宋体="/>
      <family val="1"/>
      <charset val="134"/>
    </font>
  </fonts>
  <fills count="42">
    <fill>
      <patternFill patternType="none"/>
    </fill>
    <fill>
      <patternFill patternType="gray125"/>
    </fill>
    <fill>
      <patternFill patternType="solid">
        <fgColor rgb="FFCCCCFF"/>
        <bgColor rgb="FFC6D9F1"/>
      </patternFill>
    </fill>
    <fill>
      <patternFill patternType="solid">
        <fgColor rgb="FFFF99CC"/>
        <bgColor rgb="FFFF8080"/>
      </patternFill>
    </fill>
    <fill>
      <patternFill patternType="solid">
        <fgColor rgb="FFCCFFCC"/>
        <bgColor rgb="FFCCFFFF"/>
      </patternFill>
    </fill>
    <fill>
      <patternFill patternType="solid">
        <fgColor rgb="FFCC99FF"/>
        <bgColor rgb="FFFF99CC"/>
      </patternFill>
    </fill>
    <fill>
      <patternFill patternType="solid">
        <fgColor rgb="FFCCFFFF"/>
        <bgColor rgb="FFCCFFCC"/>
      </patternFill>
    </fill>
    <fill>
      <patternFill patternType="solid">
        <fgColor rgb="FFFFCC99"/>
        <bgColor rgb="FFFFC7CE"/>
      </patternFill>
    </fill>
    <fill>
      <patternFill patternType="solid">
        <fgColor rgb="FF99CCFF"/>
        <bgColor rgb="FFB9CDE5"/>
      </patternFill>
    </fill>
    <fill>
      <patternFill patternType="solid">
        <fgColor rgb="FFFF8080"/>
        <bgColor rgb="FFFF99CC"/>
      </patternFill>
    </fill>
    <fill>
      <patternFill patternType="solid">
        <fgColor rgb="FF00FF00"/>
        <bgColor rgb="FF00B050"/>
      </patternFill>
    </fill>
    <fill>
      <patternFill patternType="solid">
        <fgColor rgb="FFFFCC00"/>
        <bgColor rgb="FFFFC000"/>
      </patternFill>
    </fill>
    <fill>
      <patternFill patternType="solid">
        <fgColor rgb="FF0066CC"/>
        <bgColor rgb="FF0070C0"/>
      </patternFill>
    </fill>
    <fill>
      <patternFill patternType="solid">
        <fgColor rgb="FF800080"/>
        <bgColor rgb="FF7030A0"/>
      </patternFill>
    </fill>
    <fill>
      <patternFill patternType="solid">
        <fgColor rgb="FF33CCCC"/>
        <bgColor rgb="FF00B0F0"/>
      </patternFill>
    </fill>
    <fill>
      <patternFill patternType="solid">
        <fgColor rgb="FFFF9900"/>
        <bgColor rgb="FFFFC000"/>
      </patternFill>
    </fill>
    <fill>
      <patternFill patternType="solid">
        <fgColor rgb="FF339966"/>
        <bgColor rgb="FF00B050"/>
      </patternFill>
    </fill>
    <fill>
      <patternFill patternType="solid">
        <fgColor rgb="FF993366"/>
        <bgColor rgb="FF7030A0"/>
      </patternFill>
    </fill>
    <fill>
      <patternFill patternType="solid">
        <fgColor rgb="FF993300"/>
        <bgColor rgb="FF993366"/>
      </patternFill>
    </fill>
    <fill>
      <patternFill patternType="solid">
        <fgColor rgb="FF333399"/>
        <bgColor rgb="FF0033CC"/>
      </patternFill>
    </fill>
    <fill>
      <patternFill patternType="solid">
        <fgColor rgb="FFFF0000"/>
        <bgColor rgb="FFF11598"/>
      </patternFill>
    </fill>
    <fill>
      <patternFill patternType="solid">
        <fgColor rgb="FFFF6600"/>
        <bgColor rgb="FFE46C0A"/>
      </patternFill>
    </fill>
    <fill>
      <patternFill patternType="solid">
        <fgColor rgb="FF969696"/>
        <bgColor rgb="FF808080"/>
      </patternFill>
    </fill>
    <fill>
      <patternFill patternType="solid">
        <fgColor rgb="FFFFFFCC"/>
        <bgColor rgb="FFFFFFFF"/>
      </patternFill>
    </fill>
    <fill>
      <patternFill patternType="solid">
        <fgColor rgb="FFC0C0C0"/>
        <bgColor rgb="FFBFBFBF"/>
      </patternFill>
    </fill>
    <fill>
      <patternFill patternType="solid">
        <fgColor rgb="FFFFFF99"/>
        <bgColor rgb="FFFFFFCC"/>
      </patternFill>
    </fill>
    <fill>
      <patternFill patternType="solid">
        <fgColor rgb="FF92D050"/>
        <bgColor rgb="FFBFBFBF"/>
      </patternFill>
    </fill>
    <fill>
      <patternFill patternType="solid">
        <fgColor rgb="FFFFFF00"/>
        <bgColor rgb="FFFFCC00"/>
      </patternFill>
    </fill>
    <fill>
      <patternFill patternType="solid">
        <fgColor rgb="FF00B0F0"/>
        <bgColor rgb="FF33CCCC"/>
      </patternFill>
    </fill>
    <fill>
      <patternFill patternType="solid">
        <fgColor theme="1"/>
        <bgColor rgb="FF003300"/>
      </patternFill>
    </fill>
    <fill>
      <patternFill patternType="solid">
        <fgColor rgb="FFFF3399"/>
        <bgColor rgb="FFF11598"/>
      </patternFill>
    </fill>
    <fill>
      <patternFill patternType="solid">
        <fgColor rgb="FF00B050"/>
        <bgColor rgb="FF339966"/>
      </patternFill>
    </fill>
    <fill>
      <patternFill patternType="solid">
        <fgColor rgb="FFFFC000"/>
        <bgColor rgb="FFFFCC00"/>
      </patternFill>
    </fill>
    <fill>
      <patternFill patternType="solid">
        <fgColor theme="3" tint="0.7999"/>
        <bgColor rgb="FFCCCCFF"/>
      </patternFill>
    </fill>
    <fill>
      <patternFill patternType="solid">
        <fgColor rgb="FFFF66CC"/>
        <bgColor rgb="FFFF8080"/>
      </patternFill>
    </fill>
    <fill>
      <patternFill patternType="solid">
        <fgColor theme="0"/>
        <bgColor rgb="FFFFFFCC"/>
      </patternFill>
    </fill>
    <fill>
      <patternFill patternType="solid">
        <fgColor theme="9" tint="-0.25"/>
        <bgColor rgb="FFFF6600"/>
      </patternFill>
    </fill>
    <fill>
      <patternFill patternType="solid">
        <fgColor rgb="FF00FFFF"/>
        <bgColor rgb="FF33CCCC"/>
      </patternFill>
    </fill>
    <fill>
      <patternFill patternType="solid">
        <fgColor rgb="FF7030A0"/>
        <bgColor rgb="FF993366"/>
      </patternFill>
    </fill>
    <fill>
      <patternFill patternType="solid">
        <fgColor rgb="FFF11598"/>
        <bgColor rgb="FFFF3399"/>
      </patternFill>
    </fill>
    <fill>
      <patternFill patternType="solid">
        <fgColor theme="2"/>
        <bgColor rgb="FFFFFFCC"/>
      </patternFill>
    </fill>
    <fill>
      <patternFill patternType="solid">
        <fgColor theme="4" tint="0.5999"/>
        <bgColor rgb="FFC6D9F1"/>
      </patternFill>
    </fill>
  </fills>
  <borders count="17">
    <border diagonalUp="false" diagonalDown="false">
      <left/>
      <right/>
      <top/>
      <bottom/>
      <diagonal/>
    </border>
    <border diagonalUp="false" diagonalDown="false">
      <left/>
      <right/>
      <top/>
      <bottom style="thick">
        <color rgb="FF333399"/>
      </bottom>
      <diagonal/>
    </border>
    <border diagonalUp="false" diagonalDown="false">
      <left/>
      <right/>
      <top/>
      <bottom style="thick">
        <color rgb="FFC0C0C0"/>
      </bottom>
      <diagonal/>
    </border>
    <border diagonalUp="false" diagonalDown="false">
      <left/>
      <right/>
      <top/>
      <bottom style="medium">
        <color rgb="FF0066CC"/>
      </bottom>
      <diagonal/>
    </border>
    <border diagonalUp="false" diagonalDown="false">
      <left style="double">
        <color rgb="FF333333"/>
      </left>
      <right style="double">
        <color rgb="FF333333"/>
      </right>
      <top style="double">
        <color rgb="FF333333"/>
      </top>
      <bottom style="double">
        <color rgb="FF333333"/>
      </bottom>
      <diagonal/>
    </border>
    <border diagonalUp="false" diagonalDown="false">
      <left/>
      <right/>
      <top style="thin">
        <color rgb="FF333399"/>
      </top>
      <bottom style="double">
        <color rgb="FF333399"/>
      </bottom>
      <diagonal/>
    </border>
    <border diagonalUp="false" diagonalDown="false">
      <left style="thin">
        <color rgb="FFC0C0C0"/>
      </left>
      <right style="thin">
        <color rgb="FFC0C0C0"/>
      </right>
      <top style="thin">
        <color rgb="FFC0C0C0"/>
      </top>
      <bottom style="thin">
        <color rgb="FFC0C0C0"/>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thin">
        <color rgb="FF333333"/>
      </left>
      <right style="thin">
        <color rgb="FF333333"/>
      </right>
      <top style="thin">
        <color rgb="FF333333"/>
      </top>
      <bottom style="thin">
        <color rgb="FF333333"/>
      </bottom>
      <diagonal/>
    </border>
    <border diagonalUp="false" diagonalDown="false">
      <left/>
      <right/>
      <top/>
      <bottom style="double">
        <color rgb="FFFF9900"/>
      </bottom>
      <diagonal/>
    </border>
    <border diagonalUp="false" diagonalDown="false">
      <left style="thin"/>
      <right style="thin"/>
      <top style="thin"/>
      <bottom style="thin"/>
      <diagonal/>
    </border>
    <border diagonalUp="false" diagonalDown="false">
      <left/>
      <right/>
      <top style="thin"/>
      <bottom/>
      <diagonal/>
    </border>
    <border diagonalUp="false" diagonalDown="false">
      <left/>
      <right/>
      <top/>
      <bottom style="thin"/>
      <diagonal/>
    </border>
    <border diagonalUp="false" diagonalDown="false">
      <left/>
      <right style="thin"/>
      <top/>
      <bottom/>
      <diagonal/>
    </border>
    <border diagonalUp="false" diagonalDown="false">
      <left style="thin"/>
      <right style="thin"/>
      <top/>
      <bottom/>
      <diagonal/>
    </border>
    <border diagonalUp="false" diagonalDown="false">
      <left style="thin"/>
      <right/>
      <top/>
      <bottom/>
      <diagonal/>
    </border>
    <border diagonalUp="false" diagonalDown="false">
      <left/>
      <right style="thin"/>
      <top style="thin"/>
      <bottom style="thin"/>
      <diagonal/>
    </border>
  </borders>
  <cellStyleXfs count="202">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7" fontId="0" fillId="0" borderId="0" applyFont="true" applyBorder="false" applyAlignment="true" applyProtection="false">
      <alignment horizontal="general" vertical="center" textRotation="0" wrapText="false" indent="0" shrinkToFit="false"/>
    </xf>
    <xf numFmtId="164" fontId="25" fillId="0" borderId="0" applyFont="true" applyBorder="false" applyAlignment="true" applyProtection="false">
      <alignment horizontal="general" vertical="center" textRotation="0" wrapText="false" indent="0" shrinkToFit="false"/>
    </xf>
    <xf numFmtId="164" fontId="4" fillId="2" borderId="0" applyFont="true" applyBorder="false" applyAlignment="true" applyProtection="false">
      <alignment horizontal="general" vertical="center" textRotation="0" wrapText="false" indent="0" shrinkToFit="false"/>
    </xf>
    <xf numFmtId="164" fontId="4" fillId="3" borderId="0" applyFont="true" applyBorder="false" applyAlignment="true" applyProtection="false">
      <alignment horizontal="general" vertical="center" textRotation="0" wrapText="false" indent="0" shrinkToFit="false"/>
    </xf>
    <xf numFmtId="164" fontId="4" fillId="4" borderId="0" applyFont="true" applyBorder="false" applyAlignment="true" applyProtection="false">
      <alignment horizontal="general" vertical="center" textRotation="0" wrapText="false" indent="0" shrinkToFit="false"/>
    </xf>
    <xf numFmtId="164" fontId="4" fillId="5" borderId="0" applyFont="true" applyBorder="false" applyAlignment="true" applyProtection="false">
      <alignment horizontal="general" vertical="center" textRotation="0" wrapText="false" indent="0" shrinkToFit="false"/>
    </xf>
    <xf numFmtId="164" fontId="4" fillId="6" borderId="0" applyFont="true" applyBorder="false" applyAlignment="true" applyProtection="false">
      <alignment horizontal="general" vertical="center" textRotation="0" wrapText="false" indent="0" shrinkToFit="false"/>
    </xf>
    <xf numFmtId="164" fontId="4" fillId="7" borderId="0" applyFont="true" applyBorder="false" applyAlignment="true" applyProtection="false">
      <alignment horizontal="general" vertical="center" textRotation="0" wrapText="false" indent="0" shrinkToFit="false"/>
    </xf>
    <xf numFmtId="164" fontId="4" fillId="8" borderId="0" applyFont="true" applyBorder="false" applyAlignment="true" applyProtection="false">
      <alignment horizontal="general" vertical="center" textRotation="0" wrapText="false" indent="0" shrinkToFit="false"/>
    </xf>
    <xf numFmtId="164" fontId="4" fillId="9" borderId="0" applyFont="true" applyBorder="false" applyAlignment="true" applyProtection="false">
      <alignment horizontal="general" vertical="center" textRotation="0" wrapText="false" indent="0" shrinkToFit="false"/>
    </xf>
    <xf numFmtId="164" fontId="4" fillId="10" borderId="0" applyFont="true" applyBorder="false" applyAlignment="true" applyProtection="false">
      <alignment horizontal="general" vertical="center" textRotation="0" wrapText="false" indent="0" shrinkToFit="false"/>
    </xf>
    <xf numFmtId="164" fontId="4" fillId="5" borderId="0" applyFont="true" applyBorder="false" applyAlignment="true" applyProtection="false">
      <alignment horizontal="general" vertical="center" textRotation="0" wrapText="false" indent="0" shrinkToFit="false"/>
    </xf>
    <xf numFmtId="164" fontId="4" fillId="8" borderId="0" applyFont="true" applyBorder="false" applyAlignment="true" applyProtection="false">
      <alignment horizontal="general" vertical="center" textRotation="0" wrapText="false" indent="0" shrinkToFit="false"/>
    </xf>
    <xf numFmtId="164" fontId="4" fillId="11" borderId="0" applyFont="true" applyBorder="false" applyAlignment="true" applyProtection="false">
      <alignment horizontal="general" vertical="center" textRotation="0" wrapText="false" indent="0" shrinkToFit="false"/>
    </xf>
    <xf numFmtId="164" fontId="5" fillId="12" borderId="0" applyFont="true" applyBorder="false" applyAlignment="true" applyProtection="false">
      <alignment horizontal="general" vertical="center" textRotation="0" wrapText="false" indent="0" shrinkToFit="false"/>
    </xf>
    <xf numFmtId="164" fontId="5" fillId="9" borderId="0" applyFont="true" applyBorder="false" applyAlignment="true" applyProtection="false">
      <alignment horizontal="general" vertical="center" textRotation="0" wrapText="false" indent="0" shrinkToFit="false"/>
    </xf>
    <xf numFmtId="164" fontId="5" fillId="10" borderId="0" applyFont="true" applyBorder="false" applyAlignment="true" applyProtection="false">
      <alignment horizontal="general" vertical="center" textRotation="0" wrapText="false" indent="0" shrinkToFit="false"/>
    </xf>
    <xf numFmtId="164" fontId="5" fillId="13" borderId="0" applyFont="true" applyBorder="false" applyAlignment="true" applyProtection="false">
      <alignment horizontal="general" vertical="center" textRotation="0" wrapText="false" indent="0" shrinkToFit="false"/>
    </xf>
    <xf numFmtId="164" fontId="5" fillId="14" borderId="0" applyFont="true" applyBorder="false" applyAlignment="true" applyProtection="false">
      <alignment horizontal="general" vertical="center" textRotation="0" wrapText="false" indent="0" shrinkToFit="false"/>
    </xf>
    <xf numFmtId="164" fontId="5" fillId="15" borderId="0" applyFont="true" applyBorder="false" applyAlignment="true" applyProtection="false">
      <alignment horizontal="general" vertical="center" textRotation="0" wrapText="false" indent="0" shrinkToFit="false"/>
    </xf>
    <xf numFmtId="164" fontId="6"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5" fontId="7" fillId="16" borderId="0" applyFont="true" applyBorder="true" applyAlignment="true" applyProtection="true">
      <alignment horizontal="center" vertical="bottom" textRotation="0" wrapText="false" indent="0" shrinkToFit="false"/>
      <protection locked="true" hidden="false"/>
    </xf>
    <xf numFmtId="165" fontId="8" fillId="17" borderId="0" applyFont="true" applyBorder="true" applyAlignment="true" applyProtection="true">
      <alignment horizontal="center" vertical="bottom" textRotation="0" wrapText="false" indent="0" shrinkToFit="false"/>
      <protection locked="true" hidden="false"/>
    </xf>
    <xf numFmtId="165" fontId="9" fillId="18" borderId="0" applyFont="true" applyBorder="true" applyAlignment="true" applyProtection="true">
      <alignment horizontal="center" vertical="bottom" textRotation="0" wrapText="false" indent="0" shrinkToFit="false"/>
      <protection locked="true" hidden="false"/>
    </xf>
    <xf numFmtId="165" fontId="8" fillId="18" borderId="0" applyFont="true" applyBorder="true" applyAlignment="true" applyProtection="true">
      <alignment horizontal="center" vertical="bottom" textRotation="0" wrapText="false" indent="0" shrinkToFit="false"/>
      <protection locked="true" hidden="false"/>
    </xf>
    <xf numFmtId="165" fontId="7" fillId="18" borderId="0" applyFont="true" applyBorder="true" applyAlignment="true" applyProtection="true">
      <alignment horizontal="center" vertical="bottom" textRotation="0" wrapText="false" indent="0" shrinkToFit="false"/>
      <protection locked="true" hidden="false"/>
    </xf>
    <xf numFmtId="164" fontId="10" fillId="4" borderId="0" applyFont="true" applyBorder="false" applyAlignment="true" applyProtection="false">
      <alignment horizontal="general" vertical="center" textRotation="0" wrapText="false" indent="0" shrinkToFit="false"/>
    </xf>
    <xf numFmtId="164" fontId="10" fillId="4" borderId="0" applyFont="true" applyBorder="false" applyAlignment="true" applyProtection="false">
      <alignment horizontal="general" vertical="center" textRotation="0" wrapText="false" indent="0" shrinkToFit="false"/>
    </xf>
    <xf numFmtId="164" fontId="10" fillId="4" borderId="0" applyFont="true" applyBorder="false" applyAlignment="true" applyProtection="false">
      <alignment horizontal="general" vertical="center" textRotation="0" wrapText="false" indent="0" shrinkToFit="false"/>
    </xf>
    <xf numFmtId="164" fontId="10" fillId="4" borderId="0" applyFont="true" applyBorder="false" applyAlignment="true" applyProtection="false">
      <alignment horizontal="general" vertical="center" textRotation="0" wrapText="false" indent="0" shrinkToFit="false"/>
    </xf>
    <xf numFmtId="164" fontId="10" fillId="4" borderId="0" applyFont="true" applyBorder="false" applyAlignment="true" applyProtection="false">
      <alignment horizontal="general" vertical="center" textRotation="0" wrapText="false" indent="0" shrinkToFit="false"/>
    </xf>
    <xf numFmtId="164" fontId="10" fillId="4" borderId="0" applyFont="true" applyBorder="false" applyAlignment="true" applyProtection="false">
      <alignment horizontal="general" vertical="center" textRotation="0" wrapText="false" indent="0" shrinkToFit="false"/>
    </xf>
    <xf numFmtId="164" fontId="10" fillId="4" borderId="0" applyFont="true" applyBorder="false" applyAlignment="true" applyProtection="false">
      <alignment horizontal="general" vertical="center" textRotation="0" wrapText="false" indent="0" shrinkToFit="false"/>
    </xf>
    <xf numFmtId="164" fontId="10" fillId="4" borderId="0" applyFont="true" applyBorder="false" applyAlignment="true" applyProtection="false">
      <alignment horizontal="general" vertical="center" textRotation="0" wrapText="false" indent="0" shrinkToFit="false"/>
    </xf>
    <xf numFmtId="164" fontId="10" fillId="4" borderId="0" applyFont="true" applyBorder="false" applyAlignment="true" applyProtection="false">
      <alignment horizontal="general" vertical="center" textRotation="0" wrapText="false" indent="0" shrinkToFit="false"/>
    </xf>
    <xf numFmtId="164" fontId="11" fillId="3" borderId="0" applyFont="true" applyBorder="false" applyAlignment="true" applyProtection="false">
      <alignment horizontal="general" vertical="center" textRotation="0" wrapText="false" indent="0" shrinkToFit="false"/>
    </xf>
    <xf numFmtId="164" fontId="11" fillId="3" borderId="0" applyFont="true" applyBorder="false" applyAlignment="true" applyProtection="false">
      <alignment horizontal="general" vertical="center" textRotation="0" wrapText="false" indent="0" shrinkToFit="false"/>
    </xf>
    <xf numFmtId="164" fontId="11" fillId="3" borderId="0" applyFont="true" applyBorder="false" applyAlignment="true" applyProtection="false">
      <alignment horizontal="general" vertical="center" textRotation="0" wrapText="false" indent="0" shrinkToFit="false"/>
    </xf>
    <xf numFmtId="164" fontId="11" fillId="3" borderId="0" applyFont="true" applyBorder="false" applyAlignment="true" applyProtection="false">
      <alignment horizontal="general" vertical="center" textRotation="0" wrapText="false" indent="0" shrinkToFit="false"/>
    </xf>
    <xf numFmtId="164" fontId="11" fillId="3" borderId="0" applyFont="true" applyBorder="false" applyAlignment="true" applyProtection="false">
      <alignment horizontal="general" vertical="center" textRotation="0" wrapText="false" indent="0" shrinkToFit="false"/>
    </xf>
    <xf numFmtId="164" fontId="11" fillId="3" borderId="0" applyFont="true" applyBorder="false" applyAlignment="true" applyProtection="false">
      <alignment horizontal="general" vertical="center" textRotation="0" wrapText="false" indent="0" shrinkToFit="false"/>
    </xf>
    <xf numFmtId="164" fontId="11" fillId="3" borderId="0" applyFont="true" applyBorder="false" applyAlignment="true" applyProtection="false">
      <alignment horizontal="general" vertical="center" textRotation="0" wrapText="false" indent="0" shrinkToFit="false"/>
    </xf>
    <xf numFmtId="164" fontId="11" fillId="3" borderId="0" applyFont="true" applyBorder="false" applyAlignment="true" applyProtection="false">
      <alignment horizontal="general" vertical="center" textRotation="0" wrapText="false" indent="0" shrinkToFit="false"/>
    </xf>
    <xf numFmtId="164" fontId="11" fillId="3" borderId="0" applyFont="true" applyBorder="false" applyAlignment="true" applyProtection="false">
      <alignment horizontal="general" vertical="center" textRotation="0" wrapText="false" indent="0" shrinkToFit="false"/>
    </xf>
    <xf numFmtId="164" fontId="11" fillId="3" borderId="0" applyFont="true" applyBorder="false" applyAlignment="true" applyProtection="false">
      <alignment horizontal="general" vertical="center" textRotation="0" wrapText="false" indent="0" shrinkToFit="false"/>
    </xf>
    <xf numFmtId="164" fontId="11" fillId="3" borderId="0" applyFont="true" applyBorder="false" applyAlignment="true" applyProtection="false">
      <alignment horizontal="general" vertical="center" textRotation="0" wrapText="false" indent="0" shrinkToFit="false"/>
    </xf>
    <xf numFmtId="164" fontId="12" fillId="0" borderId="0" applyFont="true" applyBorder="true" applyAlignment="true" applyProtection="true">
      <alignment horizontal="general" vertical="center" textRotation="0" wrapText="false" indent="0" shrinkToFit="false"/>
      <protection locked="true" hidden="false"/>
    </xf>
    <xf numFmtId="164" fontId="12"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2" fillId="0" borderId="0" applyFont="true" applyBorder="true" applyAlignment="true" applyProtection="true">
      <alignment horizontal="general" vertical="center" textRotation="0" wrapText="false" indent="0" shrinkToFit="false"/>
      <protection locked="true" hidden="false"/>
    </xf>
    <xf numFmtId="164" fontId="12" fillId="0" borderId="0" applyFont="true" applyBorder="true" applyAlignment="true" applyProtection="true">
      <alignment horizontal="general" vertical="center" textRotation="0" wrapText="false" indent="0" shrinkToFit="false"/>
      <protection locked="true" hidden="false"/>
    </xf>
    <xf numFmtId="164" fontId="12"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4" fillId="0" borderId="0" applyFont="true" applyBorder="true" applyAlignment="true" applyProtection="true">
      <alignment horizontal="general" vertical="center" textRotation="0" wrapText="false" indent="0" shrinkToFit="false"/>
      <protection locked="true" hidden="false"/>
    </xf>
    <xf numFmtId="164" fontId="15" fillId="0" borderId="0" applyFont="true" applyBorder="true" applyAlignment="true" applyProtection="true">
      <alignment horizontal="general" vertical="bottom" textRotation="0" wrapText="false" indent="0" shrinkToFit="false"/>
      <protection locked="true" hidden="false"/>
    </xf>
    <xf numFmtId="164" fontId="14" fillId="0" borderId="0" applyFont="true" applyBorder="true" applyAlignment="true" applyProtection="true">
      <alignment horizontal="general" vertical="center" textRotation="0" wrapText="false" indent="0" shrinkToFit="false"/>
      <protection locked="true" hidden="false"/>
    </xf>
    <xf numFmtId="164" fontId="14" fillId="0" borderId="0" applyFont="true" applyBorder="true" applyAlignment="true" applyProtection="true">
      <alignment horizontal="general" vertical="center" textRotation="0" wrapText="false" indent="0" shrinkToFit="false"/>
      <protection locked="true" hidden="false"/>
    </xf>
    <xf numFmtId="164" fontId="14" fillId="0" borderId="0" applyFont="true" applyBorder="true" applyAlignment="true" applyProtection="true">
      <alignment horizontal="general" vertical="center" textRotation="0" wrapText="false" indent="0" shrinkToFit="false"/>
      <protection locked="true" hidden="false"/>
    </xf>
    <xf numFmtId="164" fontId="14" fillId="0" borderId="0" applyFont="true" applyBorder="true" applyAlignment="true" applyProtection="true">
      <alignment horizontal="general" vertical="center" textRotation="0" wrapText="false" indent="0" shrinkToFit="false"/>
      <protection locked="true" hidden="false"/>
    </xf>
    <xf numFmtId="164" fontId="14" fillId="0" borderId="0" applyFont="true" applyBorder="true" applyAlignment="true" applyProtection="true">
      <alignment horizontal="general" vertical="center" textRotation="0" wrapText="false" indent="0" shrinkToFit="false"/>
      <protection locked="true" hidden="false"/>
    </xf>
    <xf numFmtId="164" fontId="14" fillId="0" borderId="0" applyFont="true" applyBorder="true" applyAlignment="true" applyProtection="true">
      <alignment horizontal="general" vertical="center" textRotation="0" wrapText="false" indent="0" shrinkToFit="false"/>
      <protection locked="true" hidden="false"/>
    </xf>
    <xf numFmtId="164" fontId="14" fillId="0" borderId="0" applyFont="true" applyBorder="true" applyAlignment="true" applyProtection="true">
      <alignment horizontal="general" vertical="center" textRotation="0" wrapText="false" indent="0" shrinkToFit="false"/>
      <protection locked="true" hidden="false"/>
    </xf>
    <xf numFmtId="164" fontId="14" fillId="0" borderId="0" applyFont="true" applyBorder="true" applyAlignment="true" applyProtection="true">
      <alignment horizontal="general" vertical="center" textRotation="0" wrapText="false" indent="0" shrinkToFit="false"/>
      <protection locked="true" hidden="false"/>
    </xf>
    <xf numFmtId="164" fontId="14" fillId="0" borderId="0" applyFont="true" applyBorder="true" applyAlignment="true" applyProtection="true">
      <alignment horizontal="general" vertical="center" textRotation="0" wrapText="false" indent="0" shrinkToFit="false"/>
      <protection locked="true" hidden="false"/>
    </xf>
    <xf numFmtId="166" fontId="10" fillId="0" borderId="0" applyFont="true" applyBorder="true" applyAlignment="true" applyProtection="true">
      <alignment horizontal="center" vertical="center" textRotation="0" wrapText="false" indent="0" shrinkToFit="false"/>
      <protection locked="true" hidden="false"/>
    </xf>
    <xf numFmtId="164" fontId="14" fillId="0" borderId="0" applyFont="true" applyBorder="true" applyAlignment="true" applyProtection="true">
      <alignment horizontal="general" vertical="center" textRotation="0" wrapText="false" indent="0" shrinkToFit="false"/>
      <protection locked="true" hidden="false"/>
    </xf>
    <xf numFmtId="164" fontId="14" fillId="0" borderId="0" applyFont="true" applyBorder="true" applyAlignment="true" applyProtection="true">
      <alignment horizontal="general" vertical="bottom" textRotation="0" wrapText="false" indent="0" shrinkToFit="false"/>
      <protection locked="true" hidden="false"/>
    </xf>
    <xf numFmtId="164" fontId="14" fillId="0" borderId="0" applyFont="true" applyBorder="tru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2" fillId="0" borderId="0" applyFont="true" applyBorder="true" applyAlignment="true" applyProtection="true">
      <alignment horizontal="general" vertical="center" textRotation="0" wrapText="false" indent="0" shrinkToFit="false"/>
      <protection locked="true" hidden="false"/>
    </xf>
    <xf numFmtId="164" fontId="14" fillId="0" borderId="0" applyFont="true" applyBorder="true" applyAlignment="true" applyProtection="true">
      <alignment horizontal="general" vertical="bottom" textRotation="0" wrapText="false" indent="0" shrinkToFit="false"/>
      <protection locked="true" hidden="false"/>
    </xf>
    <xf numFmtId="164" fontId="14" fillId="0" borderId="0" applyFont="true" applyBorder="true" applyAlignment="true" applyProtection="true">
      <alignment horizontal="general" vertical="center" textRotation="0" wrapText="false" indent="0" shrinkToFit="false"/>
      <protection locked="true" hidden="false"/>
    </xf>
    <xf numFmtId="164" fontId="14"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4" fillId="0" borderId="0" applyFont="true" applyBorder="true" applyAlignment="true" applyProtection="true">
      <alignment horizontal="general" vertical="center" textRotation="0" wrapText="false" indent="0" shrinkToFit="false"/>
      <protection locked="true" hidden="false"/>
    </xf>
    <xf numFmtId="164" fontId="14" fillId="0" borderId="0" applyFont="true" applyBorder="true" applyAlignment="true" applyProtection="true">
      <alignment horizontal="general" vertical="center" textRotation="0" wrapText="false" indent="0" shrinkToFit="false"/>
      <protection locked="true" hidden="false"/>
    </xf>
    <xf numFmtId="164" fontId="14" fillId="0" borderId="0" applyFont="true" applyBorder="true" applyAlignment="true" applyProtection="true">
      <alignment horizontal="general" vertical="bottom" textRotation="0" wrapText="false" indent="0" shrinkToFit="false"/>
      <protection locked="true" hidden="false"/>
    </xf>
    <xf numFmtId="164" fontId="14" fillId="0" borderId="0" applyFont="true" applyBorder="true" applyAlignment="true" applyProtection="true">
      <alignment horizontal="general" vertical="bottom" textRotation="0" wrapText="false" indent="0" shrinkToFit="false"/>
      <protection locked="true" hidden="false"/>
    </xf>
    <xf numFmtId="164" fontId="14" fillId="0" borderId="0" applyFont="true" applyBorder="true" applyAlignment="true" applyProtection="true">
      <alignment horizontal="general" vertical="bottom" textRotation="0" wrapText="false" indent="0" shrinkToFit="false"/>
      <protection locked="true" hidden="false"/>
    </xf>
    <xf numFmtId="164" fontId="14" fillId="0" borderId="0" applyFont="true" applyBorder="true" applyAlignment="true" applyProtection="true">
      <alignment horizontal="general" vertical="bottom" textRotation="0" wrapText="false" indent="0" shrinkToFit="false"/>
      <protection locked="true" hidden="false"/>
    </xf>
    <xf numFmtId="164" fontId="1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center" textRotation="0" wrapText="false" indent="0" shrinkToFit="false"/>
      <protection locked="true" hidden="false"/>
    </xf>
    <xf numFmtId="164" fontId="5" fillId="19" borderId="0" applyFont="true" applyBorder="false" applyAlignment="true" applyProtection="false">
      <alignment horizontal="general" vertical="center" textRotation="0" wrapText="false" indent="0" shrinkToFit="false"/>
    </xf>
    <xf numFmtId="164" fontId="5" fillId="20" borderId="0" applyFont="true" applyBorder="false" applyAlignment="true" applyProtection="false">
      <alignment horizontal="general" vertical="center" textRotation="0" wrapText="false" indent="0" shrinkToFit="false"/>
    </xf>
    <xf numFmtId="164" fontId="5" fillId="20" borderId="0" applyFont="true" applyBorder="false" applyAlignment="true" applyProtection="false">
      <alignment horizontal="general" vertical="center" textRotation="0" wrapText="false" indent="0" shrinkToFit="false"/>
    </xf>
    <xf numFmtId="164" fontId="5" fillId="20" borderId="0" applyFont="true" applyBorder="false" applyAlignment="true" applyProtection="false">
      <alignment horizontal="general" vertical="center" textRotation="0" wrapText="false" indent="0" shrinkToFit="false"/>
    </xf>
    <xf numFmtId="164" fontId="5" fillId="16" borderId="0" applyFont="true" applyBorder="false" applyAlignment="true" applyProtection="false">
      <alignment horizontal="general" vertical="center" textRotation="0" wrapText="false" indent="0" shrinkToFit="false"/>
    </xf>
    <xf numFmtId="164" fontId="5" fillId="13" borderId="0" applyFont="true" applyBorder="false" applyAlignment="true" applyProtection="false">
      <alignment horizontal="general" vertical="center" textRotation="0" wrapText="false" indent="0" shrinkToFit="false"/>
    </xf>
    <xf numFmtId="164" fontId="5" fillId="14" borderId="0" applyFont="true" applyBorder="false" applyAlignment="true" applyProtection="false">
      <alignment horizontal="general" vertical="center" textRotation="0" wrapText="false" indent="0" shrinkToFit="false"/>
    </xf>
    <xf numFmtId="164" fontId="5" fillId="21" borderId="0" applyFont="true" applyBorder="false" applyAlignment="true" applyProtection="false">
      <alignment horizontal="general" vertical="center" textRotation="0" wrapText="false" indent="0" shrinkToFit="false"/>
    </xf>
    <xf numFmtId="164" fontId="16" fillId="0" borderId="1" applyFont="true" applyBorder="true" applyAlignment="true" applyProtection="false">
      <alignment horizontal="general" vertical="center" textRotation="0" wrapText="false" indent="0" shrinkToFit="false"/>
    </xf>
    <xf numFmtId="164" fontId="17" fillId="0" borderId="2" applyFont="true" applyBorder="true" applyAlignment="true" applyProtection="false">
      <alignment horizontal="general" vertical="center" textRotation="0" wrapText="false" indent="0" shrinkToFit="false"/>
    </xf>
    <xf numFmtId="164" fontId="18" fillId="0" borderId="3" applyFont="true" applyBorder="true" applyAlignment="true" applyProtection="false">
      <alignment horizontal="general" vertical="center" textRotation="0" wrapText="false" indent="0" shrinkToFit="false"/>
    </xf>
    <xf numFmtId="164" fontId="18" fillId="0" borderId="0" applyFont="true" applyBorder="false" applyAlignment="true" applyProtection="false">
      <alignment horizontal="general" vertical="center" textRotation="0" wrapText="false" indent="0" shrinkToFit="false"/>
    </xf>
    <xf numFmtId="164" fontId="19" fillId="0" borderId="0" applyFont="true" applyBorder="false" applyAlignment="true" applyProtection="false">
      <alignment horizontal="general" vertical="center" textRotation="0" wrapText="false" indent="0" shrinkToFit="false"/>
    </xf>
    <xf numFmtId="164" fontId="20" fillId="22" borderId="4" applyFont="true" applyBorder="true" applyAlignment="true" applyProtection="false">
      <alignment horizontal="general" vertical="center" textRotation="0" wrapText="false" indent="0" shrinkToFit="false"/>
    </xf>
    <xf numFmtId="164" fontId="21" fillId="0" borderId="5" applyFont="true" applyBorder="true" applyAlignment="true" applyProtection="false">
      <alignment horizontal="general" vertical="center" textRotation="0" wrapText="false" indent="0" shrinkToFit="false"/>
    </xf>
    <xf numFmtId="164" fontId="0" fillId="23" borderId="6" applyFont="true" applyBorder="true" applyAlignment="true" applyProtection="false">
      <alignment horizontal="general" vertical="center" textRotation="0" wrapText="false" indent="0" shrinkToFit="false"/>
    </xf>
    <xf numFmtId="167" fontId="0" fillId="0" borderId="0" applyFont="true" applyBorder="false" applyAlignment="true" applyProtection="false">
      <alignment horizontal="general" vertical="center" textRotation="0" wrapText="false" indent="0" shrinkToFit="false"/>
    </xf>
    <xf numFmtId="167" fontId="0" fillId="0" borderId="0" applyFont="true" applyBorder="false" applyAlignment="true" applyProtection="false">
      <alignment horizontal="general" vertical="center" textRotation="0" wrapText="false" indent="0" shrinkToFit="false"/>
    </xf>
    <xf numFmtId="167" fontId="0" fillId="0" borderId="0" applyFont="true" applyBorder="false" applyAlignment="true" applyProtection="false">
      <alignment horizontal="general" vertical="center" textRotation="0" wrapText="false" indent="0" shrinkToFit="false"/>
    </xf>
    <xf numFmtId="167" fontId="0" fillId="0" borderId="0" applyFont="true" applyBorder="false" applyAlignment="true" applyProtection="false">
      <alignment horizontal="general" vertical="center" textRotation="0" wrapText="false" indent="0" shrinkToFit="false"/>
    </xf>
    <xf numFmtId="164" fontId="22" fillId="0" borderId="0" applyFont="true" applyBorder="false" applyAlignment="true" applyProtection="false">
      <alignment horizontal="general" vertical="center" textRotation="0" wrapText="false" indent="0" shrinkToFit="false"/>
    </xf>
    <xf numFmtId="164" fontId="23" fillId="0" borderId="0" applyFont="true" applyBorder="false" applyAlignment="true" applyProtection="false">
      <alignment horizontal="general" vertical="center" textRotation="0" wrapText="false" indent="0" shrinkToFit="false"/>
    </xf>
    <xf numFmtId="164" fontId="24" fillId="24" borderId="7" applyFont="true" applyBorder="true" applyAlignment="true" applyProtection="false">
      <alignment horizontal="general" vertical="center" textRotation="0" wrapText="false" indent="0" shrinkToFit="false"/>
    </xf>
    <xf numFmtId="164" fontId="25" fillId="0" borderId="0" applyFont="true" applyBorder="false" applyAlignment="true" applyProtection="false">
      <alignment horizontal="general" vertical="center" textRotation="0" wrapText="false" indent="0" shrinkToFit="false"/>
    </xf>
    <xf numFmtId="164" fontId="26" fillId="7" borderId="7" applyFont="true" applyBorder="true" applyAlignment="true" applyProtection="false">
      <alignment horizontal="general" vertical="center" textRotation="0" wrapText="false" indent="0" shrinkToFit="false"/>
    </xf>
    <xf numFmtId="164" fontId="27" fillId="24" borderId="8" applyFont="true" applyBorder="true" applyAlignment="true" applyProtection="false">
      <alignment horizontal="general" vertical="center" textRotation="0" wrapText="false" indent="0" shrinkToFit="false"/>
    </xf>
    <xf numFmtId="164" fontId="28" fillId="25" borderId="0" applyFont="true" applyBorder="false" applyAlignment="true" applyProtection="false">
      <alignment horizontal="general" vertical="center" textRotation="0" wrapText="false" indent="0" shrinkToFit="false"/>
    </xf>
    <xf numFmtId="164" fontId="29" fillId="0" borderId="9" applyFont="true" applyBorder="true" applyAlignment="true" applyProtection="false">
      <alignment horizontal="general" vertical="center" textRotation="0" wrapText="false" indent="0" shrinkToFit="false"/>
    </xf>
  </cellStyleXfs>
  <cellXfs count="1199">
    <xf numFmtId="164" fontId="0" fillId="0" borderId="0" xfId="0" applyFont="false" applyBorder="false" applyAlignment="false" applyProtection="false">
      <alignment horizontal="general" vertical="center" textRotation="0" wrapText="false" indent="0" shrinkToFit="false"/>
      <protection locked="true" hidden="false"/>
    </xf>
    <xf numFmtId="164" fontId="4" fillId="0" borderId="0" xfId="173" applyFont="true" applyBorder="true" applyAlignment="true" applyProtection="false">
      <alignment horizontal="general" vertical="center" textRotation="0" wrapText="false" indent="0" shrinkToFit="false"/>
      <protection locked="true" hidden="false"/>
    </xf>
    <xf numFmtId="164" fontId="23" fillId="20" borderId="0" xfId="173" applyFont="true" applyBorder="true" applyAlignment="true" applyProtection="false">
      <alignment horizontal="general" vertical="center" textRotation="0" wrapText="false" indent="0" shrinkToFit="false"/>
      <protection locked="true" hidden="false"/>
    </xf>
    <xf numFmtId="168" fontId="4" fillId="0" borderId="0" xfId="173" applyFont="true" applyBorder="true" applyAlignment="true" applyProtection="false">
      <alignment horizontal="general" vertical="center" textRotation="0" wrapText="false" indent="0" shrinkToFit="false"/>
      <protection locked="true" hidden="false"/>
    </xf>
    <xf numFmtId="164" fontId="4" fillId="0" borderId="0" xfId="173" applyFont="true" applyBorder="true" applyAlignment="true" applyProtection="false">
      <alignment horizontal="general" vertical="center" textRotation="0" wrapText="false" indent="0" shrinkToFit="false"/>
      <protection locked="true" hidden="false"/>
    </xf>
    <xf numFmtId="164" fontId="30" fillId="0" borderId="0" xfId="168" applyFont="true" applyBorder="true" applyAlignment="true" applyProtection="false">
      <alignment horizontal="left" vertical="bottom" textRotation="0" wrapText="false" indent="0" shrinkToFit="false"/>
      <protection locked="true" hidden="false"/>
    </xf>
    <xf numFmtId="169" fontId="10" fillId="0" borderId="0" xfId="89" applyFont="true" applyBorder="true" applyAlignment="true" applyProtection="true">
      <alignment horizontal="left" vertical="center" textRotation="0" wrapText="false" indent="0" shrinkToFit="false"/>
      <protection locked="false" hidden="false"/>
    </xf>
    <xf numFmtId="170" fontId="31" fillId="25" borderId="0" xfId="168" applyFont="true" applyBorder="false" applyAlignment="true" applyProtection="false">
      <alignment horizontal="left" vertical="bottom" textRotation="0" wrapText="false" indent="0" shrinkToFit="false"/>
      <protection locked="true" hidden="false"/>
    </xf>
    <xf numFmtId="164" fontId="0" fillId="26" borderId="0" xfId="0" applyFont="true" applyBorder="false" applyAlignment="true" applyProtection="false">
      <alignment horizontal="center" vertical="center" textRotation="0" wrapText="false" indent="0" shrinkToFit="false"/>
      <protection locked="true" hidden="false"/>
    </xf>
    <xf numFmtId="164" fontId="0" fillId="27" borderId="0" xfId="0" applyFont="true" applyBorder="false" applyAlignment="true" applyProtection="false">
      <alignment horizontal="general" vertical="center" textRotation="0" wrapText="false" indent="0" shrinkToFit="false"/>
      <protection locked="true" hidden="false"/>
    </xf>
    <xf numFmtId="164" fontId="0" fillId="20"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32" fillId="0" borderId="10" xfId="0" applyFont="true" applyBorder="true" applyAlignment="true" applyProtection="false">
      <alignment horizontal="center" vertical="center" textRotation="0" wrapText="false" indent="0" shrinkToFit="false"/>
      <protection locked="true" hidden="false"/>
    </xf>
    <xf numFmtId="164" fontId="25" fillId="0" borderId="0" xfId="20" applyFont="true" applyBorder="true" applyAlignment="true" applyProtection="true">
      <alignment horizontal="general" vertical="center" textRotation="0" wrapText="false" indent="0" shrinkToFit="false"/>
      <protection locked="true" hidden="false"/>
    </xf>
    <xf numFmtId="164" fontId="25" fillId="0" borderId="0" xfId="20" applyFont="true" applyBorder="true" applyAlignment="true" applyProtection="true">
      <alignment horizontal="general" vertical="center" textRotation="0" wrapText="true" indent="0" shrinkToFit="false"/>
      <protection locked="true" hidden="false"/>
    </xf>
    <xf numFmtId="164" fontId="33" fillId="0" borderId="10" xfId="0" applyFont="true" applyBorder="true" applyAlignment="true" applyProtection="false">
      <alignment horizontal="general" vertical="center" textRotation="0" wrapText="false" indent="0" shrinkToFit="false"/>
      <protection locked="true" hidden="false"/>
    </xf>
    <xf numFmtId="164" fontId="33" fillId="0" borderId="10" xfId="0" applyFont="true" applyBorder="true" applyAlignment="true" applyProtection="false">
      <alignment horizontal="general" vertical="center" textRotation="0" wrapText="true" indent="0" shrinkToFit="false"/>
      <protection locked="true" hidden="false"/>
    </xf>
    <xf numFmtId="164" fontId="33" fillId="0" borderId="0" xfId="0" applyFont="true" applyBorder="false" applyAlignment="true" applyProtection="false">
      <alignment horizontal="general" vertical="center" textRotation="0" wrapText="false" indent="0" shrinkToFit="false"/>
      <protection locked="true" hidden="false"/>
    </xf>
    <xf numFmtId="171" fontId="12" fillId="0" borderId="10" xfId="0" applyFont="true" applyBorder="true" applyAlignment="true" applyProtection="false">
      <alignment horizontal="general" vertical="center" textRotation="0" wrapText="false" indent="0" shrinkToFit="false"/>
      <protection locked="true" hidden="false"/>
    </xf>
    <xf numFmtId="164" fontId="25" fillId="0" borderId="10" xfId="20" applyFont="true" applyBorder="true" applyAlignment="true" applyProtection="true">
      <alignment horizontal="general" vertical="center" textRotation="0" wrapText="true" indent="0" shrinkToFit="false"/>
      <protection locked="true" hidden="false"/>
    </xf>
    <xf numFmtId="164" fontId="12" fillId="0" borderId="10" xfId="0" applyFont="true" applyBorder="true" applyAlignment="true" applyProtection="false">
      <alignment horizontal="general" vertical="center" textRotation="0" wrapText="false" indent="0" shrinkToFit="false"/>
      <protection locked="true" hidden="false"/>
    </xf>
    <xf numFmtId="172" fontId="34" fillId="27" borderId="10" xfId="0" applyFont="true" applyBorder="true" applyAlignment="true" applyProtection="false">
      <alignment horizontal="general" vertical="center" textRotation="0" wrapText="false" indent="0" shrinkToFit="false"/>
      <protection locked="true" hidden="false"/>
    </xf>
    <xf numFmtId="172" fontId="12" fillId="27" borderId="10" xfId="0" applyFont="true" applyBorder="true" applyAlignment="true" applyProtection="false">
      <alignment horizontal="general" vertical="center" textRotation="0" wrapText="true" indent="0" shrinkToFit="false"/>
      <protection locked="true" hidden="false"/>
    </xf>
    <xf numFmtId="164" fontId="12" fillId="0" borderId="10" xfId="0" applyFont="true" applyBorder="true" applyAlignment="true" applyProtection="false">
      <alignment horizontal="general" vertical="center" textRotation="0" wrapText="true" indent="0" shrinkToFit="false"/>
      <protection locked="true" hidden="false"/>
    </xf>
    <xf numFmtId="172" fontId="12" fillId="27" borderId="10" xfId="0" applyFont="true" applyBorder="true" applyAlignment="true" applyProtection="false">
      <alignment horizontal="general" vertical="center" textRotation="0" wrapText="false" indent="0" shrinkToFit="false"/>
      <protection locked="true" hidden="false"/>
    </xf>
    <xf numFmtId="164" fontId="31" fillId="0" borderId="0" xfId="0" applyFont="true" applyBorder="false" applyAlignment="true" applyProtection="false">
      <alignment horizontal="right" vertical="center" textRotation="0" wrapText="false" indent="0" shrinkToFit="false"/>
      <protection locked="true" hidden="false"/>
    </xf>
    <xf numFmtId="164" fontId="31" fillId="0" borderId="0" xfId="0" applyFont="true" applyBorder="fals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12" fillId="0" borderId="0" xfId="66" applyFont="true" applyBorder="false" applyAlignment="true" applyProtection="false">
      <alignment horizontal="general" vertical="center" textRotation="0" wrapText="false" indent="0" shrinkToFit="false"/>
      <protection locked="true" hidden="false"/>
    </xf>
    <xf numFmtId="164" fontId="12" fillId="0" borderId="0" xfId="66" applyFont="true" applyBorder="false" applyAlignment="true" applyProtection="false">
      <alignment horizontal="center" vertical="center" textRotation="0" wrapText="false" indent="0" shrinkToFit="false"/>
      <protection locked="true" hidden="false"/>
    </xf>
    <xf numFmtId="164" fontId="12" fillId="28" borderId="0" xfId="66" applyFont="true" applyBorder="false" applyAlignment="true" applyProtection="false">
      <alignment horizontal="general" vertical="center" textRotation="0" wrapText="false" indent="0" shrinkToFit="false"/>
      <protection locked="true" hidden="false"/>
    </xf>
    <xf numFmtId="164" fontId="38" fillId="28" borderId="0" xfId="66" applyFont="true" applyBorder="false" applyAlignment="true" applyProtection="false">
      <alignment horizontal="center" vertical="center" textRotation="0" wrapText="false" indent="0" shrinkToFit="false"/>
      <protection locked="true" hidden="false"/>
    </xf>
    <xf numFmtId="164" fontId="12" fillId="0" borderId="0" xfId="66" applyFont="true" applyBorder="false" applyAlignment="true" applyProtection="false">
      <alignment horizontal="left" vertical="center" textRotation="0" wrapText="false" indent="0" shrinkToFit="false"/>
      <protection locked="true" hidden="false"/>
    </xf>
    <xf numFmtId="164" fontId="38" fillId="0" borderId="0" xfId="66" applyFont="true" applyBorder="false" applyAlignment="true" applyProtection="false">
      <alignment horizontal="general" vertical="center" textRotation="0" wrapText="false" indent="0" shrinkToFit="false"/>
      <protection locked="true" hidden="false"/>
    </xf>
    <xf numFmtId="164" fontId="12" fillId="26" borderId="0" xfId="66" applyFont="true" applyBorder="false" applyAlignment="true" applyProtection="false">
      <alignment horizontal="left" vertical="center" textRotation="0" wrapText="false" indent="0" shrinkToFit="false"/>
      <protection locked="true" hidden="false"/>
    </xf>
    <xf numFmtId="164" fontId="38" fillId="26" borderId="0" xfId="66" applyFont="true" applyBorder="false" applyAlignment="true" applyProtection="false">
      <alignment horizontal="center" vertical="center" textRotation="0" wrapText="false" indent="0" shrinkToFit="false"/>
      <protection locked="true" hidden="false"/>
    </xf>
    <xf numFmtId="165" fontId="39" fillId="20" borderId="0" xfId="169" applyFont="true" applyBorder="true" applyAlignment="true" applyProtection="true">
      <alignment horizontal="center" vertical="center" textRotation="0" wrapText="false" indent="0" shrinkToFit="true"/>
      <protection locked="false" hidden="false"/>
    </xf>
    <xf numFmtId="165" fontId="14" fillId="20" borderId="0" xfId="169" applyFont="true" applyBorder="true" applyAlignment="true" applyProtection="true">
      <alignment horizontal="center" vertical="center" textRotation="0" wrapText="false" indent="0" shrinkToFit="true"/>
      <protection locked="false" hidden="false"/>
    </xf>
    <xf numFmtId="164" fontId="12" fillId="20" borderId="0" xfId="66" applyFont="true" applyBorder="false" applyAlignment="true" applyProtection="false">
      <alignment horizontal="left" vertical="center" textRotation="0" wrapText="false" indent="0" shrinkToFit="false"/>
      <protection locked="true" hidden="false"/>
    </xf>
    <xf numFmtId="164" fontId="12" fillId="20" borderId="0" xfId="66" applyFont="true" applyBorder="false" applyAlignment="true" applyProtection="false">
      <alignment horizontal="center" vertical="center" textRotation="0" wrapText="false" indent="0" shrinkToFit="false"/>
      <protection locked="true" hidden="false"/>
    </xf>
    <xf numFmtId="165" fontId="37" fillId="0" borderId="0" xfId="170" applyFont="true" applyBorder="true" applyAlignment="true" applyProtection="true">
      <alignment horizontal="general" vertical="center" textRotation="0" wrapText="false" indent="0" shrinkToFit="true"/>
      <protection locked="false" hidden="false"/>
    </xf>
    <xf numFmtId="165" fontId="37" fillId="20" borderId="0" xfId="170" applyFont="true" applyBorder="true" applyAlignment="true" applyProtection="true">
      <alignment horizontal="center" vertical="center" textRotation="0" wrapText="false" indent="0" shrinkToFit="true"/>
      <protection locked="false" hidden="false"/>
    </xf>
    <xf numFmtId="164" fontId="38" fillId="0" borderId="0" xfId="66" applyFont="true" applyBorder="false" applyAlignment="true" applyProtection="false">
      <alignment horizontal="center" vertical="center" textRotation="0" wrapText="false" indent="0" shrinkToFit="false"/>
      <protection locked="true" hidden="false"/>
    </xf>
    <xf numFmtId="164" fontId="38" fillId="20" borderId="0" xfId="66" applyFont="true" applyBorder="false" applyAlignment="true" applyProtection="false">
      <alignment horizontal="center" vertical="center" textRotation="0" wrapText="false" indent="0" shrinkToFit="false"/>
      <protection locked="true" hidden="false"/>
    </xf>
    <xf numFmtId="164" fontId="12" fillId="26" borderId="0" xfId="66" applyFont="true" applyBorder="false" applyAlignment="true" applyProtection="false">
      <alignment horizontal="general" vertical="center" textRotation="0" wrapText="false" indent="0" shrinkToFit="false"/>
      <protection locked="true" hidden="false"/>
    </xf>
    <xf numFmtId="164" fontId="42" fillId="0" borderId="0" xfId="66" applyFont="true" applyBorder="false" applyAlignment="true" applyProtection="false">
      <alignment horizontal="center" vertical="center" textRotation="0" wrapText="false" indent="0" shrinkToFit="false"/>
      <protection locked="true" hidden="false"/>
    </xf>
    <xf numFmtId="164" fontId="12" fillId="0" borderId="0" xfId="66" applyFont="true" applyBorder="false" applyAlignment="true" applyProtection="false">
      <alignment horizontal="general" vertical="center" textRotation="0" wrapText="false" indent="0" shrinkToFit="false"/>
      <protection locked="true" hidden="false"/>
    </xf>
    <xf numFmtId="164" fontId="38" fillId="0" borderId="0" xfId="66" applyFont="true" applyBorder="false" applyAlignment="true" applyProtection="false">
      <alignment horizontal="center" vertical="center" textRotation="0" wrapText="false" indent="0" shrinkToFit="false"/>
      <protection locked="true" hidden="false"/>
    </xf>
    <xf numFmtId="164" fontId="12" fillId="26" borderId="0" xfId="66" applyFont="true" applyBorder="false" applyAlignment="true" applyProtection="false">
      <alignment horizontal="center" vertical="center" textRotation="0" wrapText="false" indent="0" shrinkToFit="false"/>
      <protection locked="true" hidden="false"/>
    </xf>
    <xf numFmtId="164" fontId="12" fillId="0" borderId="0" xfId="130" applyFont="true" applyBorder="false" applyAlignment="true" applyProtection="false">
      <alignment horizontal="general" vertical="center" textRotation="0" wrapText="false" indent="0" shrinkToFit="false"/>
      <protection locked="true" hidden="false"/>
    </xf>
    <xf numFmtId="164" fontId="12" fillId="0" borderId="0" xfId="130" applyFont="true" applyBorder="true" applyAlignment="true" applyProtection="false">
      <alignment horizontal="general" vertical="center" textRotation="0" wrapText="false" indent="0" shrinkToFit="false"/>
      <protection locked="true" hidden="false"/>
    </xf>
    <xf numFmtId="164" fontId="44" fillId="0" borderId="0" xfId="130" applyFont="true" applyBorder="true" applyAlignment="true" applyProtection="false">
      <alignment horizontal="right" vertical="center" textRotation="0" wrapText="false" indent="0" shrinkToFit="false"/>
      <protection locked="true" hidden="false"/>
    </xf>
    <xf numFmtId="164" fontId="23" fillId="0" borderId="0" xfId="130" applyFont="true" applyBorder="false" applyAlignment="true" applyProtection="false">
      <alignment horizontal="general" vertical="center" textRotation="0" wrapText="false" indent="0" shrinkToFit="false"/>
      <protection locked="true" hidden="false"/>
    </xf>
    <xf numFmtId="164" fontId="0" fillId="0" borderId="10" xfId="84" applyFont="true" applyBorder="true" applyAlignment="false" applyProtection="false">
      <alignment horizontal="general" vertical="bottom" textRotation="0" wrapText="false" indent="0" shrinkToFit="false"/>
      <protection locked="true" hidden="false"/>
    </xf>
    <xf numFmtId="164" fontId="45" fillId="0" borderId="10" xfId="84" applyFont="true" applyBorder="true" applyAlignment="true" applyProtection="false">
      <alignment horizontal="center" vertical="bottom" textRotation="0" wrapText="false" indent="0" shrinkToFit="false"/>
      <protection locked="true" hidden="false"/>
    </xf>
    <xf numFmtId="164" fontId="12" fillId="0" borderId="10" xfId="130" applyFont="true" applyBorder="true" applyAlignment="true" applyProtection="false">
      <alignment horizontal="general" vertical="center" textRotation="0" wrapText="false" indent="0" shrinkToFit="false"/>
      <protection locked="true" hidden="false"/>
    </xf>
    <xf numFmtId="164" fontId="46" fillId="0" borderId="10" xfId="84" applyFont="true" applyBorder="true" applyAlignment="true" applyProtection="false">
      <alignment horizontal="left" vertical="center" textRotation="0" wrapText="true" indent="0" shrinkToFit="false"/>
      <protection locked="true" hidden="false"/>
    </xf>
    <xf numFmtId="173" fontId="12" fillId="0" borderId="0" xfId="130" applyFont="true" applyBorder="false" applyAlignment="true" applyProtection="false">
      <alignment horizontal="general" vertical="center" textRotation="0" wrapText="false" indent="0" shrinkToFit="false"/>
      <protection locked="true" hidden="false"/>
    </xf>
    <xf numFmtId="168" fontId="12" fillId="0" borderId="10" xfId="130" applyFont="true" applyBorder="true" applyAlignment="true" applyProtection="false">
      <alignment horizontal="general" vertical="center" textRotation="0" wrapText="false" indent="0" shrinkToFit="false"/>
      <protection locked="true" hidden="false"/>
    </xf>
    <xf numFmtId="168" fontId="47" fillId="0" borderId="10" xfId="130" applyFont="true" applyBorder="true" applyAlignment="true" applyProtection="false">
      <alignment horizontal="general" vertical="center" textRotation="0" wrapText="false" indent="0" shrinkToFit="false"/>
      <protection locked="true" hidden="false"/>
    </xf>
    <xf numFmtId="170" fontId="12" fillId="0" borderId="10" xfId="130" applyFont="true" applyBorder="true" applyAlignment="true" applyProtection="false">
      <alignment horizontal="general" vertical="center" textRotation="0" wrapText="false" indent="0" shrinkToFit="false"/>
      <protection locked="true" hidden="false"/>
    </xf>
    <xf numFmtId="173" fontId="12" fillId="0" borderId="0" xfId="190" applyFont="true" applyBorder="true" applyAlignment="true" applyProtection="true">
      <alignment horizontal="general" vertical="center" textRotation="0" wrapText="false" indent="0" shrinkToFit="false"/>
      <protection locked="true" hidden="false"/>
    </xf>
    <xf numFmtId="164" fontId="46" fillId="0" borderId="10" xfId="84" applyFont="true" applyBorder="true" applyAlignment="true" applyProtection="false">
      <alignment horizontal="center" vertical="center" textRotation="0" wrapText="true" indent="0" shrinkToFit="false"/>
      <protection locked="true" hidden="false"/>
    </xf>
    <xf numFmtId="164" fontId="48" fillId="0" borderId="10" xfId="84" applyFont="true" applyBorder="true" applyAlignment="true" applyProtection="false">
      <alignment horizontal="left" vertical="center" textRotation="0" wrapText="true" indent="0" shrinkToFit="false"/>
      <protection locked="true" hidden="false"/>
    </xf>
    <xf numFmtId="164" fontId="46" fillId="0" borderId="0" xfId="84" applyFont="true" applyBorder="true" applyAlignment="true" applyProtection="false">
      <alignment horizontal="center" vertical="center" textRotation="0" wrapText="true" indent="0" shrinkToFit="false"/>
      <protection locked="true" hidden="false"/>
    </xf>
    <xf numFmtId="174" fontId="12" fillId="0" borderId="0" xfId="130" applyFont="true" applyBorder="false" applyAlignment="true" applyProtection="false">
      <alignment horizontal="general" vertical="center" textRotation="0" wrapText="false" indent="0" shrinkToFit="false"/>
      <protection locked="true" hidden="false"/>
    </xf>
    <xf numFmtId="164" fontId="50" fillId="0" borderId="10" xfId="130" applyFont="true" applyBorder="true" applyAlignment="true" applyProtection="false">
      <alignment horizontal="center" vertical="center" textRotation="0" wrapText="true" indent="0" shrinkToFit="false"/>
      <protection locked="true" hidden="false"/>
    </xf>
    <xf numFmtId="164" fontId="50" fillId="27" borderId="10" xfId="130" applyFont="true" applyBorder="true" applyAlignment="true" applyProtection="false">
      <alignment horizontal="center" vertical="center" textRotation="0" wrapText="true" indent="0" shrinkToFit="false"/>
      <protection locked="true" hidden="false"/>
    </xf>
    <xf numFmtId="164" fontId="50" fillId="0" borderId="10" xfId="130" applyFont="true" applyBorder="true" applyAlignment="true" applyProtection="false">
      <alignment horizontal="justify" vertical="center" textRotation="0" wrapText="true" indent="0" shrinkToFit="false"/>
      <protection locked="true" hidden="false"/>
    </xf>
    <xf numFmtId="170" fontId="52" fillId="27" borderId="10" xfId="130" applyFont="true" applyBorder="true" applyAlignment="true" applyProtection="false">
      <alignment horizontal="center" vertical="center" textRotation="0" wrapText="true" indent="0" shrinkToFit="false"/>
      <protection locked="true" hidden="false"/>
    </xf>
    <xf numFmtId="164" fontId="53" fillId="0" borderId="10" xfId="130" applyFont="true" applyBorder="true" applyAlignment="true" applyProtection="false">
      <alignment horizontal="general" vertical="center" textRotation="0" wrapText="false" indent="0" shrinkToFit="false"/>
      <protection locked="true" hidden="false"/>
    </xf>
    <xf numFmtId="164" fontId="50" fillId="0" borderId="10" xfId="130" applyFont="true" applyBorder="true" applyAlignment="true" applyProtection="false">
      <alignment horizontal="center" vertical="center" textRotation="0" wrapText="true" indent="0" shrinkToFit="false"/>
      <protection locked="true" hidden="false"/>
    </xf>
    <xf numFmtId="170" fontId="23" fillId="0" borderId="0" xfId="130" applyFont="true" applyBorder="false" applyAlignment="true" applyProtection="false">
      <alignment horizontal="right" vertical="center" textRotation="0" wrapText="false" indent="0" shrinkToFit="false"/>
      <protection locked="true" hidden="false"/>
    </xf>
    <xf numFmtId="168" fontId="53" fillId="0" borderId="0" xfId="130" applyFont="true" applyBorder="true" applyAlignment="true" applyProtection="false">
      <alignment horizontal="general" vertical="center" textRotation="0" wrapText="false" indent="0" shrinkToFit="false"/>
      <protection locked="true" hidden="false"/>
    </xf>
    <xf numFmtId="164" fontId="54" fillId="0" borderId="0" xfId="130" applyFont="true" applyBorder="false" applyAlignment="true" applyProtection="false">
      <alignment horizontal="general" vertical="center" textRotation="0" wrapText="false" indent="0" shrinkToFit="false"/>
      <protection locked="true" hidden="false"/>
    </xf>
    <xf numFmtId="170" fontId="47" fillId="27" borderId="0" xfId="130" applyFont="true" applyBorder="false" applyAlignment="true" applyProtection="false">
      <alignment horizontal="general" vertical="center" textRotation="0" wrapText="false" indent="0" shrinkToFit="false"/>
      <protection locked="true" hidden="false"/>
    </xf>
    <xf numFmtId="170" fontId="23" fillId="0" borderId="0" xfId="130" applyFont="true" applyBorder="false" applyAlignment="true" applyProtection="false">
      <alignment horizontal="general" vertical="center" textRotation="0" wrapText="false" indent="0" shrinkToFit="false"/>
      <protection locked="true" hidden="false"/>
    </xf>
    <xf numFmtId="170" fontId="47" fillId="0" borderId="0" xfId="130" applyFont="true" applyBorder="false" applyAlignment="true" applyProtection="false">
      <alignment horizontal="general" vertical="center" textRotation="0" wrapText="false" indent="0" shrinkToFit="false"/>
      <protection locked="true" hidden="false"/>
    </xf>
    <xf numFmtId="164" fontId="54" fillId="0" borderId="0" xfId="130" applyFont="true" applyBorder="true" applyAlignment="true" applyProtection="false">
      <alignment horizontal="center" vertical="center" textRotation="0" wrapText="false" indent="0" shrinkToFit="false"/>
      <protection locked="true" hidden="false"/>
    </xf>
    <xf numFmtId="170" fontId="12" fillId="0" borderId="0" xfId="130" applyFont="true" applyBorder="false" applyAlignment="true" applyProtection="false">
      <alignment horizontal="general" vertical="center" textRotation="0" wrapText="false" indent="0" shrinkToFit="false"/>
      <protection locked="true" hidden="false"/>
    </xf>
    <xf numFmtId="170" fontId="12" fillId="27" borderId="0" xfId="130" applyFont="true" applyBorder="false" applyAlignment="true" applyProtection="false">
      <alignment horizontal="general" vertical="center" textRotation="0" wrapText="false" indent="0" shrinkToFit="false"/>
      <protection locked="true" hidden="false"/>
    </xf>
    <xf numFmtId="170" fontId="53" fillId="0" borderId="0" xfId="130" applyFont="true" applyBorder="false" applyAlignment="true" applyProtection="false">
      <alignment horizontal="general" vertical="center" textRotation="0" wrapText="false" indent="0" shrinkToFit="false"/>
      <protection locked="true" hidden="false"/>
    </xf>
    <xf numFmtId="164" fontId="55" fillId="0" borderId="0" xfId="130" applyFont="true" applyBorder="false" applyAlignment="true" applyProtection="false">
      <alignment horizontal="left" vertical="center" textRotation="0" wrapText="false" indent="0" shrinkToFit="false"/>
      <protection locked="true" hidden="false"/>
    </xf>
    <xf numFmtId="164" fontId="12" fillId="0" borderId="0" xfId="130" applyFont="true" applyBorder="false" applyAlignment="true" applyProtection="false">
      <alignment horizontal="center" vertical="center" textRotation="0" wrapText="false" indent="0" shrinkToFit="false"/>
      <protection locked="true" hidden="false"/>
    </xf>
    <xf numFmtId="164" fontId="12" fillId="0" borderId="0" xfId="130" applyFont="true" applyBorder="false" applyAlignment="true" applyProtection="false">
      <alignment horizontal="right" vertical="center" textRotation="0" wrapText="false" indent="0" shrinkToFit="false"/>
      <protection locked="true" hidden="false"/>
    </xf>
    <xf numFmtId="164" fontId="56" fillId="0" borderId="0" xfId="130" applyFont="true" applyBorder="false" applyAlignment="true" applyProtection="false">
      <alignment horizontal="general" vertical="center" textRotation="0" wrapText="false" indent="0" shrinkToFit="false"/>
      <protection locked="true" hidden="false"/>
    </xf>
    <xf numFmtId="164" fontId="14" fillId="0" borderId="0" xfId="130" applyFont="true" applyBorder="false" applyAlignment="true" applyProtection="false">
      <alignment horizontal="center" vertical="bottom" textRotation="0" wrapText="false" indent="0" shrinkToFit="false"/>
      <protection locked="true" hidden="false"/>
    </xf>
    <xf numFmtId="164" fontId="14" fillId="0" borderId="0" xfId="130" applyFont="true" applyBorder="false" applyAlignment="true" applyProtection="false">
      <alignment horizontal="general" vertical="bottom" textRotation="0" wrapText="false" indent="0" shrinkToFit="false"/>
      <protection locked="true" hidden="false"/>
    </xf>
    <xf numFmtId="164" fontId="12" fillId="0" borderId="0" xfId="130" applyFont="true" applyBorder="false" applyAlignment="true" applyProtection="false">
      <alignment horizontal="general" vertical="center" textRotation="0" wrapText="false" indent="0" shrinkToFit="false"/>
      <protection locked="true" hidden="false"/>
    </xf>
    <xf numFmtId="164" fontId="14" fillId="0" borderId="0" xfId="130" applyFont="true" applyBorder="false" applyAlignment="true" applyProtection="false">
      <alignment horizontal="center" vertical="bottom" textRotation="0" wrapText="false" indent="0" shrinkToFit="false"/>
      <protection locked="true" hidden="false"/>
    </xf>
    <xf numFmtId="164" fontId="14" fillId="0" borderId="0" xfId="130" applyFont="true" applyBorder="false" applyAlignment="true" applyProtection="false">
      <alignment horizontal="general" vertical="bottom" textRotation="0" wrapText="false" indent="0" shrinkToFit="false"/>
      <protection locked="true" hidden="false"/>
    </xf>
    <xf numFmtId="164" fontId="14" fillId="0" borderId="0" xfId="130" applyFont="true" applyBorder="false" applyAlignment="true" applyProtection="false">
      <alignment horizontal="left" vertical="bottom" textRotation="0" wrapText="false" indent="0" shrinkToFit="false"/>
      <protection locked="true" hidden="false"/>
    </xf>
    <xf numFmtId="164" fontId="12" fillId="0" borderId="0" xfId="130" applyFont="true" applyBorder="false" applyAlignment="true" applyProtection="false">
      <alignment horizontal="general" vertical="bottom" textRotation="0" wrapText="false" indent="0" shrinkToFit="false"/>
      <protection locked="true" hidden="false"/>
    </xf>
    <xf numFmtId="170" fontId="12" fillId="0" borderId="0" xfId="130" applyFont="true" applyBorder="false" applyAlignment="true" applyProtection="false">
      <alignment horizontal="general" vertical="bottom" textRotation="0" wrapText="false" indent="0" shrinkToFit="false"/>
      <protection locked="true" hidden="false"/>
    </xf>
    <xf numFmtId="170" fontId="47" fillId="0" borderId="0" xfId="130" applyFont="true" applyBorder="false" applyAlignment="true" applyProtection="false">
      <alignment horizontal="general" vertical="center" textRotation="0" wrapText="false" indent="0" shrinkToFit="false"/>
      <protection locked="true" hidden="false"/>
    </xf>
    <xf numFmtId="164" fontId="23" fillId="0" borderId="0" xfId="130" applyFont="true" applyBorder="false" applyAlignment="true" applyProtection="false">
      <alignment horizontal="general" vertical="bottom" textRotation="0" wrapText="false" indent="0" shrinkToFit="false"/>
      <protection locked="true" hidden="false"/>
    </xf>
    <xf numFmtId="175" fontId="12" fillId="0" borderId="0" xfId="130" applyFont="true" applyBorder="false" applyAlignment="true" applyProtection="false">
      <alignment horizontal="general" vertical="bottom" textRotation="0" wrapText="false" indent="0" shrinkToFit="false"/>
      <protection locked="true" hidden="false"/>
    </xf>
    <xf numFmtId="176" fontId="12" fillId="0" borderId="0" xfId="130" applyFont="true" applyBorder="false" applyAlignment="true" applyProtection="false">
      <alignment horizontal="general" vertical="bottom" textRotation="0" wrapText="false" indent="0" shrinkToFit="false"/>
      <protection locked="true" hidden="false"/>
    </xf>
    <xf numFmtId="164" fontId="14" fillId="0" borderId="0" xfId="84" applyFont="true" applyBorder="false" applyAlignment="true" applyProtection="false">
      <alignment horizontal="general" vertical="center" textRotation="0" wrapText="false" indent="0" shrinkToFit="false"/>
      <protection locked="true" hidden="false"/>
    </xf>
    <xf numFmtId="168" fontId="47" fillId="0" borderId="0" xfId="130" applyFont="true" applyBorder="false" applyAlignment="true" applyProtection="false">
      <alignment horizontal="general" vertical="center" textRotation="0" wrapText="false" indent="0" shrinkToFit="false"/>
      <protection locked="true" hidden="false"/>
    </xf>
    <xf numFmtId="170" fontId="12" fillId="0" borderId="0" xfId="130" applyFont="true" applyBorder="false" applyAlignment="true" applyProtection="false">
      <alignment horizontal="general" vertical="center" textRotation="0" wrapText="false" indent="0" shrinkToFit="false"/>
      <protection locked="true" hidden="false"/>
    </xf>
    <xf numFmtId="164" fontId="14" fillId="29" borderId="0" xfId="83" applyFont="true" applyBorder="false" applyAlignment="true" applyProtection="false">
      <alignment horizontal="general" vertical="center" textRotation="0" wrapText="false" indent="0" shrinkToFit="false"/>
      <protection locked="true" hidden="false"/>
    </xf>
    <xf numFmtId="164" fontId="14" fillId="29" borderId="0" xfId="83" applyFont="true" applyBorder="true" applyAlignment="true" applyProtection="false">
      <alignment horizontal="general" vertical="center" textRotation="0" wrapText="false" indent="0" shrinkToFit="false"/>
      <protection locked="true" hidden="false"/>
    </xf>
    <xf numFmtId="164" fontId="58" fillId="29" borderId="0" xfId="83" applyFont="true" applyBorder="true" applyAlignment="true" applyProtection="false">
      <alignment horizontal="general" vertical="center" textRotation="0" wrapText="true" indent="0" shrinkToFit="false"/>
      <protection locked="true" hidden="false"/>
    </xf>
    <xf numFmtId="164" fontId="14" fillId="29" borderId="0" xfId="83" applyFont="true" applyBorder="true" applyAlignment="true" applyProtection="false">
      <alignment horizontal="center" vertical="center" textRotation="0" wrapText="false" indent="0" shrinkToFit="false"/>
      <protection locked="true" hidden="false"/>
    </xf>
    <xf numFmtId="164" fontId="31" fillId="29" borderId="0" xfId="83" applyFont="true" applyBorder="true" applyAlignment="true" applyProtection="false">
      <alignment horizontal="center" vertical="center" textRotation="0" wrapText="false" indent="0" shrinkToFit="false"/>
      <protection locked="true" hidden="false"/>
    </xf>
    <xf numFmtId="164" fontId="31" fillId="29" borderId="0" xfId="83" applyFont="true" applyBorder="false" applyAlignment="true" applyProtection="false">
      <alignment horizontal="general" vertical="center" textRotation="0" wrapText="false" indent="0" shrinkToFit="false"/>
      <protection locked="true" hidden="false"/>
    </xf>
    <xf numFmtId="164" fontId="46" fillId="29" borderId="10" xfId="83" applyFont="true" applyBorder="true" applyAlignment="true" applyProtection="false">
      <alignment horizontal="center" vertical="center" textRotation="0" wrapText="true" indent="0" shrinkToFit="false"/>
      <protection locked="true" hidden="false"/>
    </xf>
    <xf numFmtId="164" fontId="46" fillId="29" borderId="10" xfId="83" applyFont="true" applyBorder="true" applyAlignment="true" applyProtection="false">
      <alignment horizontal="left" vertical="center" textRotation="0" wrapText="true" indent="0" shrinkToFit="false"/>
      <protection locked="true" hidden="false"/>
    </xf>
    <xf numFmtId="164" fontId="46" fillId="29" borderId="0" xfId="83" applyFont="true" applyBorder="true" applyAlignment="true" applyProtection="false">
      <alignment horizontal="center" vertical="center" textRotation="0" wrapText="true" indent="0" shrinkToFit="false"/>
      <protection locked="true" hidden="false"/>
    </xf>
    <xf numFmtId="164" fontId="59" fillId="29" borderId="10" xfId="83" applyFont="true" applyBorder="true" applyAlignment="true" applyProtection="false">
      <alignment horizontal="center" vertical="center" textRotation="0" wrapText="true" indent="0" shrinkToFit="false"/>
      <protection locked="true" hidden="false"/>
    </xf>
    <xf numFmtId="170" fontId="59" fillId="29" borderId="10" xfId="83" applyFont="true" applyBorder="true" applyAlignment="true" applyProtection="false">
      <alignment horizontal="center" vertical="center" textRotation="0" wrapText="true" indent="0" shrinkToFit="false"/>
      <protection locked="true" hidden="false"/>
    </xf>
    <xf numFmtId="170" fontId="59" fillId="29" borderId="0" xfId="83" applyFont="true" applyBorder="true" applyAlignment="true" applyProtection="false">
      <alignment horizontal="center" vertical="center" textRotation="0" wrapText="true" indent="0" shrinkToFit="false"/>
      <protection locked="true" hidden="false"/>
    </xf>
    <xf numFmtId="164" fontId="60" fillId="29" borderId="0" xfId="83" applyFont="true" applyBorder="false" applyAlignment="true" applyProtection="false">
      <alignment horizontal="general" vertical="center" textRotation="0" wrapText="false" indent="0" shrinkToFit="false"/>
      <protection locked="true" hidden="false"/>
    </xf>
    <xf numFmtId="171" fontId="0" fillId="29" borderId="0" xfId="19" applyFont="true" applyBorder="true" applyAlignment="true" applyProtection="true">
      <alignment horizontal="general" vertical="center" textRotation="0" wrapText="false" indent="0" shrinkToFit="false"/>
      <protection locked="true" hidden="false"/>
    </xf>
    <xf numFmtId="164" fontId="61" fillId="29" borderId="10" xfId="83" applyFont="true" applyBorder="true" applyAlignment="true" applyProtection="false">
      <alignment horizontal="center" vertical="center" textRotation="0" wrapText="true" indent="0" shrinkToFit="false"/>
      <protection locked="true" hidden="false"/>
    </xf>
    <xf numFmtId="170" fontId="58" fillId="29" borderId="10" xfId="83" applyFont="true" applyBorder="true" applyAlignment="true" applyProtection="false">
      <alignment horizontal="center" vertical="center" textRotation="0" wrapText="true" indent="0" shrinkToFit="false"/>
      <protection locked="true" hidden="false"/>
    </xf>
    <xf numFmtId="164" fontId="48" fillId="29" borderId="10" xfId="83" applyFont="true" applyBorder="true" applyAlignment="true" applyProtection="false">
      <alignment horizontal="left" vertical="center" textRotation="0" wrapText="true" indent="0" shrinkToFit="false"/>
      <protection locked="true" hidden="false"/>
    </xf>
    <xf numFmtId="171" fontId="14" fillId="29" borderId="0" xfId="83" applyFont="true" applyBorder="false" applyAlignment="true" applyProtection="false">
      <alignment horizontal="general" vertical="center" textRotation="0" wrapText="false" indent="0" shrinkToFit="false"/>
      <protection locked="true" hidden="false"/>
    </xf>
    <xf numFmtId="164" fontId="48" fillId="29" borderId="10" xfId="83" applyFont="true" applyBorder="true" applyAlignment="true" applyProtection="false">
      <alignment horizontal="center" vertical="center" textRotation="0" wrapText="true" indent="0" shrinkToFit="false"/>
      <protection locked="true" hidden="false"/>
    </xf>
    <xf numFmtId="170" fontId="61" fillId="29" borderId="10" xfId="83" applyFont="true" applyBorder="true" applyAlignment="true" applyProtection="false">
      <alignment horizontal="center" vertical="center" textRotation="0" wrapText="true" indent="0" shrinkToFit="false"/>
      <protection locked="true" hidden="false"/>
    </xf>
    <xf numFmtId="164" fontId="62" fillId="29" borderId="0" xfId="83" applyFont="true" applyBorder="true" applyAlignment="true" applyProtection="false">
      <alignment horizontal="center" vertical="center" textRotation="0" wrapText="true" indent="0" shrinkToFit="false"/>
      <protection locked="true" hidden="false"/>
    </xf>
    <xf numFmtId="164" fontId="14" fillId="29" borderId="11" xfId="83" applyFont="true" applyBorder="true" applyAlignment="true" applyProtection="false">
      <alignment horizontal="left" vertical="center" textRotation="0" wrapText="false" indent="0" shrinkToFit="false"/>
      <protection locked="true" hidden="false"/>
    </xf>
    <xf numFmtId="164" fontId="14" fillId="29" borderId="0" xfId="83" applyFont="true" applyBorder="true" applyAlignment="true" applyProtection="false">
      <alignment horizontal="left" vertical="center" textRotation="0" wrapText="false" indent="0" shrinkToFit="false"/>
      <protection locked="true" hidden="false"/>
    </xf>
    <xf numFmtId="164" fontId="63" fillId="29" borderId="0" xfId="83" applyFont="true" applyBorder="false" applyAlignment="true" applyProtection="false">
      <alignment horizontal="general" vertical="center" textRotation="0" wrapText="false" indent="0" shrinkToFit="false"/>
      <protection locked="true" hidden="false"/>
    </xf>
    <xf numFmtId="164" fontId="64" fillId="29" borderId="12" xfId="83" applyFont="true" applyBorder="true" applyAlignment="true" applyProtection="false">
      <alignment horizontal="center" vertical="center" textRotation="0" wrapText="false" indent="0" shrinkToFit="false"/>
      <protection locked="true" hidden="false"/>
    </xf>
    <xf numFmtId="164" fontId="14" fillId="29" borderId="0" xfId="83" applyFont="true" applyBorder="false" applyAlignment="true" applyProtection="false">
      <alignment horizontal="center" vertical="center" textRotation="0" wrapText="false" indent="0" shrinkToFit="false"/>
      <protection locked="true" hidden="false"/>
    </xf>
    <xf numFmtId="164" fontId="63" fillId="29" borderId="0" xfId="83" applyFont="true" applyBorder="false" applyAlignment="true" applyProtection="false">
      <alignment horizontal="center" vertical="center" textRotation="0" wrapText="false" indent="0" shrinkToFit="false"/>
      <protection locked="true" hidden="false"/>
    </xf>
    <xf numFmtId="166" fontId="65" fillId="29" borderId="0" xfId="83" applyFont="true" applyBorder="false" applyAlignment="true" applyProtection="false">
      <alignment horizontal="general" vertical="center" textRotation="0" wrapText="false" indent="0" shrinkToFit="false"/>
      <protection locked="true" hidden="false"/>
    </xf>
    <xf numFmtId="177" fontId="14" fillId="29" borderId="0" xfId="83" applyFont="true" applyBorder="false" applyAlignment="true" applyProtection="false">
      <alignment horizontal="general" vertical="center" textRotation="0" wrapText="false" indent="0" shrinkToFit="false"/>
      <protection locked="true" hidden="false"/>
    </xf>
    <xf numFmtId="170" fontId="14" fillId="29" borderId="0" xfId="83" applyFont="true" applyBorder="false" applyAlignment="true" applyProtection="false">
      <alignment horizontal="general" vertical="center" textRotation="0" wrapText="false" indent="0" shrinkToFit="false"/>
      <protection locked="true" hidden="false"/>
    </xf>
    <xf numFmtId="170" fontId="65" fillId="29" borderId="0" xfId="83" applyFont="true" applyBorder="false" applyAlignment="true" applyProtection="false">
      <alignment horizontal="general" vertical="center" textRotation="0" wrapText="false" indent="0" shrinkToFit="false"/>
      <protection locked="true" hidden="false"/>
    </xf>
    <xf numFmtId="166" fontId="63" fillId="29" borderId="0" xfId="83" applyFont="true" applyBorder="fals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66" fillId="30" borderId="0" xfId="0" applyFont="true" applyBorder="false" applyAlignment="true" applyProtection="false">
      <alignment horizontal="general" vertical="center" textRotation="0" wrapText="false" indent="0" shrinkToFit="false"/>
      <protection locked="true" hidden="false"/>
    </xf>
    <xf numFmtId="164" fontId="67" fillId="0" borderId="0" xfId="0" applyFont="true" applyBorder="false" applyAlignment="true" applyProtection="false">
      <alignment horizontal="center" vertical="center" textRotation="0" wrapText="false" indent="0" shrinkToFit="false"/>
      <protection locked="true" hidden="false"/>
    </xf>
    <xf numFmtId="164" fontId="68" fillId="0" borderId="0" xfId="0" applyFont="true" applyBorder="false" applyAlignment="true" applyProtection="false">
      <alignment horizontal="center" vertical="center" textRotation="0" wrapText="false" indent="0" shrinkToFit="false"/>
      <protection locked="true" hidden="false"/>
    </xf>
    <xf numFmtId="164" fontId="69" fillId="26" borderId="0" xfId="0" applyFont="true" applyBorder="false" applyAlignment="true" applyProtection="false">
      <alignment horizontal="center" vertical="center" textRotation="0" wrapText="false" indent="0" shrinkToFit="false"/>
      <protection locked="true" hidden="false"/>
    </xf>
    <xf numFmtId="176" fontId="70" fillId="0" borderId="0" xfId="0" applyFont="true" applyBorder="false" applyAlignment="true" applyProtection="false">
      <alignment horizontal="left" vertical="center" textRotation="0" wrapText="false" indent="0" shrinkToFit="false"/>
      <protection locked="true" hidden="false"/>
    </xf>
    <xf numFmtId="176" fontId="70" fillId="0" borderId="0" xfId="0" applyFont="true" applyBorder="false" applyAlignment="true" applyProtection="false">
      <alignment horizontal="center" vertical="center" textRotation="0" wrapText="false" indent="0" shrinkToFit="false"/>
      <protection locked="true" hidden="false"/>
    </xf>
    <xf numFmtId="176" fontId="71" fillId="0" borderId="0" xfId="0" applyFont="true" applyBorder="false" applyAlignment="true" applyProtection="false">
      <alignment horizontal="general" vertical="center" textRotation="0" wrapText="false" indent="0" shrinkToFit="false"/>
      <protection locked="true" hidden="false"/>
    </xf>
    <xf numFmtId="169" fontId="70" fillId="0" borderId="0" xfId="0" applyFont="true" applyBorder="false" applyAlignment="true" applyProtection="false">
      <alignment horizontal="left" vertical="center" textRotation="0" wrapText="false" indent="0" shrinkToFit="false"/>
      <protection locked="true" hidden="false"/>
    </xf>
    <xf numFmtId="169" fontId="70" fillId="0" borderId="0" xfId="0" applyFont="true" applyBorder="false" applyAlignment="true" applyProtection="false">
      <alignment horizontal="center" vertical="center" textRotation="0" wrapText="false" indent="0" shrinkToFit="false"/>
      <protection locked="true" hidden="false"/>
    </xf>
    <xf numFmtId="169" fontId="71" fillId="0" borderId="0" xfId="0" applyFont="true" applyBorder="false" applyAlignment="true" applyProtection="false">
      <alignment horizontal="general" vertical="center" textRotation="0" wrapText="false" indent="0" shrinkToFit="false"/>
      <protection locked="true" hidden="false"/>
    </xf>
    <xf numFmtId="170" fontId="70" fillId="0" borderId="0" xfId="0" applyFont="true" applyBorder="false" applyAlignment="true" applyProtection="false">
      <alignment horizontal="left" vertical="center" textRotation="0" wrapText="false" indent="0" shrinkToFit="false"/>
      <protection locked="true" hidden="false"/>
    </xf>
    <xf numFmtId="170" fontId="70" fillId="0" borderId="0" xfId="0" applyFont="true" applyBorder="false" applyAlignment="true" applyProtection="false">
      <alignment horizontal="center" vertical="center" textRotation="0" wrapText="false" indent="0" shrinkToFit="false"/>
      <protection locked="true" hidden="false"/>
    </xf>
    <xf numFmtId="170" fontId="71" fillId="0" borderId="0" xfId="0" applyFont="true" applyBorder="false" applyAlignment="true" applyProtection="false">
      <alignment horizontal="general" vertical="center" textRotation="0" wrapText="false" indent="0" shrinkToFit="false"/>
      <protection locked="true" hidden="false"/>
    </xf>
    <xf numFmtId="176" fontId="72" fillId="31" borderId="0" xfId="0" applyFont="true" applyBorder="false" applyAlignment="true" applyProtection="false">
      <alignment horizontal="left" vertical="center" textRotation="0" wrapText="false" indent="0" shrinkToFit="false"/>
      <protection locked="true" hidden="false"/>
    </xf>
    <xf numFmtId="176" fontId="72" fillId="31" borderId="0" xfId="0" applyFont="true" applyBorder="false" applyAlignment="true" applyProtection="false">
      <alignment horizontal="center" vertical="center" textRotation="0" wrapText="false" indent="0" shrinkToFit="false"/>
      <protection locked="true" hidden="false"/>
    </xf>
    <xf numFmtId="176" fontId="73" fillId="31" borderId="0" xfId="0" applyFont="true" applyBorder="false" applyAlignment="true" applyProtection="false">
      <alignment horizontal="center" vertical="center" textRotation="0" wrapText="false" indent="0" shrinkToFit="false"/>
      <protection locked="true" hidden="false"/>
    </xf>
    <xf numFmtId="176" fontId="71" fillId="31" borderId="0" xfId="0" applyFont="true" applyBorder="false" applyAlignment="true" applyProtection="false">
      <alignment horizontal="general" vertical="center" textRotation="0" wrapText="false" indent="0" shrinkToFit="false"/>
      <protection locked="true" hidden="false"/>
    </xf>
    <xf numFmtId="176" fontId="66" fillId="30" borderId="0" xfId="0" applyFont="true" applyBorder="false" applyAlignment="true" applyProtection="false">
      <alignment horizontal="general" vertical="center" textRotation="0" wrapText="false" indent="0" shrinkToFit="false"/>
      <protection locked="true" hidden="false"/>
    </xf>
    <xf numFmtId="164" fontId="70" fillId="32" borderId="0" xfId="0" applyFont="true" applyBorder="false" applyAlignment="true" applyProtection="false">
      <alignment horizontal="left" vertical="center" textRotation="0" wrapText="false" indent="0" shrinkToFit="false"/>
      <protection locked="true" hidden="false"/>
    </xf>
    <xf numFmtId="164" fontId="70" fillId="32" borderId="0" xfId="0" applyFont="true" applyBorder="false" applyAlignment="true" applyProtection="false">
      <alignment horizontal="center" vertical="center" textRotation="0" wrapText="false" indent="0" shrinkToFit="false"/>
      <protection locked="true" hidden="false"/>
    </xf>
    <xf numFmtId="164" fontId="70" fillId="20" borderId="0" xfId="0" applyFont="true" applyBorder="false" applyAlignment="true" applyProtection="false">
      <alignment horizontal="center" vertical="center" textRotation="0" wrapText="false" indent="0" shrinkToFit="false"/>
      <protection locked="true" hidden="false"/>
    </xf>
    <xf numFmtId="164" fontId="71" fillId="32" borderId="0" xfId="0" applyFont="true" applyBorder="false" applyAlignment="true" applyProtection="false">
      <alignment horizontal="general" vertical="center" textRotation="0" wrapText="false" indent="0" shrinkToFit="false"/>
      <protection locked="true" hidden="false"/>
    </xf>
    <xf numFmtId="164" fontId="0" fillId="30" borderId="0" xfId="0" applyFont="true" applyBorder="false" applyAlignment="true" applyProtection="false">
      <alignment horizontal="general" vertical="center" textRotation="0" wrapText="false" indent="0" shrinkToFit="false"/>
      <protection locked="true" hidden="false"/>
    </xf>
    <xf numFmtId="166" fontId="70" fillId="31" borderId="0" xfId="0" applyFont="true" applyBorder="false" applyAlignment="true" applyProtection="false">
      <alignment horizontal="left" vertical="center" textRotation="0" wrapText="false" indent="0" shrinkToFit="false"/>
      <protection locked="true" hidden="false"/>
    </xf>
    <xf numFmtId="166" fontId="70" fillId="31" borderId="0" xfId="0" applyFont="true" applyBorder="false" applyAlignment="true" applyProtection="false">
      <alignment horizontal="center" vertical="center" textRotation="0" wrapText="false" indent="0" shrinkToFit="false"/>
      <protection locked="true" hidden="false"/>
    </xf>
    <xf numFmtId="166" fontId="71" fillId="31" borderId="0" xfId="0" applyFont="true" applyBorder="false" applyAlignment="true" applyProtection="false">
      <alignment horizontal="general" vertical="center" textRotation="0" wrapText="false" indent="0" shrinkToFit="false"/>
      <protection locked="true" hidden="false"/>
    </xf>
    <xf numFmtId="166" fontId="70" fillId="0" borderId="0" xfId="0" applyFont="true" applyBorder="false" applyAlignment="true" applyProtection="false">
      <alignment horizontal="left" vertical="center" textRotation="0" wrapText="false" indent="0" shrinkToFit="false"/>
      <protection locked="true" hidden="false"/>
    </xf>
    <xf numFmtId="166" fontId="70" fillId="0" borderId="0" xfId="0" applyFont="true" applyBorder="false" applyAlignment="true" applyProtection="false">
      <alignment horizontal="center" vertical="center" textRotation="0" wrapText="false" indent="0" shrinkToFit="false"/>
      <protection locked="true" hidden="false"/>
    </xf>
    <xf numFmtId="166" fontId="71" fillId="0" borderId="0" xfId="0" applyFont="true" applyBorder="false" applyAlignment="true" applyProtection="false">
      <alignment horizontal="general" vertical="center" textRotation="0" wrapText="false" indent="0" shrinkToFit="false"/>
      <protection locked="true" hidden="false"/>
    </xf>
    <xf numFmtId="170" fontId="74" fillId="0" borderId="0" xfId="0" applyFont="true" applyBorder="false" applyAlignment="true" applyProtection="false">
      <alignment horizontal="center" vertical="center" textRotation="0" wrapText="false" indent="0" shrinkToFit="false"/>
      <protection locked="true" hidden="false"/>
    </xf>
    <xf numFmtId="170" fontId="0" fillId="0" borderId="0" xfId="0" applyFont="true" applyBorder="false" applyAlignment="true" applyProtection="false">
      <alignment horizontal="general" vertical="center" textRotation="0" wrapText="false" indent="0" shrinkToFit="false"/>
      <protection locked="true" hidden="false"/>
    </xf>
    <xf numFmtId="170" fontId="66" fillId="30" borderId="0" xfId="0" applyFont="true" applyBorder="false" applyAlignment="true" applyProtection="false">
      <alignment horizontal="general" vertical="center" textRotation="0" wrapText="false" indent="0" shrinkToFit="false"/>
      <protection locked="true" hidden="false"/>
    </xf>
    <xf numFmtId="166" fontId="74" fillId="0" borderId="0" xfId="0" applyFont="true" applyBorder="false" applyAlignment="true" applyProtection="false">
      <alignment horizontal="left" vertical="center" textRotation="0" wrapText="false" indent="0" shrinkToFit="false"/>
      <protection locked="true" hidden="false"/>
    </xf>
    <xf numFmtId="166" fontId="75" fillId="0" borderId="0" xfId="0" applyFont="true" applyBorder="false" applyAlignment="true" applyProtection="false">
      <alignment horizontal="center" vertical="center" textRotation="0" wrapText="false" indent="0" shrinkToFit="false"/>
      <protection locked="true" hidden="false"/>
    </xf>
    <xf numFmtId="166" fontId="74" fillId="0" borderId="0" xfId="0" applyFont="true" applyBorder="false" applyAlignment="true" applyProtection="false">
      <alignment horizontal="center" vertical="center" textRotation="0" wrapText="false" indent="0" shrinkToFit="false"/>
      <protection locked="true" hidden="false"/>
    </xf>
    <xf numFmtId="166" fontId="0" fillId="0" borderId="0" xfId="0" applyFont="true" applyBorder="false" applyAlignment="true" applyProtection="false">
      <alignment horizontal="general" vertical="center" textRotation="0" wrapText="false" indent="0" shrinkToFit="false"/>
      <protection locked="true" hidden="false"/>
    </xf>
    <xf numFmtId="166" fontId="66" fillId="30" borderId="0" xfId="0" applyFont="true" applyBorder="false" applyAlignment="true" applyProtection="false">
      <alignment horizontal="general" vertical="center" textRotation="0" wrapText="false" indent="0" shrinkToFit="false"/>
      <protection locked="true" hidden="false"/>
    </xf>
    <xf numFmtId="169" fontId="74" fillId="0" borderId="0" xfId="0" applyFont="true" applyBorder="false" applyAlignment="true" applyProtection="false">
      <alignment horizontal="left" vertical="center" textRotation="0" wrapText="false" indent="0" shrinkToFit="false"/>
      <protection locked="true" hidden="false"/>
    </xf>
    <xf numFmtId="169" fontId="75" fillId="0" borderId="0" xfId="0" applyFont="true" applyBorder="false" applyAlignment="true" applyProtection="false">
      <alignment horizontal="center" vertical="center" textRotation="0" wrapText="false" indent="0" shrinkToFit="false"/>
      <protection locked="true" hidden="false"/>
    </xf>
    <xf numFmtId="169" fontId="74" fillId="0" borderId="0" xfId="0" applyFont="true" applyBorder="false" applyAlignment="true" applyProtection="false">
      <alignment horizontal="center" vertical="center" textRotation="0" wrapText="false" indent="0" shrinkToFit="false"/>
      <protection locked="true" hidden="false"/>
    </xf>
    <xf numFmtId="169" fontId="0" fillId="0" borderId="0" xfId="0" applyFont="true" applyBorder="false" applyAlignment="true" applyProtection="false">
      <alignment horizontal="general" vertical="center" textRotation="0" wrapText="false" indent="0" shrinkToFit="false"/>
      <protection locked="true" hidden="false"/>
    </xf>
    <xf numFmtId="169" fontId="66" fillId="30" borderId="0" xfId="0" applyFont="true" applyBorder="false" applyAlignment="true" applyProtection="false">
      <alignment horizontal="general" vertical="center" textRotation="0" wrapText="false" indent="0" shrinkToFit="false"/>
      <protection locked="true" hidden="false"/>
    </xf>
    <xf numFmtId="170" fontId="74" fillId="0" borderId="0" xfId="0" applyFont="true" applyBorder="false" applyAlignment="true" applyProtection="false">
      <alignment horizontal="left" vertical="center" textRotation="0" wrapText="false" indent="0" shrinkToFit="false"/>
      <protection locked="true" hidden="false"/>
    </xf>
    <xf numFmtId="170" fontId="75" fillId="0" borderId="0" xfId="0" applyFont="true" applyBorder="false" applyAlignment="true" applyProtection="false">
      <alignment horizontal="center" vertical="center" textRotation="0" wrapText="false" indent="0" shrinkToFit="false"/>
      <protection locked="true" hidden="false"/>
    </xf>
    <xf numFmtId="178" fontId="0" fillId="0" borderId="0" xfId="0" applyFont="true" applyBorder="false" applyAlignment="true" applyProtection="false">
      <alignment horizontal="general" vertical="center" textRotation="0" wrapText="false" indent="0" shrinkToFit="false"/>
      <protection locked="true" hidden="false"/>
    </xf>
    <xf numFmtId="164" fontId="14" fillId="0" borderId="0" xfId="167" applyFont="true" applyBorder="false" applyAlignment="true" applyProtection="false">
      <alignment horizontal="general" vertical="center" textRotation="0" wrapText="false" indent="0" shrinkToFit="false"/>
      <protection locked="true" hidden="false"/>
    </xf>
    <xf numFmtId="164" fontId="74" fillId="0" borderId="0" xfId="0" applyFont="true" applyBorder="false" applyAlignment="true" applyProtection="false">
      <alignment horizontal="left" vertical="center" textRotation="0" wrapText="false" indent="0" shrinkToFit="false"/>
      <protection locked="true" hidden="false"/>
    </xf>
    <xf numFmtId="164" fontId="74" fillId="0" borderId="0" xfId="0" applyFont="true" applyBorder="false" applyAlignment="true" applyProtection="false">
      <alignment horizontal="center" vertical="center" textRotation="0" wrapText="false" indent="0" shrinkToFit="false"/>
      <protection locked="true" hidden="false"/>
    </xf>
    <xf numFmtId="164" fontId="71" fillId="0" borderId="0" xfId="0" applyFont="true" applyBorder="false" applyAlignment="true" applyProtection="false">
      <alignment horizontal="general" vertical="center" textRotation="0" wrapText="false" indent="0" shrinkToFit="false"/>
      <protection locked="true" hidden="false"/>
    </xf>
    <xf numFmtId="176" fontId="71" fillId="0" borderId="0" xfId="0" applyFont="true" applyBorder="false" applyAlignment="true" applyProtection="false">
      <alignment horizontal="general" vertical="center" textRotation="0" wrapText="false" indent="0" shrinkToFit="false"/>
      <protection locked="true" hidden="false"/>
    </xf>
    <xf numFmtId="179" fontId="0" fillId="0" borderId="0" xfId="0" applyFont="true" applyBorder="false" applyAlignment="true" applyProtection="false">
      <alignment horizontal="general" vertical="center" textRotation="0" wrapText="false" indent="0" shrinkToFit="false"/>
      <protection locked="true" hidden="false"/>
    </xf>
    <xf numFmtId="179" fontId="76" fillId="0" borderId="0" xfId="0" applyFont="true" applyBorder="false" applyAlignment="true" applyProtection="false">
      <alignment horizontal="general" vertical="center" textRotation="0" wrapText="false" indent="0" shrinkToFit="false"/>
      <protection locked="true" hidden="false"/>
    </xf>
    <xf numFmtId="164" fontId="70" fillId="0" borderId="0" xfId="150" applyFont="true" applyBorder="false" applyAlignment="true" applyProtection="false">
      <alignment horizontal="left" vertical="center" textRotation="0" wrapText="false" indent="0" shrinkToFit="false"/>
      <protection locked="true" hidden="false"/>
    </xf>
    <xf numFmtId="164" fontId="77" fillId="0" borderId="0" xfId="150" applyFont="true" applyBorder="false" applyAlignment="true" applyProtection="false">
      <alignment horizontal="center" vertical="center" textRotation="0" wrapText="false" indent="0" shrinkToFit="false"/>
      <protection locked="true" hidden="false"/>
    </xf>
    <xf numFmtId="164" fontId="70" fillId="0" borderId="0" xfId="15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78" fillId="0" borderId="0" xfId="150" applyFont="true" applyBorder="false" applyAlignment="true" applyProtection="false">
      <alignment horizontal="center" vertical="center" textRotation="0" wrapText="false" indent="0" shrinkToFit="false"/>
      <protection locked="true" hidden="false"/>
    </xf>
    <xf numFmtId="164" fontId="14" fillId="33" borderId="0" xfId="0" applyFont="true" applyBorder="false" applyAlignment="true" applyProtection="false">
      <alignment horizontal="general" vertical="center" textRotation="0" wrapText="false" indent="0" shrinkToFit="false"/>
      <protection locked="true" hidden="false"/>
    </xf>
    <xf numFmtId="164" fontId="71" fillId="33" borderId="0" xfId="0" applyFont="true" applyBorder="false" applyAlignment="true" applyProtection="false">
      <alignment horizontal="general" vertical="center" textRotation="0" wrapText="false" indent="0" shrinkToFit="false"/>
      <protection locked="true" hidden="false"/>
    </xf>
    <xf numFmtId="166" fontId="71" fillId="33" borderId="0" xfId="0" applyFont="true" applyBorder="false" applyAlignment="true" applyProtection="false">
      <alignment horizontal="general" vertical="center" textRotation="0" wrapText="false" indent="0" shrinkToFit="false"/>
      <protection locked="true" hidden="false"/>
    </xf>
    <xf numFmtId="179" fontId="0" fillId="33" borderId="0" xfId="0" applyFont="true" applyBorder="false" applyAlignment="true" applyProtection="false">
      <alignment horizontal="general" vertical="center" textRotation="0" wrapText="false" indent="0" shrinkToFit="false"/>
      <protection locked="true" hidden="false"/>
    </xf>
    <xf numFmtId="179" fontId="79" fillId="33" borderId="0" xfId="0" applyFont="true" applyBorder="fals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false" indent="0" shrinkToFit="false"/>
      <protection locked="true" hidden="false"/>
    </xf>
    <xf numFmtId="164" fontId="71" fillId="0" borderId="0" xfId="0" applyFont="true" applyBorder="false" applyAlignment="true" applyProtection="false">
      <alignment horizontal="left" vertical="center" textRotation="0" wrapText="false" indent="0" shrinkToFit="false"/>
      <protection locked="true" hidden="false"/>
    </xf>
    <xf numFmtId="164" fontId="71" fillId="26" borderId="0" xfId="0" applyFont="true" applyBorder="false" applyAlignment="true" applyProtection="false">
      <alignment horizontal="left" vertical="center" textRotation="0" wrapText="false" indent="0" shrinkToFit="false"/>
      <protection locked="true" hidden="false"/>
    </xf>
    <xf numFmtId="171" fontId="71" fillId="26" borderId="0" xfId="0" applyFont="true" applyBorder="false" applyAlignment="true" applyProtection="false">
      <alignment horizontal="general" vertical="center" textRotation="0" wrapText="false" indent="0" shrinkToFit="false"/>
      <protection locked="true" hidden="false"/>
    </xf>
    <xf numFmtId="164" fontId="80" fillId="0" borderId="0" xfId="0" applyFont="true" applyBorder="false" applyAlignment="true" applyProtection="false">
      <alignment horizontal="left" vertical="center" textRotation="0" wrapText="false" indent="0" shrinkToFit="false"/>
      <protection locked="true" hidden="false"/>
    </xf>
    <xf numFmtId="164" fontId="80" fillId="0" borderId="0" xfId="0" applyFont="true" applyBorder="false" applyAlignment="true" applyProtection="false">
      <alignment horizontal="general" vertical="center" textRotation="0" wrapText="false" indent="0" shrinkToFit="false"/>
      <protection locked="true" hidden="false"/>
    </xf>
    <xf numFmtId="164" fontId="23" fillId="0" borderId="0" xfId="0" applyFont="true" applyBorder="false" applyAlignment="true" applyProtection="false">
      <alignment horizontal="general" vertical="center" textRotation="0" wrapText="false" indent="0" shrinkToFit="false"/>
      <protection locked="true" hidden="false"/>
    </xf>
    <xf numFmtId="164" fontId="80" fillId="34" borderId="0" xfId="0" applyFont="true" applyBorder="false" applyAlignment="true" applyProtection="false">
      <alignment horizontal="general" vertical="center" textRotation="0" wrapText="false" indent="0" shrinkToFit="false"/>
      <protection locked="true" hidden="false"/>
    </xf>
    <xf numFmtId="164" fontId="30"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false" applyProtection="false">
      <alignment horizontal="general" vertical="center" textRotation="0" wrapText="false" indent="0" shrinkToFit="false"/>
      <protection locked="true" hidden="false"/>
    </xf>
    <xf numFmtId="164" fontId="14" fillId="0" borderId="0" xfId="168" applyFont="true" applyBorder="true" applyAlignment="false" applyProtection="false">
      <alignment horizontal="general" vertical="bottom" textRotation="0" wrapText="false" indent="0" shrinkToFit="false"/>
      <protection locked="true" hidden="false"/>
    </xf>
    <xf numFmtId="171" fontId="0" fillId="0" borderId="0" xfId="168" applyFont="true" applyBorder="false" applyAlignment="false" applyProtection="false">
      <alignment horizontal="general" vertical="bottom" textRotation="0" wrapText="false" indent="0" shrinkToFit="false"/>
      <protection locked="true" hidden="false"/>
    </xf>
    <xf numFmtId="171" fontId="0" fillId="0" borderId="0" xfId="168" applyFont="true" applyBorder="false" applyAlignment="true" applyProtection="false">
      <alignment horizontal="center" vertical="bottom" textRotation="0" wrapText="false" indent="0" shrinkToFit="false"/>
      <protection locked="true" hidden="false"/>
    </xf>
    <xf numFmtId="170" fontId="0" fillId="0" borderId="0" xfId="0" applyFont="false" applyBorder="false" applyAlignment="true" applyProtection="false">
      <alignment horizontal="center" vertical="center" textRotation="0" wrapText="false" indent="0" shrinkToFit="false"/>
      <protection locked="true" hidden="false"/>
    </xf>
    <xf numFmtId="164" fontId="14" fillId="0" borderId="0" xfId="168" applyFont="true" applyBorder="true" applyAlignment="false" applyProtection="false">
      <alignment horizontal="general" vertical="bottom" textRotation="0" wrapText="false" indent="0" shrinkToFit="false"/>
      <protection locked="true" hidden="false"/>
    </xf>
    <xf numFmtId="170" fontId="10" fillId="0" borderId="0" xfId="89" applyFont="true" applyBorder="true" applyAlignment="true" applyProtection="true">
      <alignment horizontal="center" vertical="center" textRotation="0" wrapText="false" indent="0" shrinkToFit="false"/>
      <protection locked="false" hidden="false"/>
    </xf>
    <xf numFmtId="170" fontId="23" fillId="0" borderId="0" xfId="89" applyFont="true" applyBorder="true" applyAlignment="true" applyProtection="true">
      <alignment horizontal="center" vertical="center" textRotation="0" wrapText="false" indent="0" shrinkToFit="false"/>
      <protection locked="false" hidden="false"/>
    </xf>
    <xf numFmtId="170" fontId="55" fillId="0" borderId="0" xfId="89" applyFont="true" applyBorder="true" applyAlignment="true" applyProtection="true">
      <alignment horizontal="center" vertical="center" textRotation="0" wrapText="false" indent="0" shrinkToFit="false"/>
      <protection locked="false" hidden="false"/>
    </xf>
    <xf numFmtId="170" fontId="31" fillId="26" borderId="0" xfId="0" applyFont="true" applyBorder="false" applyAlignment="true" applyProtection="false">
      <alignment horizontal="center" vertical="center" textRotation="0" wrapText="false" indent="0" shrinkToFit="false"/>
      <protection locked="true" hidden="false"/>
    </xf>
    <xf numFmtId="180" fontId="0" fillId="0" borderId="0" xfId="0" applyFont="false" applyBorder="false" applyAlignment="true" applyProtection="false">
      <alignment horizontal="center" vertical="center" textRotation="0" wrapText="false" indent="0" shrinkToFit="false"/>
      <protection locked="true" hidden="false"/>
    </xf>
    <xf numFmtId="181" fontId="0" fillId="0" borderId="0" xfId="0" applyFont="false" applyBorder="false" applyAlignment="true" applyProtection="false">
      <alignment horizontal="general" vertical="center" textRotation="0" wrapText="false" indent="0" shrinkToFit="false"/>
      <protection locked="true" hidden="false"/>
    </xf>
    <xf numFmtId="164" fontId="31" fillId="26" borderId="0" xfId="0" applyFont="true" applyBorder="false" applyAlignment="true" applyProtection="false">
      <alignment horizontal="general" vertical="center" textRotation="0" wrapText="false" indent="0" shrinkToFit="false"/>
      <protection locked="true" hidden="false"/>
    </xf>
    <xf numFmtId="181" fontId="14" fillId="0" borderId="0" xfId="0" applyFont="true" applyBorder="false" applyAlignment="true" applyProtection="false">
      <alignment horizontal="general" vertical="center" textRotation="0" wrapText="false" indent="0" shrinkToFit="false"/>
      <protection locked="true" hidden="false"/>
    </xf>
    <xf numFmtId="164" fontId="64" fillId="0" borderId="0" xfId="0" applyFont="true" applyBorder="false" applyAlignment="true" applyProtection="false">
      <alignment horizontal="center" vertical="center" textRotation="0" wrapText="false" indent="0" shrinkToFit="false"/>
      <protection locked="true" hidden="false"/>
    </xf>
    <xf numFmtId="166" fontId="0" fillId="0" borderId="0" xfId="0" applyFont="false" applyBorder="false" applyAlignment="true" applyProtection="false">
      <alignment horizontal="center" vertical="center" textRotation="0" wrapText="false" indent="0" shrinkToFit="false"/>
      <protection locked="true" hidden="false"/>
    </xf>
    <xf numFmtId="168" fontId="0" fillId="0" borderId="0" xfId="0" applyFont="false" applyBorder="false" applyAlignment="true" applyProtection="false">
      <alignment horizontal="center" vertical="center" textRotation="0" wrapText="false" indent="0" shrinkToFit="false"/>
      <protection locked="true" hidden="false"/>
    </xf>
    <xf numFmtId="169" fontId="10" fillId="0" borderId="0" xfId="89" applyFont="true" applyBorder="true" applyAlignment="true" applyProtection="true">
      <alignment horizontal="center" vertical="center" textRotation="0" wrapText="false" indent="0" shrinkToFit="false"/>
      <protection locked="false" hidden="false"/>
    </xf>
    <xf numFmtId="173" fontId="10" fillId="0" borderId="0" xfId="19" applyFont="true" applyBorder="true" applyAlignment="true" applyProtection="true">
      <alignment horizontal="center" vertical="center" textRotation="0" wrapText="false" indent="0" shrinkToFit="false"/>
      <protection locked="fals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14" fillId="0" borderId="10" xfId="0" applyFont="true" applyBorder="true" applyAlignment="true" applyProtection="false">
      <alignment horizontal="general" vertical="center" textRotation="0" wrapText="false" indent="0" shrinkToFit="false"/>
      <protection locked="true" hidden="false"/>
    </xf>
    <xf numFmtId="164" fontId="14" fillId="0" borderId="10" xfId="0" applyFont="true" applyBorder="true" applyAlignment="true" applyProtection="false">
      <alignment horizontal="center" vertical="center" textRotation="0" wrapText="false" indent="0" shrinkToFit="false"/>
      <protection locked="true" hidden="false"/>
    </xf>
    <xf numFmtId="164" fontId="14" fillId="0" borderId="13" xfId="0" applyFont="true" applyBorder="true" applyAlignment="true" applyProtection="false">
      <alignment horizontal="center" vertical="center" textRotation="0" wrapText="false" indent="0" shrinkToFit="false"/>
      <protection locked="true" hidden="false"/>
    </xf>
    <xf numFmtId="164" fontId="14" fillId="0" borderId="14" xfId="0" applyFont="true" applyBorder="true" applyAlignment="true" applyProtection="false">
      <alignment horizontal="center" vertical="center" textRotation="0" wrapText="false" indent="0" shrinkToFit="false"/>
      <protection locked="true" hidden="false"/>
    </xf>
    <xf numFmtId="164" fontId="0" fillId="0" borderId="10" xfId="0" applyFont="false" applyBorder="true" applyAlignment="true" applyProtection="false">
      <alignment horizontal="center" vertical="center" textRotation="0" wrapText="false" indent="0" shrinkToFit="false"/>
      <protection locked="true" hidden="false"/>
    </xf>
    <xf numFmtId="164" fontId="0" fillId="27" borderId="10" xfId="0" applyFont="false" applyBorder="true" applyAlignment="true" applyProtection="false">
      <alignment horizontal="center" vertical="center" textRotation="0" wrapText="false" indent="0" shrinkToFit="false"/>
      <protection locked="true" hidden="false"/>
    </xf>
    <xf numFmtId="164" fontId="14" fillId="0" borderId="0" xfId="0" applyFont="true" applyBorder="false" applyAlignment="true" applyProtection="false">
      <alignment horizontal="center" vertical="center" textRotation="0" wrapText="false" indent="0" shrinkToFit="false"/>
      <protection locked="true" hidden="false"/>
    </xf>
    <xf numFmtId="164" fontId="14" fillId="0" borderId="0" xfId="0" applyFont="true" applyBorder="true" applyAlignment="true" applyProtection="false">
      <alignment horizontal="center" vertical="center" textRotation="0" wrapText="false" indent="0" shrinkToFit="false"/>
      <protection locked="true" hidden="false"/>
    </xf>
    <xf numFmtId="164" fontId="0" fillId="35" borderId="10" xfId="0" applyFont="fals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center" vertical="center" textRotation="0" wrapText="false" indent="0" shrinkToFit="false"/>
      <protection locked="true" hidden="false"/>
    </xf>
    <xf numFmtId="164" fontId="0" fillId="0" borderId="10" xfId="168" applyFont="true" applyBorder="true" applyAlignment="false" applyProtection="false">
      <alignment horizontal="general" vertical="bottom" textRotation="0" wrapText="false" indent="0" shrinkToFit="false"/>
      <protection locked="true" hidden="false"/>
    </xf>
    <xf numFmtId="168" fontId="30" fillId="0" borderId="0" xfId="168" applyFont="true" applyBorder="true" applyAlignment="true" applyProtection="false">
      <alignment horizontal="center" vertical="bottom" textRotation="0" wrapText="false" indent="0" shrinkToFit="false"/>
      <protection locked="true" hidden="false"/>
    </xf>
    <xf numFmtId="168" fontId="30" fillId="0" borderId="13" xfId="168" applyFont="true" applyBorder="true" applyAlignment="true" applyProtection="false">
      <alignment horizontal="center" vertical="bottom" textRotation="0" wrapText="false" indent="0" shrinkToFit="false"/>
      <protection locked="true" hidden="false"/>
    </xf>
    <xf numFmtId="164" fontId="0" fillId="0" borderId="10" xfId="168" applyFont="true" applyBorder="true" applyAlignment="false" applyProtection="false">
      <alignment horizontal="general" vertical="bottom" textRotation="0" wrapText="false" indent="0" shrinkToFit="false"/>
      <protection locked="true" hidden="false"/>
    </xf>
    <xf numFmtId="170" fontId="0" fillId="27" borderId="10" xfId="0" applyFont="fals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center" vertical="center" textRotation="0" wrapText="false" indent="0" shrinkToFit="false"/>
      <protection locked="true" hidden="false"/>
    </xf>
    <xf numFmtId="170" fontId="0" fillId="0" borderId="0" xfId="0" applyFont="fals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70" fontId="0" fillId="0" borderId="10" xfId="0" applyFont="false" applyBorder="true" applyAlignment="true" applyProtection="false">
      <alignment horizontal="center" vertical="center" textRotation="0" wrapText="false" indent="0" shrinkToFit="false"/>
      <protection locked="true" hidden="false"/>
    </xf>
    <xf numFmtId="164" fontId="0" fillId="26" borderId="10" xfId="168" applyFont="true" applyBorder="true" applyAlignment="true" applyProtection="false">
      <alignment horizontal="left" vertical="bottom" textRotation="0" wrapText="false" indent="0" shrinkToFit="false"/>
      <protection locked="true" hidden="false"/>
    </xf>
    <xf numFmtId="177" fontId="0" fillId="26" borderId="0" xfId="0" applyFont="false" applyBorder="false" applyAlignment="true" applyProtection="false">
      <alignment horizontal="center" vertical="center" textRotation="0" wrapText="false" indent="0" shrinkToFit="false"/>
      <protection locked="true" hidden="false"/>
    </xf>
    <xf numFmtId="177" fontId="0" fillId="26" borderId="13" xfId="0" applyFont="false" applyBorder="true" applyAlignment="true" applyProtection="false">
      <alignment horizontal="center" vertical="center" textRotation="0" wrapText="false" indent="0" shrinkToFit="false"/>
      <protection locked="true" hidden="false"/>
    </xf>
    <xf numFmtId="177" fontId="0" fillId="0" borderId="0" xfId="0" applyFont="fals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14" fillId="0" borderId="10" xfId="168" applyFont="true" applyBorder="true" applyAlignment="false" applyProtection="false">
      <alignment horizontal="general" vertical="bottom" textRotation="0" wrapText="false" indent="0" shrinkToFit="false"/>
      <protection locked="true" hidden="false"/>
    </xf>
    <xf numFmtId="182" fontId="0" fillId="0" borderId="0" xfId="0" applyFont="false" applyBorder="false" applyAlignment="true" applyProtection="false">
      <alignment horizontal="center" vertical="center" textRotation="0" wrapText="false" indent="0" shrinkToFit="false"/>
      <protection locked="true" hidden="false"/>
    </xf>
    <xf numFmtId="164" fontId="14" fillId="0" borderId="0" xfId="0" applyFont="true" applyBorder="true" applyAlignment="true" applyProtection="false">
      <alignment horizontal="general" vertical="center" textRotation="0" wrapText="false" indent="0" shrinkToFit="false"/>
      <protection locked="true" hidden="false"/>
    </xf>
    <xf numFmtId="164" fontId="0" fillId="0" borderId="0" xfId="168" applyFont="true" applyBorder="true" applyAlignment="false" applyProtection="false">
      <alignment horizontal="general" vertical="bottom" textRotation="0" wrapText="false" indent="0" shrinkToFit="false"/>
      <protection locked="true" hidden="false"/>
    </xf>
    <xf numFmtId="164" fontId="14" fillId="0" borderId="0" xfId="168" applyFont="true" applyBorder="true" applyAlignment="true" applyProtection="false">
      <alignment horizontal="center" vertical="bottom" textRotation="0" wrapText="false" indent="0" shrinkToFit="false"/>
      <protection locked="true" hidden="false"/>
    </xf>
    <xf numFmtId="171" fontId="0" fillId="0" borderId="0" xfId="168" applyFont="true" applyBorder="true" applyAlignment="true" applyProtection="false">
      <alignment horizontal="center" vertical="bottom" textRotation="0" wrapText="true" indent="0" shrinkToFit="false"/>
      <protection locked="true" hidden="false"/>
    </xf>
    <xf numFmtId="164" fontId="83" fillId="0" borderId="0" xfId="168" applyFont="true" applyBorder="true" applyAlignment="true" applyProtection="false">
      <alignment horizontal="left" vertical="bottom" textRotation="0" wrapText="false" indent="0" shrinkToFit="false"/>
      <protection locked="true" hidden="false"/>
    </xf>
    <xf numFmtId="169" fontId="85" fillId="0" borderId="0" xfId="89" applyFont="true" applyBorder="true" applyAlignment="true" applyProtection="true">
      <alignment horizontal="center" vertical="center" textRotation="0" wrapText="false" indent="0" shrinkToFit="false"/>
      <protection locked="false" hidden="false"/>
    </xf>
    <xf numFmtId="164" fontId="83" fillId="0" borderId="0" xfId="168" applyFont="true" applyBorder="true" applyAlignment="true" applyProtection="false">
      <alignment horizontal="left" vertical="bottom" textRotation="0" wrapText="false" indent="0" shrinkToFit="false"/>
      <protection locked="true" hidden="false"/>
    </xf>
    <xf numFmtId="164" fontId="83" fillId="0" borderId="0" xfId="168" applyFont="true" applyBorder="true" applyAlignment="true" applyProtection="false">
      <alignment horizontal="center" vertical="bottom" textRotation="0" wrapText="false" indent="0" shrinkToFit="false"/>
      <protection locked="true" hidden="false"/>
    </xf>
    <xf numFmtId="170" fontId="0" fillId="0" borderId="0" xfId="168" applyFont="true" applyBorder="true" applyAlignment="true" applyProtection="false">
      <alignment horizontal="center" vertical="bottom" textRotation="0" wrapText="false" indent="0" shrinkToFit="false"/>
      <protection locked="true" hidden="false"/>
    </xf>
    <xf numFmtId="164" fontId="0" fillId="0" borderId="0" xfId="168" applyFont="true" applyBorder="true" applyAlignment="false" applyProtection="false">
      <alignment horizontal="general" vertical="bottom" textRotation="0" wrapText="false" indent="0" shrinkToFit="false"/>
      <protection locked="true" hidden="false"/>
    </xf>
    <xf numFmtId="164" fontId="30" fillId="0" borderId="0" xfId="168" applyFont="true" applyBorder="true" applyAlignment="true" applyProtection="false">
      <alignment horizontal="center" vertical="bottom" textRotation="0" wrapText="false" indent="0" shrinkToFit="false"/>
      <protection locked="true" hidden="false"/>
    </xf>
    <xf numFmtId="170" fontId="55" fillId="26" borderId="0" xfId="89" applyFont="true" applyBorder="true" applyAlignment="true" applyProtection="true">
      <alignment horizontal="center" vertical="center" textRotation="0" wrapText="false" indent="0" shrinkToFit="false"/>
      <protection locked="false" hidden="false"/>
    </xf>
    <xf numFmtId="170" fontId="85" fillId="0" borderId="0" xfId="89" applyFont="true" applyBorder="true" applyAlignment="true" applyProtection="true">
      <alignment horizontal="center" vertical="center" textRotation="0" wrapText="false" indent="0" shrinkToFit="false"/>
      <protection locked="false" hidden="false"/>
    </xf>
    <xf numFmtId="164" fontId="83" fillId="0" borderId="0" xfId="168" applyFont="true" applyBorder="true" applyAlignment="false" applyProtection="false">
      <alignment horizontal="general" vertical="bottom" textRotation="0" wrapText="false" indent="0" shrinkToFit="false"/>
      <protection locked="true" hidden="false"/>
    </xf>
    <xf numFmtId="164" fontId="0" fillId="0" borderId="0" xfId="168" applyFont="true" applyBorder="true" applyAlignment="false" applyProtection="false">
      <alignment horizontal="general" vertical="bottom" textRotation="0" wrapText="false" indent="0" shrinkToFit="false"/>
      <protection locked="true" hidden="false"/>
    </xf>
    <xf numFmtId="166" fontId="14" fillId="0" borderId="0" xfId="168" applyFont="true" applyBorder="true" applyAlignment="true" applyProtection="false">
      <alignment horizontal="center" vertical="bottom" textRotation="0" wrapText="false" indent="0" shrinkToFit="false"/>
      <protection locked="true" hidden="false"/>
    </xf>
    <xf numFmtId="180" fontId="14" fillId="0" borderId="0" xfId="168" applyFont="true" applyBorder="true" applyAlignment="true" applyProtection="false">
      <alignment horizontal="center" vertical="bottom" textRotation="0" wrapText="false" indent="0" shrinkToFit="false"/>
      <protection locked="true" hidden="false"/>
    </xf>
    <xf numFmtId="164" fontId="14" fillId="0" borderId="0" xfId="168" applyFont="true" applyBorder="true" applyAlignment="false" applyProtection="false">
      <alignment horizontal="general" vertical="bottom" textRotation="0" wrapText="false" indent="0" shrinkToFit="false"/>
      <protection locked="true" hidden="false"/>
    </xf>
    <xf numFmtId="164" fontId="31" fillId="0" borderId="0" xfId="168" applyFont="true" applyBorder="true" applyAlignment="false" applyProtection="false">
      <alignment horizontal="general" vertical="bottom" textRotation="0" wrapText="false" indent="0" shrinkToFit="false"/>
      <protection locked="true" hidden="false"/>
    </xf>
    <xf numFmtId="164" fontId="14" fillId="0" borderId="0" xfId="168" applyFont="true" applyBorder="true" applyAlignment="true" applyProtection="false">
      <alignment horizontal="right" vertical="bottom" textRotation="0" wrapText="false" indent="0" shrinkToFit="false"/>
      <protection locked="true" hidden="false"/>
    </xf>
    <xf numFmtId="175" fontId="14" fillId="0" borderId="0" xfId="168" applyFont="true" applyBorder="true" applyAlignment="true" applyProtection="false">
      <alignment horizontal="center" vertical="bottom" textRotation="0" wrapText="false" indent="0" shrinkToFit="false"/>
      <protection locked="true" hidden="false"/>
    </xf>
    <xf numFmtId="164" fontId="31" fillId="0" borderId="0" xfId="168"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right" vertical="center" textRotation="0" wrapText="false" indent="0" shrinkToFit="false"/>
      <protection locked="true" hidden="false"/>
    </xf>
    <xf numFmtId="170" fontId="0" fillId="0" borderId="0" xfId="0" applyFont="false" applyBorder="false" applyAlignment="true" applyProtection="false">
      <alignment horizontal="general" vertical="center" textRotation="0" wrapText="false" indent="0" shrinkToFit="false"/>
      <protection locked="true" hidden="false"/>
    </xf>
    <xf numFmtId="164" fontId="33" fillId="29" borderId="0" xfId="0" applyFont="true" applyBorder="false" applyAlignment="true" applyProtection="false">
      <alignment horizontal="general" vertical="center" textRotation="0" wrapText="false" indent="0" shrinkToFit="false"/>
      <protection locked="true" hidden="false"/>
    </xf>
    <xf numFmtId="164" fontId="0" fillId="27" borderId="0" xfId="0" applyFont="false" applyBorder="false" applyAlignment="true" applyProtection="false">
      <alignment horizontal="general" vertical="center" textRotation="0" wrapText="false" indent="0" shrinkToFit="false"/>
      <protection locked="true" hidden="false"/>
    </xf>
    <xf numFmtId="164" fontId="87" fillId="0" borderId="0" xfId="168" applyFont="true" applyBorder="true" applyAlignment="true" applyProtection="false">
      <alignment horizontal="center" vertical="bottom" textRotation="0" wrapText="false" indent="0" shrinkToFit="false"/>
      <protection locked="true" hidden="false"/>
    </xf>
    <xf numFmtId="164" fontId="87" fillId="0" borderId="0" xfId="168" applyFont="true" applyBorder="true" applyAlignment="true" applyProtection="false">
      <alignment horizontal="center" vertical="bottom" textRotation="0" wrapText="false" indent="0" shrinkToFit="false"/>
      <protection locked="true" hidden="false"/>
    </xf>
    <xf numFmtId="164" fontId="14" fillId="0" borderId="0" xfId="168" applyFont="true" applyBorder="true" applyAlignment="true" applyProtection="false">
      <alignment horizontal="center" vertical="bottom" textRotation="0" wrapText="false" indent="0" shrinkToFit="false"/>
      <protection locked="true" hidden="false"/>
    </xf>
    <xf numFmtId="164" fontId="87" fillId="0" borderId="0" xfId="0" applyFont="true" applyBorder="false" applyAlignment="true" applyProtection="false">
      <alignment horizontal="general" vertical="center" textRotation="0" wrapText="false" indent="0" shrinkToFit="false"/>
      <protection locked="true" hidden="false"/>
    </xf>
    <xf numFmtId="164" fontId="33" fillId="29" borderId="0" xfId="168" applyFont="true" applyBorder="true" applyAlignment="true" applyProtection="false">
      <alignment horizontal="center" vertical="bottom" textRotation="0" wrapText="false" indent="0" shrinkToFit="false"/>
      <protection locked="true" hidden="false"/>
    </xf>
    <xf numFmtId="164" fontId="14" fillId="27" borderId="0" xfId="168" applyFont="true" applyBorder="true" applyAlignment="true" applyProtection="false">
      <alignment horizontal="center" vertical="bottom" textRotation="0" wrapText="false" indent="0" shrinkToFit="false"/>
      <protection locked="true" hidden="false"/>
    </xf>
    <xf numFmtId="171" fontId="87" fillId="0" borderId="0" xfId="168" applyFont="true" applyBorder="true" applyAlignment="true" applyProtection="false">
      <alignment horizontal="center" vertical="center" textRotation="0" wrapText="true" indent="0" shrinkToFit="false"/>
      <protection locked="true" hidden="false"/>
    </xf>
    <xf numFmtId="171" fontId="87" fillId="0" borderId="0" xfId="168" applyFont="true" applyBorder="true" applyAlignment="true" applyProtection="false">
      <alignment horizontal="center" vertical="center" textRotation="0" wrapText="true" indent="0" shrinkToFit="false"/>
      <protection locked="true" hidden="false"/>
    </xf>
    <xf numFmtId="164" fontId="0" fillId="0" borderId="0" xfId="168" applyFont="true" applyBorder="true" applyAlignment="true" applyProtection="false">
      <alignment horizontal="center" vertical="bottom" textRotation="0" wrapText="true" indent="0" shrinkToFit="false"/>
      <protection locked="true" hidden="false"/>
    </xf>
    <xf numFmtId="171" fontId="87" fillId="0" borderId="0" xfId="168" applyFont="true" applyBorder="true" applyAlignment="true" applyProtection="false">
      <alignment horizontal="center" vertical="bottom" textRotation="0" wrapText="true" indent="0" shrinkToFit="false"/>
      <protection locked="true" hidden="false"/>
    </xf>
    <xf numFmtId="171" fontId="33" fillId="29" borderId="0" xfId="168" applyFont="true" applyBorder="true" applyAlignment="true" applyProtection="false">
      <alignment horizontal="center" vertical="bottom" textRotation="0" wrapText="true" indent="0" shrinkToFit="false"/>
      <protection locked="true" hidden="false"/>
    </xf>
    <xf numFmtId="171" fontId="0" fillId="27" borderId="0" xfId="168" applyFont="true" applyBorder="true" applyAlignment="true" applyProtection="false">
      <alignment horizontal="center" vertical="bottom" textRotation="0" wrapText="true" indent="0" shrinkToFit="false"/>
      <protection locked="true" hidden="false"/>
    </xf>
    <xf numFmtId="164" fontId="30" fillId="0" borderId="0" xfId="168" applyFont="true" applyBorder="true" applyAlignment="true" applyProtection="false">
      <alignment horizontal="center" vertical="bottom" textRotation="0" wrapText="false" indent="0" shrinkToFit="false"/>
      <protection locked="true" hidden="false"/>
    </xf>
    <xf numFmtId="164" fontId="30" fillId="31" borderId="0" xfId="168" applyFont="true" applyBorder="true" applyAlignment="true" applyProtection="false">
      <alignment horizontal="center" vertical="bottom" textRotation="0" wrapText="false" indent="0" shrinkToFit="false"/>
      <protection locked="true" hidden="false"/>
    </xf>
    <xf numFmtId="164" fontId="88" fillId="29" borderId="0" xfId="168" applyFont="true" applyBorder="true" applyAlignment="true" applyProtection="false">
      <alignment horizontal="center" vertical="bottom" textRotation="0" wrapText="false" indent="0" shrinkToFit="false"/>
      <protection locked="true" hidden="false"/>
    </xf>
    <xf numFmtId="164" fontId="30" fillId="27" borderId="0" xfId="168" applyFont="true" applyBorder="true" applyAlignment="true" applyProtection="false">
      <alignment horizontal="center" vertical="bottom" textRotation="0" wrapText="false" indent="0" shrinkToFit="false"/>
      <protection locked="true" hidden="false"/>
    </xf>
    <xf numFmtId="164" fontId="83" fillId="0" borderId="0" xfId="168" applyFont="true" applyBorder="true" applyAlignment="true" applyProtection="false">
      <alignment horizontal="center" vertical="bottom" textRotation="0" wrapText="false" indent="0" shrinkToFit="false"/>
      <protection locked="true" hidden="false"/>
    </xf>
    <xf numFmtId="164" fontId="83" fillId="27" borderId="0" xfId="168" applyFont="true" applyBorder="true" applyAlignment="true" applyProtection="false">
      <alignment horizontal="center" vertical="bottom" textRotation="0" wrapText="false" indent="0" shrinkToFit="false"/>
      <protection locked="true" hidden="false"/>
    </xf>
    <xf numFmtId="170" fontId="33" fillId="29" borderId="0" xfId="168" applyFont="true" applyBorder="true" applyAlignment="true" applyProtection="false">
      <alignment horizontal="center" vertical="bottom" textRotation="0" wrapText="false" indent="0" shrinkToFit="false"/>
      <protection locked="true" hidden="false"/>
    </xf>
    <xf numFmtId="170" fontId="0" fillId="27" borderId="0" xfId="168" applyFont="true" applyBorder="true" applyAlignment="true" applyProtection="false">
      <alignment horizontal="center" vertical="bottom" textRotation="0" wrapText="false" indent="0" shrinkToFit="false"/>
      <protection locked="true" hidden="false"/>
    </xf>
    <xf numFmtId="183" fontId="0" fillId="0" borderId="0" xfId="168" applyFont="true" applyBorder="true" applyAlignment="false" applyProtection="false">
      <alignment horizontal="general" vertical="bottom" textRotation="0" wrapText="false" indent="0" shrinkToFit="false"/>
      <protection locked="true" hidden="false"/>
    </xf>
    <xf numFmtId="183" fontId="10" fillId="0" borderId="0" xfId="89" applyFont="true" applyBorder="true" applyAlignment="true" applyProtection="true">
      <alignment horizontal="center" vertical="center" textRotation="0" wrapText="false" indent="0" shrinkToFit="false"/>
      <protection locked="false" hidden="false"/>
    </xf>
    <xf numFmtId="183" fontId="0" fillId="0" borderId="0" xfId="0" applyFont="false" applyBorder="false" applyAlignment="true" applyProtection="false">
      <alignment horizontal="general" vertical="center" textRotation="0" wrapText="false" indent="0" shrinkToFit="false"/>
      <protection locked="true" hidden="false"/>
    </xf>
    <xf numFmtId="183" fontId="12" fillId="29" borderId="0" xfId="89" applyFont="true" applyBorder="true" applyAlignment="true" applyProtection="true">
      <alignment horizontal="center" vertical="center" textRotation="0" wrapText="false" indent="0" shrinkToFit="false"/>
      <protection locked="false" hidden="false"/>
    </xf>
    <xf numFmtId="183" fontId="10" fillId="27" borderId="0" xfId="89" applyFont="true" applyBorder="true" applyAlignment="true" applyProtection="true">
      <alignment horizontal="center" vertical="center" textRotation="0" wrapText="false" indent="0" shrinkToFit="false"/>
      <protection locked="false" hidden="false"/>
    </xf>
    <xf numFmtId="170" fontId="12" fillId="29" borderId="0" xfId="89" applyFont="true" applyBorder="true" applyAlignment="true" applyProtection="true">
      <alignment horizontal="center" vertical="center" textRotation="0" wrapText="false" indent="0" shrinkToFit="false"/>
      <protection locked="false" hidden="false"/>
    </xf>
    <xf numFmtId="170" fontId="10" fillId="27" borderId="0" xfId="89" applyFont="true" applyBorder="true" applyAlignment="true" applyProtection="true">
      <alignment horizontal="center" vertical="center" textRotation="0" wrapText="false" indent="0" shrinkToFit="false"/>
      <protection locked="false" hidden="false"/>
    </xf>
    <xf numFmtId="170" fontId="89" fillId="29" borderId="0" xfId="89" applyFont="true" applyBorder="true" applyAlignment="true" applyProtection="true">
      <alignment horizontal="center" vertical="center" textRotation="0" wrapText="false" indent="0" shrinkToFit="false"/>
      <protection locked="false" hidden="false"/>
    </xf>
    <xf numFmtId="170" fontId="55" fillId="27" borderId="0" xfId="89" applyFont="true" applyBorder="true" applyAlignment="true" applyProtection="true">
      <alignment horizontal="center" vertical="center" textRotation="0" wrapText="false" indent="0" shrinkToFit="false"/>
      <protection locked="false" hidden="false"/>
    </xf>
    <xf numFmtId="184" fontId="30" fillId="0" borderId="0" xfId="168" applyFont="true" applyBorder="true" applyAlignment="true" applyProtection="false">
      <alignment horizontal="center" vertical="bottom" textRotation="0" wrapText="false" indent="0" shrinkToFit="false"/>
      <protection locked="true" hidden="false"/>
    </xf>
    <xf numFmtId="184" fontId="30" fillId="27" borderId="0" xfId="168" applyFont="true" applyBorder="true" applyAlignment="true" applyProtection="false">
      <alignment horizontal="center" vertical="bottom" textRotation="0" wrapText="false" indent="0" shrinkToFit="false"/>
      <protection locked="true" hidden="false"/>
    </xf>
    <xf numFmtId="184" fontId="30" fillId="0" borderId="0" xfId="168" applyFont="true" applyBorder="true" applyAlignment="true" applyProtection="false">
      <alignment horizontal="center" vertical="bottom" textRotation="0" wrapText="false" indent="0" shrinkToFit="false"/>
      <protection locked="true" hidden="false"/>
    </xf>
    <xf numFmtId="166" fontId="33" fillId="29" borderId="0" xfId="168" applyFont="true" applyBorder="true" applyAlignment="true" applyProtection="false">
      <alignment horizontal="center" vertical="bottom" textRotation="0" wrapText="false" indent="0" shrinkToFit="false"/>
      <protection locked="true" hidden="false"/>
    </xf>
    <xf numFmtId="166" fontId="14" fillId="27" borderId="0" xfId="168" applyFont="true" applyBorder="true" applyAlignment="true" applyProtection="false">
      <alignment horizontal="center" vertical="bottom" textRotation="0" wrapText="false" indent="0" shrinkToFit="false"/>
      <protection locked="true" hidden="false"/>
    </xf>
    <xf numFmtId="185" fontId="14" fillId="0" borderId="0" xfId="168" applyFont="true" applyBorder="true" applyAlignment="true" applyProtection="false">
      <alignment horizontal="center" vertical="bottom" textRotation="0" wrapText="false" indent="0" shrinkToFit="false"/>
      <protection locked="true" hidden="false"/>
    </xf>
    <xf numFmtId="180" fontId="33" fillId="29" borderId="0" xfId="168" applyFont="true" applyBorder="true" applyAlignment="true" applyProtection="false">
      <alignment horizontal="center" vertical="bottom" textRotation="0" wrapText="false" indent="0" shrinkToFit="false"/>
      <protection locked="true" hidden="false"/>
    </xf>
    <xf numFmtId="180" fontId="14" fillId="27" borderId="0" xfId="168" applyFont="true" applyBorder="true" applyAlignment="true" applyProtection="false">
      <alignment horizontal="center" vertical="bottom" textRotation="0" wrapText="false" indent="0" shrinkToFit="false"/>
      <protection locked="true" hidden="false"/>
    </xf>
    <xf numFmtId="175" fontId="33" fillId="29" borderId="0" xfId="168" applyFont="true" applyBorder="true" applyAlignment="true" applyProtection="false">
      <alignment horizontal="center" vertical="bottom" textRotation="0" wrapText="false" indent="0" shrinkToFit="false"/>
      <protection locked="true" hidden="false"/>
    </xf>
    <xf numFmtId="175" fontId="14" fillId="27" borderId="0" xfId="168" applyFont="true" applyBorder="true" applyAlignment="true" applyProtection="false">
      <alignment horizontal="center" vertical="bottom" textRotation="0" wrapText="false" indent="0" shrinkToFit="false"/>
      <protection locked="true" hidden="false"/>
    </xf>
    <xf numFmtId="164" fontId="83" fillId="0" borderId="0" xfId="168" applyFont="true" applyBorder="true" applyAlignment="false" applyProtection="false">
      <alignment horizontal="general" vertical="bottom" textRotation="0" wrapText="false" indent="0" shrinkToFit="false"/>
      <protection locked="true" hidden="false"/>
    </xf>
    <xf numFmtId="171" fontId="31" fillId="0" borderId="0" xfId="168" applyFont="true" applyBorder="true" applyAlignment="true" applyProtection="false">
      <alignment horizontal="center" vertical="bottom" textRotation="0" wrapText="false" indent="0" shrinkToFit="false"/>
      <protection locked="true" hidden="false"/>
    </xf>
    <xf numFmtId="164" fontId="31" fillId="27" borderId="0" xfId="168" applyFont="true" applyBorder="true" applyAlignment="true" applyProtection="false">
      <alignment horizontal="center" vertical="bottom" textRotation="0" wrapText="false" indent="0" shrinkToFit="false"/>
      <protection locked="true" hidden="false"/>
    </xf>
    <xf numFmtId="164" fontId="14" fillId="32" borderId="0" xfId="168" applyFont="true" applyBorder="true" applyAlignment="true" applyProtection="false">
      <alignment horizontal="center" vertical="bottom" textRotation="0" wrapText="false" indent="0" shrinkToFit="false"/>
      <protection locked="true" hidden="false"/>
    </xf>
    <xf numFmtId="168" fontId="14" fillId="0" borderId="0" xfId="168" applyFont="true" applyBorder="true" applyAlignment="true" applyProtection="false">
      <alignment horizontal="center" vertical="bottom" textRotation="0" wrapText="false" indent="0" shrinkToFit="false"/>
      <protection locked="true" hidden="false"/>
    </xf>
    <xf numFmtId="168" fontId="14" fillId="0" borderId="0" xfId="168" applyFont="true" applyBorder="true" applyAlignment="true" applyProtection="false">
      <alignment horizontal="center" vertical="bottom" textRotation="0" wrapText="false" indent="0" shrinkToFit="false"/>
      <protection locked="true" hidden="false"/>
    </xf>
    <xf numFmtId="168" fontId="33" fillId="29" borderId="0" xfId="168" applyFont="true" applyBorder="true" applyAlignment="true" applyProtection="false">
      <alignment horizontal="center" vertical="bottom" textRotation="0" wrapText="false" indent="0" shrinkToFit="false"/>
      <protection locked="true" hidden="false"/>
    </xf>
    <xf numFmtId="168" fontId="14" fillId="27" borderId="0" xfId="168" applyFont="true" applyBorder="true" applyAlignment="true" applyProtection="false">
      <alignment horizontal="center" vertical="bottom" textRotation="0" wrapText="false" indent="0" shrinkToFit="false"/>
      <protection locked="true" hidden="false"/>
    </xf>
    <xf numFmtId="170" fontId="14" fillId="0" borderId="0" xfId="168" applyFont="true" applyBorder="true" applyAlignment="true" applyProtection="false">
      <alignment horizontal="center" vertical="bottom" textRotation="0" wrapText="false" indent="0" shrinkToFit="false"/>
      <protection locked="true" hidden="false"/>
    </xf>
    <xf numFmtId="170" fontId="14" fillId="0" borderId="0" xfId="168" applyFont="true" applyBorder="true" applyAlignment="true" applyProtection="false">
      <alignment horizontal="center" vertical="bottom" textRotation="0" wrapText="false" indent="0" shrinkToFit="false"/>
      <protection locked="true" hidden="false"/>
    </xf>
    <xf numFmtId="170" fontId="14" fillId="27" borderId="0" xfId="168" applyFont="true" applyBorder="true" applyAlignment="true" applyProtection="false">
      <alignment horizontal="center" vertical="bottom" textRotation="0" wrapText="false" indent="0" shrinkToFit="false"/>
      <protection locked="true" hidden="false"/>
    </xf>
    <xf numFmtId="164" fontId="90" fillId="0" borderId="0" xfId="168" applyFont="true" applyBorder="true" applyAlignment="false" applyProtection="false">
      <alignment horizontal="general" vertical="bottom" textRotation="0" wrapText="false" indent="0" shrinkToFit="false"/>
      <protection locked="true" hidden="false"/>
    </xf>
    <xf numFmtId="170" fontId="90" fillId="0" borderId="0" xfId="168" applyFont="true" applyBorder="true" applyAlignment="true" applyProtection="false">
      <alignment horizontal="center" vertical="bottom" textRotation="0" wrapText="false" indent="0" shrinkToFit="false"/>
      <protection locked="true" hidden="false"/>
    </xf>
    <xf numFmtId="170" fontId="88" fillId="29" borderId="0" xfId="168" applyFont="true" applyBorder="true" applyAlignment="true" applyProtection="false">
      <alignment horizontal="center" vertical="bottom" textRotation="0" wrapText="false" indent="0" shrinkToFit="false"/>
      <protection locked="true" hidden="false"/>
    </xf>
    <xf numFmtId="170" fontId="90" fillId="27" borderId="0" xfId="168" applyFont="true" applyBorder="true" applyAlignment="true" applyProtection="false">
      <alignment horizontal="center" vertical="bottom" textRotation="0" wrapText="false" indent="0" shrinkToFit="false"/>
      <protection locked="true" hidden="false"/>
    </xf>
    <xf numFmtId="168" fontId="0" fillId="0" borderId="0" xfId="0" applyFont="false" applyBorder="false" applyAlignment="true" applyProtection="false">
      <alignment horizontal="center" vertical="center" textRotation="0" wrapText="false" indent="0" shrinkToFit="false"/>
      <protection locked="true" hidden="false"/>
    </xf>
    <xf numFmtId="168" fontId="33" fillId="29" borderId="0" xfId="0" applyFont="true" applyBorder="false" applyAlignment="true" applyProtection="false">
      <alignment horizontal="center" vertical="center" textRotation="0" wrapText="false" indent="0" shrinkToFit="false"/>
      <protection locked="true" hidden="false"/>
    </xf>
    <xf numFmtId="168" fontId="0" fillId="27" borderId="0" xfId="0" applyFont="false" applyBorder="false" applyAlignment="true" applyProtection="false">
      <alignment horizontal="center" vertical="center" textRotation="0" wrapText="false" indent="0" shrinkToFit="false"/>
      <protection locked="true" hidden="false"/>
    </xf>
    <xf numFmtId="164" fontId="14" fillId="26" borderId="0" xfId="0" applyFont="true" applyBorder="true" applyAlignment="true" applyProtection="false">
      <alignment horizontal="center" vertical="center" textRotation="0" wrapText="true" indent="0" shrinkToFit="false"/>
      <protection locked="true" hidden="false"/>
    </xf>
    <xf numFmtId="180" fontId="14" fillId="26" borderId="0" xfId="0" applyFont="true" applyBorder="true" applyAlignment="true" applyProtection="false">
      <alignment horizontal="center" vertical="center" textRotation="0" wrapText="true" indent="0" shrinkToFit="false"/>
      <protection locked="true" hidden="false"/>
    </xf>
    <xf numFmtId="164" fontId="0" fillId="27" borderId="0" xfId="0" applyFont="false" applyBorder="false" applyAlignment="true" applyProtection="false">
      <alignment horizontal="center" vertical="center" textRotation="0" wrapText="false" indent="0" shrinkToFit="false"/>
      <protection locked="true" hidden="false"/>
    </xf>
    <xf numFmtId="166" fontId="0" fillId="0" borderId="0" xfId="168" applyFont="true" applyBorder="true" applyAlignment="false" applyProtection="false">
      <alignment horizontal="general" vertical="bottom" textRotation="0" wrapText="false" indent="0" shrinkToFit="false"/>
      <protection locked="true" hidden="false"/>
    </xf>
    <xf numFmtId="164" fontId="33" fillId="29" borderId="0" xfId="0" applyFont="true" applyBorder="false" applyAlignment="true" applyProtection="false">
      <alignment horizontal="center" vertical="center" textRotation="0" wrapText="false" indent="0" shrinkToFit="false"/>
      <protection locked="true" hidden="false"/>
    </xf>
    <xf numFmtId="164" fontId="30" fillId="0" borderId="0" xfId="168" applyFont="true" applyBorder="false" applyAlignment="true" applyProtection="false">
      <alignment horizontal="center" vertical="bottom" textRotation="0" wrapText="false" indent="0" shrinkToFit="false"/>
      <protection locked="true" hidden="false"/>
    </xf>
    <xf numFmtId="171" fontId="14" fillId="0" borderId="0" xfId="168" applyFont="true" applyBorder="true" applyAlignment="true" applyProtection="false">
      <alignment horizontal="center" vertical="bottom" textRotation="0" wrapText="false" indent="0" shrinkToFit="false"/>
      <protection locked="true" hidden="false"/>
    </xf>
    <xf numFmtId="171" fontId="0" fillId="0" borderId="0" xfId="168" applyFont="true" applyBorder="true" applyAlignment="true" applyProtection="false">
      <alignment horizontal="center" vertical="bottom" textRotation="0" wrapText="false" indent="0" shrinkToFit="false"/>
      <protection locked="true" hidden="false"/>
    </xf>
    <xf numFmtId="164" fontId="0" fillId="0" borderId="0" xfId="168" applyFont="true" applyBorder="true" applyAlignment="true" applyProtection="false">
      <alignment horizontal="general" vertical="bottom" textRotation="0" wrapText="true" indent="0" shrinkToFit="false"/>
      <protection locked="true" hidden="false"/>
    </xf>
    <xf numFmtId="164" fontId="30" fillId="0" borderId="0" xfId="168" applyFont="true" applyBorder="false" applyAlignment="true" applyProtection="false">
      <alignment horizontal="center" vertical="bottom" textRotation="0" wrapText="false" indent="0" shrinkToFit="false"/>
      <protection locked="true" hidden="false"/>
    </xf>
    <xf numFmtId="171" fontId="0" fillId="32" borderId="0" xfId="168" applyFont="true" applyBorder="false" applyAlignment="false" applyProtection="false">
      <alignment horizontal="general" vertical="bottom" textRotation="0" wrapText="false" indent="0" shrinkToFit="false"/>
      <protection locked="true" hidden="false"/>
    </xf>
    <xf numFmtId="171" fontId="0" fillId="0" borderId="0" xfId="168" applyFont="true" applyBorder="false" applyAlignment="false" applyProtection="false">
      <alignment horizontal="general" vertical="bottom" textRotation="0" wrapText="false" indent="0" shrinkToFit="false"/>
      <protection locked="true" hidden="false"/>
    </xf>
    <xf numFmtId="164" fontId="83" fillId="0" borderId="0" xfId="168" applyFont="true" applyBorder="false" applyAlignment="false" applyProtection="false">
      <alignment horizontal="general" vertical="bottom" textRotation="0" wrapText="false" indent="0" shrinkToFit="false"/>
      <protection locked="true" hidden="false"/>
    </xf>
    <xf numFmtId="164" fontId="30" fillId="32" borderId="0" xfId="168" applyFont="true" applyBorder="false" applyAlignment="true" applyProtection="false">
      <alignment horizontal="center" vertical="bottom" textRotation="0" wrapText="false" indent="0" shrinkToFit="false"/>
      <protection locked="true" hidden="false"/>
    </xf>
    <xf numFmtId="164" fontId="83" fillId="0" borderId="0" xfId="168" applyFont="true" applyBorder="false" applyAlignment="true" applyProtection="false">
      <alignment horizontal="center" vertical="bottom" textRotation="0" wrapText="false" indent="0" shrinkToFit="false"/>
      <protection locked="true" hidden="false"/>
    </xf>
    <xf numFmtId="164" fontId="83" fillId="0" borderId="0" xfId="168" applyFont="true" applyBorder="false" applyAlignment="true" applyProtection="false">
      <alignment horizontal="center" vertical="bottom" textRotation="0" wrapText="false" indent="0" shrinkToFit="false"/>
      <protection locked="true" hidden="false"/>
    </xf>
    <xf numFmtId="164" fontId="83" fillId="0" borderId="0" xfId="168" applyFont="true" applyBorder="false" applyAlignment="true" applyProtection="false">
      <alignment horizontal="left" vertical="bottom" textRotation="0" wrapText="false" indent="0" shrinkToFit="false"/>
      <protection locked="true" hidden="false"/>
    </xf>
    <xf numFmtId="164" fontId="83" fillId="0" borderId="0" xfId="168" applyFont="true" applyBorder="false" applyAlignment="true" applyProtection="false">
      <alignment horizontal="center" vertical="bottom" textRotation="0" wrapText="true" indent="0" shrinkToFit="false"/>
      <protection locked="true" hidden="false"/>
    </xf>
    <xf numFmtId="164" fontId="83" fillId="0" borderId="0" xfId="168" applyFont="true" applyBorder="false" applyAlignment="true" applyProtection="false">
      <alignment horizontal="center" vertical="bottom" textRotation="0" wrapText="true" indent="0" shrinkToFit="false"/>
      <protection locked="true" hidden="false"/>
    </xf>
    <xf numFmtId="176" fontId="10" fillId="0" borderId="0" xfId="89" applyFont="true" applyBorder="true" applyAlignment="true" applyProtection="true">
      <alignment horizontal="center" vertical="center" textRotation="0" wrapText="false" indent="0" shrinkToFit="false"/>
      <protection locked="false" hidden="false"/>
    </xf>
    <xf numFmtId="164" fontId="14" fillId="0" borderId="0" xfId="168" applyFont="true" applyBorder="false" applyAlignment="false" applyProtection="false">
      <alignment horizontal="general" vertical="bottom" textRotation="0" wrapText="false" indent="0" shrinkToFit="false"/>
      <protection locked="true" hidden="false"/>
    </xf>
    <xf numFmtId="169" fontId="23" fillId="0" borderId="0" xfId="89" applyFont="true" applyBorder="true" applyAlignment="true" applyProtection="true">
      <alignment horizontal="center" vertical="center" textRotation="0" wrapText="false" indent="0" shrinkToFit="false"/>
      <protection locked="false" hidden="false"/>
    </xf>
    <xf numFmtId="168" fontId="30" fillId="0" borderId="0" xfId="168" applyFont="true" applyBorder="true" applyAlignment="true" applyProtection="false">
      <alignment horizontal="center" vertical="bottom" textRotation="0" wrapText="false" indent="0" shrinkToFit="false"/>
      <protection locked="true" hidden="false"/>
    </xf>
    <xf numFmtId="171" fontId="0" fillId="0" borderId="0" xfId="168" applyFont="true" applyBorder="false" applyAlignment="true" applyProtection="false">
      <alignment horizontal="center" vertical="bottom" textRotation="0" wrapText="false" indent="0" shrinkToFit="false"/>
      <protection locked="true" hidden="false"/>
    </xf>
    <xf numFmtId="170" fontId="14" fillId="0" borderId="0" xfId="168" applyFont="true" applyBorder="false" applyAlignment="true" applyProtection="false">
      <alignment horizontal="center" vertical="bottom" textRotation="0" wrapText="false" indent="0" shrinkToFit="false"/>
      <protection locked="true" hidden="false"/>
    </xf>
    <xf numFmtId="170" fontId="14" fillId="20" borderId="0" xfId="168" applyFont="true" applyBorder="false" applyAlignment="true" applyProtection="false">
      <alignment horizontal="center" vertical="bottom" textRotation="0" wrapText="false" indent="0" shrinkToFit="false"/>
      <protection locked="true" hidden="false"/>
    </xf>
    <xf numFmtId="170" fontId="14" fillId="0" borderId="0" xfId="168" applyFont="true" applyBorder="false" applyAlignment="true" applyProtection="false">
      <alignment horizontal="center" vertical="bottom" textRotation="0" wrapText="false" indent="0" shrinkToFit="false"/>
      <protection locked="true" hidden="false"/>
    </xf>
    <xf numFmtId="175" fontId="14" fillId="0" borderId="0" xfId="168" applyFont="true" applyBorder="false" applyAlignment="true" applyProtection="false">
      <alignment horizontal="center" vertical="bottom" textRotation="0" wrapText="false" indent="0" shrinkToFit="false"/>
      <protection locked="true" hidden="false"/>
    </xf>
    <xf numFmtId="175" fontId="14" fillId="0" borderId="0" xfId="168" applyFont="true" applyBorder="false" applyAlignment="true" applyProtection="false">
      <alignment horizontal="center" vertical="bottom" textRotation="0" wrapText="false" indent="0" shrinkToFit="false"/>
      <protection locked="true" hidden="false"/>
    </xf>
    <xf numFmtId="164" fontId="14" fillId="0" borderId="0" xfId="168" applyFont="true" applyBorder="false" applyAlignment="false" applyProtection="false">
      <alignment horizontal="general" vertical="bottom" textRotation="0" wrapText="false" indent="0" shrinkToFit="false"/>
      <protection locked="true" hidden="false"/>
    </xf>
    <xf numFmtId="179" fontId="14" fillId="0" borderId="0" xfId="168" applyFont="true" applyBorder="false" applyAlignment="true" applyProtection="false">
      <alignment horizontal="center" vertical="bottom" textRotation="0" wrapText="false" indent="0" shrinkToFit="false"/>
      <protection locked="true" hidden="false"/>
    </xf>
    <xf numFmtId="164" fontId="64" fillId="25" borderId="0" xfId="168" applyFont="true" applyBorder="false" applyAlignment="false" applyProtection="false">
      <alignment horizontal="general" vertical="bottom" textRotation="0" wrapText="false" indent="0" shrinkToFit="false"/>
      <protection locked="true" hidden="false"/>
    </xf>
    <xf numFmtId="170" fontId="64" fillId="25" borderId="0" xfId="168" applyFont="true" applyBorder="false" applyAlignment="true" applyProtection="false">
      <alignment horizontal="center" vertical="bottom" textRotation="0" wrapText="false" indent="0" shrinkToFit="false"/>
      <protection locked="true" hidden="false"/>
    </xf>
    <xf numFmtId="170" fontId="64" fillId="0" borderId="0" xfId="168" applyFont="true" applyBorder="false" applyAlignment="true" applyProtection="false">
      <alignment horizontal="center" vertical="bottom" textRotation="0" wrapText="false" indent="0" shrinkToFit="false"/>
      <protection locked="true" hidden="false"/>
    </xf>
    <xf numFmtId="164" fontId="31" fillId="25" borderId="0" xfId="0" applyFont="true" applyBorder="fals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14" fillId="27" borderId="0" xfId="168" applyFont="true" applyBorder="false" applyAlignment="false" applyProtection="false">
      <alignment horizontal="general" vertical="bottom" textRotation="0" wrapText="false" indent="0" shrinkToFit="false"/>
      <protection locked="true" hidden="false"/>
    </xf>
    <xf numFmtId="168" fontId="0" fillId="27" borderId="0" xfId="0" applyFont="false" applyBorder="false" applyAlignment="true" applyProtection="false">
      <alignment horizontal="general" vertical="center" textRotation="0" wrapText="false" indent="0" shrinkToFit="false"/>
      <protection locked="true" hidden="false"/>
    </xf>
    <xf numFmtId="164" fontId="14" fillId="0" borderId="0" xfId="168" applyFont="true" applyBorder="false" applyAlignment="true" applyProtection="false">
      <alignment horizontal="center" vertical="bottom" textRotation="0" wrapText="false" indent="0" shrinkToFit="false"/>
      <protection locked="true" hidden="false"/>
    </xf>
    <xf numFmtId="169" fontId="47" fillId="0" borderId="0" xfId="89" applyFont="true" applyBorder="true" applyAlignment="true" applyProtection="true">
      <alignment horizontal="center" vertical="center" textRotation="0" wrapText="false" indent="0" shrinkToFit="false"/>
      <protection locked="false" hidden="false"/>
    </xf>
    <xf numFmtId="166" fontId="14" fillId="0" borderId="0" xfId="168" applyFont="true" applyBorder="false" applyAlignment="true" applyProtection="false">
      <alignment horizontal="center" vertical="bottom" textRotation="0" wrapText="false" indent="0" shrinkToFit="false"/>
      <protection locked="true" hidden="false"/>
    </xf>
    <xf numFmtId="164" fontId="14" fillId="0" borderId="0" xfId="96" applyFont="true" applyBorder="false" applyAlignment="false" applyProtection="false">
      <alignment horizontal="general" vertical="bottom" textRotation="0" wrapText="false" indent="0" shrinkToFit="false"/>
      <protection locked="true" hidden="false"/>
    </xf>
    <xf numFmtId="166" fontId="14" fillId="0" borderId="0" xfId="96" applyFont="true" applyBorder="false" applyAlignment="false" applyProtection="false">
      <alignment horizontal="general" vertical="bottom" textRotation="0" wrapText="false" indent="0" shrinkToFit="false"/>
      <protection locked="true" hidden="false"/>
    </xf>
    <xf numFmtId="164" fontId="15" fillId="0" borderId="0" xfId="96" applyFont="true" applyBorder="false" applyAlignment="false" applyProtection="false">
      <alignment horizontal="general" vertical="bottom" textRotation="0" wrapText="false" indent="0" shrinkToFit="false"/>
      <protection locked="true" hidden="false"/>
    </xf>
    <xf numFmtId="164" fontId="14" fillId="0" borderId="0" xfId="83" applyFont="true" applyBorder="false" applyAlignment="true" applyProtection="false">
      <alignment horizontal="general" vertical="center" textRotation="0" wrapText="false" indent="0" shrinkToFit="false"/>
      <protection locked="true" hidden="false"/>
    </xf>
    <xf numFmtId="164" fontId="14" fillId="0" borderId="0" xfId="83" applyFont="true" applyBorder="false" applyAlignment="true" applyProtection="false">
      <alignment horizontal="general" vertical="center" textRotation="0" wrapText="false" indent="0" shrinkToFit="false"/>
      <protection locked="true" hidden="false"/>
    </xf>
    <xf numFmtId="164" fontId="14" fillId="27" borderId="0" xfId="83" applyFont="true" applyBorder="false" applyAlignment="true" applyProtection="false">
      <alignment horizontal="general" vertical="center" textRotation="0" wrapText="false" indent="0" shrinkToFit="false"/>
      <protection locked="true" hidden="false"/>
    </xf>
    <xf numFmtId="164" fontId="0" fillId="0" borderId="0" xfId="168" applyFont="true" applyBorder="true" applyAlignment="false" applyProtection="true">
      <alignment horizontal="general" vertical="bottom" textRotation="0" wrapText="false" indent="0" shrinkToFit="false"/>
      <protection locked="false" hidden="false"/>
    </xf>
    <xf numFmtId="164" fontId="87" fillId="0" borderId="0" xfId="168" applyFont="true" applyBorder="false" applyAlignment="true" applyProtection="false">
      <alignment horizontal="center" vertical="bottom" textRotation="0" wrapText="false" indent="0" shrinkToFit="false"/>
      <protection locked="true" hidden="false"/>
    </xf>
    <xf numFmtId="164" fontId="14" fillId="0" borderId="0" xfId="83" applyFont="true" applyBorder="false" applyAlignment="true" applyProtection="true">
      <alignment horizontal="general" vertical="center" textRotation="0" wrapText="false" indent="0" shrinkToFit="false"/>
      <protection locked="false" hidden="false"/>
    </xf>
    <xf numFmtId="164" fontId="14" fillId="27" borderId="0" xfId="83" applyFont="true" applyBorder="false" applyAlignment="true" applyProtection="true">
      <alignment horizontal="general" vertical="center" textRotation="0" wrapText="false" indent="0" shrinkToFit="false"/>
      <protection locked="false" hidden="false"/>
    </xf>
    <xf numFmtId="164" fontId="30" fillId="0" borderId="0" xfId="168" applyFont="true" applyBorder="true" applyAlignment="true" applyProtection="true">
      <alignment horizontal="center" vertical="bottom" textRotation="0" wrapText="false" indent="0" shrinkToFit="false"/>
      <protection locked="false" hidden="false"/>
    </xf>
    <xf numFmtId="164" fontId="87" fillId="0" borderId="0" xfId="168" applyFont="true" applyBorder="true" applyAlignment="true" applyProtection="true">
      <alignment horizontal="center" vertical="bottom" textRotation="0" wrapText="false" indent="0" shrinkToFit="false"/>
      <protection locked="false" hidden="false"/>
    </xf>
    <xf numFmtId="164" fontId="0" fillId="0" borderId="0" xfId="168" applyFont="true" applyBorder="true" applyAlignment="false" applyProtection="true">
      <alignment horizontal="general" vertical="bottom" textRotation="0" wrapText="false" indent="0" shrinkToFit="false"/>
      <protection locked="true" hidden="true"/>
    </xf>
    <xf numFmtId="171" fontId="0" fillId="0" borderId="0" xfId="168" applyFont="true" applyBorder="false" applyAlignment="false" applyProtection="true">
      <alignment horizontal="general" vertical="bottom" textRotation="0" wrapText="false" indent="0" shrinkToFit="false"/>
      <protection locked="true" hidden="true"/>
    </xf>
    <xf numFmtId="164" fontId="14" fillId="27" borderId="0" xfId="83" applyFont="true" applyBorder="false" applyAlignment="true" applyProtection="true">
      <alignment horizontal="general" vertical="center" textRotation="0" wrapText="false" indent="0" shrinkToFit="false"/>
      <protection locked="true" hidden="true"/>
    </xf>
    <xf numFmtId="164" fontId="14" fillId="0" borderId="0" xfId="83" applyFont="true" applyBorder="false" applyAlignment="true" applyProtection="true">
      <alignment horizontal="general" vertical="center" textRotation="0" wrapText="false" indent="0" shrinkToFit="false"/>
      <protection locked="true" hidden="true"/>
    </xf>
    <xf numFmtId="164" fontId="83" fillId="0" borderId="0" xfId="168" applyFont="true" applyBorder="true" applyAlignment="true" applyProtection="true">
      <alignment horizontal="left" vertical="bottom" textRotation="0" wrapText="false" indent="0" shrinkToFit="false"/>
      <protection locked="false" hidden="false"/>
    </xf>
    <xf numFmtId="164" fontId="14" fillId="0" borderId="0" xfId="168" applyFont="true" applyBorder="true" applyAlignment="false" applyProtection="true">
      <alignment horizontal="general" vertical="bottom" textRotation="0" wrapText="false" indent="0" shrinkToFit="false"/>
      <protection locked="true" hidden="true"/>
    </xf>
    <xf numFmtId="164" fontId="0" fillId="0" borderId="0" xfId="168" applyFont="true" applyBorder="true" applyAlignment="true" applyProtection="true">
      <alignment horizontal="center" vertical="bottom" textRotation="0" wrapText="true" indent="0" shrinkToFit="false"/>
      <protection locked="true" hidden="true"/>
    </xf>
    <xf numFmtId="164" fontId="83" fillId="0" borderId="0" xfId="168" applyFont="true" applyBorder="false" applyAlignment="true" applyProtection="true">
      <alignment horizontal="center" vertical="bottom" textRotation="0" wrapText="false" indent="0" shrinkToFit="false"/>
      <protection locked="false" hidden="false"/>
    </xf>
    <xf numFmtId="164" fontId="83" fillId="0" borderId="0" xfId="168" applyFont="true" applyBorder="false" applyAlignment="true" applyProtection="true">
      <alignment horizontal="center" vertical="bottom" textRotation="0" wrapText="true" indent="0" shrinkToFit="false"/>
      <protection locked="false" hidden="false"/>
    </xf>
    <xf numFmtId="164" fontId="14" fillId="0" borderId="0" xfId="83" applyFont="true" applyBorder="false" applyAlignment="true" applyProtection="true">
      <alignment horizontal="general" vertical="center" textRotation="0" wrapText="false" indent="0" shrinkToFit="false"/>
      <protection locked="true" hidden="true"/>
    </xf>
    <xf numFmtId="170" fontId="0" fillId="0" borderId="0" xfId="168" applyFont="true" applyBorder="true" applyAlignment="true" applyProtection="true">
      <alignment horizontal="center" vertical="bottom" textRotation="0" wrapText="false" indent="0" shrinkToFit="false"/>
      <protection locked="true" hidden="true"/>
    </xf>
    <xf numFmtId="183" fontId="0" fillId="0" borderId="0" xfId="168" applyFont="true" applyBorder="true" applyAlignment="false" applyProtection="true">
      <alignment horizontal="general" vertical="bottom" textRotation="0" wrapText="false" indent="0" shrinkToFit="false"/>
      <protection locked="false" hidden="false"/>
    </xf>
    <xf numFmtId="183" fontId="14" fillId="0" borderId="0" xfId="83" applyFont="true" applyBorder="false" applyAlignment="true" applyProtection="true">
      <alignment horizontal="general" vertical="center" textRotation="0" wrapText="false" indent="0" shrinkToFit="false"/>
      <protection locked="false" hidden="false"/>
    </xf>
    <xf numFmtId="164" fontId="30" fillId="0" borderId="0" xfId="168" applyFont="true" applyBorder="false" applyAlignment="true" applyProtection="true">
      <alignment horizontal="center" vertical="bottom" textRotation="0" wrapText="false" indent="0" shrinkToFit="false"/>
      <protection locked="false" hidden="false"/>
    </xf>
    <xf numFmtId="183" fontId="14" fillId="0" borderId="0" xfId="83" applyFont="true" applyBorder="false" applyAlignment="true" applyProtection="true">
      <alignment horizontal="general" vertical="center" textRotation="0" wrapText="false" indent="0" shrinkToFit="false"/>
      <protection locked="false" hidden="false"/>
    </xf>
    <xf numFmtId="183" fontId="14" fillId="27" borderId="0" xfId="83" applyFont="true" applyBorder="false" applyAlignment="true" applyProtection="true">
      <alignment horizontal="general" vertical="center" textRotation="0" wrapText="false" indent="0" shrinkToFit="false"/>
      <protection locked="false" hidden="false"/>
    </xf>
    <xf numFmtId="170" fontId="12" fillId="0" borderId="0" xfId="89" applyFont="true" applyBorder="true" applyAlignment="true" applyProtection="true">
      <alignment horizontal="center" vertical="center" textRotation="0" wrapText="false" indent="0" shrinkToFit="false"/>
      <protection locked="false" hidden="false"/>
    </xf>
    <xf numFmtId="164" fontId="83" fillId="0" borderId="0" xfId="168" applyFont="true" applyBorder="true" applyAlignment="false" applyProtection="true">
      <alignment horizontal="general" vertical="bottom" textRotation="0" wrapText="false" indent="0" shrinkToFit="false"/>
      <protection locked="false" hidden="false"/>
    </xf>
    <xf numFmtId="168" fontId="30" fillId="0" borderId="0" xfId="168" applyFont="true" applyBorder="true" applyAlignment="true" applyProtection="true">
      <alignment horizontal="center" vertical="bottom" textRotation="0" wrapText="false" indent="0" shrinkToFit="false"/>
      <protection locked="false" hidden="false"/>
    </xf>
    <xf numFmtId="164" fontId="0" fillId="0" borderId="0" xfId="168" applyFont="true" applyBorder="true" applyAlignment="false" applyProtection="true">
      <alignment horizontal="general" vertical="bottom" textRotation="0" wrapText="false" indent="0" shrinkToFit="false"/>
      <protection locked="true" hidden="true"/>
    </xf>
    <xf numFmtId="164" fontId="12" fillId="0" borderId="0" xfId="89" applyFont="true" applyBorder="true" applyAlignment="true" applyProtection="true">
      <alignment horizontal="center" vertical="center" textRotation="0" wrapText="false" indent="0" shrinkToFit="false"/>
      <protection locked="true" hidden="true"/>
    </xf>
    <xf numFmtId="171" fontId="12" fillId="0" borderId="0" xfId="89" applyFont="true" applyBorder="true" applyAlignment="true" applyProtection="true">
      <alignment horizontal="center" vertical="center" textRotation="0" wrapText="false" indent="0" shrinkToFit="false"/>
      <protection locked="true" hidden="true"/>
    </xf>
    <xf numFmtId="164" fontId="14" fillId="27" borderId="0" xfId="83" applyFont="true" applyBorder="false" applyAlignment="true" applyProtection="true">
      <alignment horizontal="general" vertical="center" textRotation="0" wrapText="false" indent="0" shrinkToFit="false"/>
      <protection locked="true" hidden="true"/>
    </xf>
    <xf numFmtId="164" fontId="14" fillId="0" borderId="0" xfId="83" applyFont="true" applyBorder="false" applyAlignment="true" applyProtection="true">
      <alignment horizontal="general" vertical="center" textRotation="0" wrapText="false" indent="0" shrinkToFit="false"/>
      <protection locked="true" hidden="true"/>
    </xf>
    <xf numFmtId="166" fontId="14" fillId="0" borderId="0" xfId="168" applyFont="true" applyBorder="true" applyAlignment="true" applyProtection="true">
      <alignment horizontal="center" vertical="bottom" textRotation="0" wrapText="false" indent="0" shrinkToFit="false"/>
      <protection locked="true" hidden="true"/>
    </xf>
    <xf numFmtId="175" fontId="14" fillId="0" borderId="0" xfId="168" applyFont="true" applyBorder="true" applyAlignment="true" applyProtection="true">
      <alignment horizontal="center" vertical="bottom" textRotation="0" wrapText="false" indent="0" shrinkToFit="false"/>
      <protection locked="true" hidden="true"/>
    </xf>
    <xf numFmtId="186" fontId="0" fillId="0" borderId="0" xfId="168" applyFont="true" applyBorder="true" applyAlignment="false" applyProtection="true">
      <alignment horizontal="general" vertical="bottom" textRotation="0" wrapText="false" indent="0" shrinkToFit="false"/>
      <protection locked="true" hidden="true"/>
    </xf>
    <xf numFmtId="186" fontId="14" fillId="0" borderId="0" xfId="168" applyFont="true" applyBorder="true" applyAlignment="true" applyProtection="true">
      <alignment horizontal="center" vertical="bottom" textRotation="0" wrapText="false" indent="0" shrinkToFit="false"/>
      <protection locked="true" hidden="true"/>
    </xf>
    <xf numFmtId="186" fontId="14" fillId="27" borderId="0" xfId="83" applyFont="true" applyBorder="false" applyAlignment="true" applyProtection="true">
      <alignment horizontal="general" vertical="center" textRotation="0" wrapText="false" indent="0" shrinkToFit="false"/>
      <protection locked="true" hidden="true"/>
    </xf>
    <xf numFmtId="186" fontId="14" fillId="0" borderId="0" xfId="83" applyFont="true" applyBorder="false" applyAlignment="true" applyProtection="true">
      <alignment horizontal="general" vertical="center" textRotation="0" wrapText="false" indent="0" shrinkToFit="false"/>
      <protection locked="true" hidden="true"/>
    </xf>
    <xf numFmtId="164" fontId="0" fillId="0" borderId="0" xfId="168" applyFont="true" applyBorder="true" applyAlignment="true" applyProtection="true">
      <alignment horizontal="center" vertical="bottom" textRotation="0" wrapText="false" indent="0" shrinkToFit="false"/>
      <protection locked="true" hidden="true"/>
    </xf>
    <xf numFmtId="171" fontId="0" fillId="0" borderId="0" xfId="168" applyFont="true" applyBorder="true" applyAlignment="true" applyProtection="true">
      <alignment horizontal="center" vertical="bottom" textRotation="0" wrapText="false" indent="0" shrinkToFit="false"/>
      <protection locked="true" hidden="true"/>
    </xf>
    <xf numFmtId="164" fontId="31" fillId="0" borderId="0" xfId="168" applyFont="true" applyBorder="true" applyAlignment="false" applyProtection="true">
      <alignment horizontal="general" vertical="bottom" textRotation="0" wrapText="false" indent="0" shrinkToFit="false"/>
      <protection locked="false" hidden="false"/>
    </xf>
    <xf numFmtId="164" fontId="31" fillId="0" borderId="0" xfId="168" applyFont="true" applyBorder="true" applyAlignment="false" applyProtection="true">
      <alignment horizontal="general" vertical="bottom" textRotation="0" wrapText="false" indent="0" shrinkToFit="false"/>
      <protection locked="true" hidden="true"/>
    </xf>
    <xf numFmtId="171" fontId="14" fillId="0" borderId="0" xfId="168" applyFont="true" applyBorder="true" applyAlignment="true" applyProtection="true">
      <alignment horizontal="center" vertical="bottom" textRotation="0" wrapText="false" indent="0" shrinkToFit="false"/>
      <protection locked="true" hidden="true"/>
    </xf>
    <xf numFmtId="164" fontId="14" fillId="0" borderId="0" xfId="168" applyFont="true" applyBorder="true" applyAlignment="true" applyProtection="true">
      <alignment horizontal="center" vertical="bottom" textRotation="0" wrapText="false" indent="0" shrinkToFit="false"/>
      <protection locked="true" hidden="true"/>
    </xf>
    <xf numFmtId="164" fontId="31" fillId="0" borderId="0" xfId="168" applyFont="true" applyBorder="true" applyAlignment="true" applyProtection="true">
      <alignment horizontal="center" vertical="bottom" textRotation="0" wrapText="false" indent="0" shrinkToFit="false"/>
      <protection locked="true" hidden="true"/>
    </xf>
    <xf numFmtId="171" fontId="31" fillId="0" borderId="0" xfId="168" applyFont="true" applyBorder="true" applyAlignment="true" applyProtection="true">
      <alignment horizontal="center" vertical="bottom" textRotation="0" wrapText="false" indent="0" shrinkToFit="false"/>
      <protection locked="true" hidden="true"/>
    </xf>
    <xf numFmtId="170" fontId="0" fillId="0" borderId="0" xfId="168" applyFont="true" applyBorder="true" applyAlignment="false" applyProtection="true">
      <alignment horizontal="general" vertical="bottom" textRotation="0" wrapText="false" indent="0" shrinkToFit="false"/>
      <protection locked="true" hidden="true"/>
    </xf>
    <xf numFmtId="170" fontId="14" fillId="0" borderId="0" xfId="168" applyFont="true" applyBorder="true" applyAlignment="true" applyProtection="true">
      <alignment horizontal="center" vertical="bottom" textRotation="0" wrapText="false" indent="0" shrinkToFit="false"/>
      <protection locked="true" hidden="true"/>
    </xf>
    <xf numFmtId="170" fontId="14" fillId="27" borderId="0" xfId="83" applyFont="true" applyBorder="false" applyAlignment="true" applyProtection="true">
      <alignment horizontal="general" vertical="center" textRotation="0" wrapText="false" indent="0" shrinkToFit="false"/>
      <protection locked="true" hidden="true"/>
    </xf>
    <xf numFmtId="170" fontId="14" fillId="0" borderId="0" xfId="83" applyFont="true" applyBorder="false" applyAlignment="true" applyProtection="true">
      <alignment horizontal="general" vertical="center" textRotation="0" wrapText="false" indent="0" shrinkToFit="false"/>
      <protection locked="true" hidden="true"/>
    </xf>
    <xf numFmtId="168" fontId="14" fillId="0" borderId="0" xfId="168" applyFont="true" applyBorder="true" applyAlignment="true" applyProtection="true">
      <alignment horizontal="center" vertical="bottom" textRotation="0" wrapText="false" indent="0" shrinkToFit="false"/>
      <protection locked="true" hidden="true"/>
    </xf>
    <xf numFmtId="164" fontId="14" fillId="0" borderId="0" xfId="168" applyFont="true" applyBorder="false" applyAlignment="false" applyProtection="true">
      <alignment horizontal="general" vertical="bottom" textRotation="0" wrapText="false" indent="0" shrinkToFit="false"/>
      <protection locked="true" hidden="true"/>
    </xf>
    <xf numFmtId="179" fontId="14" fillId="0" borderId="0" xfId="168" applyFont="true" applyBorder="false" applyAlignment="true" applyProtection="true">
      <alignment horizontal="center" vertical="bottom" textRotation="0" wrapText="false" indent="0" shrinkToFit="false"/>
      <protection locked="true" hidden="true"/>
    </xf>
    <xf numFmtId="164" fontId="83" fillId="0" borderId="0" xfId="168" applyFont="true" applyBorder="false" applyAlignment="false" applyProtection="true">
      <alignment horizontal="general" vertical="bottom" textRotation="0" wrapText="false" indent="0" shrinkToFit="false"/>
      <protection locked="false" hidden="false"/>
    </xf>
    <xf numFmtId="164" fontId="31" fillId="0" borderId="0" xfId="168" applyFont="true" applyBorder="true" applyAlignment="true" applyProtection="false">
      <alignment horizontal="center" vertical="bottom" textRotation="0" wrapText="false" indent="0" shrinkToFit="false"/>
      <protection locked="true" hidden="false"/>
    </xf>
    <xf numFmtId="164" fontId="14" fillId="0" borderId="0" xfId="168" applyFont="true" applyBorder="true" applyAlignment="true" applyProtection="true">
      <alignment horizontal="center" vertical="bottom" textRotation="0" wrapText="false" indent="0" shrinkToFit="false"/>
      <protection locked="true" hidden="true"/>
    </xf>
    <xf numFmtId="171" fontId="14" fillId="0" borderId="0" xfId="168" applyFont="true" applyBorder="true" applyAlignment="true" applyProtection="true">
      <alignment horizontal="center" vertical="bottom" textRotation="0" wrapText="false" indent="0" shrinkToFit="false"/>
      <protection locked="true" hidden="true"/>
    </xf>
    <xf numFmtId="164" fontId="90" fillId="0" borderId="0" xfId="168" applyFont="true" applyBorder="true" applyAlignment="false" applyProtection="true">
      <alignment horizontal="general" vertical="bottom" textRotation="0" wrapText="false" indent="0" shrinkToFit="false"/>
      <protection locked="true" hidden="true"/>
    </xf>
    <xf numFmtId="170" fontId="90" fillId="0" borderId="0" xfId="168" applyFont="true" applyBorder="true" applyAlignment="true" applyProtection="true">
      <alignment horizontal="center" vertical="bottom" textRotation="0" wrapText="false" indent="0" shrinkToFit="false"/>
      <protection locked="true" hidden="true"/>
    </xf>
    <xf numFmtId="183" fontId="14" fillId="0" borderId="0" xfId="83" applyFont="true" applyBorder="false" applyAlignment="true" applyProtection="true">
      <alignment horizontal="general" vertical="center" textRotation="0" wrapText="false" indent="0" shrinkToFit="false"/>
      <protection locked="true" hidden="true"/>
    </xf>
    <xf numFmtId="183" fontId="14" fillId="27" borderId="0" xfId="83" applyFont="true" applyBorder="false" applyAlignment="true" applyProtection="true">
      <alignment horizontal="general" vertical="center" textRotation="0" wrapText="false" indent="0" shrinkToFit="false"/>
      <protection locked="true" hidden="true"/>
    </xf>
    <xf numFmtId="183" fontId="14" fillId="0" borderId="0" xfId="83" applyFont="true" applyBorder="false" applyAlignment="true" applyProtection="true">
      <alignment horizontal="general" vertical="center" textRotation="0" wrapText="false" indent="0" shrinkToFit="false"/>
      <protection locked="true" hidden="true"/>
    </xf>
    <xf numFmtId="164" fontId="14" fillId="0" borderId="0" xfId="168" applyFont="true" applyBorder="true" applyAlignment="false" applyProtection="true">
      <alignment horizontal="general" vertical="bottom" textRotation="0" wrapText="false" indent="0" shrinkToFit="false"/>
      <protection locked="false" hidden="false"/>
    </xf>
    <xf numFmtId="164" fontId="14" fillId="0" borderId="0" xfId="83" applyFont="true" applyBorder="false" applyAlignment="true" applyProtection="true">
      <alignment horizontal="general" vertical="center" textRotation="0" wrapText="false" indent="0" shrinkToFit="false"/>
      <protection locked="false" hidden="false"/>
    </xf>
    <xf numFmtId="170" fontId="14" fillId="0" borderId="0" xfId="168" applyFont="true" applyBorder="true" applyAlignment="true" applyProtection="true">
      <alignment horizontal="center" vertical="bottom" textRotation="0" wrapText="false" indent="0" shrinkToFit="false"/>
      <protection locked="false" hidden="false"/>
    </xf>
    <xf numFmtId="164" fontId="0" fillId="0" borderId="0" xfId="168" applyFont="true" applyBorder="true" applyAlignment="true" applyProtection="true">
      <alignment horizontal="general" vertical="bottom" textRotation="0" wrapText="true" indent="0" shrinkToFit="false"/>
      <protection locked="false" hidden="false"/>
    </xf>
    <xf numFmtId="168" fontId="14" fillId="0" borderId="0" xfId="83" applyFont="true" applyBorder="false" applyAlignment="true" applyProtection="false">
      <alignment horizontal="center" vertical="center" textRotation="0" wrapText="false" indent="0" shrinkToFit="false"/>
      <protection locked="true" hidden="false"/>
    </xf>
    <xf numFmtId="164" fontId="92" fillId="0" borderId="0" xfId="93" applyFont="true" applyBorder="true" applyAlignment="true" applyProtection="true">
      <alignment horizontal="general" vertical="center" textRotation="0" wrapText="false" indent="0" shrinkToFit="false"/>
      <protection locked="true" hidden="false"/>
    </xf>
    <xf numFmtId="168" fontId="0" fillId="0" borderId="0" xfId="0" applyFont="false" applyBorder="false" applyAlignment="true" applyProtection="false">
      <alignment horizontal="general" vertical="center" textRotation="0" wrapText="false" indent="0" shrinkToFit="false"/>
      <protection locked="true" hidden="false"/>
    </xf>
    <xf numFmtId="164" fontId="14" fillId="0" borderId="0" xfId="83" applyFont="true" applyBorder="false" applyAlignment="true" applyProtection="false">
      <alignment horizontal="center" vertical="center" textRotation="0" wrapText="false" indent="0" shrinkToFit="false"/>
      <protection locked="true" hidden="false"/>
    </xf>
    <xf numFmtId="164" fontId="14" fillId="0" borderId="0" xfId="83" applyFont="true" applyBorder="false" applyAlignment="true" applyProtection="false">
      <alignment horizontal="center" vertical="center" textRotation="0" wrapText="false" indent="0" shrinkToFit="false"/>
      <protection locked="true" hidden="false"/>
    </xf>
    <xf numFmtId="164" fontId="47" fillId="0" borderId="0" xfId="89" applyFont="true" applyBorder="true" applyAlignment="true" applyProtection="true">
      <alignment horizontal="general" vertical="center" textRotation="0" wrapText="false" indent="0" shrinkToFit="false"/>
      <protection locked="true" hidden="false"/>
    </xf>
    <xf numFmtId="170" fontId="94" fillId="0" borderId="0" xfId="89" applyFont="true" applyBorder="true" applyAlignment="true" applyProtection="true">
      <alignment horizontal="center" vertical="center" textRotation="0" wrapText="false" indent="0" shrinkToFit="false"/>
      <protection locked="false" hidden="false"/>
    </xf>
    <xf numFmtId="170" fontId="94" fillId="26" borderId="0" xfId="89" applyFont="true" applyBorder="true" applyAlignment="true" applyProtection="true">
      <alignment horizontal="center" vertical="center" textRotation="0" wrapText="false" indent="0" shrinkToFit="false"/>
      <protection locked="false" hidden="false"/>
    </xf>
    <xf numFmtId="170" fontId="95" fillId="0" borderId="0" xfId="89" applyFont="true" applyBorder="true" applyAlignment="true" applyProtection="true">
      <alignment horizontal="center" vertical="center" textRotation="0" wrapText="false" indent="0" shrinkToFit="false"/>
      <protection locked="false" hidden="false"/>
    </xf>
    <xf numFmtId="170" fontId="94" fillId="36" borderId="0" xfId="89" applyFont="true" applyBorder="true" applyAlignment="true" applyProtection="true">
      <alignment horizontal="center" vertical="center" textRotation="0" wrapText="false" indent="0" shrinkToFit="false"/>
      <protection locked="false" hidden="false"/>
    </xf>
    <xf numFmtId="164" fontId="47" fillId="0" borderId="0" xfId="89" applyFont="true" applyBorder="true" applyAlignment="true" applyProtection="true">
      <alignment horizontal="general" vertical="center" textRotation="0" wrapText="false" indent="0" shrinkToFit="false"/>
      <protection locked="true" hidden="false"/>
    </xf>
    <xf numFmtId="176" fontId="94" fillId="0" borderId="0" xfId="89" applyFont="true" applyBorder="true" applyAlignment="true" applyProtection="true">
      <alignment horizontal="center" vertical="center" textRotation="0" wrapText="false" indent="0" shrinkToFit="false"/>
      <protection locked="false" hidden="false"/>
    </xf>
    <xf numFmtId="164" fontId="10" fillId="0" borderId="0" xfId="89" applyFont="true" applyBorder="true" applyAlignment="true" applyProtection="true">
      <alignment horizontal="center" vertical="center" textRotation="0" wrapText="false" indent="0" shrinkToFit="false"/>
      <protection locked="false" hidden="false"/>
    </xf>
    <xf numFmtId="177" fontId="10" fillId="0" borderId="0" xfId="89" applyFont="true" applyBorder="true" applyAlignment="true" applyProtection="true">
      <alignment horizontal="center" vertical="center" textRotation="0" wrapText="false" indent="0" shrinkToFit="false"/>
      <protection locked="false" hidden="false"/>
    </xf>
    <xf numFmtId="187" fontId="10" fillId="0" borderId="0" xfId="89" applyFont="true" applyBorder="true" applyAlignment="true" applyProtection="true">
      <alignment horizontal="center" vertical="center" textRotation="0" wrapText="false" indent="0" shrinkToFit="false"/>
      <protection locked="false" hidden="false"/>
    </xf>
    <xf numFmtId="170" fontId="47" fillId="0" borderId="0" xfId="89" applyFont="true" applyBorder="true" applyAlignment="true" applyProtection="true">
      <alignment horizontal="center" vertical="center" textRotation="0" wrapText="false" indent="0" shrinkToFit="false"/>
      <protection locked="true" hidden="false"/>
    </xf>
    <xf numFmtId="164" fontId="92" fillId="0" borderId="0" xfId="89" applyFont="true" applyBorder="true" applyAlignment="true" applyProtection="true">
      <alignment horizontal="general" vertical="center" textRotation="0" wrapText="false" indent="0" shrinkToFit="false"/>
      <protection locked="true" hidden="false"/>
    </xf>
    <xf numFmtId="171" fontId="47" fillId="0" borderId="0" xfId="89" applyFont="true" applyBorder="true" applyAlignment="true" applyProtection="true">
      <alignment horizontal="center" vertical="center" textRotation="0" wrapText="false" indent="0" shrinkToFit="false"/>
      <protection locked="true" hidden="false"/>
    </xf>
    <xf numFmtId="164" fontId="47" fillId="3" borderId="0" xfId="89" applyFont="true" applyBorder="true" applyAlignment="true" applyProtection="true">
      <alignment horizontal="general" vertical="center" textRotation="0" wrapText="false" indent="0" shrinkToFit="false"/>
      <protection locked="true" hidden="false"/>
    </xf>
    <xf numFmtId="170" fontId="47" fillId="3" borderId="0" xfId="89" applyFont="true" applyBorder="true" applyAlignment="true" applyProtection="true">
      <alignment horizontal="center" vertical="center" textRotation="0" wrapText="false" indent="0" shrinkToFit="false"/>
      <protection locked="true" hidden="false"/>
    </xf>
    <xf numFmtId="164" fontId="47" fillId="37" borderId="0" xfId="89" applyFont="true" applyBorder="true" applyAlignment="true" applyProtection="true">
      <alignment horizontal="general" vertical="center" textRotation="0" wrapText="false" indent="0" shrinkToFit="false"/>
      <protection locked="true" hidden="false"/>
    </xf>
    <xf numFmtId="170" fontId="47" fillId="37" borderId="0" xfId="89" applyFont="true" applyBorder="true" applyAlignment="true" applyProtection="true">
      <alignment horizontal="center" vertical="center" textRotation="0" wrapText="false" indent="0" shrinkToFit="false"/>
      <protection locked="true" hidden="false"/>
    </xf>
    <xf numFmtId="164" fontId="94" fillId="0" borderId="0" xfId="89" applyFont="true" applyBorder="true" applyAlignment="true" applyProtection="true">
      <alignment horizontal="center" vertical="center" textRotation="0" wrapText="false" indent="0" shrinkToFit="false"/>
      <protection locked="false" hidden="false"/>
    </xf>
    <xf numFmtId="169" fontId="94" fillId="0" borderId="0" xfId="89" applyFont="true" applyBorder="true" applyAlignment="true" applyProtection="true">
      <alignment horizontal="center" vertical="center" textRotation="0" wrapText="false" indent="0" shrinkToFit="false"/>
      <protection locked="false" hidden="false"/>
    </xf>
    <xf numFmtId="166" fontId="10" fillId="0" borderId="0" xfId="89" applyFont="true" applyBorder="true" applyAlignment="true" applyProtection="true">
      <alignment horizontal="center" vertical="center" textRotation="0" wrapText="false" indent="0" shrinkToFit="false"/>
      <protection locked="false" hidden="false"/>
    </xf>
    <xf numFmtId="166" fontId="94" fillId="0" borderId="0" xfId="89" applyFont="true" applyBorder="true" applyAlignment="true" applyProtection="true">
      <alignment horizontal="center" vertical="center" textRotation="0" wrapText="false" indent="0" shrinkToFit="false"/>
      <protection locked="false" hidden="false"/>
    </xf>
    <xf numFmtId="175" fontId="94" fillId="0" borderId="0" xfId="89" applyFont="true" applyBorder="true" applyAlignment="true" applyProtection="true">
      <alignment horizontal="center" vertical="center" textRotation="0" wrapText="false" indent="0" shrinkToFit="false"/>
      <protection locked="false" hidden="false"/>
    </xf>
    <xf numFmtId="175" fontId="10" fillId="0" borderId="0" xfId="89" applyFont="true" applyBorder="true" applyAlignment="true" applyProtection="true">
      <alignment horizontal="center" vertical="center" textRotation="0" wrapText="false" indent="0" shrinkToFit="false"/>
      <protection locked="false" hidden="false"/>
    </xf>
    <xf numFmtId="175" fontId="23" fillId="0" borderId="0" xfId="89" applyFont="true" applyBorder="true" applyAlignment="true" applyProtection="true">
      <alignment horizontal="center" vertical="center" textRotation="0" wrapText="false" indent="0" shrinkToFit="false"/>
      <protection locked="false" hidden="false"/>
    </xf>
    <xf numFmtId="164" fontId="47" fillId="0" borderId="0" xfId="89" applyFont="true" applyBorder="true" applyAlignment="true" applyProtection="true">
      <alignment horizontal="right" vertical="center" textRotation="0" wrapText="false" indent="0" shrinkToFit="false"/>
      <protection locked="true" hidden="false"/>
    </xf>
    <xf numFmtId="164" fontId="92" fillId="0" borderId="0" xfId="89" applyFont="true" applyBorder="true" applyAlignment="true" applyProtection="true">
      <alignment horizontal="right" vertical="center" textRotation="0" wrapText="false" indent="0" shrinkToFit="false"/>
      <protection locked="true" hidden="false"/>
    </xf>
    <xf numFmtId="164" fontId="94" fillId="0" borderId="0" xfId="89" applyFont="true" applyBorder="true" applyAlignment="true" applyProtection="true">
      <alignment horizontal="center" vertical="center" textRotation="0" wrapText="false" indent="0" shrinkToFit="false"/>
      <protection locked="true" hidden="false"/>
    </xf>
    <xf numFmtId="164" fontId="23" fillId="0" borderId="0" xfId="89" applyFont="true" applyBorder="true" applyAlignment="true" applyProtection="true">
      <alignment horizontal="general" vertical="center" textRotation="0" wrapText="false" indent="0" shrinkToFit="false"/>
      <protection locked="true" hidden="false"/>
    </xf>
    <xf numFmtId="164" fontId="31" fillId="0" borderId="0" xfId="83" applyFont="true" applyBorder="false" applyAlignment="true" applyProtection="false">
      <alignment horizontal="general" vertical="center" textRotation="0" wrapText="false" indent="0" shrinkToFit="false"/>
      <protection locked="true" hidden="false"/>
    </xf>
    <xf numFmtId="166" fontId="47" fillId="0" borderId="0" xfId="89" applyFont="true" applyBorder="true" applyAlignment="true" applyProtection="true">
      <alignment horizontal="center" vertical="center" textRotation="0" wrapText="false" indent="0" shrinkToFit="false"/>
      <protection locked="false" hidden="false"/>
    </xf>
    <xf numFmtId="175" fontId="47" fillId="0" borderId="0" xfId="89" applyFont="true" applyBorder="true" applyAlignment="true" applyProtection="true">
      <alignment horizontal="center" vertical="center" textRotation="0" wrapText="false" indent="0" shrinkToFit="false"/>
      <protection locked="false" hidden="false"/>
    </xf>
    <xf numFmtId="170" fontId="47" fillId="0" borderId="0" xfId="89" applyFont="true" applyBorder="true" applyAlignment="true" applyProtection="true">
      <alignment horizontal="center" vertical="center" textRotation="0" wrapText="false" indent="0" shrinkToFit="false"/>
      <protection locked="false" hidden="false"/>
    </xf>
    <xf numFmtId="164" fontId="94" fillId="38" borderId="0" xfId="89" applyFont="true" applyBorder="true" applyAlignment="true" applyProtection="true">
      <alignment horizontal="center" vertical="center" textRotation="0" wrapText="false" indent="0" shrinkToFit="false"/>
      <protection locked="false" hidden="false"/>
    </xf>
    <xf numFmtId="164" fontId="55" fillId="0" borderId="0" xfId="89" applyFont="true" applyBorder="true" applyAlignment="true" applyProtection="true">
      <alignment horizontal="center" vertical="center" textRotation="0" wrapText="false" indent="0" shrinkToFit="false"/>
      <protection locked="false" hidden="false"/>
    </xf>
    <xf numFmtId="171" fontId="47" fillId="0" borderId="0" xfId="89" applyFont="true" applyBorder="true" applyAlignment="true" applyProtection="true">
      <alignment horizontal="center" vertical="center" textRotation="0" wrapText="false" indent="0" shrinkToFit="false"/>
      <protection locked="false" hidden="false"/>
    </xf>
    <xf numFmtId="171" fontId="47" fillId="27" borderId="0" xfId="89" applyFont="true" applyBorder="true" applyAlignment="true" applyProtection="true">
      <alignment horizontal="center" vertical="center" textRotation="0" wrapText="false" indent="0" shrinkToFit="false"/>
      <protection locked="false" hidden="false"/>
    </xf>
    <xf numFmtId="164" fontId="23" fillId="0" borderId="0" xfId="89" applyFont="true" applyBorder="true" applyAlignment="true" applyProtection="true">
      <alignment horizontal="center" vertical="center" textRotation="0" wrapText="false" indent="0" shrinkToFit="false"/>
      <protection locked="false" hidden="false"/>
    </xf>
    <xf numFmtId="164" fontId="92" fillId="0" borderId="0" xfId="89" applyFont="true" applyBorder="true" applyAlignment="true" applyProtection="true">
      <alignment horizontal="center" vertical="center" textRotation="0" wrapText="false" indent="0" shrinkToFit="false"/>
      <protection locked="false" hidden="false"/>
    </xf>
    <xf numFmtId="188" fontId="55" fillId="0" borderId="0" xfId="19" applyFont="true" applyBorder="true" applyAlignment="true" applyProtection="true">
      <alignment horizontal="center" vertical="center" textRotation="0" wrapText="false" indent="0" shrinkToFit="false"/>
      <protection locked="true" hidden="false"/>
    </xf>
    <xf numFmtId="189" fontId="47" fillId="0" borderId="0" xfId="89" applyFont="true" applyBorder="true" applyAlignment="true" applyProtection="true">
      <alignment horizontal="general" vertical="center" textRotation="0" wrapText="false" indent="0" shrinkToFit="false"/>
      <protection locked="true" hidden="false"/>
    </xf>
    <xf numFmtId="189" fontId="47" fillId="0" borderId="0" xfId="89" applyFont="true" applyBorder="true" applyAlignment="true" applyProtection="true">
      <alignment horizontal="center" vertical="center" textRotation="0" wrapText="false" indent="0" shrinkToFit="false"/>
      <protection locked="true" hidden="false"/>
    </xf>
    <xf numFmtId="170" fontId="94" fillId="0" borderId="0" xfId="89" applyFont="true" applyBorder="true" applyAlignment="true" applyProtection="true">
      <alignment horizontal="center" vertical="center" textRotation="0" wrapText="true" indent="0" shrinkToFit="false"/>
      <protection locked="false" hidden="false"/>
    </xf>
    <xf numFmtId="164" fontId="92" fillId="0" borderId="0" xfId="89" applyFont="true" applyBorder="true" applyAlignment="true" applyProtection="true">
      <alignment horizontal="general" vertical="center" textRotation="0" wrapText="false" indent="0" shrinkToFit="false"/>
      <protection locked="true" hidden="false"/>
    </xf>
    <xf numFmtId="164" fontId="94" fillId="0" borderId="0" xfId="89" applyFont="true" applyBorder="true" applyAlignment="true" applyProtection="true">
      <alignment horizontal="center" vertical="center" textRotation="0" wrapText="false" indent="0" shrinkToFit="false"/>
      <protection locked="false" hidden="false"/>
    </xf>
    <xf numFmtId="168" fontId="94" fillId="0" borderId="0" xfId="89" applyFont="true" applyBorder="true" applyAlignment="true" applyProtection="true">
      <alignment horizontal="center" vertical="center" textRotation="0" wrapText="false" indent="0" shrinkToFit="false"/>
      <protection locked="false" hidden="false"/>
    </xf>
    <xf numFmtId="164" fontId="14" fillId="0" borderId="0" xfId="83" applyFont="true" applyBorder="false" applyAlignment="true" applyProtection="false">
      <alignment horizontal="general" vertical="center" textRotation="0" wrapText="false" indent="0" shrinkToFit="false"/>
      <protection locked="true" hidden="false"/>
    </xf>
    <xf numFmtId="166" fontId="47" fillId="0" borderId="0" xfId="89" applyFont="true" applyBorder="true" applyAlignment="true" applyProtection="true">
      <alignment horizontal="center" vertical="center" textRotation="0" wrapText="false" indent="0" shrinkToFit="false"/>
      <protection locked="true" hidden="false"/>
    </xf>
    <xf numFmtId="166" fontId="47" fillId="37" borderId="0" xfId="89" applyFont="true" applyBorder="true" applyAlignment="true" applyProtection="true">
      <alignment horizontal="center" vertical="center" textRotation="0" wrapText="false" indent="0" shrinkToFit="false"/>
      <protection locked="true" hidden="false"/>
    </xf>
    <xf numFmtId="164" fontId="47" fillId="36" borderId="0" xfId="89" applyFont="true" applyBorder="true" applyAlignment="true" applyProtection="true">
      <alignment horizontal="general" vertical="center" textRotation="0" wrapText="false" indent="0" shrinkToFit="false"/>
      <protection locked="true" hidden="false"/>
    </xf>
    <xf numFmtId="166" fontId="47" fillId="36" borderId="0" xfId="89" applyFont="true" applyBorder="true" applyAlignment="true" applyProtection="true">
      <alignment horizontal="center" vertical="center" textRotation="0" wrapText="false" indent="0" shrinkToFit="false"/>
      <protection locked="true" hidden="false"/>
    </xf>
    <xf numFmtId="166" fontId="96" fillId="36" borderId="0" xfId="89" applyFont="true" applyBorder="true" applyAlignment="true" applyProtection="true">
      <alignment horizontal="center" vertical="center" textRotation="0" wrapText="false" indent="0" shrinkToFit="false"/>
      <protection locked="true" hidden="false"/>
    </xf>
    <xf numFmtId="164" fontId="14" fillId="36" borderId="0" xfId="83" applyFont="true" applyBorder="false" applyAlignment="true" applyProtection="false">
      <alignment horizontal="general" vertical="center" textRotation="0" wrapText="false" indent="0" shrinkToFit="false"/>
      <protection locked="true" hidden="false"/>
    </xf>
    <xf numFmtId="166" fontId="96" fillId="0" borderId="0" xfId="89" applyFont="true" applyBorder="true" applyAlignment="true" applyProtection="true">
      <alignment horizontal="center" vertical="center" textRotation="0" wrapText="false" indent="0" shrinkToFit="false"/>
      <protection locked="true" hidden="false"/>
    </xf>
    <xf numFmtId="170" fontId="96" fillId="3" borderId="0" xfId="89" applyFont="true" applyBorder="true" applyAlignment="true" applyProtection="true">
      <alignment horizontal="center" vertical="center" textRotation="0" wrapText="false" indent="0" shrinkToFit="false"/>
      <protection locked="true" hidden="false"/>
    </xf>
    <xf numFmtId="164" fontId="47" fillId="9" borderId="0" xfId="89" applyFont="true" applyBorder="true" applyAlignment="true" applyProtection="true">
      <alignment horizontal="general" vertical="center" textRotation="0" wrapText="false" indent="0" shrinkToFit="false"/>
      <protection locked="true" hidden="false"/>
    </xf>
    <xf numFmtId="170" fontId="47" fillId="9" borderId="0" xfId="89" applyFont="true" applyBorder="true" applyAlignment="true" applyProtection="true">
      <alignment horizontal="center" vertical="center" textRotation="0" wrapText="false" indent="0" shrinkToFit="false"/>
      <protection locked="true" hidden="false"/>
    </xf>
    <xf numFmtId="164" fontId="14" fillId="9" borderId="0" xfId="83" applyFont="true" applyBorder="false" applyAlignment="true" applyProtection="false">
      <alignment horizontal="general" vertical="center" textRotation="0" wrapText="false" indent="0" shrinkToFit="false"/>
      <protection locked="true" hidden="false"/>
    </xf>
    <xf numFmtId="170" fontId="96" fillId="0" borderId="0" xfId="89" applyFont="true" applyBorder="true" applyAlignment="true" applyProtection="true">
      <alignment horizontal="center" vertical="center" textRotation="0" wrapText="false" indent="0" shrinkToFit="false"/>
      <protection locked="true" hidden="false"/>
    </xf>
    <xf numFmtId="164" fontId="31" fillId="0" borderId="0" xfId="83" applyFont="true" applyBorder="false" applyAlignment="true" applyProtection="false">
      <alignment horizontal="center" vertical="center" textRotation="0" wrapText="false" indent="0" shrinkToFit="false"/>
      <protection locked="true" hidden="false"/>
    </xf>
    <xf numFmtId="164" fontId="47" fillId="0" borderId="0" xfId="89" applyFont="true" applyBorder="true" applyAlignment="true" applyProtection="true">
      <alignment horizontal="general" vertical="center" textRotation="0" wrapText="false" indent="0" shrinkToFit="false"/>
      <protection locked="false" hidden="false"/>
    </xf>
    <xf numFmtId="164" fontId="47" fillId="0" borderId="0" xfId="89" applyFont="true" applyBorder="true" applyAlignment="true" applyProtection="true">
      <alignment horizontal="left" vertical="center" textRotation="0" wrapText="true" indent="0" shrinkToFit="false"/>
      <protection locked="true" hidden="false"/>
    </xf>
    <xf numFmtId="164" fontId="47" fillId="0" borderId="0" xfId="89" applyFont="true" applyBorder="true" applyAlignment="true" applyProtection="true">
      <alignment horizontal="center" vertical="center" textRotation="0" wrapText="true" indent="0" shrinkToFit="false"/>
      <protection locked="false" hidden="false"/>
    </xf>
    <xf numFmtId="164" fontId="40" fillId="32" borderId="0" xfId="83" applyFont="true" applyBorder="false" applyAlignment="true" applyProtection="false">
      <alignment horizontal="general" vertical="center" textRotation="0" wrapText="false" indent="0" shrinkToFit="false"/>
      <protection locked="true" hidden="false"/>
    </xf>
    <xf numFmtId="164" fontId="92" fillId="0" borderId="0" xfId="93" applyFont="true" applyBorder="true" applyAlignment="true" applyProtection="true">
      <alignment horizontal="right" vertical="center" textRotation="0" wrapText="false" indent="0" shrinkToFit="false"/>
      <protection locked="true" hidden="false"/>
    </xf>
    <xf numFmtId="164" fontId="14" fillId="0" borderId="0" xfId="83" applyFont="true" applyBorder="false" applyAlignment="true" applyProtection="true">
      <alignment horizontal="center" vertical="center" textRotation="0" wrapText="false" indent="0" shrinkToFit="false"/>
      <protection locked="false" hidden="false"/>
    </xf>
    <xf numFmtId="164" fontId="14" fillId="0" borderId="0" xfId="83" applyFont="true" applyBorder="false" applyAlignment="true" applyProtection="true">
      <alignment horizontal="center" vertical="center" textRotation="0" wrapText="false" indent="0" shrinkToFit="false"/>
      <protection locked="false" hidden="false"/>
    </xf>
    <xf numFmtId="170" fontId="94" fillId="32" borderId="0" xfId="89" applyFont="true" applyBorder="true" applyAlignment="true" applyProtection="true">
      <alignment horizontal="center" vertical="center" textRotation="0" wrapText="false" indent="0" shrinkToFit="false"/>
      <protection locked="false" hidden="false"/>
    </xf>
    <xf numFmtId="170" fontId="97" fillId="32" borderId="0" xfId="89" applyFont="true" applyBorder="true" applyAlignment="true" applyProtection="true">
      <alignment horizontal="center" vertical="center" textRotation="0" wrapText="false" indent="0" shrinkToFit="false"/>
      <protection locked="false" hidden="false"/>
    </xf>
    <xf numFmtId="170" fontId="97" fillId="30" borderId="0" xfId="89" applyFont="true" applyBorder="true" applyAlignment="true" applyProtection="true">
      <alignment horizontal="center" vertical="center" textRotation="0" wrapText="false" indent="0" shrinkToFit="false"/>
      <protection locked="false" hidden="false"/>
    </xf>
    <xf numFmtId="176" fontId="10" fillId="32" borderId="0" xfId="89" applyFont="true" applyBorder="true" applyAlignment="true" applyProtection="true">
      <alignment horizontal="center" vertical="center" textRotation="0" wrapText="false" indent="0" shrinkToFit="false"/>
      <protection locked="false" hidden="false"/>
    </xf>
    <xf numFmtId="176" fontId="10" fillId="30" borderId="0" xfId="89" applyFont="true" applyBorder="true" applyAlignment="true" applyProtection="true">
      <alignment horizontal="center" vertical="center" textRotation="0" wrapText="false" indent="0" shrinkToFit="false"/>
      <protection locked="false" hidden="false"/>
    </xf>
    <xf numFmtId="176" fontId="47" fillId="30" borderId="0" xfId="89" applyFont="true" applyBorder="true" applyAlignment="true" applyProtection="true">
      <alignment horizontal="center" vertical="center" textRotation="0" wrapText="false" indent="0" shrinkToFit="false"/>
      <protection locked="false" hidden="false"/>
    </xf>
    <xf numFmtId="164" fontId="10" fillId="0" borderId="0" xfId="89" applyFont="true" applyBorder="true" applyAlignment="true" applyProtection="true">
      <alignment horizontal="center" vertical="center" textRotation="0" wrapText="false" indent="0" shrinkToFit="false"/>
      <protection locked="false" hidden="false"/>
    </xf>
    <xf numFmtId="170" fontId="94" fillId="30" borderId="0" xfId="89" applyFont="true" applyBorder="true" applyAlignment="true" applyProtection="true">
      <alignment horizontal="center" vertical="center" textRotation="0" wrapText="false" indent="0" shrinkToFit="false"/>
      <protection locked="false" hidden="false"/>
    </xf>
    <xf numFmtId="170" fontId="92" fillId="0" borderId="0" xfId="89" applyFont="true" applyBorder="true" applyAlignment="true" applyProtection="true">
      <alignment horizontal="general" vertical="center" textRotation="0" wrapText="false" indent="0" shrinkToFit="false"/>
      <protection locked="true" hidden="false"/>
    </xf>
    <xf numFmtId="170" fontId="14" fillId="0" borderId="0" xfId="83" applyFont="true" applyBorder="false" applyAlignment="true" applyProtection="false">
      <alignment horizontal="general" vertical="center" textRotation="0" wrapText="false" indent="0" shrinkToFit="false"/>
      <protection locked="true" hidden="false"/>
    </xf>
    <xf numFmtId="166" fontId="10" fillId="32" borderId="0" xfId="89" applyFont="true" applyBorder="true" applyAlignment="true" applyProtection="true">
      <alignment horizontal="center" vertical="center" textRotation="0" wrapText="false" indent="0" shrinkToFit="false"/>
      <protection locked="false" hidden="false"/>
    </xf>
    <xf numFmtId="166" fontId="10" fillId="30" borderId="0" xfId="89" applyFont="true" applyBorder="true" applyAlignment="true" applyProtection="true">
      <alignment horizontal="center" vertical="center" textRotation="0" wrapText="false" indent="0" shrinkToFit="false"/>
      <protection locked="false" hidden="false"/>
    </xf>
    <xf numFmtId="166" fontId="94" fillId="30" borderId="0" xfId="89" applyFont="true" applyBorder="true" applyAlignment="true" applyProtection="true">
      <alignment horizontal="center" vertical="center" textRotation="0" wrapText="false" indent="0" shrinkToFit="false"/>
      <protection locked="false" hidden="false"/>
    </xf>
    <xf numFmtId="166" fontId="47" fillId="30" borderId="0" xfId="89" applyFont="true" applyBorder="true" applyAlignment="true" applyProtection="true">
      <alignment horizontal="center" vertical="center" textRotation="0" wrapText="false" indent="0" shrinkToFit="false"/>
      <protection locked="false" hidden="false"/>
    </xf>
    <xf numFmtId="164" fontId="94" fillId="30" borderId="0" xfId="89" applyFont="true" applyBorder="true" applyAlignment="true" applyProtection="true">
      <alignment horizontal="center" vertical="center" textRotation="0" wrapText="false" indent="0" shrinkToFit="false"/>
      <protection locked="false" hidden="false"/>
    </xf>
    <xf numFmtId="164" fontId="31" fillId="0" borderId="0" xfId="83" applyFont="true" applyBorder="false" applyAlignment="true" applyProtection="false">
      <alignment horizontal="general" vertical="center" textRotation="0" wrapText="false" indent="0" shrinkToFit="false"/>
      <protection locked="true" hidden="false"/>
    </xf>
    <xf numFmtId="177" fontId="47" fillId="30" borderId="0" xfId="89" applyFont="true" applyBorder="true" applyAlignment="true" applyProtection="true">
      <alignment horizontal="center" vertical="center" textRotation="0" wrapText="false" indent="0" shrinkToFit="false"/>
      <protection locked="false" hidden="false"/>
    </xf>
    <xf numFmtId="177" fontId="94" fillId="30" borderId="0" xfId="89" applyFont="true" applyBorder="true" applyAlignment="true" applyProtection="true">
      <alignment horizontal="center" vertical="center" textRotation="0" wrapText="false" indent="0" shrinkToFit="false"/>
      <protection locked="false" hidden="false"/>
    </xf>
    <xf numFmtId="184" fontId="94" fillId="0" borderId="0" xfId="89" applyFont="true" applyBorder="true" applyAlignment="true" applyProtection="true">
      <alignment horizontal="center" vertical="center" textRotation="0" wrapText="false" indent="0" shrinkToFit="false"/>
      <protection locked="false" hidden="false"/>
    </xf>
    <xf numFmtId="170" fontId="10" fillId="32" borderId="0" xfId="89" applyFont="true" applyBorder="true" applyAlignment="true" applyProtection="true">
      <alignment horizontal="center" vertical="center" textRotation="0" wrapText="false" indent="0" shrinkToFit="false"/>
      <protection locked="false" hidden="false"/>
    </xf>
    <xf numFmtId="170" fontId="47" fillId="30" borderId="0" xfId="89" applyFont="true" applyBorder="true" applyAlignment="true" applyProtection="true">
      <alignment horizontal="center" vertical="center" textRotation="0" wrapText="false" indent="0" shrinkToFit="false"/>
      <protection locked="false" hidden="false"/>
    </xf>
    <xf numFmtId="189" fontId="10" fillId="32" borderId="0" xfId="89" applyFont="true" applyBorder="true" applyAlignment="true" applyProtection="true">
      <alignment horizontal="center" vertical="center" textRotation="0" wrapText="false" indent="0" shrinkToFit="false"/>
      <protection locked="false" hidden="false"/>
    </xf>
    <xf numFmtId="189" fontId="10" fillId="0" borderId="0" xfId="89" applyFont="true" applyBorder="true" applyAlignment="true" applyProtection="true">
      <alignment horizontal="center" vertical="center" textRotation="0" wrapText="false" indent="0" shrinkToFit="false"/>
      <protection locked="false" hidden="false"/>
    </xf>
    <xf numFmtId="189" fontId="94" fillId="0" borderId="0" xfId="89" applyFont="true" applyBorder="true" applyAlignment="true" applyProtection="true">
      <alignment horizontal="center" vertical="center" textRotation="0" wrapText="false" indent="0" shrinkToFit="false"/>
      <protection locked="false" hidden="false"/>
    </xf>
    <xf numFmtId="189" fontId="14" fillId="0" borderId="0" xfId="83" applyFont="true" applyBorder="false" applyAlignment="true" applyProtection="false">
      <alignment horizontal="general" vertical="center" textRotation="0" wrapText="false" indent="0" shrinkToFit="false"/>
      <protection locked="true" hidden="false"/>
    </xf>
    <xf numFmtId="186" fontId="47" fillId="0" borderId="0" xfId="89" applyFont="true" applyBorder="true" applyAlignment="true" applyProtection="true">
      <alignment horizontal="general" vertical="center" textRotation="0" wrapText="false" indent="0" shrinkToFit="false"/>
      <protection locked="true" hidden="false"/>
    </xf>
    <xf numFmtId="186" fontId="47" fillId="0" borderId="0" xfId="89" applyFont="true" applyBorder="true" applyAlignment="true" applyProtection="true">
      <alignment horizontal="center" vertical="center" textRotation="0" wrapText="false" indent="0" shrinkToFit="false"/>
      <protection locked="false" hidden="false"/>
    </xf>
    <xf numFmtId="189" fontId="47" fillId="0" borderId="0" xfId="89" applyFont="true" applyBorder="true" applyAlignment="true" applyProtection="true">
      <alignment horizontal="center" vertical="center" textRotation="0" wrapText="false" indent="0" shrinkToFit="false"/>
      <protection locked="false" hidden="false"/>
    </xf>
    <xf numFmtId="186" fontId="14" fillId="0" borderId="0" xfId="83" applyFont="true" applyBorder="false" applyAlignment="true" applyProtection="false">
      <alignment horizontal="general" vertical="center" textRotation="0" wrapText="false" indent="0" shrinkToFit="false"/>
      <protection locked="true" hidden="false"/>
    </xf>
    <xf numFmtId="170" fontId="10" fillId="30" borderId="0" xfId="89" applyFont="true" applyBorder="true" applyAlignment="true" applyProtection="true">
      <alignment horizontal="center" vertical="center" textRotation="0" wrapText="false" indent="0" shrinkToFit="false"/>
      <protection locked="false" hidden="false"/>
    </xf>
    <xf numFmtId="170" fontId="47" fillId="0" borderId="0" xfId="89" applyFont="true" applyBorder="true" applyAlignment="true" applyProtection="true">
      <alignment horizontal="general" vertical="center" textRotation="0" wrapText="false" indent="0" shrinkToFit="false"/>
      <protection locked="true" hidden="false"/>
    </xf>
    <xf numFmtId="170" fontId="14" fillId="0" borderId="0" xfId="83" applyFont="true" applyBorder="false" applyAlignment="true" applyProtection="false">
      <alignment horizontal="general" vertical="center" textRotation="0" wrapText="false" indent="0" shrinkToFit="false"/>
      <protection locked="true" hidden="false"/>
    </xf>
    <xf numFmtId="186" fontId="47" fillId="0" borderId="0" xfId="89" applyFont="true" applyBorder="true" applyAlignment="true" applyProtection="true">
      <alignment horizontal="center" vertical="center" textRotation="0" wrapText="false" indent="0" shrinkToFit="false"/>
      <protection locked="true" hidden="false"/>
    </xf>
    <xf numFmtId="180" fontId="10" fillId="30" borderId="0" xfId="89" applyFont="true" applyBorder="true" applyAlignment="true" applyProtection="true">
      <alignment horizontal="center" vertical="center" textRotation="0" wrapText="false" indent="0" shrinkToFit="false"/>
      <protection locked="false" hidden="false"/>
    </xf>
    <xf numFmtId="164" fontId="92" fillId="30" borderId="0" xfId="89" applyFont="true" applyBorder="true" applyAlignment="true" applyProtection="true">
      <alignment horizontal="center" vertical="center" textRotation="0" wrapText="false" indent="0" shrinkToFit="false"/>
      <protection locked="false" hidden="false"/>
    </xf>
    <xf numFmtId="164" fontId="10" fillId="30" borderId="0" xfId="89" applyFont="true" applyBorder="true" applyAlignment="true" applyProtection="true">
      <alignment horizontal="center" vertical="center" textRotation="0" wrapText="false" indent="0" shrinkToFit="false"/>
      <protection locked="false" hidden="false"/>
    </xf>
    <xf numFmtId="188" fontId="55" fillId="0" borderId="0" xfId="192" applyFont="true" applyBorder="true" applyAlignment="true" applyProtection="true">
      <alignment horizontal="center" vertical="center" textRotation="0" wrapText="false" indent="0" shrinkToFit="false"/>
      <protection locked="true" hidden="false"/>
    </xf>
    <xf numFmtId="164" fontId="99" fillId="0" borderId="0" xfId="83" applyFont="true" applyBorder="false" applyAlignment="true" applyProtection="false">
      <alignment horizontal="center" vertical="center" textRotation="0" wrapText="false" indent="0" shrinkToFit="false"/>
      <protection locked="true" hidden="false"/>
    </xf>
    <xf numFmtId="164" fontId="99" fillId="28" borderId="0" xfId="83" applyFont="true" applyBorder="false" applyAlignment="true" applyProtection="false">
      <alignment horizontal="center" vertical="center" textRotation="0" wrapText="false" indent="0" shrinkToFit="false"/>
      <protection locked="true" hidden="false"/>
    </xf>
    <xf numFmtId="170" fontId="94" fillId="28" borderId="0" xfId="89" applyFont="true" applyBorder="true" applyAlignment="true" applyProtection="true">
      <alignment horizontal="center" vertical="center" textRotation="0" wrapText="true" indent="0" shrinkToFit="false"/>
      <protection locked="false" hidden="false"/>
    </xf>
    <xf numFmtId="164" fontId="14" fillId="0" borderId="0" xfId="83" applyFont="true" applyBorder="false" applyAlignment="true" applyProtection="false">
      <alignment horizontal="general" vertical="center" textRotation="0" wrapText="false" indent="0" shrinkToFit="false"/>
      <protection locked="true" hidden="false"/>
    </xf>
    <xf numFmtId="164" fontId="47" fillId="26" borderId="0" xfId="89" applyFont="true" applyBorder="true" applyAlignment="true" applyProtection="true">
      <alignment horizontal="general" vertical="center" textRotation="0" wrapText="false" indent="0" shrinkToFit="false"/>
      <protection locked="true" hidden="false"/>
    </xf>
    <xf numFmtId="166" fontId="47" fillId="26" borderId="0" xfId="89" applyFont="true" applyBorder="true" applyAlignment="true" applyProtection="true">
      <alignment horizontal="center" vertical="center" textRotation="0" wrapText="false" indent="0" shrinkToFit="false"/>
      <protection locked="true" hidden="false"/>
    </xf>
    <xf numFmtId="164" fontId="14" fillId="26" borderId="0" xfId="83" applyFont="true" applyBorder="false" applyAlignment="true" applyProtection="false">
      <alignment horizontal="general" vertical="center" textRotation="0" wrapText="false" indent="0" shrinkToFit="false"/>
      <protection locked="true" hidden="false"/>
    </xf>
    <xf numFmtId="177" fontId="47" fillId="0" borderId="0" xfId="89" applyFont="true" applyBorder="true" applyAlignment="true" applyProtection="true">
      <alignment horizontal="general" vertical="center" textRotation="0" wrapText="false" indent="0" shrinkToFit="false"/>
      <protection locked="true" hidden="false"/>
    </xf>
    <xf numFmtId="177" fontId="47" fillId="0" borderId="0" xfId="89" applyFont="true" applyBorder="true" applyAlignment="true" applyProtection="true">
      <alignment horizontal="center" vertical="center" textRotation="0" wrapText="false" indent="0" shrinkToFit="false"/>
      <protection locked="true" hidden="false"/>
    </xf>
    <xf numFmtId="177" fontId="14" fillId="0" borderId="0" xfId="83" applyFont="true" applyBorder="false" applyAlignment="true" applyProtection="false">
      <alignment horizontal="general" vertical="center" textRotation="0" wrapText="false" indent="0" shrinkToFit="false"/>
      <protection locked="true" hidden="false"/>
    </xf>
    <xf numFmtId="170" fontId="14" fillId="0" borderId="0" xfId="83" applyFont="true" applyBorder="false" applyAlignment="true" applyProtection="false">
      <alignment horizontal="center" vertical="center" textRotation="0" wrapText="false" indent="0" shrinkToFit="false"/>
      <protection locked="true" hidden="false"/>
    </xf>
    <xf numFmtId="171" fontId="14" fillId="0" borderId="0" xfId="83" applyFont="true" applyBorder="false" applyAlignment="true" applyProtection="false">
      <alignment horizontal="center" vertical="center" textRotation="0" wrapText="false" indent="0" shrinkToFit="false"/>
      <protection locked="true" hidden="false"/>
    </xf>
    <xf numFmtId="164" fontId="14" fillId="30" borderId="0" xfId="83" applyFont="true" applyBorder="false" applyAlignment="true" applyProtection="false">
      <alignment horizontal="general" vertical="center" textRotation="0" wrapText="false" indent="0" shrinkToFit="false"/>
      <protection locked="true" hidden="false"/>
    </xf>
    <xf numFmtId="164" fontId="14" fillId="32" borderId="0" xfId="83" applyFont="true" applyBorder="false" applyAlignment="true" applyProtection="false">
      <alignment horizontal="general" vertical="center" textRotation="0" wrapText="false" indent="0" shrinkToFit="false"/>
      <protection locked="true" hidden="false"/>
    </xf>
    <xf numFmtId="164" fontId="94" fillId="0" borderId="10" xfId="89" applyFont="true" applyBorder="true" applyAlignment="true" applyProtection="true">
      <alignment horizontal="center" vertical="center" textRotation="0" wrapText="false" indent="0" shrinkToFit="false"/>
      <protection locked="false" hidden="false"/>
    </xf>
    <xf numFmtId="164" fontId="14" fillId="32" borderId="10" xfId="83" applyFont="true" applyBorder="true" applyAlignment="true" applyProtection="true">
      <alignment horizontal="center" vertical="center" textRotation="0" wrapText="false" indent="0" shrinkToFit="false"/>
      <protection locked="false" hidden="false"/>
    </xf>
    <xf numFmtId="164" fontId="14" fillId="0" borderId="10" xfId="83" applyFont="true" applyBorder="true" applyAlignment="true" applyProtection="true">
      <alignment horizontal="center" vertical="center" textRotation="0" wrapText="false" indent="0" shrinkToFit="false"/>
      <protection locked="false" hidden="false"/>
    </xf>
    <xf numFmtId="164" fontId="14" fillId="32" borderId="10" xfId="83" applyFont="true" applyBorder="true" applyAlignment="true" applyProtection="true">
      <alignment horizontal="left" vertical="center" textRotation="0" wrapText="false" indent="0" shrinkToFit="false"/>
      <protection locked="false" hidden="false"/>
    </xf>
    <xf numFmtId="164" fontId="14" fillId="0" borderId="10" xfId="83" applyFont="true" applyBorder="true" applyAlignment="true" applyProtection="true">
      <alignment horizontal="left" vertical="center" textRotation="0" wrapText="false" indent="0" shrinkToFit="false"/>
      <protection locked="false" hidden="false"/>
    </xf>
    <xf numFmtId="164" fontId="14" fillId="0" borderId="10" xfId="83" applyFont="true" applyBorder="true" applyAlignment="true" applyProtection="true">
      <alignment horizontal="left" vertical="center" textRotation="0" wrapText="false" indent="0" shrinkToFit="false"/>
      <protection locked="false" hidden="false"/>
    </xf>
    <xf numFmtId="171" fontId="100" fillId="26" borderId="0" xfId="171" applyFont="true" applyBorder="true" applyAlignment="true" applyProtection="true">
      <alignment horizontal="center" vertical="bottom" textRotation="0" wrapText="false" indent="0" shrinkToFit="false"/>
      <protection locked="false" hidden="false"/>
    </xf>
    <xf numFmtId="171" fontId="100" fillId="0" borderId="0" xfId="171" applyFont="true" applyBorder="true" applyAlignment="true" applyProtection="true">
      <alignment horizontal="center" vertical="bottom" textRotation="0" wrapText="false" indent="0" shrinkToFit="false"/>
      <protection locked="false" hidden="false"/>
    </xf>
    <xf numFmtId="171" fontId="101" fillId="0" borderId="0" xfId="171" applyFont="true" applyBorder="true" applyAlignment="true" applyProtection="true">
      <alignment horizontal="center" vertical="bottom" textRotation="0" wrapText="false" indent="0" shrinkToFit="false"/>
      <protection locked="false" hidden="false"/>
    </xf>
    <xf numFmtId="164" fontId="100" fillId="0" borderId="0" xfId="171" applyFont="true" applyBorder="true" applyAlignment="true" applyProtection="false">
      <alignment horizontal="center" vertical="bottom" textRotation="0" wrapText="false" indent="0" shrinkToFit="false"/>
      <protection locked="true" hidden="false"/>
    </xf>
    <xf numFmtId="164" fontId="102" fillId="0" borderId="0" xfId="83" applyFont="true" applyBorder="false" applyAlignment="true" applyProtection="true">
      <alignment horizontal="general" vertical="center" textRotation="0" wrapText="false" indent="0" shrinkToFit="false"/>
      <protection locked="false" hidden="false"/>
    </xf>
    <xf numFmtId="164" fontId="14" fillId="26" borderId="0" xfId="83" applyFont="true" applyBorder="false" applyAlignment="true" applyProtection="true">
      <alignment horizontal="general" vertical="center" textRotation="0" wrapText="false" indent="0" shrinkToFit="false"/>
      <protection locked="false" hidden="false"/>
    </xf>
    <xf numFmtId="171" fontId="30" fillId="0" borderId="0" xfId="171" applyFont="true" applyBorder="true" applyAlignment="true" applyProtection="true">
      <alignment horizontal="center" vertical="bottom" textRotation="0" wrapText="false" indent="0" shrinkToFit="false"/>
      <protection locked="false" hidden="false"/>
    </xf>
    <xf numFmtId="164" fontId="30" fillId="0" borderId="0" xfId="171" applyFont="true" applyBorder="true" applyAlignment="true" applyProtection="false">
      <alignment horizontal="center" vertical="bottom" textRotation="0" wrapText="false" indent="0" shrinkToFit="false"/>
      <protection locked="true" hidden="false"/>
    </xf>
    <xf numFmtId="164" fontId="102" fillId="27" borderId="0" xfId="83" applyFont="true" applyBorder="false" applyAlignment="true" applyProtection="true">
      <alignment horizontal="general" vertical="center" textRotation="0" wrapText="false" indent="0" shrinkToFit="false"/>
      <protection locked="false" hidden="false"/>
    </xf>
    <xf numFmtId="190" fontId="14" fillId="26" borderId="0" xfId="83" applyFont="true" applyBorder="false" applyAlignment="true" applyProtection="true">
      <alignment horizontal="general" vertical="center" textRotation="0" wrapText="false" indent="0" shrinkToFit="false"/>
      <protection locked="false" hidden="false"/>
    </xf>
    <xf numFmtId="169" fontId="30" fillId="0" borderId="0" xfId="171" applyFont="true" applyBorder="true" applyAlignment="true" applyProtection="true">
      <alignment horizontal="center" vertical="bottom" textRotation="0" wrapText="false" indent="0" shrinkToFit="false"/>
      <protection locked="false" hidden="false"/>
    </xf>
    <xf numFmtId="169" fontId="101" fillId="0" borderId="0" xfId="171" applyFont="true" applyBorder="true" applyAlignment="true" applyProtection="true">
      <alignment horizontal="center" vertical="bottom" textRotation="0" wrapText="false" indent="0" shrinkToFit="false"/>
      <protection locked="false" hidden="false"/>
    </xf>
    <xf numFmtId="190" fontId="14" fillId="27" borderId="0" xfId="83" applyFont="true" applyBorder="false" applyAlignment="true" applyProtection="true">
      <alignment horizontal="general" vertical="center" textRotation="0" wrapText="false" indent="0" shrinkToFit="false"/>
      <protection locked="false" hidden="false"/>
    </xf>
    <xf numFmtId="190" fontId="14" fillId="0" borderId="0" xfId="83" applyFont="true" applyBorder="false" applyAlignment="true" applyProtection="true">
      <alignment horizontal="general" vertical="center" textRotation="0" wrapText="false" indent="0" shrinkToFit="false"/>
      <protection locked="false" hidden="false"/>
    </xf>
    <xf numFmtId="189" fontId="14" fillId="26" borderId="0" xfId="83" applyFont="true" applyBorder="false" applyAlignment="true" applyProtection="true">
      <alignment horizontal="general" vertical="center" textRotation="0" wrapText="false" indent="0" shrinkToFit="false"/>
      <protection locked="false" hidden="false"/>
    </xf>
    <xf numFmtId="170" fontId="103" fillId="0" borderId="0" xfId="89" applyFont="true" applyBorder="true" applyAlignment="true" applyProtection="true">
      <alignment horizontal="center" vertical="center" textRotation="0" wrapText="false" indent="0" shrinkToFit="false"/>
      <protection locked="false" hidden="false"/>
    </xf>
    <xf numFmtId="170" fontId="104" fillId="0" borderId="0" xfId="89" applyFont="true" applyBorder="true" applyAlignment="true" applyProtection="true">
      <alignment horizontal="center" vertical="center" textRotation="0" wrapText="false" indent="0" shrinkToFit="false"/>
      <protection locked="false" hidden="false"/>
    </xf>
    <xf numFmtId="189" fontId="105" fillId="27" borderId="0" xfId="83" applyFont="true" applyBorder="false" applyAlignment="true" applyProtection="true">
      <alignment horizontal="general" vertical="center" textRotation="0" wrapText="false" indent="0" shrinkToFit="false"/>
      <protection locked="false" hidden="false"/>
    </xf>
    <xf numFmtId="189" fontId="105" fillId="0" borderId="0" xfId="83" applyFont="true" applyBorder="false" applyAlignment="true" applyProtection="true">
      <alignment horizontal="general" vertical="center" textRotation="0" wrapText="false" indent="0" shrinkToFit="false"/>
      <protection locked="false" hidden="false"/>
    </xf>
    <xf numFmtId="189" fontId="14" fillId="0" borderId="0" xfId="83" applyFont="true" applyBorder="false" applyAlignment="true" applyProtection="true">
      <alignment horizontal="general" vertical="center" textRotation="0" wrapText="false" indent="0" shrinkToFit="false"/>
      <protection locked="true" hidden="true"/>
    </xf>
    <xf numFmtId="189" fontId="71" fillId="0" borderId="0" xfId="83" applyFont="true" applyBorder="true" applyAlignment="true" applyProtection="true">
      <alignment horizontal="center" vertical="center" textRotation="0" wrapText="false" indent="0" shrinkToFit="false"/>
      <protection locked="true" hidden="true"/>
    </xf>
    <xf numFmtId="189" fontId="106" fillId="0" borderId="0" xfId="83" applyFont="true" applyBorder="true" applyAlignment="true" applyProtection="true">
      <alignment horizontal="center" vertical="center" textRotation="0" wrapText="false" indent="0" shrinkToFit="false"/>
      <protection locked="true" hidden="true"/>
    </xf>
    <xf numFmtId="189" fontId="14" fillId="27" borderId="0" xfId="83" applyFont="true" applyBorder="false" applyAlignment="true" applyProtection="true">
      <alignment horizontal="general" vertical="center" textRotation="0" wrapText="false" indent="0" shrinkToFit="false"/>
      <protection locked="true" hidden="true"/>
    </xf>
    <xf numFmtId="189" fontId="71" fillId="26" borderId="0" xfId="83" applyFont="true" applyBorder="false" applyAlignment="true" applyProtection="true">
      <alignment horizontal="general" vertical="center" textRotation="0" wrapText="false" indent="0" shrinkToFit="false"/>
      <protection locked="false" hidden="false"/>
    </xf>
    <xf numFmtId="189" fontId="102" fillId="27" borderId="0" xfId="83" applyFont="true" applyBorder="false" applyAlignment="true" applyProtection="true">
      <alignment horizontal="general" vertical="center" textRotation="0" wrapText="false" indent="0" shrinkToFit="false"/>
      <protection locked="false" hidden="false"/>
    </xf>
    <xf numFmtId="189" fontId="102" fillId="0" borderId="0" xfId="83" applyFont="true" applyBorder="false" applyAlignment="true" applyProtection="true">
      <alignment horizontal="general" vertical="center" textRotation="0" wrapText="false" indent="0" shrinkToFit="false"/>
      <protection locked="false" hidden="false"/>
    </xf>
    <xf numFmtId="176" fontId="71" fillId="0" borderId="0" xfId="83" applyFont="true" applyBorder="false" applyAlignment="true" applyProtection="true">
      <alignment horizontal="general" vertical="center" textRotation="0" wrapText="false" indent="0" shrinkToFit="false"/>
      <protection locked="false" hidden="false"/>
    </xf>
    <xf numFmtId="176" fontId="14" fillId="0" borderId="0" xfId="83" applyFont="true" applyBorder="false" applyAlignment="true" applyProtection="true">
      <alignment horizontal="center" vertical="center" textRotation="0" wrapText="false" indent="0" shrinkToFit="false"/>
      <protection locked="false" hidden="false"/>
    </xf>
    <xf numFmtId="164" fontId="31" fillId="0" borderId="0" xfId="83" applyFont="true" applyBorder="false" applyAlignment="true" applyProtection="true">
      <alignment horizontal="left" vertical="center" textRotation="0" wrapText="false" indent="0" shrinkToFit="false"/>
      <protection locked="false" hidden="false"/>
    </xf>
    <xf numFmtId="164" fontId="14" fillId="0" borderId="0" xfId="83" applyFont="true" applyBorder="true" applyAlignment="true" applyProtection="true">
      <alignment horizontal="center" vertical="center" textRotation="0" wrapText="false" indent="0" shrinkToFit="false"/>
      <protection locked="false" hidden="false"/>
    </xf>
    <xf numFmtId="164" fontId="106" fillId="0" borderId="0" xfId="83" applyFont="true" applyBorder="false" applyAlignment="true" applyProtection="true">
      <alignment horizontal="general" vertical="center" textRotation="0" wrapText="false" indent="0" shrinkToFit="false"/>
      <protection locked="false" hidden="false"/>
    </xf>
    <xf numFmtId="170" fontId="14" fillId="26" borderId="0" xfId="83" applyFont="true" applyBorder="false" applyAlignment="true" applyProtection="true">
      <alignment horizontal="general" vertical="center" textRotation="0" wrapText="false" indent="0" shrinkToFit="false"/>
      <protection locked="false" hidden="false"/>
    </xf>
    <xf numFmtId="169" fontId="107" fillId="0" borderId="0" xfId="89" applyFont="true" applyBorder="true" applyAlignment="true" applyProtection="true">
      <alignment horizontal="center" vertical="center" textRotation="0" wrapText="false" indent="0" shrinkToFit="false"/>
      <protection locked="false" hidden="false"/>
    </xf>
    <xf numFmtId="169" fontId="108" fillId="0" borderId="0" xfId="89" applyFont="true" applyBorder="true" applyAlignment="true" applyProtection="true">
      <alignment horizontal="center" vertical="center" textRotation="0" wrapText="false" indent="0" shrinkToFit="false"/>
      <protection locked="false" hidden="false"/>
    </xf>
    <xf numFmtId="170" fontId="14" fillId="27" borderId="0" xfId="83" applyFont="true" applyBorder="false" applyAlignment="true" applyProtection="true">
      <alignment horizontal="general" vertical="center" textRotation="0" wrapText="false" indent="0" shrinkToFit="false"/>
      <protection locked="false" hidden="false"/>
    </xf>
    <xf numFmtId="170" fontId="14" fillId="0" borderId="0" xfId="83" applyFont="true" applyBorder="false" applyAlignment="true" applyProtection="true">
      <alignment horizontal="general" vertical="center" textRotation="0" wrapText="false" indent="0" shrinkToFit="false"/>
      <protection locked="false" hidden="false"/>
    </xf>
    <xf numFmtId="170" fontId="71" fillId="0" borderId="0" xfId="83" applyFont="true" applyBorder="false" applyAlignment="true" applyProtection="true">
      <alignment horizontal="general" vertical="center" textRotation="0" wrapText="false" indent="0" shrinkToFit="false"/>
      <protection locked="true" hidden="true"/>
    </xf>
    <xf numFmtId="170" fontId="71" fillId="0" borderId="0" xfId="83" applyFont="true" applyBorder="true" applyAlignment="true" applyProtection="true">
      <alignment horizontal="center" vertical="center" textRotation="0" wrapText="false" indent="0" shrinkToFit="false"/>
      <protection locked="true" hidden="true"/>
    </xf>
    <xf numFmtId="170" fontId="106" fillId="0" borderId="0" xfId="83" applyFont="true" applyBorder="true" applyAlignment="true" applyProtection="true">
      <alignment horizontal="center" vertical="center" textRotation="0" wrapText="false" indent="0" shrinkToFit="false"/>
      <protection locked="true" hidden="true"/>
    </xf>
    <xf numFmtId="189" fontId="71" fillId="27" borderId="0" xfId="83" applyFont="true" applyBorder="false" applyAlignment="true" applyProtection="true">
      <alignment horizontal="general" vertical="center" textRotation="0" wrapText="false" indent="0" shrinkToFit="false"/>
      <protection locked="true" hidden="true"/>
    </xf>
    <xf numFmtId="189" fontId="71" fillId="27" borderId="0" xfId="83" applyFont="true" applyBorder="true" applyAlignment="true" applyProtection="true">
      <alignment horizontal="center" vertical="center" textRotation="0" wrapText="false" indent="0" shrinkToFit="false"/>
      <protection locked="true" hidden="true"/>
    </xf>
    <xf numFmtId="189" fontId="106" fillId="27" borderId="0" xfId="83" applyFont="true" applyBorder="true" applyAlignment="true" applyProtection="true">
      <alignment horizontal="center" vertical="center" textRotation="0" wrapText="false" indent="0" shrinkToFit="false"/>
      <protection locked="true" hidden="true"/>
    </xf>
    <xf numFmtId="171" fontId="71" fillId="0" borderId="0" xfId="83" applyFont="true" applyBorder="true" applyAlignment="true" applyProtection="true">
      <alignment horizontal="center" vertical="center" textRotation="0" wrapText="false" indent="0" shrinkToFit="false"/>
      <protection locked="true" hidden="true"/>
    </xf>
    <xf numFmtId="177" fontId="71" fillId="0" borderId="0" xfId="83" applyFont="true" applyBorder="false" applyAlignment="true" applyProtection="true">
      <alignment horizontal="general" vertical="center" textRotation="0" wrapText="false" indent="0" shrinkToFit="false"/>
      <protection locked="false" hidden="false"/>
    </xf>
    <xf numFmtId="177" fontId="103" fillId="0" borderId="0" xfId="89" applyFont="true" applyBorder="true" applyAlignment="true" applyProtection="true">
      <alignment horizontal="center" vertical="center" textRotation="0" wrapText="false" indent="0" shrinkToFit="false"/>
      <protection locked="false" hidden="false"/>
    </xf>
    <xf numFmtId="177" fontId="10" fillId="0" borderId="0" xfId="89" applyFont="true" applyBorder="true" applyAlignment="true" applyProtection="true">
      <alignment horizontal="general" vertical="center" textRotation="0" wrapText="false" indent="0" shrinkToFit="false"/>
      <protection locked="false" hidden="false"/>
    </xf>
    <xf numFmtId="177" fontId="100" fillId="0" borderId="0" xfId="171" applyFont="true" applyBorder="true" applyAlignment="true" applyProtection="true">
      <alignment horizontal="center" vertical="bottom" textRotation="0" wrapText="false" indent="0" shrinkToFit="false"/>
      <protection locked="false" hidden="false"/>
    </xf>
    <xf numFmtId="177" fontId="109" fillId="0" borderId="0" xfId="171" applyFont="true" applyBorder="true" applyAlignment="true" applyProtection="true">
      <alignment horizontal="center" vertical="bottom" textRotation="0" wrapText="false" indent="0" shrinkToFit="false"/>
      <protection locked="false" hidden="false"/>
    </xf>
    <xf numFmtId="177" fontId="83" fillId="0" borderId="0" xfId="171" applyFont="true" applyBorder="true" applyAlignment="true" applyProtection="true">
      <alignment horizontal="general" vertical="bottom" textRotation="0" wrapText="false" indent="0" shrinkToFit="false"/>
      <protection locked="false" hidden="false"/>
    </xf>
    <xf numFmtId="177" fontId="14" fillId="27" borderId="0" xfId="83" applyFont="true" applyBorder="false" applyAlignment="true" applyProtection="true">
      <alignment horizontal="general" vertical="center" textRotation="0" wrapText="false" indent="0" shrinkToFit="false"/>
      <protection locked="false" hidden="false"/>
    </xf>
    <xf numFmtId="186" fontId="110" fillId="0" borderId="0" xfId="83" applyFont="true" applyBorder="false" applyAlignment="true" applyProtection="true">
      <alignment horizontal="general" vertical="center" textRotation="0" wrapText="false" indent="0" shrinkToFit="false"/>
      <protection locked="false" hidden="false"/>
    </xf>
    <xf numFmtId="166" fontId="111" fillId="0" borderId="0" xfId="89" applyFont="true" applyBorder="true" applyAlignment="true" applyProtection="true">
      <alignment horizontal="center" vertical="center" textRotation="0" wrapText="false" indent="0" shrinkToFit="false"/>
      <protection locked="false" hidden="false"/>
    </xf>
    <xf numFmtId="164" fontId="14" fillId="0" borderId="0" xfId="83" applyFont="true" applyBorder="false" applyAlignment="true" applyProtection="true">
      <alignment horizontal="center" vertical="center" textRotation="0" wrapText="false" indent="0" shrinkToFit="false"/>
      <protection locked="false" hidden="false"/>
    </xf>
    <xf numFmtId="166" fontId="103" fillId="0" borderId="0" xfId="89" applyFont="true" applyBorder="true" applyAlignment="true" applyProtection="true">
      <alignment horizontal="center" vertical="center" textRotation="0" wrapText="false" indent="0" shrinkToFit="false"/>
      <protection locked="false" hidden="false"/>
    </xf>
    <xf numFmtId="166" fontId="71" fillId="0" borderId="0" xfId="83" applyFont="true" applyBorder="false" applyAlignment="true" applyProtection="true">
      <alignment horizontal="center" vertical="center" textRotation="0" wrapText="false" indent="0" shrinkToFit="false"/>
      <protection locked="false" hidden="false"/>
    </xf>
    <xf numFmtId="186" fontId="14" fillId="27" borderId="0" xfId="83" applyFont="true" applyBorder="false" applyAlignment="true" applyProtection="true">
      <alignment horizontal="general" vertical="center" textRotation="0" wrapText="false" indent="0" shrinkToFit="false"/>
      <protection locked="false" hidden="false"/>
    </xf>
    <xf numFmtId="177" fontId="71" fillId="0" borderId="0" xfId="83" applyFont="true" applyBorder="false" applyAlignment="true" applyProtection="true">
      <alignment horizontal="general" vertical="center" textRotation="0" wrapText="false" indent="0" shrinkToFit="false"/>
      <protection locked="true" hidden="true"/>
    </xf>
    <xf numFmtId="177" fontId="71" fillId="0" borderId="0" xfId="83" applyFont="true" applyBorder="false" applyAlignment="true" applyProtection="true">
      <alignment horizontal="center" vertical="center" textRotation="0" wrapText="false" indent="0" shrinkToFit="false"/>
      <protection locked="true" hidden="true"/>
    </xf>
    <xf numFmtId="177" fontId="14" fillId="27" borderId="0" xfId="83" applyFont="true" applyBorder="false" applyAlignment="true" applyProtection="true">
      <alignment horizontal="general" vertical="center" textRotation="0" wrapText="false" indent="0" shrinkToFit="false"/>
      <protection locked="true" hidden="true"/>
    </xf>
    <xf numFmtId="189" fontId="71" fillId="0" borderId="0" xfId="83" applyFont="true" applyBorder="false" applyAlignment="true" applyProtection="true">
      <alignment horizontal="general" vertical="center" textRotation="0" wrapText="false" indent="0" shrinkToFit="false"/>
      <protection locked="true" hidden="true"/>
    </xf>
    <xf numFmtId="189" fontId="71" fillId="0" borderId="0" xfId="83" applyFont="true" applyBorder="false" applyAlignment="true" applyProtection="true">
      <alignment horizontal="center" vertical="center" textRotation="0" wrapText="false" indent="0" shrinkToFit="false"/>
      <protection locked="true" hidden="true"/>
    </xf>
    <xf numFmtId="186" fontId="71" fillId="0" borderId="0" xfId="83" applyFont="true" applyBorder="false" applyAlignment="true" applyProtection="true">
      <alignment horizontal="general" vertical="center" textRotation="0" wrapText="false" indent="0" shrinkToFit="false"/>
      <protection locked="false" hidden="false"/>
    </xf>
    <xf numFmtId="186" fontId="14" fillId="0" borderId="0" xfId="83" applyFont="true" applyBorder="false" applyAlignment="true" applyProtection="true">
      <alignment horizontal="center" vertical="center" textRotation="0" wrapText="false" indent="0" shrinkToFit="false"/>
      <protection locked="false" hidden="false"/>
    </xf>
    <xf numFmtId="186" fontId="105" fillId="27" borderId="0" xfId="83" applyFont="true" applyBorder="false" applyAlignment="true" applyProtection="true">
      <alignment horizontal="general" vertical="center" textRotation="0" wrapText="false" indent="0" shrinkToFit="false"/>
      <protection locked="false" hidden="false"/>
    </xf>
    <xf numFmtId="186" fontId="105" fillId="0" borderId="0" xfId="83" applyFont="true" applyBorder="false" applyAlignment="true" applyProtection="true">
      <alignment horizontal="general" vertical="center" textRotation="0" wrapText="false" indent="0" shrinkToFit="false"/>
      <protection locked="false" hidden="false"/>
    </xf>
    <xf numFmtId="177" fontId="14" fillId="0" borderId="0" xfId="83" applyFont="true" applyBorder="false" applyAlignment="true" applyProtection="true">
      <alignment horizontal="general" vertical="center" textRotation="0" wrapText="false" indent="0" shrinkToFit="false"/>
      <protection locked="false" hidden="false"/>
    </xf>
    <xf numFmtId="177" fontId="14" fillId="0" borderId="0" xfId="83" applyFont="true" applyBorder="false" applyAlignment="true" applyProtection="true">
      <alignment horizontal="center" vertical="center" textRotation="0" wrapText="false" indent="0" shrinkToFit="false"/>
      <protection locked="false" hidden="false"/>
    </xf>
    <xf numFmtId="164" fontId="30" fillId="0" borderId="0" xfId="171" applyFont="true" applyBorder="true" applyAlignment="true" applyProtection="true">
      <alignment horizontal="general" vertical="bottom" textRotation="0" wrapText="false" indent="0" shrinkToFit="false"/>
      <protection locked="false" hidden="false"/>
    </xf>
    <xf numFmtId="189" fontId="112" fillId="0" borderId="0" xfId="83" applyFont="true" applyBorder="false" applyAlignment="true" applyProtection="true">
      <alignment horizontal="general" vertical="center" textRotation="0" wrapText="false" indent="0" shrinkToFit="false"/>
      <protection locked="false" hidden="false"/>
    </xf>
    <xf numFmtId="164" fontId="30" fillId="0" borderId="0" xfId="171" applyFont="true" applyBorder="true" applyAlignment="true" applyProtection="true">
      <alignment horizontal="center" vertical="bottom" textRotation="0" wrapText="false" indent="0" shrinkToFit="false"/>
      <protection locked="false" hidden="false"/>
    </xf>
    <xf numFmtId="166" fontId="30" fillId="0" borderId="0" xfId="171" applyFont="true" applyBorder="true" applyAlignment="true" applyProtection="true">
      <alignment horizontal="center" vertical="bottom" textRotation="0" wrapText="false" indent="0" shrinkToFit="false"/>
      <protection locked="false" hidden="false"/>
    </xf>
    <xf numFmtId="169" fontId="103" fillId="0" borderId="0" xfId="89" applyFont="true" applyBorder="true" applyAlignment="true" applyProtection="true">
      <alignment horizontal="center" vertical="center" textRotation="0" wrapText="false" indent="0" shrinkToFit="false"/>
      <protection locked="false" hidden="false"/>
    </xf>
    <xf numFmtId="183" fontId="14" fillId="0" borderId="0" xfId="83" applyFont="true" applyBorder="false" applyAlignment="true" applyProtection="true">
      <alignment horizontal="center" vertical="center" textRotation="0" wrapText="false" indent="0" shrinkToFit="false"/>
      <protection locked="false" hidden="false"/>
    </xf>
    <xf numFmtId="164" fontId="102" fillId="27" borderId="0" xfId="83" applyFont="true" applyBorder="false" applyAlignment="true" applyProtection="true">
      <alignment horizontal="center" vertical="center" textRotation="0" wrapText="false" indent="0" shrinkToFit="false"/>
      <protection locked="false" hidden="false"/>
    </xf>
    <xf numFmtId="164" fontId="102" fillId="0" borderId="0" xfId="83" applyFont="true" applyBorder="false" applyAlignment="true" applyProtection="true">
      <alignment horizontal="center" vertical="center" textRotation="0" wrapText="false" indent="0" shrinkToFit="false"/>
      <protection locked="false" hidden="false"/>
    </xf>
    <xf numFmtId="183" fontId="71" fillId="0" borderId="0" xfId="83" applyFont="true" applyBorder="false" applyAlignment="true" applyProtection="true">
      <alignment horizontal="general" vertical="center" textRotation="0" wrapText="false" indent="0" shrinkToFit="false"/>
      <protection locked="true" hidden="true"/>
    </xf>
    <xf numFmtId="183" fontId="71" fillId="0" borderId="0" xfId="83" applyFont="true" applyBorder="false" applyAlignment="true" applyProtection="true">
      <alignment horizontal="center" vertical="center" textRotation="0" wrapText="false" indent="0" shrinkToFit="false"/>
      <protection locked="true" hidden="true"/>
    </xf>
    <xf numFmtId="164" fontId="110" fillId="0" borderId="0" xfId="83" applyFont="true" applyBorder="false" applyAlignment="true" applyProtection="true">
      <alignment horizontal="general" vertical="center" textRotation="0" wrapText="false" indent="0" shrinkToFit="false"/>
      <protection locked="false" hidden="false"/>
    </xf>
    <xf numFmtId="180" fontId="100" fillId="0" borderId="0" xfId="171" applyFont="true" applyBorder="true" applyAlignment="true" applyProtection="true">
      <alignment horizontal="center" vertical="bottom" textRotation="0" wrapText="false" indent="0" shrinkToFit="false"/>
      <protection locked="false" hidden="false"/>
    </xf>
    <xf numFmtId="164" fontId="71" fillId="0" borderId="0" xfId="83" applyFont="true" applyBorder="false" applyAlignment="true" applyProtection="true">
      <alignment horizontal="general" vertical="center" textRotation="0" wrapText="false" indent="0" shrinkToFit="false"/>
      <protection locked="true" hidden="true"/>
    </xf>
    <xf numFmtId="164" fontId="30" fillId="0" borderId="0" xfId="171" applyFont="true" applyBorder="true" applyAlignment="true" applyProtection="true">
      <alignment horizontal="general" vertical="bottom" textRotation="0" wrapText="false" indent="0" shrinkToFit="false"/>
      <protection locked="true" hidden="true"/>
    </xf>
    <xf numFmtId="164" fontId="102" fillId="27" borderId="0" xfId="83" applyFont="true" applyBorder="false" applyAlignment="true" applyProtection="true">
      <alignment horizontal="general" vertical="center" textRotation="0" wrapText="false" indent="0" shrinkToFit="false"/>
      <protection locked="true" hidden="true"/>
    </xf>
    <xf numFmtId="164" fontId="102" fillId="0" borderId="0" xfId="83" applyFont="true" applyBorder="false" applyAlignment="true" applyProtection="true">
      <alignment horizontal="general" vertical="center" textRotation="0" wrapText="false" indent="0" shrinkToFit="false"/>
      <protection locked="true" hidden="true"/>
    </xf>
    <xf numFmtId="164" fontId="112" fillId="0" borderId="0" xfId="83" applyFont="true" applyBorder="false" applyAlignment="true" applyProtection="true">
      <alignment horizontal="general" vertical="center" textRotation="0" wrapText="false" indent="0" shrinkToFit="false"/>
      <protection locked="false" hidden="false"/>
    </xf>
    <xf numFmtId="164" fontId="113" fillId="0" borderId="0" xfId="83" applyFont="true" applyBorder="false" applyAlignment="true" applyProtection="true">
      <alignment horizontal="center" vertical="center" textRotation="0" wrapText="false" indent="0" shrinkToFit="false"/>
      <protection locked="false" hidden="false"/>
    </xf>
    <xf numFmtId="191" fontId="14" fillId="0" borderId="0" xfId="83" applyFont="true" applyBorder="false" applyAlignment="true" applyProtection="true">
      <alignment horizontal="general" vertical="center" textRotation="0" wrapText="false" indent="0" shrinkToFit="false"/>
      <protection locked="true" hidden="true"/>
    </xf>
    <xf numFmtId="191" fontId="71" fillId="0" borderId="0" xfId="83" applyFont="true" applyBorder="false" applyAlignment="true" applyProtection="true">
      <alignment horizontal="center" vertical="center" textRotation="0" wrapText="false" indent="0" shrinkToFit="false"/>
      <protection locked="true" hidden="true"/>
    </xf>
    <xf numFmtId="191" fontId="14" fillId="27" borderId="0" xfId="83" applyFont="true" applyBorder="false" applyAlignment="true" applyProtection="true">
      <alignment horizontal="general" vertical="center" textRotation="0" wrapText="false" indent="0" shrinkToFit="false"/>
      <protection locked="true" hidden="true"/>
    </xf>
    <xf numFmtId="183" fontId="71" fillId="0" borderId="0" xfId="83" applyFont="true" applyBorder="true" applyAlignment="true" applyProtection="true">
      <alignment horizontal="center" vertical="center" textRotation="0" wrapText="false" indent="0" shrinkToFit="false"/>
      <protection locked="true" hidden="true"/>
    </xf>
    <xf numFmtId="164" fontId="14" fillId="0" borderId="0" xfId="83" applyFont="true" applyBorder="false" applyAlignment="true" applyProtection="true">
      <alignment horizontal="center" vertical="center" textRotation="0" wrapText="false" indent="0" shrinkToFit="false"/>
      <protection locked="true" hidden="true"/>
    </xf>
    <xf numFmtId="183" fontId="31" fillId="0" borderId="0" xfId="83" applyFont="true" applyBorder="true" applyAlignment="true" applyProtection="true">
      <alignment horizontal="center" vertical="center" textRotation="0" wrapText="false" indent="0" shrinkToFit="false"/>
      <protection locked="false" hidden="false"/>
    </xf>
    <xf numFmtId="164" fontId="31" fillId="0" borderId="0" xfId="83" applyFont="true" applyBorder="true" applyAlignment="true" applyProtection="true">
      <alignment horizontal="center" vertical="center" textRotation="0" wrapText="false" indent="0" shrinkToFit="false"/>
      <protection locked="false" hidden="false"/>
    </xf>
    <xf numFmtId="164" fontId="31" fillId="0" borderId="0" xfId="83" applyFont="true" applyBorder="false" applyAlignment="true" applyProtection="true">
      <alignment horizontal="general" vertical="center" textRotation="0" wrapText="false" indent="0" shrinkToFit="false"/>
      <protection locked="false" hidden="false"/>
    </xf>
    <xf numFmtId="164" fontId="31" fillId="27" borderId="0" xfId="83" applyFont="true" applyBorder="false" applyAlignment="true" applyProtection="true">
      <alignment horizontal="general" vertical="center" textRotation="0" wrapText="false" indent="0" shrinkToFit="false"/>
      <protection locked="false" hidden="false"/>
    </xf>
    <xf numFmtId="169" fontId="10" fillId="0" borderId="0" xfId="89" applyFont="true" applyBorder="true" applyAlignment="true" applyProtection="true">
      <alignment horizontal="general" vertical="center" textRotation="0" wrapText="false" indent="0" shrinkToFit="false"/>
      <protection locked="false" hidden="false"/>
    </xf>
    <xf numFmtId="170" fontId="14" fillId="0" borderId="0" xfId="83" applyFont="true" applyBorder="false" applyAlignment="true" applyProtection="true">
      <alignment horizontal="general" vertical="center" textRotation="0" wrapText="false" indent="0" shrinkToFit="false"/>
      <protection locked="true" hidden="true"/>
    </xf>
    <xf numFmtId="164" fontId="31" fillId="27" borderId="0" xfId="83" applyFont="true" applyBorder="false" applyAlignment="true" applyProtection="true">
      <alignment horizontal="general" vertical="center" textRotation="0" wrapText="false" indent="0" shrinkToFit="false"/>
      <protection locked="true" hidden="true"/>
    </xf>
    <xf numFmtId="164" fontId="31" fillId="0" borderId="0" xfId="83" applyFont="true" applyBorder="false" applyAlignment="true" applyProtection="true">
      <alignment horizontal="general" vertical="center" textRotation="0" wrapText="false" indent="0" shrinkToFit="false"/>
      <protection locked="true" hidden="true"/>
    </xf>
    <xf numFmtId="169" fontId="100" fillId="0" borderId="0" xfId="171" applyFont="true" applyBorder="true" applyAlignment="true" applyProtection="true">
      <alignment horizontal="center" vertical="bottom" textRotation="0" wrapText="false" indent="0" shrinkToFit="false"/>
      <protection locked="true" hidden="true"/>
    </xf>
    <xf numFmtId="189" fontId="14" fillId="0" borderId="0" xfId="83" applyFont="true" applyBorder="false" applyAlignment="true" applyProtection="true">
      <alignment horizontal="general" vertical="center" textRotation="0" wrapText="false" indent="0" shrinkToFit="false"/>
      <protection locked="false" hidden="false"/>
    </xf>
    <xf numFmtId="189" fontId="14" fillId="27" borderId="0" xfId="83" applyFont="true" applyBorder="false" applyAlignment="true" applyProtection="true">
      <alignment horizontal="general" vertical="center" textRotation="0" wrapText="false" indent="0" shrinkToFit="false"/>
      <protection locked="false" hidden="false"/>
    </xf>
    <xf numFmtId="191" fontId="71" fillId="0" borderId="0" xfId="83" applyFont="true" applyBorder="false" applyAlignment="true" applyProtection="true">
      <alignment horizontal="general" vertical="center" textRotation="0" wrapText="false" indent="0" shrinkToFit="false"/>
      <protection locked="true" hidden="true"/>
    </xf>
    <xf numFmtId="169" fontId="71" fillId="0" borderId="0" xfId="83" applyFont="true" applyBorder="true" applyAlignment="true" applyProtection="true">
      <alignment horizontal="center" vertical="center" textRotation="0" wrapText="false" indent="0" shrinkToFit="false"/>
      <protection locked="true" hidden="true"/>
    </xf>
    <xf numFmtId="176" fontId="14" fillId="27" borderId="0" xfId="83" applyFont="true" applyBorder="false" applyAlignment="true" applyProtection="true">
      <alignment horizontal="general" vertical="center" textRotation="0" wrapText="false" indent="0" shrinkToFit="false"/>
      <protection locked="true" hidden="true"/>
    </xf>
    <xf numFmtId="176" fontId="71" fillId="27" borderId="0" xfId="83" applyFont="true" applyBorder="true" applyAlignment="true" applyProtection="true">
      <alignment horizontal="center" vertical="center" textRotation="0" wrapText="false" indent="0" shrinkToFit="false"/>
      <protection locked="true" hidden="true"/>
    </xf>
    <xf numFmtId="177" fontId="14" fillId="0" borderId="0" xfId="83" applyFont="true" applyBorder="false" applyAlignment="true" applyProtection="true">
      <alignment horizontal="general" vertical="center" textRotation="0" wrapText="false" indent="0" shrinkToFit="false"/>
      <protection locked="true" hidden="true"/>
    </xf>
    <xf numFmtId="177" fontId="71" fillId="0" borderId="0" xfId="83" applyFont="true" applyBorder="true" applyAlignment="true" applyProtection="true">
      <alignment horizontal="center" vertical="center" textRotation="0" wrapText="false" indent="0" shrinkToFit="false"/>
      <protection locked="true" hidden="true"/>
    </xf>
    <xf numFmtId="164" fontId="47" fillId="0" borderId="0" xfId="88" applyFont="true" applyBorder="false" applyAlignment="true" applyProtection="true">
      <alignment horizontal="general" vertical="center" textRotation="0" wrapText="false" indent="0" shrinkToFit="false"/>
      <protection locked="false" hidden="false"/>
    </xf>
    <xf numFmtId="176" fontId="100" fillId="0" borderId="0" xfId="171" applyFont="true" applyBorder="true" applyAlignment="true" applyProtection="true">
      <alignment horizontal="center" vertical="bottom" textRotation="0" wrapText="false" indent="0" shrinkToFit="false"/>
      <protection locked="false" hidden="false"/>
    </xf>
    <xf numFmtId="176" fontId="114" fillId="0" borderId="0" xfId="171" applyFont="true" applyBorder="true" applyAlignment="true" applyProtection="true">
      <alignment horizontal="center" vertical="bottom" textRotation="0" wrapText="false" indent="0" shrinkToFit="false"/>
      <protection locked="false" hidden="false"/>
    </xf>
    <xf numFmtId="176" fontId="30" fillId="0" borderId="0" xfId="171" applyFont="true" applyBorder="true" applyAlignment="true" applyProtection="true">
      <alignment horizontal="center" vertical="bottom" textRotation="0" wrapText="false" indent="0" shrinkToFit="false"/>
      <protection locked="false" hidden="false"/>
    </xf>
    <xf numFmtId="170" fontId="47" fillId="27" borderId="0" xfId="83" applyFont="true" applyBorder="false" applyAlignment="true" applyProtection="true">
      <alignment horizontal="general" vertical="center" textRotation="0" wrapText="false" indent="0" shrinkToFit="false"/>
      <protection locked="false" hidden="false"/>
    </xf>
    <xf numFmtId="170" fontId="47" fillId="0" borderId="0" xfId="83" applyFont="true" applyBorder="false" applyAlignment="true" applyProtection="true">
      <alignment horizontal="general" vertical="center" textRotation="0" wrapText="false" indent="0" shrinkToFit="false"/>
      <protection locked="false" hidden="false"/>
    </xf>
    <xf numFmtId="192" fontId="47" fillId="0" borderId="0" xfId="85" applyFont="true" applyBorder="false" applyAlignment="true" applyProtection="true">
      <alignment horizontal="general" vertical="center" textRotation="0" wrapText="false" indent="0" shrinkToFit="false"/>
      <protection locked="false" hidden="false"/>
    </xf>
    <xf numFmtId="192" fontId="100" fillId="0" borderId="0" xfId="171" applyFont="true" applyBorder="true" applyAlignment="true" applyProtection="true">
      <alignment horizontal="center" vertical="bottom" textRotation="0" wrapText="false" indent="0" shrinkToFit="false"/>
      <protection locked="false" hidden="false"/>
    </xf>
    <xf numFmtId="192" fontId="114" fillId="0" borderId="0" xfId="171" applyFont="true" applyBorder="true" applyAlignment="true" applyProtection="true">
      <alignment horizontal="center" vertical="bottom" textRotation="0" wrapText="false" indent="0" shrinkToFit="false"/>
      <protection locked="false" hidden="false"/>
    </xf>
    <xf numFmtId="192" fontId="30" fillId="0" borderId="0" xfId="171" applyFont="true" applyBorder="true" applyAlignment="true" applyProtection="true">
      <alignment horizontal="center" vertical="bottom" textRotation="0" wrapText="false" indent="0" shrinkToFit="false"/>
      <protection locked="false" hidden="false"/>
    </xf>
    <xf numFmtId="192" fontId="47" fillId="27" borderId="0" xfId="83" applyFont="true" applyBorder="false" applyAlignment="true" applyProtection="true">
      <alignment horizontal="general" vertical="center" textRotation="0" wrapText="false" indent="0" shrinkToFit="false"/>
      <protection locked="false" hidden="false"/>
    </xf>
    <xf numFmtId="192" fontId="47" fillId="0" borderId="0" xfId="83" applyFont="true" applyBorder="false" applyAlignment="true" applyProtection="true">
      <alignment horizontal="general" vertical="center" textRotation="0" wrapText="false" indent="0" shrinkToFit="false"/>
      <protection locked="false" hidden="false"/>
    </xf>
    <xf numFmtId="164" fontId="47" fillId="0" borderId="0" xfId="85" applyFont="true" applyBorder="false" applyAlignment="true" applyProtection="true">
      <alignment horizontal="general" vertical="center" textRotation="0" wrapText="false" indent="0" shrinkToFit="false"/>
      <protection locked="false" hidden="false"/>
    </xf>
    <xf numFmtId="164" fontId="100" fillId="0" borderId="0" xfId="171" applyFont="true" applyBorder="true" applyAlignment="true" applyProtection="true">
      <alignment horizontal="center" vertical="bottom" textRotation="0" wrapText="false" indent="0" shrinkToFit="false"/>
      <protection locked="false" hidden="false"/>
    </xf>
    <xf numFmtId="164" fontId="114" fillId="0" borderId="0" xfId="171" applyFont="true" applyBorder="true" applyAlignment="true" applyProtection="true">
      <alignment horizontal="center" vertical="bottom" textRotation="0" wrapText="false" indent="0" shrinkToFit="false"/>
      <protection locked="false" hidden="false"/>
    </xf>
    <xf numFmtId="164" fontId="47" fillId="27" borderId="0" xfId="83" applyFont="true" applyBorder="false" applyAlignment="true" applyProtection="true">
      <alignment horizontal="general" vertical="center" textRotation="0" wrapText="false" indent="0" shrinkToFit="false"/>
      <protection locked="false" hidden="false"/>
    </xf>
    <xf numFmtId="164" fontId="47" fillId="0" borderId="0" xfId="83" applyFont="true" applyBorder="false" applyAlignment="true" applyProtection="true">
      <alignment horizontal="general" vertical="center" textRotation="0" wrapText="false" indent="0" shrinkToFit="false"/>
      <protection locked="false" hidden="false"/>
    </xf>
    <xf numFmtId="164" fontId="14" fillId="0" borderId="0" xfId="83" applyFont="true" applyBorder="false" applyAlignment="true" applyProtection="true">
      <alignment horizontal="left" vertical="center" textRotation="0" wrapText="false" indent="0" shrinkToFit="false"/>
      <protection locked="true" hidden="true"/>
    </xf>
    <xf numFmtId="168" fontId="100" fillId="0" borderId="0" xfId="171" applyFont="true" applyBorder="true" applyAlignment="true" applyProtection="true">
      <alignment horizontal="center" vertical="bottom" textRotation="0" wrapText="false" indent="0" shrinkToFit="false"/>
      <protection locked="true" hidden="true"/>
    </xf>
    <xf numFmtId="168" fontId="114" fillId="0" borderId="0" xfId="171" applyFont="true" applyBorder="true" applyAlignment="true" applyProtection="true">
      <alignment horizontal="center" vertical="bottom" textRotation="0" wrapText="false" indent="0" shrinkToFit="false"/>
      <protection locked="true" hidden="true"/>
    </xf>
    <xf numFmtId="164" fontId="102" fillId="27" borderId="0" xfId="83" applyFont="true" applyBorder="false" applyAlignment="true" applyProtection="true">
      <alignment horizontal="center" vertical="center" textRotation="0" wrapText="false" indent="0" shrinkToFit="false"/>
      <protection locked="true" hidden="true"/>
    </xf>
    <xf numFmtId="164" fontId="102" fillId="0" borderId="0" xfId="83" applyFont="true" applyBorder="false" applyAlignment="true" applyProtection="true">
      <alignment horizontal="center" vertical="center" textRotation="0" wrapText="false" indent="0" shrinkToFit="false"/>
      <protection locked="true" hidden="true"/>
    </xf>
    <xf numFmtId="176" fontId="100" fillId="27" borderId="0" xfId="171" applyFont="true" applyBorder="true" applyAlignment="true" applyProtection="true">
      <alignment horizontal="center" vertical="bottom" textRotation="0" wrapText="false" indent="0" shrinkToFit="false"/>
      <protection locked="true" hidden="true"/>
    </xf>
    <xf numFmtId="176" fontId="114" fillId="27" borderId="0" xfId="171" applyFont="true" applyBorder="true" applyAlignment="true" applyProtection="true">
      <alignment horizontal="center" vertical="bottom" textRotation="0" wrapText="false" indent="0" shrinkToFit="false"/>
      <protection locked="true" hidden="true"/>
    </xf>
    <xf numFmtId="171" fontId="100" fillId="0" borderId="0" xfId="171" applyFont="true" applyBorder="true" applyAlignment="true" applyProtection="true">
      <alignment horizontal="center" vertical="bottom" textRotation="0" wrapText="false" indent="0" shrinkToFit="false"/>
      <protection locked="true" hidden="true"/>
    </xf>
    <xf numFmtId="164" fontId="114" fillId="0" borderId="0" xfId="171" applyFont="true" applyBorder="true" applyAlignment="true" applyProtection="true">
      <alignment horizontal="center" vertical="bottom" textRotation="0" wrapText="false" indent="0" shrinkToFit="false"/>
      <protection locked="true" hidden="true"/>
    </xf>
    <xf numFmtId="176" fontId="100" fillId="0" borderId="0" xfId="171" applyFont="true" applyBorder="true" applyAlignment="true" applyProtection="true">
      <alignment horizontal="center" vertical="bottom" textRotation="0" wrapText="false" indent="0" shrinkToFit="false"/>
      <protection locked="true" hidden="true"/>
    </xf>
    <xf numFmtId="176" fontId="114" fillId="0" borderId="0" xfId="171" applyFont="true" applyBorder="true" applyAlignment="true" applyProtection="true">
      <alignment horizontal="center" vertical="bottom" textRotation="0" wrapText="false" indent="0" shrinkToFit="false"/>
      <protection locked="true" hidden="true"/>
    </xf>
    <xf numFmtId="164" fontId="106" fillId="0" borderId="0" xfId="83" applyFont="true" applyBorder="true" applyAlignment="true" applyProtection="true">
      <alignment horizontal="center" vertical="center" textRotation="0" wrapText="false" indent="0" shrinkToFit="false"/>
      <protection locked="true" hidden="true"/>
    </xf>
    <xf numFmtId="170" fontId="115" fillId="0" borderId="0" xfId="83" applyFont="true" applyBorder="true" applyAlignment="true" applyProtection="true">
      <alignment horizontal="center" vertical="center" textRotation="0" wrapText="false" indent="0" shrinkToFit="false"/>
      <protection locked="true" hidden="true"/>
    </xf>
    <xf numFmtId="170" fontId="14" fillId="0" borderId="0" xfId="83" applyFont="true" applyBorder="true" applyAlignment="true" applyProtection="true">
      <alignment horizontal="center" vertical="center" textRotation="0" wrapText="false" indent="0" shrinkToFit="false"/>
      <protection locked="false" hidden="false"/>
    </xf>
    <xf numFmtId="164" fontId="47" fillId="0" borderId="0" xfId="96" applyFont="true" applyBorder="false" applyAlignment="false" applyProtection="false">
      <alignment horizontal="general" vertical="bottom" textRotation="0" wrapText="false" indent="0" shrinkToFit="false"/>
      <protection locked="true" hidden="false"/>
    </xf>
    <xf numFmtId="191" fontId="47" fillId="0" borderId="0" xfId="96" applyFont="true" applyBorder="false" applyAlignment="false" applyProtection="false">
      <alignment horizontal="general" vertical="bottom" textRotation="0" wrapText="false" indent="0" shrinkToFit="false"/>
      <protection locked="true" hidden="false"/>
    </xf>
    <xf numFmtId="164" fontId="47" fillId="0" borderId="0" xfId="96" applyFont="true" applyBorder="false" applyAlignment="false" applyProtection="false">
      <alignment horizontal="general" vertical="bottom" textRotation="0" wrapText="false" indent="0" shrinkToFit="false"/>
      <protection locked="true" hidden="false"/>
    </xf>
    <xf numFmtId="192" fontId="47" fillId="0" borderId="0" xfId="96" applyFont="true" applyBorder="false" applyAlignment="true" applyProtection="false">
      <alignment horizontal="left" vertical="bottom" textRotation="0" wrapText="false" indent="0" shrinkToFit="false"/>
      <protection locked="true" hidden="false"/>
    </xf>
    <xf numFmtId="183" fontId="14" fillId="0" borderId="0" xfId="83" applyFont="true" applyBorder="false" applyAlignment="true" applyProtection="false">
      <alignment horizontal="center" vertical="center" textRotation="0" wrapText="false" indent="0" shrinkToFit="false"/>
      <protection locked="true" hidden="false"/>
    </xf>
    <xf numFmtId="164" fontId="47" fillId="0" borderId="0" xfId="96" applyFont="true" applyBorder="false" applyAlignment="true" applyProtection="false">
      <alignment horizontal="right" vertical="bottom" textRotation="0" wrapText="false" indent="0" shrinkToFit="false"/>
      <protection locked="true" hidden="false"/>
    </xf>
    <xf numFmtId="164" fontId="63" fillId="0" borderId="0" xfId="96" applyFont="true" applyBorder="false" applyAlignment="false" applyProtection="false">
      <alignment horizontal="general" vertical="bottom" textRotation="0" wrapText="false" indent="0" shrinkToFit="false"/>
      <protection locked="true" hidden="false"/>
    </xf>
    <xf numFmtId="164" fontId="116" fillId="0" borderId="0" xfId="83" applyFont="true" applyBorder="false" applyAlignment="true" applyProtection="false">
      <alignment horizontal="general" vertical="center" textRotation="0" wrapText="false" indent="0" shrinkToFit="false"/>
      <protection locked="true" hidden="false"/>
    </xf>
    <xf numFmtId="164" fontId="14" fillId="0" borderId="15" xfId="83" applyFont="true" applyBorder="true" applyAlignment="true" applyProtection="false">
      <alignment horizontal="general" vertical="center" textRotation="0" wrapText="false" indent="0" shrinkToFit="false"/>
      <protection locked="true" hidden="false"/>
    </xf>
    <xf numFmtId="164" fontId="117" fillId="0" borderId="0" xfId="171" applyFont="true" applyBorder="true" applyAlignment="true" applyProtection="false">
      <alignment horizontal="center" vertical="bottom" textRotation="0" wrapText="false" indent="0" shrinkToFit="false"/>
      <protection locked="true" hidden="false"/>
    </xf>
    <xf numFmtId="164" fontId="117" fillId="20" borderId="0" xfId="171" applyFont="true" applyBorder="true" applyAlignment="true" applyProtection="false">
      <alignment horizontal="center" vertical="bottom" textRotation="0" wrapText="false" indent="0" shrinkToFit="false"/>
      <protection locked="true" hidden="false"/>
    </xf>
    <xf numFmtId="164" fontId="100" fillId="20" borderId="0" xfId="171" applyFont="true" applyBorder="true" applyAlignment="true" applyProtection="false">
      <alignment horizontal="center" vertical="bottom" textRotation="0" wrapText="false" indent="0" shrinkToFit="false"/>
      <protection locked="true" hidden="false"/>
    </xf>
    <xf numFmtId="164" fontId="102" fillId="0" borderId="0" xfId="83" applyFont="true" applyBorder="false" applyAlignment="true" applyProtection="false">
      <alignment horizontal="general" vertical="center" textRotation="0" wrapText="false" indent="0" shrinkToFit="false"/>
      <protection locked="true" hidden="false"/>
    </xf>
    <xf numFmtId="164" fontId="87" fillId="0" borderId="0" xfId="171" applyFont="true" applyBorder="true" applyAlignment="true" applyProtection="false">
      <alignment horizontal="center" vertical="bottom" textRotation="0" wrapText="false" indent="0" shrinkToFit="false"/>
      <protection locked="true" hidden="false"/>
    </xf>
    <xf numFmtId="164" fontId="30" fillId="20" borderId="0" xfId="171" applyFont="true" applyBorder="true" applyAlignment="true" applyProtection="false">
      <alignment horizontal="center" vertical="bottom" textRotation="0" wrapText="false" indent="0" shrinkToFit="false"/>
      <protection locked="true" hidden="false"/>
    </xf>
    <xf numFmtId="164" fontId="31" fillId="0" borderId="0" xfId="171" applyFont="true" applyBorder="true" applyAlignment="true" applyProtection="false">
      <alignment horizontal="center" vertical="bottom" textRotation="0" wrapText="false" indent="0" shrinkToFit="false"/>
      <protection locked="true" hidden="false"/>
    </xf>
    <xf numFmtId="183" fontId="71" fillId="0" borderId="0" xfId="83" applyFont="true" applyBorder="false" applyAlignment="true" applyProtection="false">
      <alignment horizontal="general" vertical="center" textRotation="0" wrapText="false" indent="0" shrinkToFit="false"/>
      <protection locked="true" hidden="false"/>
    </xf>
    <xf numFmtId="169" fontId="118" fillId="0" borderId="0" xfId="89" applyFont="true" applyBorder="true" applyAlignment="true" applyProtection="true">
      <alignment horizontal="center" vertical="center" textRotation="0" wrapText="false" indent="0" shrinkToFit="false"/>
      <protection locked="false" hidden="false"/>
    </xf>
    <xf numFmtId="164" fontId="109" fillId="0" borderId="0" xfId="171" applyFont="true" applyBorder="true" applyAlignment="true" applyProtection="false">
      <alignment horizontal="center" vertical="bottom" textRotation="0" wrapText="false" indent="0" shrinkToFit="false"/>
      <protection locked="true" hidden="false"/>
    </xf>
    <xf numFmtId="189" fontId="119" fillId="0" borderId="0" xfId="83" applyFont="true" applyBorder="true" applyAlignment="true" applyProtection="false">
      <alignment horizontal="center" vertical="center" textRotation="0" wrapText="false" indent="0" shrinkToFit="false"/>
      <protection locked="true" hidden="false"/>
    </xf>
    <xf numFmtId="189" fontId="119" fillId="27" borderId="0" xfId="83" applyFont="true" applyBorder="true" applyAlignment="true" applyProtection="false">
      <alignment horizontal="center" vertical="center" textRotation="0" wrapText="false" indent="0" shrinkToFit="false"/>
      <protection locked="true" hidden="false"/>
    </xf>
    <xf numFmtId="189" fontId="71" fillId="0" borderId="0" xfId="83" applyFont="true" applyBorder="true" applyAlignment="true" applyProtection="false">
      <alignment horizontal="center" vertical="center" textRotation="0" wrapText="false" indent="0" shrinkToFit="false"/>
      <protection locked="true" hidden="false"/>
    </xf>
    <xf numFmtId="189" fontId="14" fillId="36" borderId="0" xfId="83" applyFont="true" applyBorder="false" applyAlignment="true" applyProtection="false">
      <alignment horizontal="general" vertical="center" textRotation="0" wrapText="false" indent="0" shrinkToFit="false"/>
      <protection locked="true" hidden="false"/>
    </xf>
    <xf numFmtId="170" fontId="103" fillId="36" borderId="0" xfId="89" applyFont="true" applyBorder="true" applyAlignment="true" applyProtection="true">
      <alignment horizontal="center" vertical="center" textRotation="0" wrapText="false" indent="0" shrinkToFit="false"/>
      <protection locked="false" hidden="false"/>
    </xf>
    <xf numFmtId="164" fontId="100" fillId="36" borderId="0" xfId="171" applyFont="true" applyBorder="true" applyAlignment="true" applyProtection="false">
      <alignment horizontal="center" vertical="bottom" textRotation="0" wrapText="false" indent="0" shrinkToFit="false"/>
      <protection locked="true" hidden="false"/>
    </xf>
    <xf numFmtId="169" fontId="118" fillId="36" borderId="0" xfId="89" applyFont="true" applyBorder="true" applyAlignment="true" applyProtection="true">
      <alignment horizontal="center" vertical="center" textRotation="0" wrapText="false" indent="0" shrinkToFit="false"/>
      <protection locked="false" hidden="false"/>
    </xf>
    <xf numFmtId="164" fontId="120" fillId="36" borderId="0" xfId="171" applyFont="true" applyBorder="true" applyAlignment="true" applyProtection="false">
      <alignment horizontal="center" vertical="bottom" textRotation="0" wrapText="false" indent="0" shrinkToFit="false"/>
      <protection locked="true" hidden="false"/>
    </xf>
    <xf numFmtId="168" fontId="119" fillId="36" borderId="0" xfId="171" applyFont="true" applyBorder="true" applyAlignment="true" applyProtection="false">
      <alignment horizontal="center" vertical="bottom" textRotation="0" wrapText="false" indent="0" shrinkToFit="false"/>
      <protection locked="true" hidden="false"/>
    </xf>
    <xf numFmtId="171" fontId="120" fillId="0" borderId="0" xfId="171" applyFont="true" applyBorder="true" applyAlignment="true" applyProtection="false">
      <alignment horizontal="center" vertical="bottom" textRotation="0" wrapText="false" indent="0" shrinkToFit="false"/>
      <protection locked="true" hidden="false"/>
    </xf>
    <xf numFmtId="189" fontId="105" fillId="36" borderId="0" xfId="83" applyFont="true" applyBorder="false" applyAlignment="true" applyProtection="false">
      <alignment horizontal="general" vertical="center" textRotation="0" wrapText="false" indent="0" shrinkToFit="false"/>
      <protection locked="true" hidden="false"/>
    </xf>
    <xf numFmtId="189" fontId="71" fillId="36" borderId="0" xfId="83" applyFont="true" applyBorder="true" applyAlignment="true" applyProtection="false">
      <alignment horizontal="center" vertical="center" textRotation="0" wrapText="false" indent="0" shrinkToFit="false"/>
      <protection locked="true" hidden="false"/>
    </xf>
    <xf numFmtId="189" fontId="71" fillId="0" borderId="0" xfId="83" applyFont="true" applyBorder="false" applyAlignment="true" applyProtection="false">
      <alignment horizontal="general" vertical="center" textRotation="0" wrapText="false" indent="0" shrinkToFit="false"/>
      <protection locked="true" hidden="false"/>
    </xf>
    <xf numFmtId="189" fontId="121" fillId="0" borderId="0" xfId="83" applyFont="true" applyBorder="true" applyAlignment="true" applyProtection="false">
      <alignment horizontal="center" vertical="center" textRotation="0" wrapText="false" indent="0" shrinkToFit="false"/>
      <protection locked="true" hidden="false"/>
    </xf>
    <xf numFmtId="164" fontId="100" fillId="32" borderId="0" xfId="171" applyFont="true" applyBorder="true" applyAlignment="true" applyProtection="false">
      <alignment horizontal="center" vertical="bottom" textRotation="0" wrapText="false" indent="0" shrinkToFit="false"/>
      <protection locked="true" hidden="false"/>
    </xf>
    <xf numFmtId="189" fontId="102" fillId="0" borderId="0" xfId="83" applyFont="true" applyBorder="false" applyAlignment="true" applyProtection="false">
      <alignment horizontal="general" vertical="center" textRotation="0" wrapText="false" indent="0" shrinkToFit="false"/>
      <protection locked="true" hidden="false"/>
    </xf>
    <xf numFmtId="176" fontId="14" fillId="0" borderId="0" xfId="83" applyFont="true" applyBorder="false" applyAlignment="true" applyProtection="false">
      <alignment horizontal="general" vertical="center" textRotation="0" wrapText="false" indent="0" shrinkToFit="false"/>
      <protection locked="true" hidden="false"/>
    </xf>
    <xf numFmtId="176" fontId="14" fillId="0" borderId="0" xfId="83" applyFont="true" applyBorder="false" applyAlignment="true" applyProtection="false">
      <alignment horizontal="center" vertical="center" textRotation="0" wrapText="false" indent="0" shrinkToFit="false"/>
      <protection locked="true" hidden="false"/>
    </xf>
    <xf numFmtId="164" fontId="31" fillId="0" borderId="0" xfId="83" applyFont="true" applyBorder="false" applyAlignment="true" applyProtection="false">
      <alignment horizontal="left" vertical="center" textRotation="0" wrapText="false" indent="0" shrinkToFit="false"/>
      <protection locked="true" hidden="false"/>
    </xf>
    <xf numFmtId="164" fontId="14" fillId="0" borderId="0" xfId="83" applyFont="true" applyBorder="true" applyAlignment="true" applyProtection="false">
      <alignment horizontal="center" vertical="center" textRotation="0" wrapText="false" indent="0" shrinkToFit="false"/>
      <protection locked="true" hidden="false"/>
    </xf>
    <xf numFmtId="164" fontId="100" fillId="27" borderId="0" xfId="171" applyFont="true" applyBorder="true" applyAlignment="true" applyProtection="false">
      <alignment horizontal="center" vertical="bottom" textRotation="0" wrapText="false" indent="0" shrinkToFit="false"/>
      <protection locked="true" hidden="false"/>
    </xf>
    <xf numFmtId="170" fontId="71" fillId="0" borderId="0" xfId="83" applyFont="true" applyBorder="false" applyAlignment="true" applyProtection="false">
      <alignment horizontal="general" vertical="center" textRotation="0" wrapText="false" indent="0" shrinkToFit="false"/>
      <protection locked="true" hidden="false"/>
    </xf>
    <xf numFmtId="170" fontId="71" fillId="0" borderId="0" xfId="83" applyFont="true" applyBorder="true" applyAlignment="true" applyProtection="false">
      <alignment horizontal="center" vertical="center" textRotation="0" wrapText="false" indent="0" shrinkToFit="false"/>
      <protection locked="true" hidden="false"/>
    </xf>
    <xf numFmtId="164" fontId="14" fillId="0" borderId="15" xfId="83" applyFont="true" applyBorder="true" applyAlignment="true" applyProtection="false">
      <alignment horizontal="center" vertical="center" textRotation="0" wrapText="false" indent="0" shrinkToFit="false"/>
      <protection locked="true" hidden="false"/>
    </xf>
    <xf numFmtId="186" fontId="71" fillId="0" borderId="0" xfId="83" applyFont="true" applyBorder="false" applyAlignment="true" applyProtection="false">
      <alignment horizontal="general" vertical="center" textRotation="0" wrapText="false" indent="0" shrinkToFit="false"/>
      <protection locked="true" hidden="false"/>
    </xf>
    <xf numFmtId="166" fontId="118" fillId="0" borderId="0" xfId="89" applyFont="true" applyBorder="true" applyAlignment="true" applyProtection="true">
      <alignment horizontal="center" vertical="center" textRotation="0" wrapText="false" indent="0" shrinkToFit="false"/>
      <protection locked="false" hidden="false"/>
    </xf>
    <xf numFmtId="164" fontId="14" fillId="0" borderId="0" xfId="83" applyFont="true" applyBorder="false" applyAlignment="true" applyProtection="false">
      <alignment horizontal="center" vertical="center" textRotation="0" wrapText="false" indent="0" shrinkToFit="false"/>
      <protection locked="true" hidden="false"/>
    </xf>
    <xf numFmtId="164" fontId="117" fillId="0" borderId="0" xfId="83" applyFont="true" applyBorder="false" applyAlignment="true" applyProtection="false">
      <alignment horizontal="center" vertical="center" textRotation="0" wrapText="false" indent="0" shrinkToFit="false"/>
      <protection locked="true" hidden="false"/>
    </xf>
    <xf numFmtId="164" fontId="119" fillId="0" borderId="0" xfId="83" applyFont="true" applyBorder="false" applyAlignment="true" applyProtection="false">
      <alignment horizontal="center" vertical="center" textRotation="0" wrapText="false" indent="0" shrinkToFit="false"/>
      <protection locked="true" hidden="false"/>
    </xf>
    <xf numFmtId="164" fontId="100" fillId="39" borderId="0" xfId="171" applyFont="true" applyBorder="true" applyAlignment="true" applyProtection="false">
      <alignment horizontal="center" vertical="bottom" textRotation="0" wrapText="false" indent="0" shrinkToFit="false"/>
      <protection locked="true" hidden="false"/>
    </xf>
    <xf numFmtId="166" fontId="103" fillId="0" borderId="15" xfId="89" applyFont="true" applyBorder="true" applyAlignment="true" applyProtection="true">
      <alignment horizontal="center" vertical="center" textRotation="0" wrapText="false" indent="0" shrinkToFit="false"/>
      <protection locked="false" hidden="false"/>
    </xf>
    <xf numFmtId="177" fontId="71" fillId="0" borderId="0" xfId="83" applyFont="true" applyBorder="false" applyAlignment="true" applyProtection="false">
      <alignment horizontal="general" vertical="center" textRotation="0" wrapText="false" indent="0" shrinkToFit="false"/>
      <protection locked="true" hidden="false"/>
    </xf>
    <xf numFmtId="177" fontId="71" fillId="0" borderId="0" xfId="83" applyFont="true" applyBorder="false" applyAlignment="true" applyProtection="false">
      <alignment horizontal="center" vertical="center" textRotation="0" wrapText="false" indent="0" shrinkToFit="false"/>
      <protection locked="true" hidden="false"/>
    </xf>
    <xf numFmtId="177" fontId="122" fillId="0" borderId="0" xfId="83" applyFont="true" applyBorder="false" applyAlignment="true" applyProtection="false">
      <alignment horizontal="center" vertical="center" textRotation="0" wrapText="false" indent="0" shrinkToFit="false"/>
      <protection locked="true" hidden="false"/>
    </xf>
    <xf numFmtId="177" fontId="71" fillId="0" borderId="15" xfId="83" applyFont="true" applyBorder="true" applyAlignment="true" applyProtection="false">
      <alignment horizontal="center" vertical="center" textRotation="0" wrapText="false" indent="0" shrinkToFit="false"/>
      <protection locked="true" hidden="false"/>
    </xf>
    <xf numFmtId="189" fontId="71" fillId="0" borderId="0" xfId="83" applyFont="true" applyBorder="false" applyAlignment="true" applyProtection="false">
      <alignment horizontal="center" vertical="center" textRotation="0" wrapText="false" indent="0" shrinkToFit="false"/>
      <protection locked="true" hidden="false"/>
    </xf>
    <xf numFmtId="189" fontId="122" fillId="0" borderId="0" xfId="83" applyFont="true" applyBorder="false" applyAlignment="true" applyProtection="false">
      <alignment horizontal="center" vertical="center" textRotation="0" wrapText="false" indent="0" shrinkToFit="false"/>
      <protection locked="true" hidden="false"/>
    </xf>
    <xf numFmtId="189" fontId="71" fillId="0" borderId="15" xfId="83" applyFont="true" applyBorder="true" applyAlignment="true" applyProtection="false">
      <alignment horizontal="center" vertical="center" textRotation="0" wrapText="false" indent="0" shrinkToFit="false"/>
      <protection locked="true" hidden="false"/>
    </xf>
    <xf numFmtId="186" fontId="14" fillId="0" borderId="0" xfId="83" applyFont="true" applyBorder="false" applyAlignment="true" applyProtection="false">
      <alignment horizontal="center" vertical="center" textRotation="0" wrapText="false" indent="0" shrinkToFit="false"/>
      <protection locked="true" hidden="false"/>
    </xf>
    <xf numFmtId="186" fontId="119" fillId="0" borderId="0" xfId="83" applyFont="true" applyBorder="false" applyAlignment="true" applyProtection="false">
      <alignment horizontal="center" vertical="center" textRotation="0" wrapText="false" indent="0" shrinkToFit="false"/>
      <protection locked="true" hidden="false"/>
    </xf>
    <xf numFmtId="186" fontId="105" fillId="0" borderId="0" xfId="83" applyFont="true" applyBorder="false" applyAlignment="true" applyProtection="false">
      <alignment horizontal="general" vertical="center" textRotation="0" wrapText="false" indent="0" shrinkToFit="false"/>
      <protection locked="true" hidden="false"/>
    </xf>
    <xf numFmtId="177" fontId="119" fillId="0" borderId="0" xfId="83" applyFont="true" applyBorder="false" applyAlignment="true" applyProtection="false">
      <alignment horizontal="general" vertical="center" textRotation="0" wrapText="false" indent="0" shrinkToFit="false"/>
      <protection locked="true" hidden="false"/>
    </xf>
    <xf numFmtId="177" fontId="14" fillId="0" borderId="15" xfId="83" applyFont="true" applyBorder="true" applyAlignment="true" applyProtection="false">
      <alignment horizontal="general" vertical="center" textRotation="0" wrapText="false" indent="0" shrinkToFit="false"/>
      <protection locked="true" hidden="false"/>
    </xf>
    <xf numFmtId="183" fontId="14" fillId="0" borderId="0" xfId="83" applyFont="true" applyBorder="false" applyAlignment="true" applyProtection="false">
      <alignment horizontal="general" vertical="center" textRotation="0" wrapText="false" indent="0" shrinkToFit="false"/>
      <protection locked="true" hidden="false"/>
    </xf>
    <xf numFmtId="183" fontId="122" fillId="0" borderId="0" xfId="83" applyFont="true" applyBorder="false" applyAlignment="true" applyProtection="false">
      <alignment horizontal="center" vertical="center" textRotation="0" wrapText="false" indent="0" shrinkToFit="false"/>
      <protection locked="true" hidden="false"/>
    </xf>
    <xf numFmtId="169" fontId="123" fillId="0" borderId="0" xfId="89" applyFont="true" applyBorder="true" applyAlignment="true" applyProtection="true">
      <alignment horizontal="center" vertical="center" textRotation="0" wrapText="false" indent="0" shrinkToFit="false"/>
      <protection locked="false" hidden="false"/>
    </xf>
    <xf numFmtId="169" fontId="118" fillId="27" borderId="0" xfId="89" applyFont="true" applyBorder="true" applyAlignment="true" applyProtection="true">
      <alignment horizontal="center" vertical="center" textRotation="0" wrapText="false" indent="0" shrinkToFit="false"/>
      <protection locked="false" hidden="false"/>
    </xf>
    <xf numFmtId="169" fontId="118" fillId="32" borderId="0" xfId="89" applyFont="true" applyBorder="true" applyAlignment="true" applyProtection="true">
      <alignment horizontal="center" vertical="center" textRotation="0" wrapText="false" indent="0" shrinkToFit="false"/>
      <protection locked="false" hidden="false"/>
    </xf>
    <xf numFmtId="169" fontId="42" fillId="0" borderId="15" xfId="89" applyFont="true" applyBorder="true" applyAlignment="true" applyProtection="true">
      <alignment horizontal="center" vertical="center" textRotation="0" wrapText="false" indent="0" shrinkToFit="false"/>
      <protection locked="false" hidden="false"/>
    </xf>
    <xf numFmtId="164" fontId="102" fillId="0" borderId="0" xfId="83" applyFont="true" applyBorder="false" applyAlignment="true" applyProtection="false">
      <alignment horizontal="center" vertical="center" textRotation="0" wrapText="false" indent="0" shrinkToFit="false"/>
      <protection locked="true" hidden="false"/>
    </xf>
    <xf numFmtId="164" fontId="71" fillId="0" borderId="0" xfId="83" applyFont="true" applyBorder="false" applyAlignment="true" applyProtection="false">
      <alignment horizontal="general" vertical="center" textRotation="0" wrapText="false" indent="0" shrinkToFit="false"/>
      <protection locked="true" hidden="false"/>
    </xf>
    <xf numFmtId="164" fontId="113" fillId="0" borderId="0" xfId="83" applyFont="true" applyBorder="false" applyAlignment="true" applyProtection="false">
      <alignment horizontal="center" vertical="center" textRotation="0" wrapText="false" indent="0" shrinkToFit="false"/>
      <protection locked="true" hidden="false"/>
    </xf>
    <xf numFmtId="164" fontId="124" fillId="0" borderId="15" xfId="83" applyFont="true" applyBorder="true" applyAlignment="true" applyProtection="false">
      <alignment horizontal="general" vertical="center" textRotation="0" wrapText="false" indent="0" shrinkToFit="false"/>
      <protection locked="true" hidden="false"/>
    </xf>
    <xf numFmtId="183" fontId="71" fillId="0" borderId="15" xfId="83" applyFont="true" applyBorder="true" applyAlignment="true" applyProtection="false">
      <alignment horizontal="center" vertical="center" textRotation="0" wrapText="false" indent="0" shrinkToFit="false"/>
      <protection locked="true" hidden="false"/>
    </xf>
    <xf numFmtId="183" fontId="71" fillId="0" borderId="0" xfId="83" applyFont="true" applyBorder="true" applyAlignment="true" applyProtection="false">
      <alignment horizontal="center" vertical="center" textRotation="0" wrapText="false" indent="0" shrinkToFit="false"/>
      <protection locked="true" hidden="false"/>
    </xf>
    <xf numFmtId="164" fontId="31" fillId="0" borderId="0" xfId="83" applyFont="true" applyBorder="true" applyAlignment="true" applyProtection="false">
      <alignment horizontal="center" vertical="center" textRotation="0" wrapText="false" indent="0" shrinkToFit="false"/>
      <protection locked="true" hidden="false"/>
    </xf>
    <xf numFmtId="164" fontId="31" fillId="0" borderId="15" xfId="83" applyFont="true" applyBorder="true" applyAlignment="true" applyProtection="false">
      <alignment horizontal="general" vertical="center" textRotation="0" wrapText="false" indent="0" shrinkToFit="false"/>
      <protection locked="true" hidden="false"/>
    </xf>
    <xf numFmtId="164" fontId="90" fillId="0" borderId="0" xfId="83" applyFont="true" applyBorder="true" applyAlignment="true" applyProtection="false">
      <alignment horizontal="center" vertical="center" textRotation="0" wrapText="false" indent="0" shrinkToFit="false"/>
      <protection locked="true" hidden="false"/>
    </xf>
    <xf numFmtId="164" fontId="14" fillId="0" borderId="0" xfId="83" applyFont="true" applyBorder="true" applyAlignment="true" applyProtection="false">
      <alignment horizontal="center" vertical="center" textRotation="0" wrapText="false" indent="0" shrinkToFit="false"/>
      <protection locked="true" hidden="false"/>
    </xf>
    <xf numFmtId="164" fontId="90" fillId="0" borderId="0" xfId="171" applyFont="true" applyBorder="true" applyAlignment="true" applyProtection="false">
      <alignment horizontal="center" vertical="bottom" textRotation="0" wrapText="false" indent="0" shrinkToFit="false"/>
      <protection locked="true" hidden="false"/>
    </xf>
    <xf numFmtId="170" fontId="31" fillId="0" borderId="0" xfId="83" applyFont="true" applyBorder="false" applyAlignment="true" applyProtection="false">
      <alignment horizontal="general" vertical="center" textRotation="0" wrapText="false" indent="0" shrinkToFit="false"/>
      <protection locked="true" hidden="false"/>
    </xf>
    <xf numFmtId="170" fontId="119" fillId="0" borderId="0" xfId="83" applyFont="true" applyBorder="true" applyAlignment="true" applyProtection="false">
      <alignment horizontal="center" vertical="center" textRotation="0" wrapText="false" indent="0" shrinkToFit="false"/>
      <protection locked="true" hidden="false"/>
    </xf>
    <xf numFmtId="171" fontId="119" fillId="0" borderId="0" xfId="83" applyFont="true" applyBorder="true" applyAlignment="true" applyProtection="false">
      <alignment horizontal="center" vertical="center" textRotation="0" wrapText="false" indent="0" shrinkToFit="false"/>
      <protection locked="true" hidden="false"/>
    </xf>
    <xf numFmtId="164" fontId="102" fillId="0" borderId="0" xfId="83" applyFont="true" applyBorder="true" applyAlignment="true" applyProtection="false">
      <alignment horizontal="center" vertical="center" textRotation="0" wrapText="false" indent="0" shrinkToFit="false"/>
      <protection locked="true" hidden="false"/>
    </xf>
    <xf numFmtId="183" fontId="122" fillId="0" borderId="0" xfId="83" applyFont="true" applyBorder="true" applyAlignment="true" applyProtection="false">
      <alignment horizontal="center" vertical="center" textRotation="0" wrapText="false" indent="0" shrinkToFit="false"/>
      <protection locked="true" hidden="false"/>
    </xf>
    <xf numFmtId="190" fontId="71" fillId="0" borderId="0" xfId="83" applyFont="true" applyBorder="true" applyAlignment="true" applyProtection="false">
      <alignment horizontal="center" vertical="center" textRotation="0" wrapText="false" indent="0" shrinkToFit="false"/>
      <protection locked="true" hidden="false"/>
    </xf>
    <xf numFmtId="169" fontId="71" fillId="0" borderId="0" xfId="83" applyFont="true" applyBorder="true" applyAlignment="true" applyProtection="false">
      <alignment horizontal="center" vertical="center" textRotation="0" wrapText="false" indent="0" shrinkToFit="false"/>
      <protection locked="true" hidden="false"/>
    </xf>
    <xf numFmtId="176" fontId="14" fillId="27" borderId="0" xfId="83" applyFont="true" applyBorder="false" applyAlignment="true" applyProtection="false">
      <alignment horizontal="general" vertical="center" textRotation="0" wrapText="false" indent="0" shrinkToFit="false"/>
      <protection locked="true" hidden="false"/>
    </xf>
    <xf numFmtId="176" fontId="71" fillId="27" borderId="0" xfId="83" applyFont="true" applyBorder="true" applyAlignment="true" applyProtection="false">
      <alignment horizontal="center" vertical="center" textRotation="0" wrapText="false" indent="0" shrinkToFit="false"/>
      <protection locked="true" hidden="false"/>
    </xf>
    <xf numFmtId="176" fontId="71" fillId="0" borderId="0" xfId="83" applyFont="true" applyBorder="true" applyAlignment="true" applyProtection="false">
      <alignment horizontal="center" vertical="center" textRotation="0" wrapText="false" indent="0" shrinkToFit="false"/>
      <protection locked="true" hidden="false"/>
    </xf>
    <xf numFmtId="176" fontId="100" fillId="0" borderId="0" xfId="171" applyFont="true" applyBorder="true" applyAlignment="true" applyProtection="false">
      <alignment horizontal="center" vertical="bottom" textRotation="0" wrapText="false" indent="0" shrinkToFit="false"/>
      <protection locked="true" hidden="false"/>
    </xf>
    <xf numFmtId="192" fontId="100" fillId="0" borderId="0" xfId="171" applyFont="true" applyBorder="true" applyAlignment="true" applyProtection="false">
      <alignment horizontal="center" vertical="bottom" textRotation="0" wrapText="false" indent="0" shrinkToFit="false"/>
      <protection locked="true" hidden="false"/>
    </xf>
    <xf numFmtId="164" fontId="14" fillId="0" borderId="0" xfId="83" applyFont="true" applyBorder="false" applyAlignment="true" applyProtection="false">
      <alignment horizontal="left" vertical="center" textRotation="0" wrapText="false" indent="0" shrinkToFit="false"/>
      <protection locked="true" hidden="false"/>
    </xf>
    <xf numFmtId="169" fontId="100" fillId="0" borderId="0" xfId="171" applyFont="true" applyBorder="true" applyAlignment="true" applyProtection="false">
      <alignment horizontal="center" vertical="bottom" textRotation="0" wrapText="false" indent="0" shrinkToFit="false"/>
      <protection locked="true" hidden="false"/>
    </xf>
    <xf numFmtId="176" fontId="100" fillId="27" borderId="0" xfId="171" applyFont="true" applyBorder="true" applyAlignment="true" applyProtection="false">
      <alignment horizontal="center" vertical="bottom" textRotation="0" wrapText="false" indent="0" shrinkToFit="false"/>
      <protection locked="true" hidden="false"/>
    </xf>
    <xf numFmtId="176" fontId="117" fillId="27" borderId="0" xfId="171" applyFont="true" applyBorder="true" applyAlignment="true" applyProtection="false">
      <alignment horizontal="center" vertical="bottom" textRotation="0" wrapText="false" indent="0" shrinkToFit="false"/>
      <protection locked="true" hidden="false"/>
    </xf>
    <xf numFmtId="176" fontId="125" fillId="0" borderId="0" xfId="171" applyFont="true" applyBorder="true" applyAlignment="true" applyProtection="false">
      <alignment horizontal="center" vertical="bottom" textRotation="0" wrapText="false" indent="0" shrinkToFit="false"/>
      <protection locked="true" hidden="false"/>
    </xf>
    <xf numFmtId="171" fontId="71" fillId="0" borderId="0" xfId="83" applyFont="true" applyBorder="true" applyAlignment="true" applyProtection="false">
      <alignment horizontal="center" vertical="center" textRotation="0" wrapText="false" indent="0" shrinkToFit="false"/>
      <protection locked="true" hidden="false"/>
    </xf>
    <xf numFmtId="164" fontId="47" fillId="28" borderId="0" xfId="96" applyFont="true" applyBorder="false" applyAlignment="false" applyProtection="false">
      <alignment horizontal="general" vertical="bottom" textRotation="0" wrapText="false" indent="0" shrinkToFit="false"/>
      <protection locked="true" hidden="false"/>
    </xf>
    <xf numFmtId="180" fontId="47" fillId="28" borderId="0" xfId="96" applyFont="true" applyBorder="false" applyAlignment="false" applyProtection="false">
      <alignment horizontal="general" vertical="bottom" textRotation="0" wrapText="false" indent="0" shrinkToFit="false"/>
      <protection locked="true" hidden="false"/>
    </xf>
    <xf numFmtId="180" fontId="47" fillId="0" borderId="15" xfId="96" applyFont="true" applyBorder="true" applyAlignment="false" applyProtection="false">
      <alignment horizontal="general" vertical="bottom" textRotation="0" wrapText="false" indent="0" shrinkToFit="false"/>
      <protection locked="true" hidden="false"/>
    </xf>
    <xf numFmtId="180" fontId="47" fillId="0" borderId="0" xfId="96" applyFont="true" applyBorder="false" applyAlignment="false" applyProtection="false">
      <alignment horizontal="general" vertical="bottom" textRotation="0" wrapText="false" indent="0" shrinkToFit="false"/>
      <protection locked="true" hidden="false"/>
    </xf>
    <xf numFmtId="164" fontId="14" fillId="28" borderId="0" xfId="83" applyFont="true" applyBorder="false" applyAlignment="true" applyProtection="false">
      <alignment horizontal="general" vertical="center" textRotation="0" wrapText="false" indent="0" shrinkToFit="false"/>
      <protection locked="true" hidden="false"/>
    </xf>
    <xf numFmtId="180" fontId="14" fillId="0" borderId="0" xfId="83" applyFont="true" applyBorder="false" applyAlignment="true" applyProtection="false">
      <alignment horizontal="general" vertical="center" textRotation="0" wrapText="false" indent="0" shrinkToFit="false"/>
      <protection locked="true" hidden="false"/>
    </xf>
    <xf numFmtId="164" fontId="47" fillId="32" borderId="0" xfId="96" applyFont="true" applyBorder="false" applyAlignment="false" applyProtection="false">
      <alignment horizontal="general" vertical="bottom" textRotation="0" wrapText="false" indent="0" shrinkToFit="false"/>
      <protection locked="true" hidden="false"/>
    </xf>
    <xf numFmtId="180" fontId="71" fillId="32" borderId="0" xfId="83" applyFont="true" applyBorder="true" applyAlignment="true" applyProtection="false">
      <alignment horizontal="center" vertical="center" textRotation="0" wrapText="false" indent="0" shrinkToFit="false"/>
      <protection locked="true" hidden="false"/>
    </xf>
    <xf numFmtId="180" fontId="71" fillId="0" borderId="0" xfId="83" applyFont="true" applyBorder="true" applyAlignment="true" applyProtection="false">
      <alignment horizontal="center" vertical="center" textRotation="0" wrapText="false" indent="0" shrinkToFit="false"/>
      <protection locked="true" hidden="false"/>
    </xf>
    <xf numFmtId="164" fontId="14" fillId="0" borderId="0" xfId="171" applyFont="true" applyBorder="true" applyAlignment="true" applyProtection="false">
      <alignment horizontal="center" vertical="bottom" textRotation="0" wrapText="false" indent="0" shrinkToFit="false"/>
      <protection locked="true" hidden="false"/>
    </xf>
    <xf numFmtId="164" fontId="47" fillId="0" borderId="15" xfId="96" applyFont="true" applyBorder="true" applyAlignment="false" applyProtection="false">
      <alignment horizontal="general" vertical="bottom" textRotation="0" wrapText="false" indent="0" shrinkToFit="false"/>
      <protection locked="true" hidden="false"/>
    </xf>
    <xf numFmtId="164" fontId="47" fillId="0" borderId="0" xfId="96" applyFont="true" applyBorder="true" applyAlignment="true" applyProtection="false">
      <alignment horizontal="center" vertical="bottom" textRotation="0" wrapText="false" indent="0" shrinkToFit="false"/>
      <protection locked="true" hidden="false"/>
    </xf>
    <xf numFmtId="164" fontId="71" fillId="27" borderId="0" xfId="83" applyFont="true" applyBorder="false" applyAlignment="true" applyProtection="true">
      <alignment horizontal="center" vertical="center" textRotation="0" wrapText="false" indent="0" shrinkToFit="false"/>
      <protection locked="true" hidden="false"/>
    </xf>
    <xf numFmtId="164" fontId="121" fillId="0" borderId="0" xfId="83" applyFont="true" applyBorder="false" applyAlignment="true" applyProtection="true">
      <alignment horizontal="center" vertical="center" textRotation="0" wrapText="false" indent="0" shrinkToFit="false"/>
      <protection locked="true" hidden="false"/>
    </xf>
    <xf numFmtId="164" fontId="71" fillId="0" borderId="0" xfId="83" applyFont="true" applyBorder="false" applyAlignment="true" applyProtection="true">
      <alignment horizontal="center" vertical="center" textRotation="0" wrapText="false" indent="0" shrinkToFit="false"/>
      <protection locked="true" hidden="false"/>
    </xf>
    <xf numFmtId="192" fontId="71" fillId="0" borderId="0" xfId="83" applyFont="true" applyBorder="false" applyAlignment="true" applyProtection="true">
      <alignment horizontal="center" vertical="center" textRotation="0" wrapText="false" indent="0" shrinkToFit="false"/>
      <protection locked="true" hidden="false"/>
    </xf>
    <xf numFmtId="165" fontId="31" fillId="0" borderId="0" xfId="83" applyFont="true" applyBorder="false" applyAlignment="true" applyProtection="true">
      <alignment horizontal="center" vertical="center" textRotation="0" wrapText="false" indent="0" shrinkToFit="false"/>
      <protection locked="true" hidden="false"/>
    </xf>
    <xf numFmtId="165" fontId="14" fillId="0" borderId="0" xfId="83" applyFont="true" applyBorder="false" applyAlignment="true" applyProtection="true">
      <alignment horizontal="center" vertical="center" textRotation="0" wrapText="false" indent="0" shrinkToFit="false"/>
      <protection locked="true" hidden="false"/>
    </xf>
    <xf numFmtId="165" fontId="71" fillId="0" borderId="0" xfId="83" applyFont="true" applyBorder="false" applyAlignment="true" applyProtection="true">
      <alignment horizontal="center" vertical="center" textRotation="0" wrapText="false" indent="0" shrinkToFit="false"/>
      <protection locked="true" hidden="false"/>
    </xf>
    <xf numFmtId="184" fontId="71" fillId="0" borderId="0" xfId="83" applyFont="true" applyBorder="false" applyAlignment="true" applyProtection="true">
      <alignment horizontal="center" vertical="center" textRotation="0" wrapText="false" indent="0" shrinkToFit="false"/>
      <protection locked="true" hidden="false"/>
    </xf>
    <xf numFmtId="164" fontId="71" fillId="0" borderId="0" xfId="83" applyFont="true" applyBorder="false" applyAlignment="true" applyProtection="true">
      <alignment horizontal="center" vertical="center" textRotation="0" wrapText="false" indent="0" shrinkToFit="false"/>
      <protection locked="true" hidden="false"/>
    </xf>
    <xf numFmtId="183" fontId="71" fillId="0" borderId="0" xfId="83" applyFont="true" applyBorder="false" applyAlignment="true" applyProtection="true">
      <alignment horizontal="center" vertical="center" textRotation="0" wrapText="false" indent="0" shrinkToFit="false"/>
      <protection locked="true" hidden="false"/>
    </xf>
    <xf numFmtId="164" fontId="71" fillId="31" borderId="0" xfId="83" applyFont="true" applyBorder="false" applyAlignment="true" applyProtection="true">
      <alignment horizontal="center" vertical="center" textRotation="0" wrapText="false" indent="0" shrinkToFit="false"/>
      <protection locked="true" hidden="false"/>
    </xf>
    <xf numFmtId="164" fontId="71" fillId="0" borderId="0" xfId="83" applyFont="true" applyBorder="false" applyAlignment="true" applyProtection="false">
      <alignment horizontal="center" vertical="center" textRotation="0" wrapText="false" indent="0" shrinkToFit="false"/>
      <protection locked="true" hidden="false"/>
    </xf>
    <xf numFmtId="164" fontId="31" fillId="0" borderId="0" xfId="83" applyFont="true" applyBorder="false" applyAlignment="true" applyProtection="true">
      <alignment horizontal="center" vertical="center" textRotation="0" wrapText="false" indent="0" shrinkToFit="false"/>
      <protection locked="true" hidden="false"/>
    </xf>
    <xf numFmtId="184" fontId="121" fillId="0" borderId="0" xfId="83" applyFont="true" applyBorder="false" applyAlignment="true" applyProtection="true">
      <alignment horizontal="center" vertical="center" textRotation="0" wrapText="false" indent="0" shrinkToFit="false"/>
      <protection locked="true" hidden="false"/>
    </xf>
    <xf numFmtId="182" fontId="71" fillId="0" borderId="0" xfId="83" applyFont="true" applyBorder="false" applyAlignment="true" applyProtection="true">
      <alignment horizontal="center" vertical="center" textRotation="0" wrapText="false" indent="0" shrinkToFit="false"/>
      <protection locked="true" hidden="false"/>
    </xf>
    <xf numFmtId="164" fontId="126" fillId="0" borderId="0" xfId="0" applyFont="true" applyBorder="false" applyAlignment="true" applyProtection="false">
      <alignment horizontal="general" vertical="center" textRotation="0" wrapText="false" indent="0" shrinkToFit="false"/>
      <protection locked="true" hidden="false"/>
    </xf>
    <xf numFmtId="164" fontId="126" fillId="0" borderId="0" xfId="0" applyFont="true" applyBorder="false" applyAlignment="true" applyProtection="false">
      <alignment horizontal="general" vertical="center" textRotation="0" wrapText="false" indent="0" shrinkToFit="false"/>
      <protection locked="true" hidden="false"/>
    </xf>
    <xf numFmtId="164" fontId="126" fillId="0" borderId="0" xfId="171" applyFont="true" applyBorder="true" applyAlignment="false" applyProtection="false">
      <alignment horizontal="general" vertical="bottom" textRotation="0" wrapText="false" indent="0" shrinkToFit="false"/>
      <protection locked="true" hidden="false"/>
    </xf>
    <xf numFmtId="171" fontId="126" fillId="0" borderId="0" xfId="171" applyFont="true" applyBorder="true" applyAlignment="true" applyProtection="false">
      <alignment horizontal="center" vertical="bottom" textRotation="0" wrapText="false" indent="0" shrinkToFit="false"/>
      <protection locked="true" hidden="false"/>
    </xf>
    <xf numFmtId="171" fontId="127" fillId="0" borderId="0" xfId="171" applyFont="true" applyBorder="true" applyAlignment="true" applyProtection="false">
      <alignment horizontal="center" vertical="bottom" textRotation="0" wrapText="false" indent="0" shrinkToFit="false"/>
      <protection locked="true" hidden="false"/>
    </xf>
    <xf numFmtId="171" fontId="126" fillId="30" borderId="0" xfId="171" applyFont="true" applyBorder="true" applyAlignment="true" applyProtection="false">
      <alignment horizontal="center" vertical="bottom" textRotation="0" wrapText="false" indent="0" shrinkToFit="false"/>
      <protection locked="true" hidden="false"/>
    </xf>
    <xf numFmtId="171" fontId="126" fillId="27" borderId="0" xfId="171" applyFont="true" applyBorder="true" applyAlignment="true" applyProtection="false">
      <alignment horizontal="center" vertical="bottom" textRotation="0" wrapText="false" indent="0" shrinkToFit="false"/>
      <protection locked="true" hidden="false"/>
    </xf>
    <xf numFmtId="170" fontId="128" fillId="0" borderId="0" xfId="89" applyFont="true" applyBorder="true" applyAlignment="true" applyProtection="true">
      <alignment horizontal="center" vertical="center" textRotation="0" wrapText="false" indent="0" shrinkToFit="false"/>
      <protection locked="false" hidden="false"/>
    </xf>
    <xf numFmtId="164" fontId="128" fillId="0" borderId="0" xfId="171" applyFont="true" applyBorder="true" applyAlignment="true" applyProtection="false">
      <alignment horizontal="center" vertical="bottom" textRotation="0" wrapText="false" indent="0" shrinkToFit="false"/>
      <protection locked="true" hidden="false"/>
    </xf>
    <xf numFmtId="171" fontId="129" fillId="0" borderId="0" xfId="0" applyFont="true" applyBorder="false" applyAlignment="true" applyProtection="false">
      <alignment horizontal="center" vertical="center" textRotation="0" wrapText="false" indent="0" shrinkToFit="false"/>
      <protection locked="true" hidden="false"/>
    </xf>
    <xf numFmtId="171" fontId="130" fillId="0" borderId="0" xfId="0" applyFont="true" applyBorder="false" applyAlignment="true" applyProtection="false">
      <alignment horizontal="center" vertical="center" textRotation="0" wrapText="false" indent="0" shrinkToFit="false"/>
      <protection locked="true" hidden="false"/>
    </xf>
    <xf numFmtId="171" fontId="129" fillId="20" borderId="0" xfId="0" applyFont="true" applyBorder="false" applyAlignment="true" applyProtection="false">
      <alignment horizontal="center" vertical="center" textRotation="0" wrapText="false" indent="0" shrinkToFit="false"/>
      <protection locked="true" hidden="false"/>
    </xf>
    <xf numFmtId="171" fontId="129" fillId="27" borderId="0" xfId="0" applyFont="true" applyBorder="false" applyAlignment="true" applyProtection="false">
      <alignment horizontal="center" vertical="center" textRotation="0" wrapText="false" indent="0" shrinkToFit="false"/>
      <protection locked="true" hidden="false"/>
    </xf>
    <xf numFmtId="171" fontId="129" fillId="28" borderId="0" xfId="0" applyFont="true" applyBorder="false" applyAlignment="true" applyProtection="false">
      <alignment horizontal="center" vertical="center" textRotation="0" wrapText="false" indent="0" shrinkToFit="false"/>
      <protection locked="true" hidden="false"/>
    </xf>
    <xf numFmtId="171" fontId="131" fillId="0" borderId="0" xfId="0" applyFont="true" applyBorder="false" applyAlignment="true" applyProtection="false">
      <alignment horizontal="center" vertical="center" textRotation="0" wrapText="false" indent="0" shrinkToFit="false"/>
      <protection locked="true" hidden="false"/>
    </xf>
    <xf numFmtId="164" fontId="129" fillId="32" borderId="0" xfId="0" applyFont="true" applyBorder="false" applyAlignment="true" applyProtection="false">
      <alignment horizontal="center" vertical="center" textRotation="0" wrapText="false" indent="0" shrinkToFit="false"/>
      <protection locked="true" hidden="false"/>
    </xf>
    <xf numFmtId="164" fontId="129" fillId="0" borderId="0" xfId="0" applyFont="true" applyBorder="false" applyAlignment="true" applyProtection="false">
      <alignment horizontal="center" vertical="center" textRotation="0" wrapText="false" indent="0" shrinkToFit="false"/>
      <protection locked="true" hidden="false"/>
    </xf>
    <xf numFmtId="164" fontId="132" fillId="0" borderId="0" xfId="0" applyFont="true" applyBorder="false" applyAlignment="true" applyProtection="false">
      <alignment horizontal="center" vertical="center" textRotation="0" wrapText="false" indent="0" shrinkToFit="false"/>
      <protection locked="true" hidden="false"/>
    </xf>
    <xf numFmtId="164" fontId="131" fillId="0" borderId="0" xfId="0" applyFont="true" applyBorder="false" applyAlignment="true" applyProtection="false">
      <alignment horizontal="center" vertical="center" textRotation="0" wrapText="false" indent="0" shrinkToFit="false"/>
      <protection locked="true" hidden="false"/>
    </xf>
    <xf numFmtId="164" fontId="126" fillId="0" borderId="0" xfId="171" applyFont="true" applyBorder="true" applyAlignment="true" applyProtection="false">
      <alignment horizontal="general" vertical="center" textRotation="0" wrapText="false" indent="0" shrinkToFit="false"/>
      <protection locked="true" hidden="false"/>
    </xf>
    <xf numFmtId="164" fontId="133" fillId="0" borderId="0" xfId="171" applyFont="true" applyBorder="true" applyAlignment="true" applyProtection="false">
      <alignment horizontal="center" vertical="bottom" textRotation="0" wrapText="false" indent="0" shrinkToFit="false"/>
      <protection locked="true" hidden="false"/>
    </xf>
    <xf numFmtId="164" fontId="128" fillId="28" borderId="0" xfId="171" applyFont="true" applyBorder="true" applyAlignment="true" applyProtection="false">
      <alignment horizontal="center" vertical="bottom" textRotation="0" wrapText="false" indent="0" shrinkToFit="false"/>
      <protection locked="true" hidden="false"/>
    </xf>
    <xf numFmtId="164" fontId="128" fillId="27" borderId="0" xfId="171" applyFont="true" applyBorder="true" applyAlignment="true" applyProtection="false">
      <alignment horizontal="center" vertical="bottom" textRotation="0" wrapText="false" indent="0" shrinkToFit="false"/>
      <protection locked="true" hidden="false"/>
    </xf>
    <xf numFmtId="164" fontId="126" fillId="0" borderId="0" xfId="166" applyFont="true" applyBorder="true" applyAlignment="true" applyProtection="false">
      <alignment horizontal="general" vertical="center" textRotation="0" wrapText="false" indent="0" shrinkToFit="false"/>
      <protection locked="true" hidden="false"/>
    </xf>
    <xf numFmtId="164" fontId="128" fillId="35" borderId="0" xfId="171" applyFont="true" applyBorder="true" applyAlignment="true" applyProtection="false">
      <alignment horizontal="center" vertical="bottom" textRotation="0" wrapText="false" indent="0" shrinkToFit="false"/>
      <protection locked="true" hidden="false"/>
    </xf>
    <xf numFmtId="176" fontId="126" fillId="0" borderId="0" xfId="171" applyFont="true" applyBorder="true" applyAlignment="false" applyProtection="false">
      <alignment horizontal="general" vertical="bottom" textRotation="0" wrapText="false" indent="0" shrinkToFit="false"/>
      <protection locked="true" hidden="false"/>
    </xf>
    <xf numFmtId="176" fontId="134" fillId="0" borderId="0" xfId="89" applyFont="true" applyBorder="true" applyAlignment="true" applyProtection="true">
      <alignment horizontal="center" vertical="center" textRotation="0" wrapText="false" indent="0" shrinkToFit="false"/>
      <protection locked="false" hidden="false"/>
    </xf>
    <xf numFmtId="176" fontId="135" fillId="0" borderId="0" xfId="89" applyFont="true" applyBorder="true" applyAlignment="true" applyProtection="true">
      <alignment horizontal="center" vertical="center" textRotation="0" wrapText="false" indent="0" shrinkToFit="false"/>
      <protection locked="false" hidden="false"/>
    </xf>
    <xf numFmtId="176" fontId="134" fillId="27" borderId="0" xfId="89" applyFont="true" applyBorder="true" applyAlignment="true" applyProtection="true">
      <alignment horizontal="center" vertical="center" textRotation="0" wrapText="false" indent="0" shrinkToFit="false"/>
      <protection locked="false" hidden="false"/>
    </xf>
    <xf numFmtId="176" fontId="128" fillId="0" borderId="0" xfId="171" applyFont="true" applyBorder="true" applyAlignment="true" applyProtection="false">
      <alignment horizontal="center" vertical="bottom" textRotation="0" wrapText="false" indent="0" shrinkToFit="false"/>
      <protection locked="true" hidden="false"/>
    </xf>
    <xf numFmtId="176" fontId="136" fillId="0" borderId="0" xfId="89" applyFont="true" applyBorder="true" applyAlignment="true" applyProtection="true">
      <alignment horizontal="center" vertical="center" textRotation="0" wrapText="false" indent="0" shrinkToFit="false"/>
      <protection locked="false" hidden="false"/>
    </xf>
    <xf numFmtId="176" fontId="126" fillId="0" borderId="0" xfId="0" applyFont="true" applyBorder="false" applyAlignment="true" applyProtection="false">
      <alignment horizontal="general" vertical="center" textRotation="0" wrapText="false" indent="0" shrinkToFit="false"/>
      <protection locked="true" hidden="false"/>
    </xf>
    <xf numFmtId="176" fontId="126" fillId="0" borderId="0" xfId="0" applyFont="true" applyBorder="false" applyAlignment="true" applyProtection="false">
      <alignment horizontal="general" vertical="center" textRotation="0" wrapText="false" indent="0" shrinkToFit="false"/>
      <protection locked="true" hidden="false"/>
    </xf>
    <xf numFmtId="166" fontId="126" fillId="0" borderId="0" xfId="171" applyFont="true" applyBorder="true" applyAlignment="false" applyProtection="false">
      <alignment horizontal="general" vertical="bottom" textRotation="0" wrapText="false" indent="0" shrinkToFit="false"/>
      <protection locked="true" hidden="false"/>
    </xf>
    <xf numFmtId="169" fontId="134" fillId="0" borderId="0" xfId="89" applyFont="true" applyBorder="true" applyAlignment="true" applyProtection="true">
      <alignment horizontal="center" vertical="center" textRotation="0" wrapText="false" indent="0" shrinkToFit="false"/>
      <protection locked="false" hidden="false"/>
    </xf>
    <xf numFmtId="169" fontId="135" fillId="0" borderId="0" xfId="89" applyFont="true" applyBorder="true" applyAlignment="true" applyProtection="true">
      <alignment horizontal="center" vertical="center" textRotation="0" wrapText="false" indent="0" shrinkToFit="false"/>
      <protection locked="false" hidden="false"/>
    </xf>
    <xf numFmtId="164" fontId="128" fillId="32" borderId="0" xfId="171" applyFont="true" applyBorder="true" applyAlignment="true" applyProtection="false">
      <alignment horizontal="center" vertical="bottom" textRotation="0" wrapText="false" indent="0" shrinkToFit="false"/>
      <protection locked="true" hidden="false"/>
    </xf>
    <xf numFmtId="169" fontId="134" fillId="27" borderId="0" xfId="89" applyFont="true" applyBorder="true" applyAlignment="true" applyProtection="true">
      <alignment horizontal="center" vertical="center" textRotation="0" wrapText="false" indent="0" shrinkToFit="false"/>
      <protection locked="false" hidden="false"/>
    </xf>
    <xf numFmtId="189" fontId="128" fillId="0" borderId="0" xfId="171" applyFont="true" applyBorder="true" applyAlignment="true" applyProtection="false">
      <alignment horizontal="center" vertical="bottom" textRotation="0" wrapText="false" indent="0" shrinkToFit="false"/>
      <protection locked="true" hidden="false"/>
    </xf>
    <xf numFmtId="170" fontId="134" fillId="0" borderId="0" xfId="89" applyFont="true" applyBorder="true" applyAlignment="true" applyProtection="true">
      <alignment horizontal="center" vertical="center" textRotation="0" wrapText="false" indent="0" shrinkToFit="false"/>
      <protection locked="false" hidden="false"/>
    </xf>
    <xf numFmtId="170" fontId="136" fillId="0" borderId="0" xfId="89" applyFont="true" applyBorder="true" applyAlignment="true" applyProtection="true">
      <alignment horizontal="center" vertical="center" textRotation="0" wrapText="false" indent="0" shrinkToFit="false"/>
      <protection locked="false" hidden="false"/>
    </xf>
    <xf numFmtId="166" fontId="126" fillId="0" borderId="0" xfId="0" applyFont="true" applyBorder="false" applyAlignment="true" applyProtection="false">
      <alignment horizontal="general" vertical="center" textRotation="0" wrapText="false" indent="0" shrinkToFit="false"/>
      <protection locked="true" hidden="false"/>
    </xf>
    <xf numFmtId="166" fontId="126" fillId="0" borderId="0" xfId="0" applyFont="true" applyBorder="false" applyAlignment="true" applyProtection="false">
      <alignment horizontal="general" vertical="center" textRotation="0" wrapText="false" indent="0" shrinkToFit="false"/>
      <protection locked="true" hidden="false"/>
    </xf>
    <xf numFmtId="166" fontId="126" fillId="0" borderId="0" xfId="166" applyFont="true" applyBorder="true" applyAlignment="true" applyProtection="false">
      <alignment horizontal="general" vertical="center" textRotation="0" wrapText="false" indent="0" shrinkToFit="false"/>
      <protection locked="true" hidden="false"/>
    </xf>
    <xf numFmtId="166" fontId="134" fillId="0" borderId="0" xfId="89" applyFont="true" applyBorder="true" applyAlignment="true" applyProtection="true">
      <alignment horizontal="center" vertical="center" textRotation="0" wrapText="false" indent="0" shrinkToFit="false"/>
      <protection locked="false" hidden="false"/>
    </xf>
    <xf numFmtId="166" fontId="135" fillId="0" borderId="0" xfId="89" applyFont="true" applyBorder="true" applyAlignment="true" applyProtection="true">
      <alignment horizontal="center" vertical="center" textRotation="0" wrapText="false" indent="0" shrinkToFit="false"/>
      <protection locked="false" hidden="false"/>
    </xf>
    <xf numFmtId="166" fontId="134" fillId="28" borderId="0" xfId="89" applyFont="true" applyBorder="true" applyAlignment="true" applyProtection="true">
      <alignment horizontal="center" vertical="center" textRotation="0" wrapText="false" indent="0" shrinkToFit="false"/>
      <protection locked="false" hidden="false"/>
    </xf>
    <xf numFmtId="166" fontId="134" fillId="27" borderId="0" xfId="89" applyFont="true" applyBorder="true" applyAlignment="true" applyProtection="true">
      <alignment horizontal="center" vertical="center" textRotation="0" wrapText="false" indent="0" shrinkToFit="false"/>
      <protection locked="false" hidden="false"/>
    </xf>
    <xf numFmtId="164" fontId="134" fillId="0" borderId="0" xfId="89" applyFont="true" applyBorder="true" applyAlignment="true" applyProtection="true">
      <alignment horizontal="center" vertical="center" textRotation="0" wrapText="false" indent="0" shrinkToFit="false"/>
      <protection locked="false" hidden="false"/>
    </xf>
    <xf numFmtId="164" fontId="136" fillId="0" borderId="0" xfId="89" applyFont="true" applyBorder="true" applyAlignment="true" applyProtection="true">
      <alignment horizontal="center" vertical="center" textRotation="0" wrapText="false" indent="0" shrinkToFit="false"/>
      <protection locked="false" hidden="false"/>
    </xf>
    <xf numFmtId="183" fontId="126" fillId="0" borderId="0" xfId="171" applyFont="true" applyBorder="true" applyAlignment="false" applyProtection="false">
      <alignment horizontal="general" vertical="bottom" textRotation="0" wrapText="false" indent="0" shrinkToFit="false"/>
      <protection locked="true" hidden="false"/>
    </xf>
    <xf numFmtId="183" fontId="134" fillId="0" borderId="0" xfId="89" applyFont="true" applyBorder="true" applyAlignment="true" applyProtection="true">
      <alignment horizontal="center" vertical="center" textRotation="0" wrapText="false" indent="0" shrinkToFit="false"/>
      <protection locked="false" hidden="false"/>
    </xf>
    <xf numFmtId="183" fontId="135" fillId="0" borderId="0" xfId="89" applyFont="true" applyBorder="true" applyAlignment="true" applyProtection="true">
      <alignment horizontal="center" vertical="center" textRotation="0" wrapText="false" indent="0" shrinkToFit="false"/>
      <protection locked="false" hidden="false"/>
    </xf>
    <xf numFmtId="183" fontId="134" fillId="27" borderId="0" xfId="89" applyFont="true" applyBorder="true" applyAlignment="true" applyProtection="true">
      <alignment horizontal="center" vertical="center" textRotation="0" wrapText="false" indent="0" shrinkToFit="false"/>
      <protection locked="false" hidden="false"/>
    </xf>
    <xf numFmtId="170" fontId="126" fillId="0" borderId="0" xfId="171" applyFont="true" applyBorder="true" applyAlignment="false" applyProtection="false">
      <alignment horizontal="general" vertical="bottom" textRotation="0" wrapText="false" indent="0" shrinkToFit="false"/>
      <protection locked="true" hidden="false"/>
    </xf>
    <xf numFmtId="183" fontId="136" fillId="0" borderId="0" xfId="89" applyFont="true" applyBorder="true" applyAlignment="true" applyProtection="true">
      <alignment horizontal="center" vertical="center" textRotation="0" wrapText="false" indent="0" shrinkToFit="false"/>
      <protection locked="false" hidden="false"/>
    </xf>
    <xf numFmtId="183" fontId="128" fillId="0" borderId="0" xfId="171" applyFont="true" applyBorder="true" applyAlignment="true" applyProtection="false">
      <alignment horizontal="center" vertical="bottom" textRotation="0" wrapText="false" indent="0" shrinkToFit="false"/>
      <protection locked="true" hidden="false"/>
    </xf>
    <xf numFmtId="183" fontId="126" fillId="0" borderId="0" xfId="0" applyFont="true" applyBorder="false" applyAlignment="true" applyProtection="false">
      <alignment horizontal="general" vertical="center" textRotation="0" wrapText="false" indent="0" shrinkToFit="false"/>
      <protection locked="true" hidden="false"/>
    </xf>
    <xf numFmtId="183" fontId="126" fillId="0" borderId="0" xfId="0" applyFont="true" applyBorder="false" applyAlignment="true" applyProtection="false">
      <alignment horizontal="general" vertical="center" textRotation="0" wrapText="false" indent="0" shrinkToFit="false"/>
      <protection locked="true" hidden="false"/>
    </xf>
    <xf numFmtId="164" fontId="137" fillId="0" borderId="0" xfId="171" applyFont="true" applyBorder="true" applyAlignment="false" applyProtection="false">
      <alignment horizontal="general" vertical="bottom" textRotation="0" wrapText="false" indent="0" shrinkToFit="false"/>
      <protection locked="true" hidden="false"/>
    </xf>
    <xf numFmtId="164" fontId="130" fillId="0" borderId="0" xfId="171" applyFont="true" applyBorder="true" applyAlignment="true" applyProtection="false">
      <alignment horizontal="center" vertical="bottom" textRotation="0" wrapText="false" indent="0" shrinkToFit="false"/>
      <protection locked="true" hidden="false"/>
    </xf>
    <xf numFmtId="164" fontId="128" fillId="0" borderId="0" xfId="171" applyFont="true" applyBorder="true" applyAlignment="true" applyProtection="true">
      <alignment horizontal="center" vertical="bottom" textRotation="0" wrapText="false" indent="0" shrinkToFit="false"/>
      <protection locked="false" hidden="false"/>
    </xf>
    <xf numFmtId="176" fontId="126" fillId="0" borderId="0" xfId="171" applyFont="true" applyBorder="true" applyAlignment="true" applyProtection="false">
      <alignment horizontal="center" vertical="bottom" textRotation="0" wrapText="false" indent="0" shrinkToFit="false"/>
      <protection locked="true" hidden="false"/>
    </xf>
    <xf numFmtId="176" fontId="135" fillId="0" borderId="0" xfId="171" applyFont="true" applyBorder="true" applyAlignment="true" applyProtection="false">
      <alignment horizontal="center" vertical="bottom" textRotation="0" wrapText="false" indent="0" shrinkToFit="false"/>
      <protection locked="true" hidden="false"/>
    </xf>
    <xf numFmtId="176" fontId="126" fillId="27" borderId="0" xfId="171" applyFont="true" applyBorder="true" applyAlignment="true" applyProtection="false">
      <alignment horizontal="center" vertical="bottom" textRotation="0" wrapText="false" indent="0" shrinkToFit="false"/>
      <protection locked="true" hidden="false"/>
    </xf>
    <xf numFmtId="170" fontId="126" fillId="0" borderId="0" xfId="171" applyFont="true" applyBorder="true" applyAlignment="false" applyProtection="true">
      <alignment horizontal="general" vertical="bottom" textRotation="0" wrapText="false" indent="0" shrinkToFit="false"/>
      <protection locked="true" hidden="true"/>
    </xf>
    <xf numFmtId="190" fontId="134" fillId="0" borderId="0" xfId="89" applyFont="true" applyBorder="true" applyAlignment="true" applyProtection="true">
      <alignment horizontal="center" vertical="center" textRotation="0" wrapText="false" indent="0" shrinkToFit="false"/>
      <protection locked="false" hidden="false"/>
    </xf>
    <xf numFmtId="190" fontId="135" fillId="0" borderId="0" xfId="89" applyFont="true" applyBorder="true" applyAlignment="true" applyProtection="true">
      <alignment horizontal="center" vertical="center" textRotation="0" wrapText="false" indent="0" shrinkToFit="false"/>
      <protection locked="false" hidden="false"/>
    </xf>
    <xf numFmtId="190" fontId="134" fillId="27" borderId="0" xfId="89" applyFont="true" applyBorder="true" applyAlignment="true" applyProtection="true">
      <alignment horizontal="center" vertical="center" textRotation="0" wrapText="false" indent="0" shrinkToFit="false"/>
      <protection locked="false" hidden="false"/>
    </xf>
    <xf numFmtId="170" fontId="138" fillId="0" borderId="0" xfId="89" applyFont="true" applyBorder="true" applyAlignment="true" applyProtection="true">
      <alignment horizontal="center" vertical="center" textRotation="0" wrapText="false" indent="0" shrinkToFit="false"/>
      <protection locked="false" hidden="false"/>
    </xf>
    <xf numFmtId="168" fontId="128" fillId="0" borderId="0" xfId="171" applyFont="true" applyBorder="true" applyAlignment="true" applyProtection="false">
      <alignment horizontal="center" vertical="bottom" textRotation="0" wrapText="false" indent="0" shrinkToFit="false"/>
      <protection locked="true" hidden="false"/>
    </xf>
    <xf numFmtId="170" fontId="128" fillId="0" borderId="0" xfId="171" applyFont="true" applyBorder="true" applyAlignment="false" applyProtection="false">
      <alignment horizontal="general" vertical="bottom" textRotation="0" wrapText="false" indent="0" shrinkToFit="false"/>
      <protection locked="true" hidden="false"/>
    </xf>
    <xf numFmtId="177" fontId="134" fillId="0" borderId="0" xfId="89" applyFont="true" applyBorder="true" applyAlignment="true" applyProtection="true">
      <alignment horizontal="center" vertical="center" textRotation="0" wrapText="false" indent="0" shrinkToFit="false"/>
      <protection locked="false" hidden="false"/>
    </xf>
    <xf numFmtId="177" fontId="135" fillId="0" borderId="0" xfId="89" applyFont="true" applyBorder="true" applyAlignment="true" applyProtection="true">
      <alignment horizontal="center" vertical="center" textRotation="0" wrapText="false" indent="0" shrinkToFit="false"/>
      <protection locked="false" hidden="false"/>
    </xf>
    <xf numFmtId="177" fontId="134" fillId="27" borderId="0" xfId="89" applyFont="true" applyBorder="true" applyAlignment="true" applyProtection="true">
      <alignment horizontal="center" vertical="center" textRotation="0" wrapText="false" indent="0" shrinkToFit="false"/>
      <protection locked="false" hidden="false"/>
    </xf>
    <xf numFmtId="170" fontId="126" fillId="38" borderId="0" xfId="171" applyFont="true" applyBorder="true" applyAlignment="false" applyProtection="true">
      <alignment horizontal="general" vertical="bottom" textRotation="0" wrapText="false" indent="0" shrinkToFit="false"/>
      <protection locked="false" hidden="false"/>
    </xf>
    <xf numFmtId="166" fontId="136" fillId="0" borderId="0" xfId="89" applyFont="true" applyBorder="true" applyAlignment="true" applyProtection="true">
      <alignment horizontal="center" vertical="center" textRotation="0" wrapText="false" indent="0" shrinkToFit="false"/>
      <protection locked="false" hidden="false"/>
    </xf>
    <xf numFmtId="166" fontId="138" fillId="0" borderId="0" xfId="89" applyFont="true" applyBorder="true" applyAlignment="true" applyProtection="true">
      <alignment horizontal="center" vertical="center" textRotation="0" wrapText="false" indent="0" shrinkToFit="false"/>
      <protection locked="false" hidden="false"/>
    </xf>
    <xf numFmtId="180" fontId="128" fillId="0" borderId="0" xfId="171" applyFont="true" applyBorder="true" applyAlignment="true" applyProtection="false">
      <alignment horizontal="center" vertical="bottom" textRotation="0" wrapText="false" indent="0" shrinkToFit="false"/>
      <protection locked="true" hidden="false"/>
    </xf>
    <xf numFmtId="164" fontId="128" fillId="38" borderId="0" xfId="171" applyFont="true" applyBorder="true" applyAlignment="true" applyProtection="false">
      <alignment horizontal="center" vertical="bottom" textRotation="0" wrapText="false" indent="0" shrinkToFit="false"/>
      <protection locked="true" hidden="false"/>
    </xf>
    <xf numFmtId="170" fontId="135" fillId="0" borderId="0" xfId="171" applyFont="true" applyBorder="true" applyAlignment="false" applyProtection="false">
      <alignment horizontal="general" vertical="bottom" textRotation="0" wrapText="false" indent="0" shrinkToFit="false"/>
      <protection locked="true" hidden="false"/>
    </xf>
    <xf numFmtId="170" fontId="126" fillId="27" borderId="0" xfId="171" applyFont="true" applyBorder="true" applyAlignment="false" applyProtection="false">
      <alignment horizontal="general" vertical="bottom" textRotation="0" wrapText="false" indent="0" shrinkToFit="false"/>
      <protection locked="true" hidden="false"/>
    </xf>
    <xf numFmtId="170" fontId="134" fillId="38" borderId="0" xfId="89" applyFont="true" applyBorder="true" applyAlignment="true" applyProtection="true">
      <alignment horizontal="right" vertical="center" textRotation="0" wrapText="false" indent="0" shrinkToFit="false"/>
      <protection locked="true" hidden="true"/>
    </xf>
    <xf numFmtId="170" fontId="126" fillId="38" borderId="0" xfId="171" applyFont="true" applyBorder="true" applyAlignment="false" applyProtection="true">
      <alignment horizontal="general" vertical="bottom" textRotation="0" wrapText="false" indent="0" shrinkToFit="false"/>
      <protection locked="true" hidden="true"/>
    </xf>
    <xf numFmtId="193" fontId="126" fillId="0" borderId="0" xfId="171" applyFont="true" applyBorder="true" applyAlignment="false" applyProtection="false">
      <alignment horizontal="general" vertical="bottom" textRotation="0" wrapText="false" indent="0" shrinkToFit="false"/>
      <protection locked="true" hidden="false"/>
    </xf>
    <xf numFmtId="193" fontId="135" fillId="0" borderId="0" xfId="171" applyFont="true" applyBorder="true" applyAlignment="false" applyProtection="false">
      <alignment horizontal="general" vertical="bottom" textRotation="0" wrapText="false" indent="0" shrinkToFit="false"/>
      <protection locked="true" hidden="false"/>
    </xf>
    <xf numFmtId="193" fontId="126" fillId="27" borderId="0" xfId="171" applyFont="true" applyBorder="true" applyAlignment="false" applyProtection="false">
      <alignment horizontal="general" vertical="bottom" textRotation="0" wrapText="false" indent="0" shrinkToFit="false"/>
      <protection locked="true" hidden="false"/>
    </xf>
    <xf numFmtId="193" fontId="126" fillId="0" borderId="0" xfId="171" applyFont="true" applyBorder="true" applyAlignment="false" applyProtection="true">
      <alignment horizontal="general" vertical="bottom" textRotation="0" wrapText="false" indent="0" shrinkToFit="false"/>
      <protection locked="true" hidden="true"/>
    </xf>
    <xf numFmtId="166" fontId="137" fillId="24" borderId="0" xfId="171" applyFont="true" applyBorder="true" applyAlignment="false" applyProtection="false">
      <alignment horizontal="general" vertical="bottom" textRotation="0" wrapText="false" indent="0" shrinkToFit="false"/>
      <protection locked="true" hidden="false"/>
    </xf>
    <xf numFmtId="170" fontId="128" fillId="24" borderId="0" xfId="171" applyFont="true" applyBorder="true" applyAlignment="false" applyProtection="false">
      <alignment horizontal="general" vertical="bottom" textRotation="0" wrapText="false" indent="0" shrinkToFit="false"/>
      <protection locked="true" hidden="false"/>
    </xf>
    <xf numFmtId="170" fontId="130" fillId="0" borderId="0" xfId="171" applyFont="true" applyBorder="true" applyAlignment="false" applyProtection="false">
      <alignment horizontal="general" vertical="bottom" textRotation="0" wrapText="false" indent="0" shrinkToFit="false"/>
      <protection locked="true" hidden="false"/>
    </xf>
    <xf numFmtId="166" fontId="128" fillId="24" borderId="0" xfId="171" applyFont="true" applyBorder="true" applyAlignment="false" applyProtection="false">
      <alignment horizontal="general" vertical="bottom" textRotation="0" wrapText="false" indent="0" shrinkToFit="false"/>
      <protection locked="true" hidden="false"/>
    </xf>
    <xf numFmtId="170" fontId="128" fillId="26" borderId="0" xfId="171" applyFont="true" applyBorder="true" applyAlignment="false" applyProtection="false">
      <alignment horizontal="general" vertical="bottom" textRotation="0" wrapText="false" indent="0" shrinkToFit="false"/>
      <protection locked="true" hidden="false"/>
    </xf>
    <xf numFmtId="166" fontId="128" fillId="27" borderId="0" xfId="171" applyFont="true" applyBorder="true" applyAlignment="false" applyProtection="false">
      <alignment horizontal="general" vertical="bottom" textRotation="0" wrapText="false" indent="0" shrinkToFit="false"/>
      <protection locked="true" hidden="false"/>
    </xf>
    <xf numFmtId="170" fontId="128" fillId="27" borderId="0" xfId="171" applyFont="true" applyBorder="true" applyAlignment="false" applyProtection="false">
      <alignment horizontal="general" vertical="bottom" textRotation="0" wrapText="false" indent="0" shrinkToFit="false"/>
      <protection locked="true" hidden="false"/>
    </xf>
    <xf numFmtId="170" fontId="128" fillId="24" borderId="0" xfId="171" applyFont="true" applyBorder="true" applyAlignment="false" applyProtection="true">
      <alignment horizontal="general" vertical="bottom" textRotation="0" wrapText="false" indent="0" shrinkToFit="false"/>
      <protection locked="false" hidden="false"/>
    </xf>
    <xf numFmtId="170" fontId="140" fillId="0" borderId="0" xfId="171" applyFont="true" applyBorder="true" applyAlignment="false" applyProtection="false">
      <alignment horizontal="general" vertical="bottom" textRotation="0" wrapText="false" indent="0" shrinkToFit="false"/>
      <protection locked="true" hidden="false"/>
    </xf>
    <xf numFmtId="166" fontId="128" fillId="0" borderId="0" xfId="171" applyFont="true" applyBorder="true" applyAlignment="false" applyProtection="false">
      <alignment horizontal="general" vertical="bottom" textRotation="0" wrapText="false" indent="0" shrinkToFit="false"/>
      <protection locked="true" hidden="false"/>
    </xf>
    <xf numFmtId="164" fontId="126" fillId="3" borderId="0" xfId="89" applyFont="true" applyBorder="true" applyAlignment="true" applyProtection="true">
      <alignment horizontal="general" vertical="center" textRotation="0" wrapText="false" indent="0" shrinkToFit="false"/>
      <protection locked="true" hidden="false"/>
    </xf>
    <xf numFmtId="170" fontId="126" fillId="3" borderId="0" xfId="89" applyFont="true" applyBorder="true" applyAlignment="true" applyProtection="true">
      <alignment horizontal="general" vertical="center" textRotation="0" wrapText="false" indent="0" shrinkToFit="false"/>
      <protection locked="true" hidden="false"/>
    </xf>
    <xf numFmtId="170" fontId="135" fillId="0" borderId="0" xfId="89" applyFont="true" applyBorder="true" applyAlignment="true" applyProtection="true">
      <alignment horizontal="general" vertical="center" textRotation="0" wrapText="false" indent="0" shrinkToFit="false"/>
      <protection locked="true" hidden="false"/>
    </xf>
    <xf numFmtId="170" fontId="126" fillId="27" borderId="0" xfId="89" applyFont="true" applyBorder="true" applyAlignment="true" applyProtection="true">
      <alignment horizontal="general" vertical="center" textRotation="0" wrapText="false" indent="0" shrinkToFit="false"/>
      <protection locked="true" hidden="false"/>
    </xf>
    <xf numFmtId="170" fontId="126" fillId="3" borderId="0" xfId="89" applyFont="true" applyBorder="true" applyAlignment="true" applyProtection="true">
      <alignment horizontal="general" vertical="center" textRotation="0" wrapText="false" indent="0" shrinkToFit="false"/>
      <protection locked="true" hidden="true"/>
    </xf>
    <xf numFmtId="170" fontId="126" fillId="0" borderId="0" xfId="89" applyFont="true" applyBorder="true" applyAlignment="true" applyProtection="true">
      <alignment horizontal="general" vertical="center" textRotation="0" wrapText="false" indent="0" shrinkToFit="false"/>
      <protection locked="true" hidden="false"/>
    </xf>
    <xf numFmtId="164" fontId="126" fillId="3" borderId="0" xfId="89" applyFont="true" applyBorder="true" applyAlignment="true" applyProtection="true">
      <alignment horizontal="left" vertical="center" textRotation="0" wrapText="false" indent="0" shrinkToFit="false"/>
      <protection locked="true" hidden="false"/>
    </xf>
    <xf numFmtId="170" fontId="126" fillId="3" borderId="0" xfId="89" applyFont="true" applyBorder="true" applyAlignment="true" applyProtection="true">
      <alignment horizontal="right" vertical="center" textRotation="0" wrapText="false" indent="0" shrinkToFit="false"/>
      <protection locked="true" hidden="false"/>
    </xf>
    <xf numFmtId="170" fontId="135" fillId="0" borderId="0" xfId="89" applyFont="true" applyBorder="true" applyAlignment="true" applyProtection="true">
      <alignment horizontal="right" vertical="center" textRotation="0" wrapText="false" indent="0" shrinkToFit="false"/>
      <protection locked="true" hidden="false"/>
    </xf>
    <xf numFmtId="170" fontId="126" fillId="27" borderId="0" xfId="89" applyFont="true" applyBorder="true" applyAlignment="true" applyProtection="true">
      <alignment horizontal="right" vertical="center" textRotation="0" wrapText="false" indent="0" shrinkToFit="false"/>
      <protection locked="true" hidden="false"/>
    </xf>
    <xf numFmtId="170" fontId="126" fillId="3" borderId="0" xfId="89" applyFont="true" applyBorder="true" applyAlignment="true" applyProtection="true">
      <alignment horizontal="right" vertical="center" textRotation="0" wrapText="false" indent="0" shrinkToFit="false"/>
      <protection locked="true" hidden="true"/>
    </xf>
    <xf numFmtId="170" fontId="126" fillId="0" borderId="0" xfId="89" applyFont="true" applyBorder="true" applyAlignment="true" applyProtection="true">
      <alignment horizontal="right" vertical="center" textRotation="0" wrapText="false" indent="0" shrinkToFit="false"/>
      <protection locked="true" hidden="false"/>
    </xf>
    <xf numFmtId="164" fontId="126" fillId="37" borderId="0" xfId="89" applyFont="true" applyBorder="true" applyAlignment="true" applyProtection="true">
      <alignment horizontal="general" vertical="center" textRotation="0" wrapText="false" indent="0" shrinkToFit="false"/>
      <protection locked="true" hidden="false"/>
    </xf>
    <xf numFmtId="170" fontId="126" fillId="37" borderId="0" xfId="89" applyFont="true" applyBorder="true" applyAlignment="true" applyProtection="true">
      <alignment horizontal="general" vertical="center" textRotation="0" wrapText="false" indent="0" shrinkToFit="false"/>
      <protection locked="true" hidden="false"/>
    </xf>
    <xf numFmtId="170" fontId="126" fillId="37" borderId="0" xfId="89" applyFont="true" applyBorder="true" applyAlignment="true" applyProtection="true">
      <alignment horizontal="general" vertical="center" textRotation="0" wrapText="false" indent="0" shrinkToFit="false"/>
      <protection locked="true" hidden="true"/>
    </xf>
    <xf numFmtId="171" fontId="135" fillId="0" borderId="0" xfId="171" applyFont="true" applyBorder="true" applyAlignment="false" applyProtection="false">
      <alignment horizontal="general" vertical="bottom" textRotation="0" wrapText="false" indent="0" shrinkToFit="false"/>
      <protection locked="true" hidden="false"/>
    </xf>
    <xf numFmtId="171" fontId="126" fillId="27" borderId="0" xfId="171" applyFont="true" applyBorder="true" applyAlignment="false" applyProtection="false">
      <alignment horizontal="general" vertical="bottom" textRotation="0" wrapText="false" indent="0" shrinkToFit="false"/>
      <protection locked="true" hidden="false"/>
    </xf>
    <xf numFmtId="164" fontId="126" fillId="0" borderId="0" xfId="171" applyFont="true" applyBorder="true" applyAlignment="false" applyProtection="true">
      <alignment horizontal="general" vertical="bottom" textRotation="0" wrapText="false" indent="0" shrinkToFit="false"/>
      <protection locked="true" hidden="true"/>
    </xf>
    <xf numFmtId="164" fontId="131" fillId="0" borderId="0" xfId="168" applyFont="true" applyBorder="false" applyAlignment="false" applyProtection="false">
      <alignment horizontal="general" vertical="bottom" textRotation="0" wrapText="false" indent="0" shrinkToFit="false"/>
      <protection locked="true" hidden="false"/>
    </xf>
    <xf numFmtId="170" fontId="131" fillId="0" borderId="0" xfId="168" applyFont="true" applyBorder="false" applyAlignment="true" applyProtection="false">
      <alignment horizontal="center" vertical="bottom" textRotation="0" wrapText="false" indent="0" shrinkToFit="false"/>
      <protection locked="true" hidden="false"/>
    </xf>
    <xf numFmtId="170" fontId="130" fillId="0" borderId="0" xfId="168" applyFont="true" applyBorder="false" applyAlignment="true" applyProtection="false">
      <alignment horizontal="center" vertical="bottom" textRotation="0" wrapText="false" indent="0" shrinkToFit="false"/>
      <protection locked="true" hidden="false"/>
    </xf>
    <xf numFmtId="170" fontId="131" fillId="27" borderId="0" xfId="168" applyFont="true" applyBorder="false" applyAlignment="true" applyProtection="false">
      <alignment horizontal="center" vertical="bottom" textRotation="0" wrapText="false" indent="0" shrinkToFit="false"/>
      <protection locked="true" hidden="false"/>
    </xf>
    <xf numFmtId="170" fontId="131" fillId="0" borderId="0" xfId="168" applyFont="true" applyBorder="false" applyAlignment="true" applyProtection="true">
      <alignment horizontal="center" vertical="bottom" textRotation="0" wrapText="false" indent="0" shrinkToFit="false"/>
      <protection locked="true" hidden="true"/>
    </xf>
    <xf numFmtId="164" fontId="126" fillId="0" borderId="0" xfId="171" applyFont="true" applyBorder="true" applyAlignment="true" applyProtection="false">
      <alignment horizontal="general" vertical="center" textRotation="0" wrapText="true" indent="0" shrinkToFit="false"/>
      <protection locked="true" hidden="false"/>
    </xf>
    <xf numFmtId="164" fontId="126" fillId="0" borderId="0" xfId="0" applyFont="true" applyBorder="false" applyAlignment="true" applyProtection="false">
      <alignment horizontal="general" vertical="center" textRotation="0" wrapText="true" indent="0" shrinkToFit="false"/>
      <protection locked="true" hidden="false"/>
    </xf>
    <xf numFmtId="164" fontId="127" fillId="0" borderId="0" xfId="0" applyFont="true" applyBorder="false" applyAlignment="true" applyProtection="false">
      <alignment horizontal="general" vertical="center" textRotation="0" wrapText="true" indent="0" shrinkToFit="false"/>
      <protection locked="true" hidden="false"/>
    </xf>
    <xf numFmtId="164" fontId="126" fillId="27" borderId="0" xfId="0" applyFont="true" applyBorder="false" applyAlignment="true" applyProtection="false">
      <alignment horizontal="general" vertical="center" textRotation="0" wrapText="true" indent="0" shrinkToFit="false"/>
      <protection locked="true" hidden="false"/>
    </xf>
    <xf numFmtId="164" fontId="126" fillId="0" borderId="0" xfId="0" applyFont="true" applyBorder="false" applyAlignment="true" applyProtection="false">
      <alignment horizontal="general" vertical="center" textRotation="0" wrapText="true" indent="0" shrinkToFit="false"/>
      <protection locked="true" hidden="false"/>
    </xf>
    <xf numFmtId="164" fontId="141" fillId="0" borderId="0" xfId="0" applyFont="true" applyBorder="false" applyAlignment="true" applyProtection="false">
      <alignment horizontal="general" vertical="center" textRotation="0" wrapText="false" indent="0" shrinkToFit="false"/>
      <protection locked="true" hidden="false"/>
    </xf>
    <xf numFmtId="164" fontId="126" fillId="26" borderId="0" xfId="0" applyFont="true" applyBorder="false" applyAlignment="true" applyProtection="false">
      <alignment horizontal="general" vertical="center" textRotation="0" wrapText="false" indent="0" shrinkToFit="false"/>
      <protection locked="true" hidden="false"/>
    </xf>
    <xf numFmtId="164" fontId="126" fillId="27" borderId="0" xfId="0" applyFont="true" applyBorder="false" applyAlignment="true" applyProtection="false">
      <alignment horizontal="general" vertical="center" textRotation="0" wrapText="false" indent="0" shrinkToFit="false"/>
      <protection locked="true" hidden="false"/>
    </xf>
    <xf numFmtId="164" fontId="126" fillId="26" borderId="0" xfId="0" applyFont="true" applyBorder="false" applyAlignment="true" applyProtection="false">
      <alignment horizontal="general" vertical="center" textRotation="0" wrapText="false" indent="0" shrinkToFit="true"/>
      <protection locked="true" hidden="false"/>
    </xf>
    <xf numFmtId="164" fontId="126" fillId="30" borderId="0" xfId="0" applyFont="true" applyBorder="false" applyAlignment="true" applyProtection="false">
      <alignment horizontal="general" vertical="center" textRotation="0" wrapText="false" indent="0" shrinkToFit="false"/>
      <protection locked="true" hidden="false"/>
    </xf>
    <xf numFmtId="164" fontId="126" fillId="26" borderId="0" xfId="0" applyFont="true" applyBorder="false" applyAlignment="true" applyProtection="false">
      <alignment horizontal="general" vertical="center" textRotation="0" wrapText="true" indent="0" shrinkToFit="false"/>
      <protection locked="true" hidden="false"/>
    </xf>
    <xf numFmtId="164" fontId="141" fillId="0" borderId="0" xfId="0" applyFont="true" applyBorder="false" applyAlignment="true" applyProtection="false">
      <alignment horizontal="general" vertical="center" textRotation="0" wrapText="false" indent="0" shrinkToFit="false"/>
      <protection locked="true" hidden="false"/>
    </xf>
    <xf numFmtId="170" fontId="131" fillId="26" borderId="0" xfId="168" applyFont="true" applyBorder="false" applyAlignment="true" applyProtection="false">
      <alignment horizontal="center" vertical="bottom" textRotation="0" wrapText="false" indent="0" shrinkToFit="false"/>
      <protection locked="true" hidden="false"/>
    </xf>
    <xf numFmtId="170" fontId="126" fillId="0" borderId="0" xfId="168" applyFont="true" applyBorder="false" applyAlignment="true" applyProtection="false">
      <alignment horizontal="left" vertical="bottom" textRotation="0" wrapText="true" indent="0" shrinkToFit="false"/>
      <protection locked="true" hidden="false"/>
    </xf>
    <xf numFmtId="164" fontId="126" fillId="0" borderId="0" xfId="171" applyFont="true" applyBorder="false" applyAlignment="false" applyProtection="false">
      <alignment horizontal="general" vertical="bottom" textRotation="0" wrapText="false" indent="0" shrinkToFit="false"/>
      <protection locked="true" hidden="false"/>
    </xf>
    <xf numFmtId="164" fontId="126" fillId="0" borderId="0" xfId="0" applyFont="true" applyBorder="false" applyAlignment="true" applyProtection="false">
      <alignment horizontal="general" vertical="bottom" textRotation="0" wrapText="false" indent="0" shrinkToFit="false"/>
      <protection locked="true" hidden="false"/>
    </xf>
    <xf numFmtId="164" fontId="14" fillId="0" borderId="0" xfId="171" applyFont="true" applyBorder="true" applyAlignment="false" applyProtection="false">
      <alignment horizontal="general" vertical="bottom" textRotation="0" wrapText="false" indent="0" shrinkToFit="false"/>
      <protection locked="true" hidden="false"/>
    </xf>
    <xf numFmtId="171" fontId="0" fillId="0" borderId="0" xfId="171" applyFont="true" applyBorder="true" applyAlignment="true" applyProtection="false">
      <alignment horizontal="center" vertical="bottom" textRotation="0" wrapText="false" indent="0" shrinkToFit="false"/>
      <protection locked="true" hidden="false"/>
    </xf>
    <xf numFmtId="164" fontId="21" fillId="0" borderId="0" xfId="0" applyFont="true" applyBorder="false" applyAlignment="true" applyProtection="false">
      <alignment horizontal="center" vertical="center" textRotation="0" wrapText="false" indent="0" shrinkToFit="false"/>
      <protection locked="true" hidden="false"/>
    </xf>
    <xf numFmtId="164" fontId="21" fillId="0" borderId="0" xfId="0" applyFont="true" applyBorder="false" applyAlignment="true" applyProtection="false">
      <alignment horizontal="center" vertical="center" textRotation="0" wrapText="false" indent="0" shrinkToFit="false"/>
      <protection locked="true" hidden="false"/>
    </xf>
    <xf numFmtId="164" fontId="14" fillId="0" borderId="0" xfId="171" applyFont="true" applyBorder="true" applyAlignment="true" applyProtection="false">
      <alignment horizontal="general" vertical="center" textRotation="0" wrapText="false" indent="0" shrinkToFit="false"/>
      <protection locked="true" hidden="false"/>
    </xf>
    <xf numFmtId="169" fontId="96" fillId="0" borderId="0" xfId="89" applyFont="true" applyBorder="true" applyAlignment="true" applyProtection="true">
      <alignment horizontal="center" vertical="center" textRotation="0" wrapText="false" indent="0" shrinkToFit="false"/>
      <protection locked="false" hidden="false"/>
    </xf>
    <xf numFmtId="164" fontId="14" fillId="0" borderId="0" xfId="166" applyFont="true" applyBorder="true" applyAlignment="true" applyProtection="false">
      <alignment horizontal="general" vertical="center" textRotation="0" wrapText="false" indent="0" shrinkToFit="false"/>
      <protection locked="true" hidden="false"/>
    </xf>
    <xf numFmtId="189" fontId="14" fillId="40" borderId="0" xfId="171" applyFont="true" applyBorder="true" applyAlignment="false" applyProtection="false">
      <alignment horizontal="general" vertical="bottom" textRotation="0" wrapText="false" indent="0" shrinkToFit="false"/>
      <protection locked="true" hidden="false"/>
    </xf>
    <xf numFmtId="189" fontId="10" fillId="40" borderId="0" xfId="89" applyFont="true" applyBorder="true" applyAlignment="true" applyProtection="true">
      <alignment horizontal="center" vertical="center" textRotation="0" wrapText="false" indent="0" shrinkToFit="false"/>
      <protection locked="false" hidden="false"/>
    </xf>
    <xf numFmtId="176" fontId="14" fillId="0" borderId="0" xfId="171" applyFont="true" applyBorder="true" applyAlignment="false" applyProtection="false">
      <alignment horizontal="general" vertical="bottom" textRotation="0" wrapText="false" indent="0" shrinkToFit="false"/>
      <protection locked="true" hidden="false"/>
    </xf>
    <xf numFmtId="176" fontId="10" fillId="40" borderId="0" xfId="89" applyFont="true" applyBorder="true" applyAlignment="true" applyProtection="true">
      <alignment horizontal="center" vertical="center" textRotation="0" wrapText="false" indent="0" shrinkToFit="false"/>
      <protection locked="false" hidden="false"/>
    </xf>
    <xf numFmtId="176" fontId="0" fillId="0" borderId="0" xfId="0" applyFont="false" applyBorder="false" applyAlignment="true" applyProtection="false">
      <alignment horizontal="general" vertical="center" textRotation="0" wrapText="false" indent="0" shrinkToFit="false"/>
      <protection locked="true" hidden="false"/>
    </xf>
    <xf numFmtId="170" fontId="14" fillId="0" borderId="0" xfId="171" applyFont="true" applyBorder="true" applyAlignment="false" applyProtection="false">
      <alignment horizontal="general" vertical="bottom" textRotation="0" wrapText="false" indent="0" shrinkToFit="false"/>
      <protection locked="true" hidden="false"/>
    </xf>
    <xf numFmtId="170" fontId="10" fillId="40" borderId="0" xfId="89" applyFont="true" applyBorder="true" applyAlignment="true" applyProtection="true">
      <alignment horizontal="center" vertical="center" textRotation="0" wrapText="false" indent="0" shrinkToFit="false"/>
      <protection locked="false" hidden="false"/>
    </xf>
    <xf numFmtId="166" fontId="14" fillId="0" borderId="0" xfId="171" applyFont="true" applyBorder="true" applyAlignment="fals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center" textRotation="0" wrapText="false" indent="0" shrinkToFit="false"/>
      <protection locked="true" hidden="false"/>
    </xf>
    <xf numFmtId="164" fontId="14" fillId="26" borderId="0" xfId="166" applyFont="true" applyBorder="true" applyAlignment="true" applyProtection="false">
      <alignment horizontal="general" vertical="center" textRotation="0" wrapText="false" indent="0" shrinkToFit="false"/>
      <protection locked="true" hidden="false"/>
    </xf>
    <xf numFmtId="170" fontId="10" fillId="26" borderId="0" xfId="89" applyFont="true" applyBorder="true" applyAlignment="true" applyProtection="true">
      <alignment horizontal="center" vertical="center" textRotation="0" wrapText="false" indent="0" shrinkToFit="false"/>
      <protection locked="false" hidden="false"/>
    </xf>
    <xf numFmtId="164" fontId="90" fillId="0" borderId="0" xfId="0" applyFont="true" applyBorder="false" applyAlignment="true" applyProtection="false">
      <alignment horizontal="general" vertical="center" textRotation="0" wrapText="false" indent="0" shrinkToFit="false"/>
      <protection locked="true" hidden="false"/>
    </xf>
    <xf numFmtId="170" fontId="0" fillId="0" borderId="0" xfId="171" applyFont="true" applyBorder="true" applyAlignment="false" applyProtection="false">
      <alignment horizontal="general" vertical="bottom" textRotation="0" wrapText="false" indent="0" shrinkToFit="false"/>
      <protection locked="true" hidden="false"/>
    </xf>
    <xf numFmtId="179" fontId="14" fillId="0" borderId="0" xfId="171" applyFont="true" applyBorder="true" applyAlignment="false" applyProtection="false">
      <alignment horizontal="general" vertical="bottom" textRotation="0" wrapText="false" indent="0" shrinkToFit="false"/>
      <protection locked="true" hidden="false"/>
    </xf>
    <xf numFmtId="166" fontId="83" fillId="27" borderId="0" xfId="171" applyFont="true" applyBorder="true" applyAlignment="false" applyProtection="false">
      <alignment horizontal="general" vertical="bottom" textRotation="0" wrapText="false" indent="0" shrinkToFit="false"/>
      <protection locked="true" hidden="false"/>
    </xf>
    <xf numFmtId="170" fontId="30" fillId="27" borderId="0" xfId="171" applyFont="true" applyBorder="true" applyAlignment="false" applyProtection="false">
      <alignment horizontal="general" vertical="bottom" textRotation="0" wrapText="false" indent="0" shrinkToFit="false"/>
      <protection locked="true" hidden="false"/>
    </xf>
    <xf numFmtId="170" fontId="30" fillId="20" borderId="0" xfId="171" applyFont="true" applyBorder="true" applyAlignment="false" applyProtection="false">
      <alignment horizontal="general" vertical="bottom" textRotation="0" wrapText="false" indent="0" shrinkToFit="false"/>
      <protection locked="true" hidden="false"/>
    </xf>
    <xf numFmtId="170" fontId="144" fillId="27" borderId="0" xfId="171" applyFont="true" applyBorder="true" applyAlignment="false" applyProtection="false">
      <alignment horizontal="general" vertical="bottom" textRotation="0" wrapText="false" indent="0" shrinkToFit="false"/>
      <protection locked="true" hidden="false"/>
    </xf>
    <xf numFmtId="170" fontId="31" fillId="0" borderId="0" xfId="171" applyFont="true" applyBorder="true" applyAlignment="true" applyProtection="false">
      <alignment horizontal="center" vertical="bottom" textRotation="0" wrapText="false" indent="0" shrinkToFit="false"/>
      <protection locked="true" hidden="false"/>
    </xf>
    <xf numFmtId="170" fontId="0" fillId="0" borderId="0" xfId="171" applyFont="true" applyBorder="true" applyAlignment="true" applyProtection="false">
      <alignment horizontal="center" vertical="bottom" textRotation="0" wrapText="false" indent="0" shrinkToFit="false"/>
      <protection locked="true" hidden="false"/>
    </xf>
    <xf numFmtId="164" fontId="90" fillId="0" borderId="0" xfId="168" applyFont="true" applyBorder="false" applyAlignment="false" applyProtection="false">
      <alignment horizontal="general" vertical="bottom" textRotation="0" wrapText="false" indent="0" shrinkToFit="false"/>
      <protection locked="true" hidden="false"/>
    </xf>
    <xf numFmtId="170" fontId="90" fillId="0" borderId="0" xfId="168" applyFont="true" applyBorder="false" applyAlignment="true" applyProtection="false">
      <alignment horizontal="center" vertical="bottom" textRotation="0" wrapText="false" indent="0" shrinkToFit="false"/>
      <protection locked="true" hidden="false"/>
    </xf>
    <xf numFmtId="164" fontId="90" fillId="0" borderId="0" xfId="166" applyFont="true" applyBorder="true" applyAlignment="true" applyProtection="false">
      <alignment horizontal="general" vertical="center" textRotation="0" wrapText="false" indent="0" shrinkToFit="false"/>
      <protection locked="true" hidden="false"/>
    </xf>
    <xf numFmtId="193" fontId="0" fillId="0" borderId="0" xfId="0" applyFont="false" applyBorder="false" applyAlignment="true" applyProtection="false">
      <alignment horizontal="general" vertical="center" textRotation="0" wrapText="false" indent="0" shrinkToFit="false"/>
      <protection locked="true" hidden="false"/>
    </xf>
    <xf numFmtId="164" fontId="145" fillId="0" borderId="0" xfId="0" applyFont="true" applyBorder="false" applyAlignment="true" applyProtection="false">
      <alignment horizontal="general" vertical="center" textRotation="0" wrapText="false" indent="0" shrinkToFit="false"/>
      <protection locked="true" hidden="false"/>
    </xf>
    <xf numFmtId="164" fontId="14" fillId="27" borderId="0" xfId="0" applyFont="true" applyBorder="false" applyAlignment="true" applyProtection="false">
      <alignment horizontal="general" vertical="center" textRotation="0" wrapText="false" indent="0" shrinkToFit="false"/>
      <protection locked="true" hidden="false"/>
    </xf>
    <xf numFmtId="193" fontId="0" fillId="27" borderId="0" xfId="0" applyFont="false" applyBorder="false" applyAlignment="true" applyProtection="false">
      <alignment horizontal="general" vertical="center" textRotation="0" wrapText="false" indent="0" shrinkToFit="false"/>
      <protection locked="true" hidden="false"/>
    </xf>
    <xf numFmtId="171" fontId="0" fillId="0" borderId="0" xfId="0" applyFont="false" applyBorder="false" applyAlignment="false" applyProtection="false">
      <alignment horizontal="general" vertical="center" textRotation="0" wrapText="false" indent="0" shrinkToFit="false"/>
      <protection locked="true" hidden="false"/>
    </xf>
    <xf numFmtId="193" fontId="31" fillId="0" borderId="0" xfId="0" applyFont="true" applyBorder="false" applyAlignment="true" applyProtection="false">
      <alignment horizontal="general" vertical="center" textRotation="0" wrapText="false" indent="0" shrinkToFit="false"/>
      <protection locked="true" hidden="false"/>
    </xf>
    <xf numFmtId="164" fontId="14" fillId="0" borderId="0" xfId="171" applyFont="true" applyBorder="true" applyAlignment="true" applyProtection="false">
      <alignment horizontal="general" vertical="center" textRotation="0" wrapText="true" indent="0" shrinkToFit="false"/>
      <protection locked="true" hidden="false"/>
    </xf>
    <xf numFmtId="164" fontId="14" fillId="0" borderId="0" xfId="171" applyFont="true" applyBorder="true" applyAlignment="true" applyProtection="false">
      <alignment horizontal="left" vertical="center" textRotation="0" wrapText="false" indent="0" shrinkToFit="false"/>
      <protection locked="true" hidden="false"/>
    </xf>
    <xf numFmtId="164" fontId="14" fillId="0" borderId="0" xfId="83" applyFont="true" applyBorder="false" applyAlignment="true" applyProtection="false">
      <alignment horizontal="general" vertical="center" textRotation="0" wrapText="false" indent="0" shrinkToFit="true"/>
      <protection locked="true" hidden="false"/>
    </xf>
    <xf numFmtId="164" fontId="56" fillId="0" borderId="0" xfId="83" applyFont="true" applyBorder="true" applyAlignment="true" applyProtection="false">
      <alignment horizontal="general" vertical="bottom" textRotation="0" wrapText="false" indent="0" shrinkToFit="true"/>
      <protection locked="true" hidden="false"/>
    </xf>
    <xf numFmtId="164" fontId="56" fillId="0" borderId="0" xfId="83" applyFont="true" applyBorder="true" applyAlignment="true" applyProtection="false">
      <alignment horizontal="general" vertical="bottom" textRotation="0" wrapText="false" indent="0" shrinkToFit="false"/>
      <protection locked="true" hidden="false"/>
    </xf>
    <xf numFmtId="164" fontId="56" fillId="0" borderId="0" xfId="83" applyFont="true" applyBorder="false" applyAlignment="true" applyProtection="false">
      <alignment horizontal="general" vertical="bottom" textRotation="0" wrapText="false" indent="0" shrinkToFit="false"/>
      <protection locked="true" hidden="false"/>
    </xf>
    <xf numFmtId="164" fontId="12" fillId="32" borderId="0" xfId="83" applyFont="true" applyBorder="true" applyAlignment="true" applyProtection="false">
      <alignment horizontal="center" vertical="center" textRotation="0" wrapText="false" indent="0" shrinkToFit="false"/>
      <protection locked="true" hidden="false"/>
    </xf>
    <xf numFmtId="164" fontId="56" fillId="0" borderId="10" xfId="83" applyFont="true" applyBorder="true" applyAlignment="true" applyProtection="false">
      <alignment horizontal="center" vertical="center" textRotation="0" wrapText="false" indent="0" shrinkToFit="true"/>
      <protection locked="true" hidden="false"/>
    </xf>
    <xf numFmtId="164" fontId="37" fillId="0" borderId="10" xfId="83" applyFont="true" applyBorder="true" applyAlignment="true" applyProtection="false">
      <alignment horizontal="center" vertical="center" textRotation="0" wrapText="false" indent="0" shrinkToFit="false"/>
      <protection locked="true" hidden="false"/>
    </xf>
    <xf numFmtId="164" fontId="40" fillId="0" borderId="10" xfId="83" applyFont="true" applyBorder="true" applyAlignment="true" applyProtection="false">
      <alignment horizontal="center" vertical="center" textRotation="0" wrapText="false" indent="0" shrinkToFit="false"/>
      <protection locked="true" hidden="false"/>
    </xf>
    <xf numFmtId="170" fontId="40" fillId="0" borderId="10" xfId="83" applyFont="true" applyBorder="true" applyAlignment="true" applyProtection="false">
      <alignment horizontal="center" vertical="center" textRotation="0" wrapText="false" indent="0" shrinkToFit="false"/>
      <protection locked="true" hidden="false"/>
    </xf>
    <xf numFmtId="164" fontId="37" fillId="0" borderId="10" xfId="83" applyFont="true" applyBorder="true" applyAlignment="true" applyProtection="false">
      <alignment horizontal="center" vertical="center" textRotation="0" wrapText="false" indent="0" shrinkToFit="false"/>
      <protection locked="true" hidden="false"/>
    </xf>
    <xf numFmtId="164" fontId="39" fillId="0" borderId="10" xfId="83" applyFont="true" applyBorder="true" applyAlignment="true" applyProtection="false">
      <alignment horizontal="center" vertical="center" textRotation="0" wrapText="false" indent="0" shrinkToFit="false"/>
      <protection locked="true" hidden="false"/>
    </xf>
    <xf numFmtId="164" fontId="30" fillId="27" borderId="10" xfId="171" applyFont="true" applyBorder="true" applyAlignment="true" applyProtection="false">
      <alignment horizontal="left" vertical="center" textRotation="0" wrapText="false" indent="0" shrinkToFit="true"/>
      <protection locked="true" hidden="false"/>
    </xf>
    <xf numFmtId="176" fontId="10" fillId="0" borderId="10" xfId="94" applyFont="true" applyBorder="true" applyAlignment="true" applyProtection="true">
      <alignment horizontal="left" vertical="center" textRotation="0" wrapText="false" indent="0" shrinkToFit="false"/>
      <protection locked="false" hidden="false"/>
    </xf>
    <xf numFmtId="164" fontId="40" fillId="0" borderId="10" xfId="172" applyFont="true" applyBorder="true" applyAlignment="true" applyProtection="false">
      <alignment horizontal="center" vertical="bottom" textRotation="0" wrapText="false" indent="0" shrinkToFit="false"/>
      <protection locked="true" hidden="false"/>
    </xf>
    <xf numFmtId="170" fontId="147" fillId="0" borderId="10" xfId="94" applyFont="true" applyBorder="true" applyAlignment="true" applyProtection="true">
      <alignment horizontal="center" vertical="center" textRotation="0" wrapText="false" indent="0" shrinkToFit="false"/>
      <protection locked="false" hidden="false"/>
    </xf>
    <xf numFmtId="170" fontId="95" fillId="0" borderId="10" xfId="171" applyFont="true" applyBorder="true" applyAlignment="true" applyProtection="false">
      <alignment horizontal="center" vertical="center" textRotation="0" wrapText="true" indent="0" shrinkToFit="false"/>
      <protection locked="true" hidden="false"/>
    </xf>
    <xf numFmtId="164" fontId="95" fillId="0" borderId="10" xfId="171" applyFont="true" applyBorder="true" applyAlignment="true" applyProtection="false">
      <alignment horizontal="center" vertical="center" textRotation="0" wrapText="true" indent="0" shrinkToFit="false"/>
      <protection locked="true" hidden="false"/>
    </xf>
    <xf numFmtId="164" fontId="56" fillId="0" borderId="10" xfId="83" applyFont="true" applyBorder="true" applyAlignment="true" applyProtection="false">
      <alignment horizontal="center" vertical="center" textRotation="0" wrapText="false" indent="0" shrinkToFit="false"/>
      <protection locked="true" hidden="false"/>
    </xf>
    <xf numFmtId="176" fontId="148" fillId="0" borderId="10" xfId="172" applyFont="true" applyBorder="true" applyAlignment="true" applyProtection="false">
      <alignment horizontal="center" vertical="center" textRotation="0" wrapText="false" indent="0" shrinkToFit="false"/>
      <protection locked="true" hidden="false"/>
    </xf>
    <xf numFmtId="184" fontId="56" fillId="0" borderId="10" xfId="83" applyFont="true" applyBorder="true" applyAlignment="true" applyProtection="true">
      <alignment horizontal="center" vertical="bottom" textRotation="0" wrapText="false" indent="0" shrinkToFit="false"/>
      <protection locked="true" hidden="true"/>
    </xf>
    <xf numFmtId="184" fontId="40" fillId="0" borderId="10" xfId="83" applyFont="true" applyBorder="true" applyAlignment="true" applyProtection="true">
      <alignment horizontal="center" vertical="center" textRotation="0" wrapText="false" indent="0" shrinkToFit="false"/>
      <protection locked="true" hidden="true"/>
    </xf>
    <xf numFmtId="184" fontId="56" fillId="0" borderId="10" xfId="83" applyFont="true" applyBorder="true" applyAlignment="true" applyProtection="true">
      <alignment horizontal="center" vertical="center" textRotation="0" wrapText="false" indent="0" shrinkToFit="false"/>
      <protection locked="true" hidden="true"/>
    </xf>
    <xf numFmtId="180" fontId="56" fillId="0" borderId="10" xfId="83" applyFont="true" applyBorder="true" applyAlignment="true" applyProtection="true">
      <alignment horizontal="center" vertical="bottom" textRotation="0" wrapText="false" indent="0" shrinkToFit="false"/>
      <protection locked="true" hidden="true"/>
    </xf>
    <xf numFmtId="168" fontId="95" fillId="0" borderId="10" xfId="171" applyFont="true" applyBorder="true" applyAlignment="true" applyProtection="false">
      <alignment horizontal="center" vertical="center" textRotation="0" wrapText="true" indent="0" shrinkToFit="false"/>
      <protection locked="true" hidden="false"/>
    </xf>
    <xf numFmtId="164" fontId="71" fillId="26" borderId="0" xfId="83" applyFont="true" applyBorder="true" applyAlignment="true" applyProtection="false">
      <alignment horizontal="left" vertical="center" textRotation="0" wrapText="true" indent="0" shrinkToFit="false"/>
      <protection locked="true" hidden="false"/>
    </xf>
    <xf numFmtId="164" fontId="14" fillId="0" borderId="0" xfId="83" applyFont="true" applyBorder="false" applyAlignment="true" applyProtection="false">
      <alignment horizontal="general" vertical="center" textRotation="0" wrapText="true" indent="0" shrinkToFit="false"/>
      <protection locked="true" hidden="false"/>
    </xf>
    <xf numFmtId="182" fontId="0" fillId="0" borderId="0" xfId="0" applyFont="false" applyBorder="false" applyAlignment="true" applyProtection="false">
      <alignment horizontal="general" vertical="center" textRotation="0" wrapText="false" indent="0" shrinkToFit="false"/>
      <protection locked="true" hidden="false"/>
    </xf>
    <xf numFmtId="164" fontId="0" fillId="35" borderId="0" xfId="0" applyFont="false" applyBorder="false" applyAlignment="true" applyProtection="false">
      <alignment horizontal="general" vertical="center" textRotation="0" wrapText="false" indent="0" shrinkToFit="false"/>
      <protection locked="true" hidden="false"/>
    </xf>
    <xf numFmtId="164" fontId="46" fillId="0" borderId="10" xfId="0" applyFont="true" applyBorder="true" applyAlignment="true" applyProtection="false">
      <alignment horizontal="center" vertical="center" textRotation="0" wrapText="true" indent="0" shrinkToFit="false"/>
      <protection locked="true" hidden="false"/>
    </xf>
    <xf numFmtId="164" fontId="51" fillId="0" borderId="10" xfId="0" applyFont="true" applyBorder="true" applyAlignment="true" applyProtection="false">
      <alignment horizontal="center" vertical="center" textRotation="0" wrapText="true" indent="0" shrinkToFit="false"/>
      <protection locked="true" hidden="false"/>
    </xf>
    <xf numFmtId="164" fontId="46" fillId="35" borderId="10" xfId="0" applyFont="true" applyBorder="true" applyAlignment="true" applyProtection="false">
      <alignment horizontal="center" vertical="center" textRotation="0" wrapText="true" indent="0" shrinkToFit="false"/>
      <protection locked="true" hidden="false"/>
    </xf>
    <xf numFmtId="164" fontId="150" fillId="0" borderId="10" xfId="0" applyFont="true" applyBorder="true" applyAlignment="true" applyProtection="false">
      <alignment horizontal="center" vertical="center" textRotation="0" wrapText="true" indent="0" shrinkToFit="false"/>
      <protection locked="true" hidden="false"/>
    </xf>
    <xf numFmtId="164" fontId="151" fillId="0" borderId="10" xfId="0" applyFont="true" applyBorder="true" applyAlignment="true" applyProtection="false">
      <alignment horizontal="left" vertical="center" textRotation="0" wrapText="true" indent="0" shrinkToFit="false"/>
      <protection locked="true" hidden="false"/>
    </xf>
    <xf numFmtId="171" fontId="51" fillId="0" borderId="10" xfId="0" applyFont="true" applyBorder="true" applyAlignment="true" applyProtection="false">
      <alignment horizontal="justify" vertical="center" textRotation="0" wrapText="true" indent="0" shrinkToFit="false"/>
      <protection locked="true" hidden="false"/>
    </xf>
    <xf numFmtId="164" fontId="151" fillId="0" borderId="10" xfId="0" applyFont="true" applyBorder="true" applyAlignment="true" applyProtection="false">
      <alignment horizontal="center" vertical="center" textRotation="0" wrapText="true" indent="0" shrinkToFit="false"/>
      <protection locked="true" hidden="false"/>
    </xf>
    <xf numFmtId="164" fontId="51" fillId="0" borderId="10" xfId="0" applyFont="true" applyBorder="true" applyAlignment="true" applyProtection="false">
      <alignment horizontal="center" vertical="center" textRotation="0" wrapText="true" indent="0" shrinkToFit="false"/>
      <protection locked="true" hidden="false"/>
    </xf>
    <xf numFmtId="171" fontId="51" fillId="0" borderId="10" xfId="0" applyFont="true" applyBorder="true" applyAlignment="true" applyProtection="false">
      <alignment horizontal="justify" vertical="center" textRotation="0" wrapText="true" indent="0" shrinkToFit="false"/>
      <protection locked="true" hidden="false"/>
    </xf>
    <xf numFmtId="164" fontId="51" fillId="31" borderId="10" xfId="0" applyFont="true" applyBorder="true" applyAlignment="true" applyProtection="false">
      <alignment horizontal="center" vertical="center" textRotation="0" wrapText="true" indent="0" shrinkToFit="false"/>
      <protection locked="true" hidden="false"/>
    </xf>
    <xf numFmtId="177" fontId="51" fillId="0" borderId="10" xfId="0" applyFont="true" applyBorder="true" applyAlignment="true" applyProtection="false">
      <alignment horizontal="justify" vertical="center" textRotation="0" wrapText="true" indent="0" shrinkToFit="false"/>
      <protection locked="true" hidden="false"/>
    </xf>
    <xf numFmtId="164" fontId="150" fillId="35" borderId="10" xfId="0" applyFont="true" applyBorder="true" applyAlignment="true" applyProtection="false">
      <alignment horizontal="center" vertical="center" textRotation="0" wrapText="true" indent="0" shrinkToFit="false"/>
      <protection locked="true" hidden="false"/>
    </xf>
    <xf numFmtId="171" fontId="46" fillId="0" borderId="10" xfId="0" applyFont="true" applyBorder="true" applyAlignment="true" applyProtection="false">
      <alignment horizontal="justify" vertical="center" textRotation="0" wrapText="true" indent="0" shrinkToFit="false"/>
      <protection locked="true" hidden="false"/>
    </xf>
    <xf numFmtId="177" fontId="0" fillId="0" borderId="10" xfId="0" applyFont="false" applyBorder="true" applyAlignment="true" applyProtection="false">
      <alignment horizontal="center" vertical="center" textRotation="0" wrapText="false" indent="0" shrinkToFit="false"/>
      <protection locked="true" hidden="false"/>
    </xf>
    <xf numFmtId="164" fontId="150" fillId="0" borderId="10" xfId="0" applyFont="true" applyBorder="true" applyAlignment="true" applyProtection="false">
      <alignment horizontal="justify" vertical="center" textRotation="0" wrapText="true" indent="0" shrinkToFit="false"/>
      <protection locked="true" hidden="false"/>
    </xf>
    <xf numFmtId="171" fontId="51" fillId="26" borderId="10" xfId="0" applyFont="true" applyBorder="true" applyAlignment="true" applyProtection="false">
      <alignment horizontal="center" vertical="center" textRotation="0" wrapText="true" indent="0" shrinkToFit="false"/>
      <protection locked="true" hidden="false"/>
    </xf>
    <xf numFmtId="171" fontId="46" fillId="26" borderId="10" xfId="0" applyFont="true" applyBorder="true" applyAlignment="true" applyProtection="false">
      <alignment horizontal="justify" vertical="center" textRotation="0" wrapText="true" indent="0" shrinkToFit="false"/>
      <protection locked="true" hidden="false"/>
    </xf>
    <xf numFmtId="171" fontId="51" fillId="26" borderId="10" xfId="0" applyFont="true" applyBorder="true" applyAlignment="true" applyProtection="false">
      <alignment horizontal="justify" vertical="center" textRotation="0" wrapText="true" indent="0" shrinkToFit="false"/>
      <protection locked="true" hidden="false"/>
    </xf>
    <xf numFmtId="164" fontId="150" fillId="26" borderId="10" xfId="0" applyFont="true" applyBorder="true" applyAlignment="true" applyProtection="false">
      <alignment horizontal="center" vertical="center" textRotation="0" wrapText="true" indent="0" shrinkToFit="false"/>
      <protection locked="true" hidden="false"/>
    </xf>
    <xf numFmtId="171" fontId="51" fillId="26" borderId="10" xfId="0" applyFont="true" applyBorder="true" applyAlignment="true" applyProtection="false">
      <alignment horizontal="center" vertical="center" textRotation="0" wrapText="true" indent="0" shrinkToFit="false"/>
      <protection locked="true" hidden="false"/>
    </xf>
    <xf numFmtId="171" fontId="51" fillId="26" borderId="10" xfId="0" applyFont="true" applyBorder="true" applyAlignment="true" applyProtection="false">
      <alignment horizontal="justify" vertical="center" textRotation="0" wrapText="true" indent="0" shrinkToFit="false"/>
      <protection locked="true" hidden="false"/>
    </xf>
    <xf numFmtId="177" fontId="0" fillId="26" borderId="10" xfId="0" applyFont="false" applyBorder="true" applyAlignment="true" applyProtection="false">
      <alignment horizontal="center" vertical="center" textRotation="0" wrapText="false" indent="0" shrinkToFit="false"/>
      <protection locked="true" hidden="false"/>
    </xf>
    <xf numFmtId="177" fontId="51" fillId="26" borderId="10" xfId="0" applyFont="true" applyBorder="true" applyAlignment="true" applyProtection="false">
      <alignment horizontal="justify" vertical="center" textRotation="0" wrapText="true" indent="0" shrinkToFit="false"/>
      <protection locked="true" hidden="false"/>
    </xf>
    <xf numFmtId="164" fontId="0" fillId="26" borderId="0" xfId="0" applyFont="false" applyBorder="false" applyAlignment="true" applyProtection="false">
      <alignment horizontal="general" vertical="center" textRotation="0" wrapText="false" indent="0" shrinkToFit="false"/>
      <protection locked="true" hidden="false"/>
    </xf>
    <xf numFmtId="171" fontId="51" fillId="27" borderId="10" xfId="0" applyFont="true" applyBorder="true" applyAlignment="true" applyProtection="false">
      <alignment horizontal="center" vertical="center" textRotation="0" wrapText="true" indent="0" shrinkToFit="false"/>
      <protection locked="true" hidden="false"/>
    </xf>
    <xf numFmtId="171" fontId="51" fillId="27" borderId="10" xfId="0" applyFont="true" applyBorder="true" applyAlignment="true" applyProtection="false">
      <alignment horizontal="justify" vertical="center" textRotation="0" wrapText="true" indent="0" shrinkToFit="false"/>
      <protection locked="true" hidden="false"/>
    </xf>
    <xf numFmtId="164" fontId="150" fillId="0" borderId="10" xfId="0" applyFont="true" applyBorder="true" applyAlignment="true" applyProtection="false">
      <alignment horizontal="justify" vertical="center" textRotation="0" wrapText="true" indent="0" shrinkToFit="false"/>
      <protection locked="true" hidden="false"/>
    </xf>
    <xf numFmtId="177" fontId="0" fillId="41" borderId="10" xfId="0" applyFont="false" applyBorder="true" applyAlignment="true" applyProtection="false">
      <alignment horizontal="center" vertical="center" textRotation="0" wrapText="false" indent="0" shrinkToFit="false"/>
      <protection locked="true" hidden="false"/>
    </xf>
    <xf numFmtId="171" fontId="46" fillId="35" borderId="10" xfId="0" applyFont="true" applyBorder="true" applyAlignment="true" applyProtection="false">
      <alignment horizontal="justify" vertical="center" textRotation="0" wrapText="true" indent="0" shrinkToFit="false"/>
      <protection locked="true" hidden="false"/>
    </xf>
    <xf numFmtId="171" fontId="51" fillId="35" borderId="10" xfId="0" applyFont="true" applyBorder="true" applyAlignment="true" applyProtection="false">
      <alignment horizontal="justify" vertical="center" textRotation="0" wrapText="true" indent="0" shrinkToFit="false"/>
      <protection locked="true" hidden="false"/>
    </xf>
    <xf numFmtId="171" fontId="152" fillId="35" borderId="10" xfId="168" applyFont="true" applyBorder="true" applyAlignment="true" applyProtection="false">
      <alignment horizontal="center" vertical="center" textRotation="0" wrapText="false" indent="0" shrinkToFit="false"/>
      <protection locked="true" hidden="false"/>
    </xf>
    <xf numFmtId="164" fontId="153" fillId="35" borderId="10" xfId="0" applyFont="true" applyBorder="true" applyAlignment="true" applyProtection="false">
      <alignment horizontal="justify" vertical="center" textRotation="0" wrapText="true" indent="0" shrinkToFit="false"/>
      <protection locked="true" hidden="false"/>
    </xf>
    <xf numFmtId="177" fontId="51" fillId="35" borderId="10" xfId="0" applyFont="true" applyBorder="true" applyAlignment="true" applyProtection="false">
      <alignment horizontal="center" vertical="center" textRotation="0" wrapText="true" indent="0" shrinkToFit="false"/>
      <protection locked="true" hidden="false"/>
    </xf>
    <xf numFmtId="164" fontId="37" fillId="0" borderId="10" xfId="0" applyFont="true" applyBorder="true" applyAlignment="true" applyProtection="false">
      <alignment horizontal="justify" vertical="center" textRotation="0" wrapText="true" indent="0" shrinkToFit="false"/>
      <protection locked="true" hidden="false"/>
    </xf>
    <xf numFmtId="177" fontId="51" fillId="26" borderId="10" xfId="0" applyFont="true" applyBorder="true" applyAlignment="true" applyProtection="false">
      <alignment horizontal="center" vertical="center" textRotation="0" wrapText="true" indent="0" shrinkToFit="false"/>
      <protection locked="true" hidden="false"/>
    </xf>
    <xf numFmtId="164" fontId="152" fillId="0" borderId="10" xfId="168" applyFont="true" applyBorder="true" applyAlignment="true" applyProtection="false">
      <alignment horizontal="center" vertical="bottom" textRotation="0" wrapText="false" indent="0" shrinkToFit="false"/>
      <protection locked="true" hidden="false"/>
    </xf>
    <xf numFmtId="164" fontId="152" fillId="0" borderId="10" xfId="168" applyFont="true" applyBorder="true" applyAlignment="true" applyProtection="false">
      <alignment horizontal="left" vertical="bottom" textRotation="0" wrapText="false" indent="0" shrinkToFit="false"/>
      <protection locked="true" hidden="false"/>
    </xf>
    <xf numFmtId="169" fontId="51" fillId="35" borderId="10" xfId="0" applyFont="true" applyBorder="true" applyAlignment="true" applyProtection="false">
      <alignment horizontal="justify" vertical="center" textRotation="0" wrapText="true" indent="0" shrinkToFit="false"/>
      <protection locked="true" hidden="false"/>
    </xf>
    <xf numFmtId="169" fontId="51" fillId="0" borderId="10" xfId="0" applyFont="true" applyBorder="true" applyAlignment="true" applyProtection="false">
      <alignment horizontal="justify" vertical="center" textRotation="0" wrapText="true" indent="0" shrinkToFit="false"/>
      <protection locked="true" hidden="false"/>
    </xf>
    <xf numFmtId="170" fontId="51" fillId="0" borderId="10" xfId="0" applyFont="true" applyBorder="true" applyAlignment="true" applyProtection="false">
      <alignment horizontal="justify" vertical="center" textRotation="0" wrapText="true" indent="0" shrinkToFit="false"/>
      <protection locked="true" hidden="false"/>
    </xf>
    <xf numFmtId="164" fontId="153" fillId="0" borderId="10" xfId="0" applyFont="true" applyBorder="true" applyAlignment="true" applyProtection="false">
      <alignment horizontal="justify" vertical="center" textRotation="0" wrapText="true" indent="0" shrinkToFit="false"/>
      <protection locked="true" hidden="false"/>
    </xf>
    <xf numFmtId="164" fontId="46" fillId="0" borderId="0" xfId="0" applyFont="true" applyBorder="true" applyAlignment="true" applyProtection="false">
      <alignment horizontal="justify" vertical="center" textRotation="0" wrapText="true" indent="0" shrinkToFit="false"/>
      <protection locked="true" hidden="false"/>
    </xf>
    <xf numFmtId="164" fontId="14" fillId="0" borderId="0" xfId="83" applyFont="true" applyBorder="false" applyAlignment="true" applyProtection="false">
      <alignment horizontal="left" vertical="center" textRotation="0" wrapText="false" indent="0" shrinkToFit="false"/>
      <protection locked="true" hidden="false"/>
    </xf>
    <xf numFmtId="164" fontId="154" fillId="0" borderId="0" xfId="83" applyFont="true" applyBorder="true" applyAlignment="true" applyProtection="false">
      <alignment horizontal="left" vertical="center" textRotation="0" wrapText="false" indent="0" shrinkToFit="false"/>
      <protection locked="true" hidden="false"/>
    </xf>
    <xf numFmtId="164" fontId="14" fillId="0" borderId="0" xfId="83" applyFont="true" applyBorder="true" applyAlignment="true" applyProtection="false">
      <alignment horizontal="left" vertical="center" textRotation="0" wrapText="false" indent="0" shrinkToFit="false"/>
      <protection locked="true" hidden="false"/>
    </xf>
    <xf numFmtId="164" fontId="30" fillId="0" borderId="0" xfId="83" applyFont="true" applyBorder="false" applyAlignment="true" applyProtection="false">
      <alignment horizontal="center" vertical="center" textRotation="0" wrapText="false" indent="0" shrinkToFit="false"/>
      <protection locked="true" hidden="false"/>
    </xf>
    <xf numFmtId="183" fontId="14" fillId="0" borderId="0" xfId="83" applyFont="true" applyBorder="false" applyAlignment="true" applyProtection="false">
      <alignment horizontal="general" vertical="center" textRotation="0" wrapText="false" indent="0" shrinkToFit="false"/>
      <protection locked="true" hidden="false"/>
    </xf>
    <xf numFmtId="183" fontId="14" fillId="0" borderId="0" xfId="83" applyFont="true" applyBorder="true" applyAlignment="true" applyProtection="false">
      <alignment horizontal="left" vertical="center" textRotation="0" wrapText="false" indent="0" shrinkToFit="false"/>
      <protection locked="true" hidden="false"/>
    </xf>
    <xf numFmtId="183" fontId="14" fillId="0" borderId="0" xfId="83" applyFont="true" applyBorder="false" applyAlignment="true" applyProtection="false">
      <alignment horizontal="left" vertical="center" textRotation="0" wrapText="false" indent="0" shrinkToFit="false"/>
      <protection locked="true" hidden="false"/>
    </xf>
    <xf numFmtId="183" fontId="14" fillId="0" borderId="0" xfId="83" applyFont="true" applyBorder="false" applyAlignment="true" applyProtection="false">
      <alignment horizontal="center" vertical="center" textRotation="0" wrapText="false" indent="0" shrinkToFit="false"/>
      <protection locked="true" hidden="false"/>
    </xf>
    <xf numFmtId="177" fontId="14" fillId="0" borderId="0" xfId="83" applyFont="true" applyBorder="false" applyAlignment="true" applyProtection="false">
      <alignment horizontal="general" vertical="center" textRotation="0" wrapText="false" indent="0" shrinkToFit="false"/>
      <protection locked="true" hidden="false"/>
    </xf>
    <xf numFmtId="177" fontId="14" fillId="0" borderId="0" xfId="83" applyFont="true" applyBorder="true" applyAlignment="true" applyProtection="false">
      <alignment horizontal="left" vertical="center" textRotation="0" wrapText="false" indent="0" shrinkToFit="false"/>
      <protection locked="true" hidden="false"/>
    </xf>
    <xf numFmtId="177" fontId="14" fillId="0" borderId="0" xfId="83" applyFont="true" applyBorder="false" applyAlignment="true" applyProtection="false">
      <alignment horizontal="left" vertical="center" textRotation="0" wrapText="false" indent="0" shrinkToFit="false"/>
      <protection locked="true" hidden="false"/>
    </xf>
    <xf numFmtId="177" fontId="14" fillId="0" borderId="0" xfId="83" applyFont="true" applyBorder="false" applyAlignment="true" applyProtection="false">
      <alignment horizontal="center" vertical="center" textRotation="0" wrapText="false" indent="0" shrinkToFit="false"/>
      <protection locked="true" hidden="false"/>
    </xf>
    <xf numFmtId="164" fontId="83" fillId="0" borderId="0" xfId="83" applyFont="true" applyBorder="false" applyAlignment="true" applyProtection="false">
      <alignment horizontal="center" vertical="center" textRotation="0" wrapText="false" indent="0" shrinkToFit="false"/>
      <protection locked="true" hidden="false"/>
    </xf>
    <xf numFmtId="186" fontId="14" fillId="0" borderId="0" xfId="83" applyFont="true" applyBorder="false" applyAlignment="true" applyProtection="false">
      <alignment horizontal="general" vertical="center" textRotation="0" wrapText="false" indent="0" shrinkToFit="false"/>
      <protection locked="true" hidden="false"/>
    </xf>
    <xf numFmtId="186" fontId="14" fillId="0" borderId="0" xfId="83" applyFont="true" applyBorder="false" applyAlignment="true" applyProtection="false">
      <alignment horizontal="left" vertical="center" textRotation="0" wrapText="false" indent="0" shrinkToFit="false"/>
      <protection locked="true" hidden="false"/>
    </xf>
    <xf numFmtId="186" fontId="14" fillId="0" borderId="0" xfId="83" applyFont="true" applyBorder="true" applyAlignment="true" applyProtection="false">
      <alignment horizontal="left" vertical="center" textRotation="0" wrapText="false" indent="0" shrinkToFit="false"/>
      <protection locked="true" hidden="false"/>
    </xf>
    <xf numFmtId="186" fontId="14" fillId="0" borderId="0" xfId="83" applyFont="true" applyBorder="false" applyAlignment="true" applyProtection="false">
      <alignment horizontal="center" vertical="center" textRotation="0" wrapText="false" indent="0" shrinkToFit="false"/>
      <protection locked="true" hidden="false"/>
    </xf>
    <xf numFmtId="194" fontId="14" fillId="0" borderId="0" xfId="83" applyFont="true" applyBorder="false" applyAlignment="true" applyProtection="false">
      <alignment horizontal="center" vertical="center" textRotation="0" wrapText="false" indent="0" shrinkToFit="false"/>
      <protection locked="true" hidden="false"/>
    </xf>
    <xf numFmtId="178" fontId="14" fillId="0" borderId="0" xfId="83" applyFont="true" applyBorder="false" applyAlignment="true" applyProtection="false">
      <alignment horizontal="general" vertical="center" textRotation="0" wrapText="false" indent="0" shrinkToFit="false"/>
      <protection locked="true" hidden="false"/>
    </xf>
    <xf numFmtId="177" fontId="14" fillId="0" borderId="0" xfId="83" applyFont="true" applyBorder="true" applyAlignment="true" applyProtection="false">
      <alignment horizontal="center" vertical="center" textRotation="0" wrapText="false" indent="0" shrinkToFit="false"/>
      <protection locked="true" hidden="false"/>
    </xf>
    <xf numFmtId="175" fontId="14" fillId="0" borderId="0" xfId="83" applyFont="true" applyBorder="false" applyAlignment="true" applyProtection="false">
      <alignment horizontal="center" vertical="center" textRotation="0" wrapText="false" indent="0" shrinkToFit="false"/>
      <protection locked="true" hidden="false"/>
    </xf>
    <xf numFmtId="171" fontId="31" fillId="0" borderId="0" xfId="83" applyFont="true" applyBorder="false" applyAlignment="true" applyProtection="false">
      <alignment horizontal="center" vertical="center" textRotation="0" wrapText="false" indent="0" shrinkToFit="false"/>
      <protection locked="true" hidden="false"/>
    </xf>
    <xf numFmtId="178" fontId="14" fillId="0" borderId="0" xfId="83" applyFont="true" applyBorder="false" applyAlignment="true" applyProtection="false">
      <alignment horizontal="center" vertical="center" textRotation="0" wrapText="false" indent="0" shrinkToFit="false"/>
      <protection locked="true" hidden="false"/>
    </xf>
    <xf numFmtId="178" fontId="30" fillId="0" borderId="0" xfId="83" applyFont="true" applyBorder="false" applyAlignment="true" applyProtection="false">
      <alignment horizontal="center" vertical="center" textRotation="0" wrapText="false" indent="0" shrinkToFit="false"/>
      <protection locked="true" hidden="false"/>
    </xf>
    <xf numFmtId="171" fontId="155" fillId="0" borderId="0" xfId="83" applyFont="true" applyBorder="false" applyAlignment="true" applyProtection="false">
      <alignment horizontal="center" vertical="center" textRotation="0" wrapText="false" indent="0" shrinkToFit="false"/>
      <protection locked="true" hidden="false"/>
    </xf>
    <xf numFmtId="170" fontId="155" fillId="0" borderId="0" xfId="83" applyFont="true" applyBorder="false" applyAlignment="true" applyProtection="false">
      <alignment horizontal="center" vertical="center" textRotation="0" wrapText="false" indent="0" shrinkToFit="false"/>
      <protection locked="true" hidden="false"/>
    </xf>
    <xf numFmtId="175" fontId="155" fillId="0" borderId="0" xfId="83" applyFont="true" applyBorder="fals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general" vertical="center" textRotation="0" wrapText="false" indent="0" shrinkToFit="false"/>
      <protection locked="true" hidden="false"/>
    </xf>
    <xf numFmtId="164" fontId="46" fillId="0" borderId="10" xfId="0" applyFont="true" applyBorder="true" applyAlignment="true" applyProtection="false">
      <alignment horizontal="left" vertical="center" textRotation="0" wrapText="true" indent="0" shrinkToFit="false"/>
      <protection locked="true" hidden="false"/>
    </xf>
    <xf numFmtId="180" fontId="153" fillId="0" borderId="10" xfId="0" applyFont="true" applyBorder="true" applyAlignment="true" applyProtection="false">
      <alignment horizontal="left" vertical="center" textRotation="0" wrapText="true" indent="0" shrinkToFit="false"/>
      <protection locked="true" hidden="false"/>
    </xf>
    <xf numFmtId="168" fontId="51" fillId="0" borderId="10" xfId="0" applyFont="true" applyBorder="true" applyAlignment="true" applyProtection="false">
      <alignment horizontal="left" vertical="center" textRotation="0" wrapText="true" indent="0" shrinkToFit="false"/>
      <protection locked="true" hidden="false"/>
    </xf>
    <xf numFmtId="164" fontId="153" fillId="0" borderId="0" xfId="0" applyFont="true" applyBorder="true" applyAlignment="true" applyProtection="false">
      <alignment horizontal="center" vertical="center" textRotation="0" wrapText="true" indent="0" shrinkToFit="false"/>
      <protection locked="true" hidden="false"/>
    </xf>
    <xf numFmtId="164" fontId="0" fillId="0" borderId="10" xfId="0" applyFont="false" applyBorder="true" applyAlignment="true" applyProtection="false">
      <alignment horizontal="general" vertical="center" textRotation="0" wrapText="false" indent="0" shrinkToFit="false"/>
      <protection locked="true" hidden="false"/>
    </xf>
    <xf numFmtId="164" fontId="46" fillId="0" borderId="10" xfId="0" applyFont="true" applyBorder="true" applyAlignment="true" applyProtection="false">
      <alignment horizontal="general" vertical="center" textRotation="0" wrapText="true" indent="0" shrinkToFit="false"/>
      <protection locked="true" hidden="false"/>
    </xf>
    <xf numFmtId="180" fontId="51" fillId="27" borderId="10" xfId="0" applyFont="true" applyBorder="true" applyAlignment="true" applyProtection="false">
      <alignment horizontal="left" vertical="center" textRotation="0" wrapText="true" indent="0" shrinkToFit="false"/>
      <protection locked="true" hidden="false"/>
    </xf>
    <xf numFmtId="180" fontId="51" fillId="20" borderId="10" xfId="0" applyFont="true" applyBorder="true" applyAlignment="true" applyProtection="false">
      <alignment horizontal="left" vertical="center" textRotation="0" wrapText="true" indent="0" shrinkToFit="false"/>
      <protection locked="true" hidden="false"/>
    </xf>
    <xf numFmtId="168" fontId="0" fillId="0" borderId="0" xfId="0" applyFont="false" applyBorder="false" applyAlignment="true" applyProtection="false">
      <alignment horizontal="general" vertical="center" textRotation="0" wrapText="false" indent="0" shrinkToFit="false"/>
      <protection locked="true" hidden="false"/>
    </xf>
    <xf numFmtId="164" fontId="46" fillId="20" borderId="10" xfId="0" applyFont="true" applyBorder="true" applyAlignment="true" applyProtection="false">
      <alignment horizontal="justify" vertical="center" textRotation="0" wrapText="true" indent="0" shrinkToFit="false"/>
      <protection locked="true" hidden="false"/>
    </xf>
    <xf numFmtId="180" fontId="156" fillId="0" borderId="10" xfId="0" applyFont="true" applyBorder="true" applyAlignment="true" applyProtection="false">
      <alignment horizontal="left" vertical="center" textRotation="0" wrapText="true" indent="0" shrinkToFit="false"/>
      <protection locked="true" hidden="false"/>
    </xf>
    <xf numFmtId="164" fontId="46" fillId="27" borderId="10" xfId="0" applyFont="true" applyBorder="true" applyAlignment="true" applyProtection="false">
      <alignment horizontal="center" vertical="center" textRotation="0" wrapText="true" indent="0" shrinkToFit="false"/>
      <protection locked="true" hidden="false"/>
    </xf>
    <xf numFmtId="164" fontId="46" fillId="27" borderId="10" xfId="0" applyFont="true" applyBorder="true" applyAlignment="true" applyProtection="false">
      <alignment horizontal="justify" vertical="center" textRotation="0" wrapText="true" indent="0" shrinkToFit="false"/>
      <protection locked="true" hidden="false"/>
    </xf>
    <xf numFmtId="164" fontId="153" fillId="27" borderId="10" xfId="0" applyFont="true" applyBorder="true" applyAlignment="true" applyProtection="false">
      <alignment horizontal="justify" vertical="center" textRotation="0" wrapText="true" indent="0" shrinkToFit="false"/>
      <protection locked="true" hidden="false"/>
    </xf>
    <xf numFmtId="164" fontId="152" fillId="27" borderId="10" xfId="168" applyFont="true" applyBorder="true" applyAlignment="true" applyProtection="false">
      <alignment horizontal="left" vertical="bottom" textRotation="0" wrapText="false" indent="0" shrinkToFit="false"/>
      <protection locked="true" hidden="false"/>
    </xf>
    <xf numFmtId="166" fontId="153" fillId="27" borderId="10" xfId="0" applyFont="true" applyBorder="true" applyAlignment="true" applyProtection="false">
      <alignment horizontal="justify" vertical="center" textRotation="0" wrapText="true" indent="0" shrinkToFit="false"/>
      <protection locked="true" hidden="false"/>
    </xf>
    <xf numFmtId="164" fontId="157" fillId="27" borderId="10" xfId="168" applyFont="true" applyBorder="true" applyAlignment="true" applyProtection="false">
      <alignment horizontal="left" vertical="bottom" textRotation="0" wrapText="false" indent="0" shrinkToFit="false"/>
      <protection locked="true" hidden="false"/>
    </xf>
    <xf numFmtId="164" fontId="51" fillId="20" borderId="10" xfId="0" applyFont="true" applyBorder="true" applyAlignment="true" applyProtection="false">
      <alignment horizontal="justify" vertical="center" textRotation="0" wrapText="true" indent="0" shrinkToFit="false"/>
      <protection locked="true" hidden="false"/>
    </xf>
    <xf numFmtId="180" fontId="51" fillId="0" borderId="10" xfId="0" applyFont="true" applyBorder="true" applyAlignment="true" applyProtection="false">
      <alignment horizontal="justify" vertical="center" textRotation="0" wrapText="true" indent="0" shrinkToFit="false"/>
      <protection locked="true" hidden="false"/>
    </xf>
    <xf numFmtId="164" fontId="153" fillId="0" borderId="10" xfId="0" applyFont="true" applyBorder="true" applyAlignment="true" applyProtection="false">
      <alignment horizontal="general" vertical="center" textRotation="0" wrapText="true" indent="0" shrinkToFit="false"/>
      <protection locked="true" hidden="false"/>
    </xf>
    <xf numFmtId="171" fontId="51" fillId="27" borderId="10" xfId="0" applyFont="true" applyBorder="true" applyAlignment="true" applyProtection="false">
      <alignment horizontal="center" vertical="center" textRotation="0" wrapText="true" indent="0" shrinkToFit="false"/>
      <protection locked="true" hidden="false"/>
    </xf>
    <xf numFmtId="164" fontId="152" fillId="27" borderId="10" xfId="168" applyFont="true" applyBorder="true" applyAlignment="true" applyProtection="false">
      <alignment horizontal="left" vertical="center" textRotation="0" wrapText="false" indent="0" shrinkToFit="false"/>
      <protection locked="true" hidden="false"/>
    </xf>
    <xf numFmtId="164" fontId="46" fillId="0" borderId="10" xfId="0" applyFont="true" applyBorder="true" applyAlignment="true" applyProtection="false">
      <alignment horizontal="justify" vertical="center" textRotation="0" wrapText="true" indent="0" shrinkToFit="false"/>
      <protection locked="true" hidden="false"/>
    </xf>
    <xf numFmtId="164" fontId="153" fillId="0" borderId="10" xfId="0" applyFont="true" applyBorder="true" applyAlignment="true" applyProtection="false">
      <alignment horizontal="center" vertical="center" textRotation="0" wrapText="true" indent="0" shrinkToFit="false"/>
      <protection locked="true" hidden="false"/>
    </xf>
    <xf numFmtId="164" fontId="157" fillId="0" borderId="10" xfId="168" applyFont="true" applyBorder="true" applyAlignment="true" applyProtection="false">
      <alignment horizontal="left" vertical="center" textRotation="0" wrapText="false" indent="0" shrinkToFit="false"/>
      <protection locked="true" hidden="false"/>
    </xf>
    <xf numFmtId="166" fontId="51" fillId="0" borderId="10" xfId="0" applyFont="true" applyBorder="true" applyAlignment="true" applyProtection="false">
      <alignment horizontal="justify" vertical="center" textRotation="0" wrapText="true" indent="0" shrinkToFit="false"/>
      <protection locked="true" hidden="false"/>
    </xf>
    <xf numFmtId="180" fontId="0" fillId="0" borderId="0" xfId="0" applyFont="false" applyBorder="false" applyAlignment="true" applyProtection="false">
      <alignment horizontal="general" vertical="center" textRotation="0" wrapText="false" indent="0" shrinkToFit="false"/>
      <protection locked="true" hidden="false"/>
    </xf>
    <xf numFmtId="190" fontId="0" fillId="0" borderId="0" xfId="0" applyFont="false" applyBorder="false" applyAlignment="true" applyProtection="false">
      <alignment horizontal="general" vertical="center" textRotation="0" wrapText="false" indent="0" shrinkToFit="false"/>
      <protection locked="true" hidden="false"/>
    </xf>
    <xf numFmtId="170" fontId="143" fillId="0" borderId="10" xfId="0" applyFont="true" applyBorder="true" applyAlignment="true" applyProtection="false">
      <alignment horizontal="center" vertical="center" textRotation="0" wrapText="true" indent="0" shrinkToFit="false"/>
      <protection locked="true" hidden="false"/>
    </xf>
    <xf numFmtId="164" fontId="0" fillId="0" borderId="10" xfId="0" applyFont="false" applyBorder="true" applyAlignment="true" applyProtection="false">
      <alignment horizontal="general" vertical="center" textRotation="0" wrapText="false" indent="0" shrinkToFit="false"/>
      <protection locked="true" hidden="false"/>
    </xf>
    <xf numFmtId="164" fontId="14" fillId="0" borderId="10" xfId="0" applyFont="true" applyBorder="true" applyAlignment="true" applyProtection="false">
      <alignment horizontal="general" vertical="center" textRotation="0" wrapText="false" indent="0" shrinkToFit="false"/>
      <protection locked="true" hidden="false"/>
    </xf>
    <xf numFmtId="170" fontId="143" fillId="0" borderId="10" xfId="0" applyFont="true" applyBorder="true" applyAlignment="true" applyProtection="false">
      <alignment horizontal="center" vertical="center" textRotation="0" wrapText="true" indent="0" shrinkToFit="false"/>
      <protection locked="true" hidden="false"/>
    </xf>
    <xf numFmtId="170" fontId="0" fillId="26" borderId="10" xfId="0" applyFont="false" applyBorder="true" applyAlignment="true" applyProtection="false">
      <alignment horizontal="general" vertical="center" textRotation="0" wrapText="false" indent="0" shrinkToFit="false"/>
      <protection locked="true" hidden="false"/>
    </xf>
    <xf numFmtId="164" fontId="0" fillId="35" borderId="10" xfId="0" applyFont="false" applyBorder="true" applyAlignment="true" applyProtection="false">
      <alignment horizontal="general" vertical="center" textRotation="0" wrapText="false" indent="0" shrinkToFit="false"/>
      <protection locked="true" hidden="false"/>
    </xf>
    <xf numFmtId="169" fontId="0" fillId="0" borderId="10" xfId="0" applyFont="false" applyBorder="true" applyAlignment="true" applyProtection="false">
      <alignment horizontal="general" vertical="center" textRotation="0" wrapText="false" indent="0" shrinkToFit="false"/>
      <protection locked="true" hidden="false"/>
    </xf>
    <xf numFmtId="169" fontId="14" fillId="0" borderId="10" xfId="0" applyFont="true" applyBorder="true" applyAlignment="true" applyProtection="false">
      <alignment horizontal="general" vertical="center" textRotation="0" wrapText="false" indent="0" shrinkToFit="false"/>
      <protection locked="true" hidden="false"/>
    </xf>
    <xf numFmtId="169" fontId="0" fillId="0" borderId="0" xfId="0" applyFont="false" applyBorder="false" applyAlignment="true" applyProtection="false">
      <alignment horizontal="general" vertical="center" textRotation="0" wrapText="false" indent="0" shrinkToFit="false"/>
      <protection locked="true" hidden="false"/>
    </xf>
    <xf numFmtId="169" fontId="14" fillId="0" borderId="0" xfId="0" applyFont="true" applyBorder="false" applyAlignment="true" applyProtection="false">
      <alignment horizontal="general" vertical="center" textRotation="0" wrapText="false" indent="0" shrinkToFit="false"/>
      <protection locked="true" hidden="false"/>
    </xf>
    <xf numFmtId="170" fontId="143" fillId="0" borderId="0" xfId="0" applyFont="true" applyBorder="true" applyAlignment="true" applyProtection="false">
      <alignment horizontal="center" vertical="center" textRotation="0" wrapText="true" indent="0" shrinkToFit="false"/>
      <protection locked="true" hidden="false"/>
    </xf>
    <xf numFmtId="169" fontId="0" fillId="0" borderId="10" xfId="0" applyFont="false" applyBorder="true" applyAlignment="true" applyProtection="false">
      <alignment horizontal="general" vertical="center" textRotation="0" wrapText="false" indent="0" shrinkToFit="false"/>
      <protection locked="true" hidden="false"/>
    </xf>
    <xf numFmtId="169" fontId="14" fillId="0" borderId="10" xfId="0" applyFont="true" applyBorder="true" applyAlignment="true" applyProtection="false">
      <alignment horizontal="general" vertical="center" textRotation="0" wrapText="false" indent="0" shrinkToFit="false"/>
      <protection locked="true" hidden="false"/>
    </xf>
    <xf numFmtId="170" fontId="0" fillId="0" borderId="10" xfId="0" applyFont="false" applyBorder="true" applyAlignment="true" applyProtection="false">
      <alignment horizontal="general" vertical="center" textRotation="0" wrapText="false" indent="0" shrinkToFit="false"/>
      <protection locked="true" hidden="false"/>
    </xf>
    <xf numFmtId="164" fontId="106" fillId="0" borderId="10" xfId="0" applyFont="true" applyBorder="true" applyAlignment="true" applyProtection="false">
      <alignment horizontal="center" vertical="center" textRotation="0" wrapText="false" indent="0" shrinkToFit="false"/>
      <protection locked="true" hidden="false"/>
    </xf>
    <xf numFmtId="169" fontId="106" fillId="0" borderId="16" xfId="0" applyFont="true" applyBorder="true" applyAlignment="true" applyProtection="false">
      <alignment horizontal="general" vertical="center" textRotation="0" wrapText="false" indent="0" shrinkToFit="false"/>
      <protection locked="true" hidden="false"/>
    </xf>
    <xf numFmtId="169" fontId="106" fillId="0" borderId="10" xfId="0" applyFont="true" applyBorder="true" applyAlignment="true" applyProtection="false">
      <alignment horizontal="general" vertical="center" textRotation="0" wrapText="false" indent="0" shrinkToFit="false"/>
      <protection locked="true" hidden="false"/>
    </xf>
    <xf numFmtId="164" fontId="106" fillId="0" borderId="10" xfId="0" applyFont="true" applyBorder="true" applyAlignment="true" applyProtection="false">
      <alignment horizontal="general" vertical="center" textRotation="0" wrapText="false" indent="0" shrinkToFit="false"/>
      <protection locked="true" hidden="false"/>
    </xf>
    <xf numFmtId="170" fontId="106" fillId="0" borderId="10" xfId="0" applyFont="true" applyBorder="true" applyAlignment="true" applyProtection="false">
      <alignment horizontal="general" vertical="center" textRotation="0" wrapText="false" indent="0" shrinkToFit="false"/>
      <protection locked="true" hidden="false"/>
    </xf>
    <xf numFmtId="164" fontId="106" fillId="0" borderId="0" xfId="0" applyFont="true" applyBorder="false" applyAlignment="true" applyProtection="false">
      <alignment horizontal="general" vertical="center" textRotation="0" wrapText="false" indent="0" shrinkToFit="false"/>
      <protection locked="true" hidden="false"/>
    </xf>
    <xf numFmtId="164" fontId="106" fillId="0" borderId="16" xfId="0" applyFont="true" applyBorder="true" applyAlignment="true" applyProtection="false">
      <alignment horizontal="general" vertical="center" textRotation="0" wrapText="false" indent="0" shrinkToFit="false"/>
      <protection locked="true" hidden="false"/>
    </xf>
    <xf numFmtId="177" fontId="106" fillId="0" borderId="16" xfId="0" applyFont="true" applyBorder="true" applyAlignment="true" applyProtection="false">
      <alignment horizontal="general" vertical="center" textRotation="0" wrapText="false" indent="0" shrinkToFit="false"/>
      <protection locked="true" hidden="false"/>
    </xf>
    <xf numFmtId="164" fontId="0" fillId="0" borderId="12" xfId="0" applyFont="true" applyBorder="true" applyAlignment="true" applyProtection="false">
      <alignment horizontal="general" vertical="center" textRotation="0" wrapText="false" indent="0" shrinkToFit="false"/>
      <protection locked="true" hidden="false"/>
    </xf>
    <xf numFmtId="168" fontId="51" fillId="0" borderId="10" xfId="0" applyFont="true" applyBorder="true" applyAlignment="true" applyProtection="false">
      <alignment horizontal="justify" vertical="center" textRotation="0" wrapText="true" indent="0" shrinkToFit="false"/>
      <protection locked="true" hidden="false"/>
    </xf>
    <xf numFmtId="170" fontId="51" fillId="26" borderId="10" xfId="0" applyFont="true" applyBorder="true" applyAlignment="true" applyProtection="false">
      <alignment horizontal="justify" vertical="center" textRotation="0" wrapText="true" indent="0" shrinkToFit="false"/>
      <protection locked="true" hidden="false"/>
    </xf>
    <xf numFmtId="165" fontId="51" fillId="26" borderId="10" xfId="0" applyFont="true" applyBorder="true" applyAlignment="true" applyProtection="false">
      <alignment horizontal="justify" vertical="center" textRotation="0" wrapText="true" indent="0" shrinkToFit="false"/>
      <protection locked="true" hidden="false"/>
    </xf>
    <xf numFmtId="164" fontId="0" fillId="0" borderId="11" xfId="0" applyFont="false" applyBorder="true" applyAlignment="true" applyProtection="false">
      <alignment horizontal="general" vertical="center" textRotation="0" wrapText="false" indent="0" shrinkToFit="false"/>
      <protection locked="true" hidden="false"/>
    </xf>
    <xf numFmtId="164" fontId="0" fillId="0" borderId="0" xfId="0" applyFont="true" applyBorder="true" applyAlignment="true" applyProtection="false">
      <alignment horizontal="general" vertical="center" textRotation="0" wrapText="false" indent="0" shrinkToFit="false"/>
      <protection locked="true" hidden="false"/>
    </xf>
    <xf numFmtId="164" fontId="46" fillId="0" borderId="10" xfId="0" applyFont="true" applyBorder="true" applyAlignment="true" applyProtection="false">
      <alignment horizontal="center" vertical="center" textRotation="0" wrapText="false" indent="0" shrinkToFit="false"/>
      <protection locked="true" hidden="false"/>
    </xf>
    <xf numFmtId="164" fontId="46" fillId="0" borderId="10" xfId="0" applyFont="true" applyBorder="true" applyAlignment="true" applyProtection="false">
      <alignment horizontal="general" vertical="center" textRotation="0" wrapText="false" indent="0" shrinkToFit="false"/>
      <protection locked="true" hidden="false"/>
    </xf>
    <xf numFmtId="164" fontId="51" fillId="0" borderId="10" xfId="0" applyFont="true" applyBorder="true" applyAlignment="true" applyProtection="false">
      <alignment horizontal="center" vertical="center" textRotation="0" wrapText="false" indent="0" shrinkToFit="false"/>
      <protection locked="true" hidden="false"/>
    </xf>
    <xf numFmtId="164" fontId="46" fillId="0" borderId="10" xfId="0" applyFont="true" applyBorder="true" applyAlignment="true" applyProtection="false">
      <alignment horizontal="left" vertical="center" textRotation="0" wrapText="false" indent="0" shrinkToFit="false"/>
      <protection locked="true" hidden="false"/>
    </xf>
    <xf numFmtId="164" fontId="51" fillId="0" borderId="10" xfId="0" applyFont="true" applyBorder="true" applyAlignment="true" applyProtection="false">
      <alignment horizontal="general" vertical="center" textRotation="0" wrapText="false" indent="0" shrinkToFit="false"/>
      <protection locked="true" hidden="false"/>
    </xf>
    <xf numFmtId="168" fontId="153" fillId="0" borderId="10" xfId="0" applyFont="true" applyBorder="true" applyAlignment="true" applyProtection="false">
      <alignment horizontal="left" vertical="center" textRotation="0" wrapText="false" indent="0" shrinkToFit="false"/>
      <protection locked="true" hidden="false"/>
    </xf>
    <xf numFmtId="164" fontId="152" fillId="0" borderId="10" xfId="0" applyFont="true" applyBorder="true" applyAlignment="true" applyProtection="false">
      <alignment horizontal="left" vertical="center" textRotation="0" wrapText="false" indent="0" shrinkToFit="false"/>
      <protection locked="true" hidden="false"/>
    </xf>
    <xf numFmtId="170" fontId="51" fillId="0" borderId="10" xfId="0" applyFont="true" applyBorder="true" applyAlignment="true" applyProtection="false">
      <alignment horizontal="left" vertical="center" textRotation="0" wrapText="false" indent="0" shrinkToFit="false"/>
      <protection locked="true" hidden="false"/>
    </xf>
    <xf numFmtId="171" fontId="51" fillId="0" borderId="10" xfId="0" applyFont="true" applyBorder="true" applyAlignment="true" applyProtection="false">
      <alignment horizontal="left" vertical="center" textRotation="0" wrapText="false" indent="0" shrinkToFit="false"/>
      <protection locked="true" hidden="false"/>
    </xf>
    <xf numFmtId="164" fontId="153" fillId="0" borderId="10" xfId="0" applyFont="true" applyBorder="true" applyAlignment="true" applyProtection="false">
      <alignment horizontal="left" vertical="center" textRotation="0" wrapText="false" indent="0" shrinkToFit="false"/>
      <protection locked="true" hidden="false"/>
    </xf>
    <xf numFmtId="164" fontId="51" fillId="26" borderId="10" xfId="0" applyFont="true" applyBorder="true" applyAlignment="true" applyProtection="false">
      <alignment horizontal="left" vertical="center" textRotation="0" wrapText="false" indent="0" shrinkToFit="false"/>
      <protection locked="true" hidden="false"/>
    </xf>
    <xf numFmtId="166" fontId="51" fillId="0" borderId="10" xfId="0" applyFont="true" applyBorder="true" applyAlignment="true" applyProtection="false">
      <alignment horizontal="left" vertical="center" textRotation="0" wrapText="false" indent="0" shrinkToFit="false"/>
      <protection locked="true" hidden="false"/>
    </xf>
    <xf numFmtId="164" fontId="46" fillId="0" borderId="10" xfId="0" applyFont="true" applyBorder="true" applyAlignment="true" applyProtection="false">
      <alignment horizontal="right" vertical="center" textRotation="0" wrapText="false" indent="0" shrinkToFit="false"/>
      <protection locked="true" hidden="false"/>
    </xf>
    <xf numFmtId="177" fontId="0" fillId="0" borderId="0" xfId="0" applyFont="false" applyBorder="false" applyAlignment="true" applyProtection="false">
      <alignment horizontal="general" vertical="center" textRotation="0" wrapText="false" indent="0" shrinkToFit="false"/>
      <protection locked="true" hidden="false"/>
    </xf>
    <xf numFmtId="164" fontId="14" fillId="0" borderId="10" xfId="96" applyFont="true" applyBorder="true" applyAlignment="false" applyProtection="false">
      <alignment horizontal="general" vertical="bottom" textRotation="0" wrapText="false" indent="0" shrinkToFit="false"/>
      <protection locked="true" hidden="false"/>
    </xf>
    <xf numFmtId="164" fontId="14" fillId="0" borderId="14" xfId="96" applyFont="true" applyBorder="true" applyAlignment="false" applyProtection="false">
      <alignment horizontal="general" vertical="bottom" textRotation="0" wrapText="false" indent="0" shrinkToFit="false"/>
      <protection locked="true" hidden="false"/>
    </xf>
    <xf numFmtId="164" fontId="14" fillId="27" borderId="10" xfId="96" applyFont="true" applyBorder="true" applyAlignment="false" applyProtection="false">
      <alignment horizontal="general" vertical="bottom" textRotation="0" wrapText="false" indent="0" shrinkToFit="false"/>
      <protection locked="true" hidden="false"/>
    </xf>
    <xf numFmtId="180" fontId="14" fillId="0" borderId="0" xfId="96" applyFont="true" applyBorder="false" applyAlignment="false" applyProtection="false">
      <alignment horizontal="general" vertical="bottom" textRotation="0" wrapText="false" indent="0" shrinkToFit="false"/>
      <protection locked="true" hidden="false"/>
    </xf>
    <xf numFmtId="164" fontId="14" fillId="27" borderId="15" xfId="96" applyFont="true" applyBorder="true" applyAlignment="false" applyProtection="false">
      <alignment horizontal="general" vertical="bottom" textRotation="0" wrapText="false" indent="0" shrinkToFit="false"/>
      <protection locked="true" hidden="false"/>
    </xf>
    <xf numFmtId="164" fontId="14" fillId="0" borderId="10" xfId="96" applyFont="true" applyBorder="true" applyAlignment="true" applyProtection="false">
      <alignment horizontal="center" vertical="bottom" textRotation="0" wrapText="false" indent="0" shrinkToFit="false"/>
      <protection locked="true" hidden="false"/>
    </xf>
    <xf numFmtId="171" fontId="14" fillId="27" borderId="10" xfId="96" applyFont="true" applyBorder="true" applyAlignment="true" applyProtection="false">
      <alignment horizontal="center" vertical="bottom" textRotation="0" wrapText="false" indent="0" shrinkToFit="false"/>
      <protection locked="true" hidden="false"/>
    </xf>
    <xf numFmtId="164" fontId="14" fillId="0" borderId="10" xfId="96" applyFont="true" applyBorder="true" applyAlignment="false" applyProtection="false">
      <alignment horizontal="general" vertical="bottom" textRotation="0" wrapText="false" indent="0" shrinkToFit="false"/>
      <protection locked="true" hidden="false"/>
    </xf>
    <xf numFmtId="164" fontId="15" fillId="0" borderId="0" xfId="96" applyFont="true" applyBorder="false" applyAlignment="true" applyProtection="false">
      <alignment horizontal="right" vertical="bottom" textRotation="0" wrapText="false" indent="0" shrinkToFit="false"/>
      <protection locked="true" hidden="false"/>
    </xf>
    <xf numFmtId="185" fontId="14" fillId="0" borderId="0" xfId="96" applyFont="true" applyBorder="false" applyAlignment="false" applyProtection="false">
      <alignment horizontal="general" vertical="bottom" textRotation="0" wrapText="false" indent="0" shrinkToFit="false"/>
      <protection locked="true" hidden="false"/>
    </xf>
    <xf numFmtId="164" fontId="15" fillId="0" borderId="0" xfId="96" applyFont="true" applyBorder="true" applyAlignment="true" applyProtection="false">
      <alignment horizontal="right" vertical="bottom" textRotation="0" wrapText="false" indent="0" shrinkToFit="false"/>
      <protection locked="true" hidden="false"/>
    </xf>
    <xf numFmtId="164" fontId="14" fillId="0" borderId="0" xfId="96" applyFont="true" applyBorder="true" applyAlignment="true" applyProtection="false">
      <alignment horizontal="left" vertical="bottom" textRotation="0" wrapText="false" indent="0" shrinkToFit="false"/>
      <protection locked="true" hidden="false"/>
    </xf>
    <xf numFmtId="182" fontId="14" fillId="3" borderId="0" xfId="96" applyFont="true" applyBorder="false" applyAlignment="false" applyProtection="false">
      <alignment horizontal="general" vertical="bottom" textRotation="0" wrapText="false" indent="0" shrinkToFit="false"/>
      <protection locked="true" hidden="false"/>
    </xf>
    <xf numFmtId="164" fontId="14" fillId="26" borderId="10" xfId="96" applyFont="true" applyBorder="true" applyAlignment="false" applyProtection="false">
      <alignment horizontal="general" vertical="bottom" textRotation="0" wrapText="false" indent="0" shrinkToFit="false"/>
      <protection locked="true" hidden="false"/>
    </xf>
    <xf numFmtId="164" fontId="14" fillId="26" borderId="0" xfId="96" applyFont="true" applyBorder="false" applyAlignment="false" applyProtection="false">
      <alignment horizontal="general" vertical="bottom" textRotation="0" wrapText="false" indent="0" shrinkToFit="false"/>
      <protection locked="true" hidden="false"/>
    </xf>
    <xf numFmtId="185" fontId="14" fillId="26" borderId="0" xfId="96" applyFont="true" applyBorder="false" applyAlignment="false" applyProtection="false">
      <alignment horizontal="general" vertical="bottom" textRotation="0" wrapText="false" indent="0" shrinkToFit="false"/>
      <protection locked="true" hidden="false"/>
    </xf>
    <xf numFmtId="164" fontId="14" fillId="27" borderId="0" xfId="96" applyFont="true" applyBorder="false" applyAlignment="false" applyProtection="false">
      <alignment horizontal="general" vertical="bottom" textRotation="0" wrapText="false" indent="0" shrinkToFit="false"/>
      <protection locked="true" hidden="false"/>
    </xf>
    <xf numFmtId="171" fontId="159" fillId="0" borderId="0" xfId="0" applyFont="true" applyBorder="false" applyAlignment="true" applyProtection="false">
      <alignment horizontal="general" vertical="center" textRotation="0" wrapText="false" indent="0" shrinkToFit="false"/>
      <protection locked="true" hidden="false"/>
    </xf>
    <xf numFmtId="164" fontId="47" fillId="0" borderId="0" xfId="0" applyFont="true" applyBorder="false" applyAlignment="true" applyProtection="false">
      <alignment horizontal="center" vertical="center" textRotation="0" wrapText="false" indent="0" shrinkToFit="false"/>
      <protection locked="true" hidden="false"/>
    </xf>
    <xf numFmtId="164" fontId="23" fillId="0" borderId="0" xfId="0" applyFont="true" applyBorder="false" applyAlignment="true" applyProtection="false">
      <alignment horizontal="center" vertical="center" textRotation="0" wrapText="false" indent="0" shrinkToFit="false"/>
      <protection locked="true" hidden="false"/>
    </xf>
  </cellXfs>
  <cellStyles count="188">
    <cellStyle name="Normal" xfId="0" builtinId="0"/>
    <cellStyle name="Comma" xfId="15" builtinId="3"/>
    <cellStyle name="Comma [0]" xfId="16" builtinId="6"/>
    <cellStyle name="Currency" xfId="17" builtinId="4"/>
    <cellStyle name="Currency [0]" xfId="18" builtinId="7"/>
    <cellStyle name="Percent" xfId="19" builtinId="5"/>
    <cellStyle name="20% - 强调文字颜色 1 2" xfId="21"/>
    <cellStyle name="20% - 强调文字颜色 2 2" xfId="22"/>
    <cellStyle name="20% - 强调文字颜色 3 2" xfId="23"/>
    <cellStyle name="20% - 强调文字颜色 4 2" xfId="24"/>
    <cellStyle name="20% - 强调文字颜色 5 2" xfId="25"/>
    <cellStyle name="20% - 强调文字颜色 6 2" xfId="26"/>
    <cellStyle name="40% - 强调文字颜色 1 2" xfId="27"/>
    <cellStyle name="40% - 强调文字颜色 2 2" xfId="28"/>
    <cellStyle name="40% - 强调文字颜色 3 2" xfId="29"/>
    <cellStyle name="40% - 强调文字颜色 4 2" xfId="30"/>
    <cellStyle name="40% - 强调文字颜色 5 2" xfId="31"/>
    <cellStyle name="40% - 强调文字颜色 6 2" xfId="32"/>
    <cellStyle name="60% - 强调文字颜色 1 2" xfId="33"/>
    <cellStyle name="60% - 强调文字颜色 2 2" xfId="34"/>
    <cellStyle name="60% - 强调文字颜色 3 2" xfId="35"/>
    <cellStyle name="60% - 强调文字颜色 4 2" xfId="36"/>
    <cellStyle name="60% - 强调文字颜色 5 2" xfId="37"/>
    <cellStyle name="60% - 强调文字颜色 6 2" xfId="38"/>
    <cellStyle name="Normal 2" xfId="39"/>
    <cellStyle name="Normal 3" xfId="40"/>
    <cellStyle name="pmxBorderCellsS" xfId="41"/>
    <cellStyle name="pmxSubHeadingM" xfId="42"/>
    <cellStyle name="pmxSubSubHeadingB" xfId="43"/>
    <cellStyle name="pmxSubSubHeadingM" xfId="44"/>
    <cellStyle name="pmxSubSubHeadingS" xfId="45"/>
    <cellStyle name="好 2" xfId="46"/>
    <cellStyle name="好_Cal-234" xfId="47"/>
    <cellStyle name="好_Cal-256" xfId="48"/>
    <cellStyle name="好_Cal-MTBE-20111130" xfId="49"/>
    <cellStyle name="好_Cal-MTBE-邱鹏" xfId="50"/>
    <cellStyle name="好_Calculate-256" xfId="51"/>
    <cellStyle name="好_设备汇总" xfId="52"/>
    <cellStyle name="好_（气液分离罐）" xfId="53"/>
    <cellStyle name="好_（缓冲罐核算）" xfId="54"/>
    <cellStyle name="差 2" xfId="55"/>
    <cellStyle name="差 2 2" xfId="56"/>
    <cellStyle name="差 3" xfId="57"/>
    <cellStyle name="差_Cal-234" xfId="58"/>
    <cellStyle name="差_Cal-256" xfId="59"/>
    <cellStyle name="差_Cal-MTBE-20111130" xfId="60"/>
    <cellStyle name="差_Cal-MTBE-邱鹏" xfId="61"/>
    <cellStyle name="差_Calculate-256" xfId="62"/>
    <cellStyle name="差_设备汇总" xfId="63"/>
    <cellStyle name="差_（气液分离罐）" xfId="64"/>
    <cellStyle name="差_（缓冲罐核算）" xfId="65"/>
    <cellStyle name="常规 10" xfId="66"/>
    <cellStyle name="常规 10 3" xfId="67"/>
    <cellStyle name="常规 11" xfId="68"/>
    <cellStyle name="常规 11 2" xfId="69"/>
    <cellStyle name="常规 11 2 2" xfId="70"/>
    <cellStyle name="常规 11 2 2 2" xfId="71"/>
    <cellStyle name="常规 11 2 3" xfId="72"/>
    <cellStyle name="常规 11 3" xfId="73"/>
    <cellStyle name="常规 11 3 2" xfId="74"/>
    <cellStyle name="常规 11 4" xfId="75"/>
    <cellStyle name="常规 12" xfId="76"/>
    <cellStyle name="常规 12 2" xfId="77"/>
    <cellStyle name="常规 13" xfId="78"/>
    <cellStyle name="常规 14" xfId="79"/>
    <cellStyle name="常规 15" xfId="80"/>
    <cellStyle name="常规 16" xfId="81"/>
    <cellStyle name="常规 16 2" xfId="82"/>
    <cellStyle name="常规 2" xfId="83"/>
    <cellStyle name="常规 2 2" xfId="84"/>
    <cellStyle name="常规 2 2 2" xfId="85"/>
    <cellStyle name="常规 2 2 2 2" xfId="86"/>
    <cellStyle name="常规 2 2 3" xfId="87"/>
    <cellStyle name="常规 2 3" xfId="88"/>
    <cellStyle name="常规 3" xfId="89"/>
    <cellStyle name="常规 3 2" xfId="90"/>
    <cellStyle name="常规 3 2 2" xfId="91"/>
    <cellStyle name="常规 3 2 3" xfId="92"/>
    <cellStyle name="常规 3 3" xfId="93"/>
    <cellStyle name="常规 3 4" xfId="94"/>
    <cellStyle name="常规 3_Calculate-256" xfId="95"/>
    <cellStyle name="常规 4" xfId="96"/>
    <cellStyle name="常规 4 2" xfId="97"/>
    <cellStyle name="常规 5" xfId="98"/>
    <cellStyle name="常规 5 2" xfId="99"/>
    <cellStyle name="常规 5 2 2" xfId="100"/>
    <cellStyle name="常规 5 2 2 2" xfId="101"/>
    <cellStyle name="常规 5 2 2 2 2" xfId="102"/>
    <cellStyle name="常规 5 2 2 2 2 2" xfId="103"/>
    <cellStyle name="常规 5 2 2 2 3" xfId="104"/>
    <cellStyle name="常规 5 2 2 3" xfId="105"/>
    <cellStyle name="常规 5 2 2 3 2" xfId="106"/>
    <cellStyle name="常规 5 2 2 4" xfId="107"/>
    <cellStyle name="常规 5 2 3" xfId="108"/>
    <cellStyle name="常规 5 2 3 2" xfId="109"/>
    <cellStyle name="常规 5 2 3 2 2" xfId="110"/>
    <cellStyle name="常规 5 2 3 3" xfId="111"/>
    <cellStyle name="常规 5 2 4" xfId="112"/>
    <cellStyle name="常规 5 2 4 2" xfId="113"/>
    <cellStyle name="常规 5 2 5" xfId="114"/>
    <cellStyle name="常规 5 3" xfId="115"/>
    <cellStyle name="常规 5 3 2" xfId="116"/>
    <cellStyle name="常规 5 3 2 2" xfId="117"/>
    <cellStyle name="常规 5 3 2 2 2" xfId="118"/>
    <cellStyle name="常规 5 3 2 3" xfId="119"/>
    <cellStyle name="常规 5 3 3" xfId="120"/>
    <cellStyle name="常规 5 3 3 2" xfId="121"/>
    <cellStyle name="常规 5 3 4" xfId="122"/>
    <cellStyle name="常规 5 4" xfId="123"/>
    <cellStyle name="常规 5 4 2" xfId="124"/>
    <cellStyle name="常规 5 4 2 2" xfId="125"/>
    <cellStyle name="常规 5 4 3" xfId="126"/>
    <cellStyle name="常规 5 5" xfId="127"/>
    <cellStyle name="常规 5 5 2" xfId="128"/>
    <cellStyle name="常规 5 6" xfId="129"/>
    <cellStyle name="常规 6" xfId="130"/>
    <cellStyle name="常规 6 2" xfId="131"/>
    <cellStyle name="常规 7" xfId="132"/>
    <cellStyle name="常规 7 2" xfId="133"/>
    <cellStyle name="常规 8" xfId="134"/>
    <cellStyle name="常规 8 2" xfId="135"/>
    <cellStyle name="常规 8 2 2" xfId="136"/>
    <cellStyle name="常规 8 2 2 2" xfId="137"/>
    <cellStyle name="常规 8 2 2 2 2" xfId="138"/>
    <cellStyle name="常规 8 2 2 3" xfId="139"/>
    <cellStyle name="常规 8 2 3" xfId="140"/>
    <cellStyle name="常规 8 2 3 2" xfId="141"/>
    <cellStyle name="常规 8 2 4" xfId="142"/>
    <cellStyle name="常规 8 3" xfId="143"/>
    <cellStyle name="常规 8 3 2" xfId="144"/>
    <cellStyle name="常规 8 3 2 2" xfId="145"/>
    <cellStyle name="常规 8 3 3" xfId="146"/>
    <cellStyle name="常规 8 4" xfId="147"/>
    <cellStyle name="常规 8 4 2" xfId="148"/>
    <cellStyle name="常规 8 5" xfId="149"/>
    <cellStyle name="常规 9" xfId="150"/>
    <cellStyle name="常规 9 2" xfId="151"/>
    <cellStyle name="常规 9 2 2" xfId="152"/>
    <cellStyle name="常规 9 2 2 2" xfId="153"/>
    <cellStyle name="常规 9 2 2 2 2" xfId="154"/>
    <cellStyle name="常规 9 2 2 3" xfId="155"/>
    <cellStyle name="常规 9 2 3" xfId="156"/>
    <cellStyle name="常规 9 2 3 2" xfId="157"/>
    <cellStyle name="常规 9 2 4" xfId="158"/>
    <cellStyle name="常规 9 3" xfId="159"/>
    <cellStyle name="常规 9 3 2" xfId="160"/>
    <cellStyle name="常规 9 3 2 2" xfId="161"/>
    <cellStyle name="常规 9 3 3" xfId="162"/>
    <cellStyle name="常规 9 4" xfId="163"/>
    <cellStyle name="常规 9 4 2" xfId="164"/>
    <cellStyle name="常规 9 5" xfId="165"/>
    <cellStyle name="常规_Sheet1" xfId="166"/>
    <cellStyle name="常规_streams" xfId="167"/>
    <cellStyle name="常规_容器计算-20080416" xfId="168"/>
    <cellStyle name="常规_滑阀01" xfId="169"/>
    <cellStyle name="常规_滑阀01_空冷器数据表（校核版）" xfId="170"/>
    <cellStyle name="常规_管径核算-2008.4.11" xfId="171"/>
    <cellStyle name="常规_管径核算-2008.4.11 2" xfId="172"/>
    <cellStyle name="常规_说明" xfId="173"/>
    <cellStyle name="强调文字颜色 1 2" xfId="174"/>
    <cellStyle name="强调文字颜色 2 2" xfId="175"/>
    <cellStyle name="强调文字颜色 2 2 2" xfId="176"/>
    <cellStyle name="强调文字颜色 2 3" xfId="177"/>
    <cellStyle name="强调文字颜色 3 2" xfId="178"/>
    <cellStyle name="强调文字颜色 4 2" xfId="179"/>
    <cellStyle name="强调文字颜色 5 2" xfId="180"/>
    <cellStyle name="强调文字颜色 6 2" xfId="181"/>
    <cellStyle name="标题 1 2" xfId="182"/>
    <cellStyle name="标题 2 2" xfId="183"/>
    <cellStyle name="标题 3 2" xfId="184"/>
    <cellStyle name="标题 4 2" xfId="185"/>
    <cellStyle name="标题 5" xfId="186"/>
    <cellStyle name="检查单元格 2" xfId="187"/>
    <cellStyle name="汇总 2" xfId="188"/>
    <cellStyle name="注释 2" xfId="189"/>
    <cellStyle name="百分比 2" xfId="190"/>
    <cellStyle name="百分比 2 2" xfId="191"/>
    <cellStyle name="百分比 2 3" xfId="192"/>
    <cellStyle name="百分比 3" xfId="193"/>
    <cellStyle name="解释性文本 2" xfId="194"/>
    <cellStyle name="警告文本 2" xfId="195"/>
    <cellStyle name="计算 2" xfId="196"/>
    <cellStyle name="超链接 2" xfId="197"/>
    <cellStyle name="输入 2" xfId="198"/>
    <cellStyle name="输出 2" xfId="199"/>
    <cellStyle name="适中 2" xfId="200"/>
    <cellStyle name="链接单元格 2" xfId="201"/>
    <cellStyle name="*unknown*" xfId="20" builtinId="8"/>
  </cellStyles>
  <dxfs count="704">
    <dxf>
      <font>
        <b val="0"/>
        <color rgb="FF800080"/>
      </font>
      <fill>
        <patternFill>
          <bgColor rgb="FFFF99CC"/>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ont>
        <strike val="0"/>
      </font>
      <fill>
        <patternFill>
          <bgColor theme="0" tint="-0.25"/>
        </patternFill>
      </fill>
    </dxf>
    <dxf>
      <fill>
        <patternFill>
          <bgColor rgb="FF00B050"/>
        </patternFill>
      </fill>
    </dxf>
    <dxf>
      <fill>
        <patternFill>
          <bgColor rgb="FFFFFF00"/>
        </patternFill>
      </fill>
    </dxf>
    <dxf>
      <fill>
        <patternFill>
          <bgColor rgb="FFFF0000"/>
        </patternFill>
      </fill>
    </dxf>
    <dxf>
      <font>
        <strike val="0"/>
      </font>
      <fill>
        <patternFill>
          <bgColor theme="0" tint="-0.25"/>
        </patternFill>
      </fill>
    </dxf>
    <dxf>
      <fill>
        <patternFill>
          <bgColor rgb="FF00B050"/>
        </patternFill>
      </fill>
    </dxf>
    <dxf>
      <fill>
        <patternFill>
          <bgColor rgb="FFFFFF00"/>
        </patternFill>
      </fill>
    </dxf>
    <dxf>
      <fill>
        <patternFill>
          <bgColor rgb="FFFF0000"/>
        </patternFill>
      </fill>
    </dxf>
    <dxf>
      <font>
        <strike val="0"/>
      </font>
      <fill>
        <patternFill>
          <bgColor theme="0" tint="-0.25"/>
        </patternFill>
      </fill>
    </dxf>
    <dxf>
      <fill>
        <patternFill>
          <bgColor rgb="FF00B050"/>
        </patternFill>
      </fill>
    </dxf>
    <dxf>
      <fill>
        <patternFill>
          <bgColor rgb="FFFFFF00"/>
        </patternFill>
      </fill>
    </dxf>
    <dxf>
      <fill>
        <patternFill>
          <bgColor rgb="FFFF0000"/>
        </patternFill>
      </fill>
    </dxf>
    <dxf>
      <font>
        <strike val="0"/>
      </font>
      <fill>
        <patternFill>
          <bgColor theme="0" tint="-0.25"/>
        </patternFill>
      </fill>
    </dxf>
    <dxf>
      <fill>
        <patternFill>
          <bgColor rgb="FF00B050"/>
        </patternFill>
      </fill>
    </dxf>
    <dxf>
      <fill>
        <patternFill>
          <bgColor rgb="FFFFFF00"/>
        </patternFill>
      </fill>
    </dxf>
    <dxf>
      <fill>
        <patternFill>
          <bgColor rgb="FFFF0000"/>
        </patternFill>
      </fill>
    </dxf>
    <dxf>
      <font>
        <strike val="0"/>
      </font>
      <fill>
        <patternFill>
          <bgColor theme="0" tint="-0.25"/>
        </patternFill>
      </fill>
    </dxf>
    <dxf>
      <fill>
        <patternFill>
          <bgColor rgb="FF00B050"/>
        </patternFill>
      </fill>
    </dxf>
    <dxf>
      <fill>
        <patternFill>
          <bgColor rgb="FFFFFF00"/>
        </patternFill>
      </fill>
    </dxf>
    <dxf>
      <fill>
        <patternFill>
          <bgColor rgb="FFFF0000"/>
        </patternFill>
      </fill>
    </dxf>
    <dxf>
      <font>
        <strike val="0"/>
      </font>
      <fill>
        <patternFill>
          <bgColor theme="0" tint="-0.25"/>
        </patternFill>
      </fill>
    </dxf>
    <dxf>
      <fill>
        <patternFill>
          <bgColor rgb="FF00B050"/>
        </patternFill>
      </fill>
    </dxf>
    <dxf>
      <fill>
        <patternFill>
          <bgColor rgb="FFFFFF00"/>
        </patternFill>
      </fill>
    </dxf>
    <dxf>
      <fill>
        <patternFill>
          <bgColor rgb="FFFF0000"/>
        </patternFill>
      </fill>
    </dxf>
    <dxf>
      <font>
        <strike val="0"/>
      </font>
      <fill>
        <patternFill>
          <bgColor theme="0" tint="-0.25"/>
        </patternFill>
      </fill>
    </dxf>
    <dxf>
      <fill>
        <patternFill>
          <bgColor rgb="FF00B050"/>
        </patternFill>
      </fill>
    </dxf>
    <dxf>
      <fill>
        <patternFill>
          <bgColor rgb="FFFFFF00"/>
        </patternFill>
      </fill>
    </dxf>
    <dxf>
      <fill>
        <patternFill>
          <bgColor rgb="FFFF0000"/>
        </patternFill>
      </fill>
    </dxf>
    <dxf>
      <font>
        <strike val="0"/>
      </font>
      <fill>
        <patternFill>
          <bgColor theme="0" tint="-0.25"/>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ont>
        <strike val="0"/>
      </font>
      <fill>
        <patternFill>
          <bgColor theme="0" tint="-0.25"/>
        </patternFill>
      </fill>
    </dxf>
    <dxf>
      <fill>
        <patternFill>
          <bgColor rgb="FF00B050"/>
        </patternFill>
      </fill>
    </dxf>
    <dxf>
      <fill>
        <patternFill>
          <bgColor rgb="FFFFFF00"/>
        </patternFill>
      </fill>
    </dxf>
    <dxf>
      <fill>
        <patternFill>
          <bgColor rgb="FFFF0000"/>
        </patternFill>
      </fill>
    </dxf>
    <dxf>
      <font>
        <strike val="0"/>
      </font>
      <fill>
        <patternFill>
          <bgColor theme="0" tint="-0.25"/>
        </patternFill>
      </fill>
    </dxf>
    <dxf>
      <fill>
        <patternFill>
          <bgColor rgb="FF00B050"/>
        </patternFill>
      </fill>
    </dxf>
    <dxf>
      <fill>
        <patternFill>
          <bgColor rgb="FFFFFF00"/>
        </patternFill>
      </fill>
    </dxf>
    <dxf>
      <fill>
        <patternFill>
          <bgColor rgb="FFFF0000"/>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rgb="FFFFFFFF"/>
        </patternFill>
      </fill>
    </dxf>
    <dxf>
      <font>
        <b val="0"/>
        <color rgb="FF800080"/>
      </font>
      <fill>
        <patternFill>
          <bgColor rgb="FFFF99CC"/>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rgb="FFFFFFFF"/>
        </patternFill>
      </fill>
    </dxf>
    <dxf>
      <font>
        <b val="0"/>
        <color rgb="FF800080"/>
      </font>
      <fill>
        <patternFill>
          <bgColor rgb="FFFF99CC"/>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rgb="FFFFFFFF"/>
        </patternFill>
      </fill>
    </dxf>
    <dxf>
      <font>
        <b val="0"/>
        <color rgb="FF800080"/>
      </font>
      <fill>
        <patternFill>
          <bgColor rgb="FFFF99CC"/>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rgb="FFFFFFFF"/>
        </patternFill>
      </fill>
    </dxf>
    <dxf>
      <font>
        <b val="0"/>
        <color rgb="FF800080"/>
      </font>
      <fill>
        <patternFill>
          <bgColor rgb="FFFF99CC"/>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rgb="FFFFFFFF"/>
        </patternFill>
      </fill>
    </dxf>
    <dxf>
      <font>
        <b val="0"/>
        <color rgb="FF800080"/>
      </font>
      <fill>
        <patternFill>
          <bgColor rgb="FFFF99CC"/>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rgb="FFFFFFFF"/>
        </patternFill>
      </fill>
    </dxf>
    <dxf>
      <font>
        <b val="0"/>
        <color rgb="FF800080"/>
      </font>
      <fill>
        <patternFill>
          <bgColor rgb="FFFF99CC"/>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rgb="FFFFFFFF"/>
        </patternFill>
      </fill>
    </dxf>
    <dxf>
      <font>
        <b val="0"/>
        <color rgb="FF800080"/>
      </font>
      <fill>
        <patternFill>
          <bgColor rgb="FFFF99CC"/>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rgb="FFFFFFFF"/>
        </patternFill>
      </fill>
    </dxf>
    <dxf>
      <font>
        <b val="0"/>
        <color rgb="FF800080"/>
      </font>
      <fill>
        <patternFill>
          <bgColor rgb="FFFF99CC"/>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rgb="FFFFFFFF"/>
        </patternFill>
      </fill>
    </dxf>
    <dxf>
      <font>
        <b val="0"/>
        <color rgb="FF800080"/>
      </font>
      <fill>
        <patternFill>
          <bgColor rgb="FFFF99CC"/>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rgb="FFFFFFFF"/>
        </patternFill>
      </fill>
    </dxf>
    <dxf>
      <font>
        <b val="0"/>
        <color rgb="FF800080"/>
      </font>
      <fill>
        <patternFill>
          <bgColor rgb="FFFF99CC"/>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rgb="FFFFFFFF"/>
        </patternFill>
      </fill>
    </dxf>
    <dxf>
      <font>
        <b val="0"/>
        <color rgb="FF800080"/>
      </font>
      <fill>
        <patternFill>
          <bgColor rgb="FFFF99CC"/>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rgb="FFFFFFFF"/>
        </patternFill>
      </fill>
    </dxf>
    <dxf>
      <font>
        <b val="0"/>
        <color rgb="FF800080"/>
      </font>
      <fill>
        <patternFill>
          <bgColor rgb="FFFF99CC"/>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ont>
        <b val="0"/>
        <color rgb="FF800080"/>
      </font>
      <fill>
        <patternFill>
          <bgColor rgb="FFFF99CC"/>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theme="0" tint="-0.5"/>
        </patternFill>
      </fill>
    </dxf>
    <dxf>
      <fill>
        <patternFill>
          <bgColor rgb="FFFFFFFF"/>
        </patternFill>
      </fill>
    </dxf>
    <dxf>
      <font>
        <b val="0"/>
        <color rgb="FF800080"/>
      </font>
      <fill>
        <patternFill>
          <bgColor rgb="FFFF99CC"/>
        </patternFill>
      </fill>
    </dxf>
    <dxf>
      <font>
        <b val="0"/>
        <color rgb="FF800080"/>
      </font>
      <fill>
        <patternFill>
          <bgColor rgb="FFFF99CC"/>
        </patternFill>
      </fill>
    </dxf>
    <dxf>
      <fill>
        <patternFill>
          <bgColor rgb="FFFF0000"/>
        </patternFill>
      </fill>
    </dxf>
    <dxf>
      <fill>
        <patternFill>
          <bgColor rgb="FFFF0000"/>
        </patternFill>
      </fill>
    </dxf>
    <dxf>
      <fill>
        <patternFill>
          <bgColor rgb="FFFF0000"/>
        </patternFill>
      </fill>
    </dxf>
    <dxf>
      <font>
        <color rgb="FFFF0000"/>
      </font>
      <fill>
        <patternFill>
          <bgColor rgb="FFFFFF00"/>
        </patternFill>
      </fill>
    </dxf>
    <dxf>
      <font>
        <color rgb="FF9C0006"/>
      </font>
      <fill>
        <patternFill>
          <bgColor rgb="FFFFC7CE"/>
        </patternFill>
      </fill>
    </dxf>
    <dxf>
      <font>
        <color rgb="FFFF0000"/>
      </font>
    </dxf>
    <dxf>
      <fill>
        <patternFill>
          <bgColor rgb="FFFF0000"/>
        </patternFill>
      </fill>
    </dxf>
    <dxf>
      <fill>
        <patternFill>
          <bgColor rgb="FFFF0000"/>
        </patternFill>
      </fill>
    </dxf>
    <dxf>
      <fill>
        <patternFill>
          <bgColor rgb="FFFF0000"/>
        </patternFill>
      </fill>
    </dxf>
    <dxf>
      <font>
        <color rgb="FFFF0000"/>
      </font>
      <fill>
        <patternFill>
          <bgColor rgb="FFFFFF00"/>
        </patternFill>
      </fill>
    </dxf>
    <dxf>
      <font>
        <color rgb="FF9C0006"/>
      </font>
      <fill>
        <patternFill>
          <bgColor rgb="FFFFC7CE"/>
        </patternFill>
      </fill>
    </dxf>
    <dxf>
      <font>
        <color rgb="FFFF0000"/>
      </font>
    </dxf>
    <dxf>
      <fill>
        <patternFill>
          <bgColor rgb="FFFF0000"/>
        </patternFill>
      </fill>
    </dxf>
    <dxf>
      <fill>
        <patternFill>
          <bgColor rgb="FFFF0000"/>
        </patternFill>
      </fill>
    </dxf>
    <dxf>
      <fill>
        <patternFill>
          <bgColor rgb="FFFF0000"/>
        </patternFill>
      </fill>
    </dxf>
    <dxf>
      <font>
        <color rgb="FFFF0000"/>
      </font>
      <fill>
        <patternFill>
          <bgColor rgb="FFFFFF00"/>
        </patternFill>
      </fill>
    </dxf>
    <dxf>
      <font>
        <color rgb="FF9C0006"/>
      </font>
      <fill>
        <patternFill>
          <bgColor rgb="FFFFC7CE"/>
        </patternFill>
      </fill>
    </dxf>
    <dxf>
      <font>
        <color rgb="FFFF0000"/>
      </font>
    </dxf>
    <dxf>
      <fill>
        <patternFill>
          <bgColor rgb="FFFF0000"/>
        </patternFill>
      </fill>
    </dxf>
    <dxf>
      <fill>
        <patternFill>
          <bgColor rgb="FFFF0000"/>
        </patternFill>
      </fill>
    </dxf>
    <dxf>
      <fill>
        <patternFill>
          <bgColor rgb="FFFF0000"/>
        </patternFill>
      </fill>
    </dxf>
    <dxf>
      <font>
        <color rgb="FFFF0000"/>
      </font>
      <fill>
        <patternFill>
          <bgColor rgb="FFFFFF00"/>
        </patternFill>
      </fill>
    </dxf>
    <dxf>
      <font>
        <color rgb="FF9C0006"/>
      </font>
      <fill>
        <patternFill>
          <bgColor rgb="FFFFC7CE"/>
        </patternFill>
      </fill>
    </dxf>
    <dxf>
      <font>
        <color rgb="FFFF0000"/>
      </font>
    </dxf>
    <dxf>
      <font>
        <color rgb="FFFF0000"/>
      </font>
    </dxf>
    <dxf>
      <fill>
        <patternFill>
          <bgColor rgb="FFFF0000"/>
        </patternFill>
      </fill>
    </dxf>
    <dxf>
      <fill>
        <patternFill>
          <bgColor rgb="FFFF0000"/>
        </patternFill>
      </fill>
    </dxf>
    <dxf>
      <fill>
        <patternFill>
          <bgColor rgb="FFFF0000"/>
        </patternFill>
      </fill>
    </dxf>
    <dxf>
      <font>
        <color rgb="FFFF0000"/>
      </font>
      <fill>
        <patternFill>
          <bgColor rgb="FFFFFF00"/>
        </patternFill>
      </fill>
    </dxf>
    <dxf>
      <font>
        <color rgb="FF9C0006"/>
      </font>
      <fill>
        <patternFill>
          <bgColor rgb="FFFFC7CE"/>
        </patternFill>
      </fill>
    </dxf>
    <dxf>
      <font>
        <color rgb="FFFF0000"/>
      </font>
    </dxf>
    <dxf>
      <fill>
        <patternFill>
          <bgColor rgb="FFFF0000"/>
        </patternFill>
      </fill>
    </dxf>
    <dxf>
      <fill>
        <patternFill>
          <bgColor rgb="FFFF0000"/>
        </patternFill>
      </fill>
    </dxf>
    <dxf>
      <fill>
        <patternFill>
          <bgColor rgb="FFFF0000"/>
        </patternFill>
      </fill>
    </dxf>
    <dxf>
      <font>
        <color rgb="FFFF0000"/>
      </font>
      <fill>
        <patternFill>
          <bgColor rgb="FFFFFF00"/>
        </patternFill>
      </fill>
    </dxf>
    <dxf>
      <font>
        <color rgb="FF9C0006"/>
      </font>
      <fill>
        <patternFill>
          <bgColor rgb="FFFFC7CE"/>
        </patternFill>
      </fill>
    </dxf>
    <dxf>
      <font>
        <color rgb="FFFF0000"/>
      </font>
    </dxf>
    <dxf>
      <font>
        <color rgb="FFFF0000"/>
      </font>
    </dxf>
    <dxf>
      <fill>
        <patternFill>
          <bgColor rgb="FFFF0000"/>
        </patternFill>
      </fill>
    </dxf>
    <dxf>
      <fill>
        <patternFill>
          <bgColor rgb="FFFF0000"/>
        </patternFill>
      </fill>
    </dxf>
    <dxf>
      <fill>
        <patternFill>
          <bgColor rgb="FFFF0000"/>
        </patternFill>
      </fill>
    </dxf>
    <dxf>
      <font>
        <color rgb="FFFF0000"/>
      </font>
      <fill>
        <patternFill>
          <bgColor rgb="FFFFFF00"/>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ont>
        <color rgb="FFFF0000"/>
      </font>
      <fill>
        <patternFill>
          <bgColor rgb="FFFFFF00"/>
        </patternFill>
      </fill>
    </dxf>
    <dxf>
      <font>
        <color rgb="FF9C0006"/>
      </font>
      <fill>
        <patternFill>
          <bgColor rgb="FFFFC7CE"/>
        </patternFill>
      </fill>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fill>
        <patternFill>
          <bgColor rgb="FFFFFF00"/>
        </patternFill>
      </fill>
    </dxf>
    <dxf>
      <font>
        <color rgb="FF9C0006"/>
      </font>
      <fill>
        <patternFill>
          <bgColor rgb="FFFFC7CE"/>
        </patternFill>
      </fill>
    </dxf>
    <dxf>
      <font>
        <color rgb="FFFF0000"/>
      </font>
    </dxf>
    <dxf>
      <fill>
        <patternFill>
          <bgColor rgb="FFFF0000"/>
        </patternFill>
      </fill>
    </dxf>
    <dxf>
      <fill>
        <patternFill>
          <bgColor rgb="FFFF0000"/>
        </patternFill>
      </fill>
    </dxf>
    <dxf>
      <fill>
        <patternFill>
          <bgColor rgb="FFFF0000"/>
        </patternFill>
      </fill>
    </dxf>
    <dxf>
      <font>
        <color rgb="FFFF0000"/>
      </font>
      <fill>
        <patternFill>
          <bgColor rgb="FFFFFF00"/>
        </patternFill>
      </fill>
    </dxf>
    <dxf>
      <font>
        <color rgb="FF9C0006"/>
      </font>
      <fill>
        <patternFill>
          <bgColor rgb="FFFFC7CE"/>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9C0006"/>
      </font>
      <fill>
        <patternFill>
          <bgColor rgb="FFFFC7CE"/>
        </patternFill>
      </fill>
    </dxf>
    <dxf>
      <font>
        <color rgb="FFFF0000"/>
      </font>
    </dxf>
    <dxf>
      <font>
        <color rgb="FFFF0000"/>
      </font>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fill>
        <patternFill>
          <bgColor rgb="FFFFFF00"/>
        </patternFill>
      </fill>
    </dxf>
    <dxf>
      <font>
        <color rgb="FFFF0000"/>
      </font>
    </dxf>
    <dxf>
      <font>
        <color rgb="FFFF0000"/>
      </font>
    </dxf>
    <dxf>
      <font>
        <color rgb="FFFF0000"/>
      </font>
    </dxf>
    <dxf>
      <font>
        <color rgb="FF9C0006"/>
      </font>
      <fill>
        <patternFill>
          <bgColor rgb="FFFFC7CE"/>
        </patternFill>
      </fill>
    </dxf>
    <dxf>
      <font>
        <color rgb="FFFF0000"/>
      </font>
    </dxf>
    <dxf>
      <font>
        <color rgb="FFFF000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fill>
        <patternFill>
          <bgColor rgb="FFFFFF00"/>
        </patternFill>
      </fill>
    </dxf>
    <dxf>
      <font>
        <color rgb="FFFF0000"/>
      </font>
    </dxf>
    <dxf>
      <font>
        <color rgb="FFFF0000"/>
      </font>
    </dxf>
    <dxf>
      <font>
        <color rgb="FFFF0000"/>
      </font>
    </dxf>
    <dxf>
      <font>
        <color rgb="FF9C0006"/>
      </font>
      <fill>
        <patternFill>
          <bgColor rgb="FFFFC7CE"/>
        </patternFill>
      </fill>
    </dxf>
    <dxf>
      <font>
        <color rgb="FFFF0000"/>
      </font>
    </dxf>
    <dxf>
      <font>
        <color rgb="FFFF000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fill>
        <patternFill>
          <bgColor rgb="FFFFFF00"/>
        </patternFill>
      </fill>
    </dxf>
    <dxf>
      <font>
        <color rgb="FF9C0006"/>
      </font>
      <fill>
        <patternFill>
          <bgColor rgb="FFFFC7CE"/>
        </patternFill>
      </fill>
    </dxf>
    <dxf>
      <font>
        <color rgb="FFFF0000"/>
      </font>
    </dxf>
    <dxf>
      <font>
        <color rgb="FFFF0000"/>
      </font>
    </dxf>
    <dxf>
      <font>
        <color rgb="FFFF000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fill>
        <patternFill>
          <bgColor rgb="FFFFFF00"/>
        </patternFill>
      </fill>
    </dxf>
    <dxf>
      <font>
        <color rgb="FF9C0006"/>
      </font>
      <fill>
        <patternFill>
          <bgColor rgb="FFFFC7CE"/>
        </patternFill>
      </fill>
    </dxf>
    <dxf>
      <font>
        <color rgb="FFFF0000"/>
      </font>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fill>
        <patternFill>
          <bgColor rgb="FFFFFF00"/>
        </patternFill>
      </fill>
    </dxf>
    <dxf>
      <fill>
        <patternFill>
          <bgColor rgb="FFFF0000"/>
        </patternFill>
      </fill>
    </dxf>
    <dxf>
      <fill>
        <patternFill>
          <bgColor rgb="FFFF0000"/>
        </patternFill>
      </fill>
    </dxf>
    <dxf>
      <fill>
        <patternFill>
          <bgColor rgb="FFFF0000"/>
        </patternFill>
      </fill>
    </dxf>
    <dxf>
      <font>
        <color rgb="FFFF0000"/>
      </font>
      <fill>
        <patternFill>
          <bgColor rgb="FFFFFF00"/>
        </patternFill>
      </fill>
    </dxf>
    <dxf>
      <font>
        <color rgb="FFFF0000"/>
      </font>
    </dxf>
    <dxf>
      <font>
        <color rgb="FF9C0006"/>
      </font>
      <fill>
        <patternFill>
          <bgColor rgb="FFFFC7CE"/>
        </patternFill>
      </fill>
    </dxf>
    <dxf>
      <font>
        <color rgb="FFFF0000"/>
      </font>
    </dxf>
    <dxf>
      <font>
        <color rgb="FFFF0000"/>
      </font>
    </dxf>
    <dxf>
      <font>
        <color rgb="FFFF0000"/>
      </font>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FF0000"/>
      </font>
    </dxf>
    <dxf>
      <fill>
        <patternFill>
          <bgColor rgb="FFFF0000"/>
        </patternFill>
      </fill>
    </dxf>
    <dxf>
      <fill>
        <patternFill>
          <bgColor rgb="FFFF0000"/>
        </patternFill>
      </fill>
    </dxf>
    <dxf>
      <fill>
        <patternFill>
          <bgColor rgb="FFFF0000"/>
        </patternFill>
      </fill>
    </dxf>
    <dxf>
      <font>
        <color rgb="FFFF0000"/>
      </font>
      <fill>
        <patternFill>
          <bgColor rgb="FFFFFF00"/>
        </patternFill>
      </fill>
    </dxf>
    <dxf>
      <font>
        <color rgb="FFFF0000"/>
      </font>
    </dxf>
    <dxf>
      <font>
        <color rgb="FFFF0000"/>
      </font>
    </dxf>
    <dxf>
      <font>
        <color rgb="FFFF0000"/>
      </font>
    </dxf>
    <dxf>
      <font>
        <color rgb="FF9C0006"/>
      </font>
      <fill>
        <patternFill>
          <bgColor rgb="FFFFC7CE"/>
        </patternFill>
      </fill>
    </dxf>
    <dxf>
      <font>
        <color rgb="FF9C0006"/>
      </font>
      <fill>
        <patternFill>
          <bgColor rgb="FFFFC7CE"/>
        </patternFill>
      </fill>
    </dxf>
    <dxf>
      <font>
        <color rgb="FFFF0000"/>
      </font>
      <fill>
        <patternFill>
          <bgColor rgb="FFFFFF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FF00"/>
        </patternFill>
      </fill>
    </dxf>
    <dxf>
      <font>
        <color rgb="FFFF0000"/>
      </font>
      <fill>
        <patternFill>
          <bgColor rgb="FFFFFF00"/>
        </patternFill>
      </fill>
    </dxf>
    <dxf>
      <font>
        <color rgb="FFFF0000"/>
      </font>
      <fill>
        <patternFill>
          <bgColor rgb="FFFFFF00"/>
        </patternFill>
      </fill>
    </dxf>
    <dxf>
      <font>
        <color rgb="FFFF0000"/>
      </font>
      <fill>
        <patternFill>
          <bgColor rgb="FFFFFF00"/>
        </patternFill>
      </fill>
    </dxf>
    <dxf>
      <font>
        <color rgb="FFFF0000"/>
      </font>
      <fill>
        <patternFill>
          <bgColor rgb="FFFFFF00"/>
        </patternFill>
      </fill>
    </dxf>
    <dxf>
      <font>
        <color rgb="FFFF0000"/>
      </font>
      <fill>
        <patternFill>
          <bgColor rgb="FFFFFF00"/>
        </patternFill>
      </fill>
    </dxf>
    <dxf>
      <font>
        <color rgb="FFFF0000"/>
      </font>
      <fill>
        <patternFill>
          <bgColor rgb="FFFFFF00"/>
        </patternFill>
      </fill>
    </dxf>
    <dxf>
      <font>
        <color rgb="FFFF0000"/>
      </font>
      <fill>
        <patternFill>
          <bgColor rgb="FFFFFF00"/>
        </patternFill>
      </fill>
    </dxf>
    <dxf>
      <font>
        <color rgb="FFFF0000"/>
      </font>
      <fill>
        <patternFill>
          <bgColor rgb="FFFFFF00"/>
        </patternFill>
      </fill>
    </dxf>
    <dxf>
      <font>
        <color rgb="FFFF0000"/>
      </font>
      <fill>
        <patternFill>
          <bgColor rgb="FFFFFF00"/>
        </patternFill>
      </fill>
    </dxf>
    <dxf>
      <font>
        <color rgb="FFFF0000"/>
      </font>
      <fill>
        <patternFill>
          <bgColor rgb="FFFFFF00"/>
        </patternFill>
      </fill>
    </dxf>
    <dxf>
      <font>
        <color rgb="FFFF0000"/>
      </font>
      <fill>
        <patternFill>
          <bgColor rgb="FFFFFF00"/>
        </patternFill>
      </fill>
    </dxf>
    <dxf>
      <font>
        <color rgb="FFFF0000"/>
      </font>
      <fill>
        <patternFill>
          <bgColor rgb="FFFFFF00"/>
        </patternFill>
      </fill>
    </dxf>
    <dxf>
      <font>
        <color rgb="FFFF0000"/>
      </font>
      <fill>
        <patternFill>
          <bgColor rgb="FFFFFF00"/>
        </patternFill>
      </fill>
    </dxf>
    <dxf>
      <font>
        <color rgb="FFFF0000"/>
      </font>
      <fill>
        <patternFill>
          <bgColor rgb="FFFFFF00"/>
        </patternFill>
      </fill>
    </dxf>
    <dxf>
      <font>
        <color rgb="FFFF0000"/>
      </font>
      <fill>
        <patternFill>
          <bgColor rgb="FFFFFF00"/>
        </patternFill>
      </fill>
    </dxf>
    <dxf>
      <font>
        <color rgb="FFFF0000"/>
      </font>
      <fill>
        <patternFill>
          <bgColor rgb="FFFFFF00"/>
        </patternFill>
      </fill>
    </dxf>
    <dxf>
      <font>
        <color rgb="FFFF0000"/>
      </font>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rgb="FFFF0000"/>
      </font>
    </dxf>
    <dxf>
      <fill>
        <patternFill>
          <bgColor rgb="FFFF0000"/>
        </patternFill>
      </fill>
    </dxf>
    <dxf>
      <fill>
        <patternFill>
          <bgColor rgb="FFFF0000"/>
        </patternFill>
      </fill>
    </dxf>
    <dxf>
      <font>
        <color rgb="FFFF0000"/>
      </font>
    </dxf>
    <dxf>
      <fill>
        <patternFill>
          <bgColor rgb="FFFF0000"/>
        </patternFill>
      </fill>
    </dxf>
    <dxf>
      <fill>
        <patternFill>
          <bgColor rgb="FFFF000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ont>
        <b val="0"/>
        <color rgb="FF800080"/>
      </font>
      <fill>
        <patternFill>
          <bgColor rgb="FFFF99CC"/>
        </patternFill>
      </fill>
    </dxf>
    <dxf>
      <fill>
        <patternFill>
          <bgColor rgb="FFFF0000"/>
        </patternFill>
      </fill>
    </dxf>
    <dxf>
      <fill>
        <patternFill>
          <bgColor rgb="FFFF0000"/>
        </patternFill>
      </fill>
    </dxf>
    <dxf>
      <font>
        <b val="0"/>
        <color rgb="FF800080"/>
      </font>
      <fill>
        <patternFill>
          <bgColor rgb="FFFF99CC"/>
        </patternFill>
      </fill>
    </dxf>
    <dxf>
      <fill>
        <patternFill>
          <bgColor rgb="FFFF0000"/>
        </patternFill>
      </fill>
    </dxf>
    <dxf>
      <fill>
        <patternFill>
          <bgColor rgb="FFFF0000"/>
        </patternFill>
      </fill>
    </dxf>
    <dxf>
      <fill>
        <patternFill>
          <bgColor rgb="FFFF0000"/>
        </patternFill>
      </fill>
    </dxf>
    <dxf>
      <font>
        <b val="0"/>
        <color rgb="FF800080"/>
      </font>
      <fill>
        <patternFill>
          <bgColor rgb="FFFF99CC"/>
        </patternFill>
      </fill>
    </dxf>
    <dxf>
      <fill>
        <patternFill>
          <bgColor rgb="FFFF0000"/>
        </patternFill>
      </fill>
    </dxf>
    <dxf>
      <fill>
        <patternFill>
          <bgColor rgb="FFFF0000"/>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E46C0A"/>
      <rgbColor rgb="FF800080"/>
      <rgbColor rgb="FF0070C0"/>
      <rgbColor rgb="FFC0C0C0"/>
      <rgbColor rgb="FF808080"/>
      <rgbColor rgb="FFBFBFBF"/>
      <rgbColor rgb="FF993366"/>
      <rgbColor rgb="FFFFFFCC"/>
      <rgbColor rgb="FFCCFFFF"/>
      <rgbColor rgb="FFFF66CC"/>
      <rgbColor rgb="FFFF8080"/>
      <rgbColor rgb="FF0066CC"/>
      <rgbColor rgb="FFCCCCFF"/>
      <rgbColor rgb="FF000080"/>
      <rgbColor rgb="FFF11598"/>
      <rgbColor rgb="FFFFC000"/>
      <rgbColor rgb="FFB9CDE5"/>
      <rgbColor rgb="FFFF3399"/>
      <rgbColor rgb="FFFFC7CE"/>
      <rgbColor rgb="FF00B050"/>
      <rgbColor rgb="FF0033CC"/>
      <rgbColor rgb="FF00B0F0"/>
      <rgbColor rgb="FFEEECE1"/>
      <rgbColor rgb="FFCCFFCC"/>
      <rgbColor rgb="FFFFFF99"/>
      <rgbColor rgb="FF99CCFF"/>
      <rgbColor rgb="FFFF99CC"/>
      <rgbColor rgb="FFCC99FF"/>
      <rgbColor rgb="FFFFCC99"/>
      <rgbColor rgb="FF3366FF"/>
      <rgbColor rgb="FF33CCCC"/>
      <rgbColor rgb="FF92D050"/>
      <rgbColor rgb="FFFFCC00"/>
      <rgbColor rgb="FFFF9900"/>
      <rgbColor rgb="FFFF6600"/>
      <rgbColor rgb="FF3333FF"/>
      <rgbColor rgb="FF969696"/>
      <rgbColor rgb="FF003366"/>
      <rgbColor rgb="FF339966"/>
      <rgbColor rgb="FF003300"/>
      <rgbColor rgb="FFC6D9F1"/>
      <rgbColor rgb="FF993300"/>
      <rgbColor rgb="FF7030A0"/>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externalLink" Target="externalLinks/externalLink1.xml"/><Relationship Id="rId38" Type="http://schemas.openxmlformats.org/officeDocument/2006/relationships/externalLink" Target="externalLinks/externalLink2.xml"/><Relationship Id="rId39" Type="http://schemas.openxmlformats.org/officeDocument/2006/relationships/externalLink" Target="externalLinks/externalLink3.xml"/><Relationship Id="rId40" Type="http://schemas.openxmlformats.org/officeDocument/2006/relationships/externalLink" Target="externalLinks/externalLink4.xml"/><Relationship Id="rId41" Type="http://schemas.openxmlformats.org/officeDocument/2006/relationships/externalLink" Target="externalLinks/externalLink5.xml"/><Relationship Id="rId42" Type="http://schemas.openxmlformats.org/officeDocument/2006/relationships/externalLink" Target="externalLinks/externalLink6.xml"/><Relationship Id="rId43" Type="http://schemas.openxmlformats.org/officeDocument/2006/relationships/externalLink" Target="externalLinks/externalLink7.xml"/><Relationship Id="rId44" Type="http://schemas.openxmlformats.org/officeDocument/2006/relationships/externalLink" Target="externalLinks/externalLink8.xml"/><Relationship Id="rId45" Type="http://schemas.openxmlformats.org/officeDocument/2006/relationships/externalLink" Target="externalLinks/externalLink9.xml"/><Relationship Id="rId46" Type="http://schemas.openxmlformats.org/officeDocument/2006/relationships/externalLink" Target="externalLinks/externalLink10.xml"/><Relationship Id="rId47" Type="http://schemas.openxmlformats.org/officeDocument/2006/relationships/externalLink" Target="externalLinks/externalLink11.xml"/><Relationship Id="rId48" Type="http://schemas.openxmlformats.org/officeDocument/2006/relationships/externalLink" Target="externalLinks/externalLink12.xml"/><Relationship Id="rId49" Type="http://schemas.openxmlformats.org/officeDocument/2006/relationships/externalLink" Target="externalLinks/externalLink13.xml"/><Relationship Id="rId50" Type="http://schemas.openxmlformats.org/officeDocument/2006/relationships/externalLink" Target="externalLinks/externalLink14.xml"/><Relationship Id="rId51" Type="http://schemas.openxmlformats.org/officeDocument/2006/relationships/externalLink" Target="externalLinks/externalLink15.xml"/><Relationship Id="rId52" Type="http://schemas.openxmlformats.org/officeDocument/2006/relationships/sharedStrings" Target="sharedStrings.xml"/>
</Relationships>
</file>

<file path=xl/ctrlProps/ctrlProps2.xml><?xml version="1.0" encoding="utf-8"?>
<formControlPr xmlns="http://schemas.microsoft.com/office/spreadsheetml/2009/9/main" objectType="Button" lockText="1"/>
</file>

<file path=xl/ctrlProps/ctrlProps4.xml><?xml version="1.0" encoding="utf-8"?>
<formControlPr xmlns="http://schemas.microsoft.com/office/spreadsheetml/2009/9/main" objectType="Button" lockText="1"/>
</file>

<file path=xl/ctrlProps/ctrlProps6.xml><?xml version="1.0" encoding="utf-8"?>
<formControlPr xmlns="http://schemas.microsoft.com/office/spreadsheetml/2009/9/main" objectType="Button" lockText="1"/>
</file>

<file path=xl/ctrlProps/ctrlProps8.xml><?xml version="1.0" encoding="utf-8"?>
<formControlPr xmlns="http://schemas.microsoft.com/office/spreadsheetml/2009/9/main" objectType="Button" lockText="1"/>
</file>

<file path=xl/ctrlProps/ctrlProps10.xml><?xml version="1.0" encoding="utf-8"?>
<formControlPr xmlns="http://schemas.microsoft.com/office/spreadsheetml/2009/9/main" objectType="Button" lockText="1"/>
</file>

<file path=xl/ctrlProps/ctrlProps12.xml><?xml version="1.0" encoding="utf-8"?>
<formControlPr xmlns="http://schemas.microsoft.com/office/spreadsheetml/2009/9/main" objectType="Button" lockText="1"/>
</file>

<file path=xl/ctrlProps/ctrlProps14.xml><?xml version="1.0" encoding="utf-8"?>
<formControlPr xmlns="http://schemas.microsoft.com/office/spreadsheetml/2009/9/main" objectType="Button" lockText="1"/>
</file>

<file path=xl/ctrlProps/ctrlProps16.xml><?xml version="1.0" encoding="utf-8"?>
<formControlPr xmlns="http://schemas.microsoft.com/office/spreadsheetml/2009/9/main" objectType="Button" lockText="1"/>
</file>

<file path=xl/ctrlProps/ctrlProps18.xml><?xml version="1.0" encoding="utf-8"?>
<formControlPr xmlns="http://schemas.microsoft.com/office/spreadsheetml/2009/9/main" objectType="Button" lockText="1"/>
</file>

<file path=xl/ctrlProps/ctrlProps20.xml><?xml version="1.0" encoding="utf-8"?>
<formControlPr xmlns="http://schemas.microsoft.com/office/spreadsheetml/2009/9/main" objectType="Button" lockText="1"/>
</file>

<file path=xl/ctrlProps/ctrlProps22.xml><?xml version="1.0" encoding="utf-8"?>
<formControlPr xmlns="http://schemas.microsoft.com/office/spreadsheetml/2009/9/main" objectType="Button" lockText="1"/>
</file>

<file path=xl/ctrlProps/ctrlProps24.xml><?xml version="1.0" encoding="utf-8"?>
<formControlPr xmlns="http://schemas.microsoft.com/office/spreadsheetml/2009/9/main" objectType="Button" lockText="1"/>
</file>

<file path=xl/ctrlProps/ctrlProps25.xml><?xml version="1.0" encoding="utf-8"?>
<formControlPr xmlns="http://schemas.microsoft.com/office/spreadsheetml/2009/9/main" objectType="Button" lockText="1"/>
</file>

<file path=xl/ctrlProps/ctrlProps27.xml><?xml version="1.0" encoding="utf-8"?>
<formControlPr xmlns="http://schemas.microsoft.com/office/spreadsheetml/2009/9/main" objectType="Button" lockText="1"/>
</file>

<file path=xl/ctrlProps/ctrlProps29.xml><?xml version="1.0" encoding="utf-8"?>
<formControlPr xmlns="http://schemas.microsoft.com/office/spreadsheetml/2009/9/main" objectType="Button" lockText="1"/>
</file>

<file path=xl/ctrlProps/ctrlProps31.xml><?xml version="1.0" encoding="utf-8"?>
<formControlPr xmlns="http://schemas.microsoft.com/office/spreadsheetml/2009/9/main" objectType="Button" lockText="1"/>
</file>

<file path=xl/ctrlProps/ctrlProps33.xml><?xml version="1.0" encoding="utf-8"?>
<formControlPr xmlns="http://schemas.microsoft.com/office/spreadsheetml/2009/9/main" objectType="Button" lockText="1"/>
</file>

<file path=xl/ctrlProps/ctrlProps35.xml><?xml version="1.0" encoding="utf-8"?>
<formControlPr xmlns="http://schemas.microsoft.com/office/spreadsheetml/2009/9/main" objectType="Button" lockText="1"/>
</file>

<file path=xl/ctrlProps/ctrlProps37.xml><?xml version="1.0" encoding="utf-8"?>
<formControlPr xmlns="http://schemas.microsoft.com/office/spreadsheetml/2009/9/main" objectType="Button" lockText="1"/>
</file>

<file path=xl/ctrlProps/ctrlProps38.xml><?xml version="1.0" encoding="utf-8"?>
<formControlPr xmlns="http://schemas.microsoft.com/office/spreadsheetml/2009/9/main" objectType="Button" lockText="1"/>
</file>

<file path=xl/ctrlProps/ctrlProps41.xml><?xml version="1.0" encoding="utf-8"?>
<formControlPr xmlns="http://schemas.microsoft.com/office/spreadsheetml/2009/9/main" objectType="Button" lockText="1"/>
</file>

<file path=xl/ctrlProps/ctrlProps43.xml><?xml version="1.0" encoding="utf-8"?>
<formControlPr xmlns="http://schemas.microsoft.com/office/spreadsheetml/2009/9/main" objectType="Button" lockText="1"/>
</file>

<file path=xl/ctrlProps/ctrlProps45.xml><?xml version="1.0" encoding="utf-8"?>
<formControlPr xmlns="http://schemas.microsoft.com/office/spreadsheetml/2009/9/main" objectType="Button" lockText="1"/>
</file>

<file path=xl/ctrlProps/ctrlProps47.xml><?xml version="1.0" encoding="utf-8"?>
<formControlPr xmlns="http://schemas.microsoft.com/office/spreadsheetml/2009/9/main" objectType="Button" lockText="1"/>
</file>

<file path=xl/ctrlProps/ctrlProps49.xml><?xml version="1.0" encoding="utf-8"?>
<formControlPr xmlns="http://schemas.microsoft.com/office/spreadsheetml/2009/9/main" objectType="Button" lockText="1"/>
</file>

<file path=xl/drawings/_rels/drawing39.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1" name="Button 1" descr="返回" hidden="0"/>
            <xdr:cNvSpPr/>
          </xdr:nvSpPr>
          <xdr:spPr>
            <a:xfrm>
              <a:off x="0" y="0"/>
              <a:ext cx="0" cy="0"/>
            </a:xfrm>
            <a:prstGeom prst="rect">
              <a:avLst/>
            </a:prstGeom>
          </xdr:spPr>
          <xdr:txBody>
            <a:bodyPr anchor="ctr">
              <a:noAutofit/>
            </a:bodyPr>
            <a:p>
              <a:r>
                <a:t>返回</a:t>
              </a:r>
            </a:p>
          </xdr:txBody>
        </xdr:sp>
        <xdr:clientData/>
      </xdr:twoCellAnchor>
    </mc:Choice>
  </mc:AlternateContent>
</xdr:wsDr>
</file>

<file path=xl/drawings/drawing3.xml><?xml version="1.0" encoding="utf-8"?>
<xdr:wsDr xmlns:xdr="http://schemas.openxmlformats.org/drawingml/2006/spreadsheetDrawing" xmlns:a="http://schemas.openxmlformats.org/drawingml/2006/main" xmlns:r="http://schemas.openxmlformats.org/officeDocument/2006/relationships">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1" name="Button 10" descr="返回" hidden="0"/>
            <xdr:cNvSpPr/>
          </xdr:nvSpPr>
          <xdr:spPr>
            <a:xfrm>
              <a:off x="0" y="0"/>
              <a:ext cx="0" cy="0"/>
            </a:xfrm>
            <a:prstGeom prst="rect">
              <a:avLst/>
            </a:prstGeom>
          </xdr:spPr>
          <xdr:txBody>
            <a:bodyPr anchor="ctr">
              <a:noAutofit/>
            </a:bodyPr>
            <a:p>
              <a:r>
                <a:t>返回</a:t>
              </a:r>
            </a:p>
          </xdr:txBody>
        </xdr:sp>
        <xdr:clientData/>
      </xdr:twoCellAnchor>
    </mc:Choice>
  </mc:AlternateContent>
</xdr:wsDr>
</file>

<file path=xl/drawings/drawing5.xml><?xml version="1.0" encoding="utf-8"?>
<xdr:wsDr xmlns:xdr="http://schemas.openxmlformats.org/drawingml/2006/spreadsheetDrawing" xmlns:a="http://schemas.openxmlformats.org/drawingml/2006/main" xmlns:r="http://schemas.openxmlformats.org/officeDocument/2006/relationships">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1" name="Button 2" descr="返回" hidden="0"/>
            <xdr:cNvSpPr/>
          </xdr:nvSpPr>
          <xdr:spPr>
            <a:xfrm>
              <a:off x="0" y="0"/>
              <a:ext cx="0" cy="0"/>
            </a:xfrm>
            <a:prstGeom prst="rect">
              <a:avLst/>
            </a:prstGeom>
          </xdr:spPr>
          <xdr:txBody>
            <a:bodyPr anchor="ctr">
              <a:noAutofit/>
            </a:bodyPr>
            <a:p>
              <a:r>
                <a:t>返回</a:t>
              </a:r>
            </a:p>
          </xdr:txBody>
        </xdr:sp>
        <xdr:clientData/>
      </xdr:twoCellAnchor>
    </mc:Choice>
  </mc:AlternateContent>
</xdr:wsDr>
</file>

<file path=xl/drawings/drawing7.xml><?xml version="1.0" encoding="utf-8"?>
<xdr:wsDr xmlns:xdr="http://schemas.openxmlformats.org/drawingml/2006/spreadsheetDrawing" xmlns:a="http://schemas.openxmlformats.org/drawingml/2006/main" xmlns:r="http://schemas.openxmlformats.org/officeDocument/2006/relationships">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1" name="Button 13" descr="返回" hidden="0"/>
            <xdr:cNvSpPr/>
          </xdr:nvSpPr>
          <xdr:spPr>
            <a:xfrm>
              <a:off x="0" y="0"/>
              <a:ext cx="0" cy="0"/>
            </a:xfrm>
            <a:prstGeom prst="rect">
              <a:avLst/>
            </a:prstGeom>
          </xdr:spPr>
          <xdr:txBody>
            <a:bodyPr anchor="ctr">
              <a:noAutofit/>
            </a:bodyPr>
            <a:p>
              <a:r>
                <a:t>返回</a:t>
              </a:r>
            </a:p>
          </xdr:txBody>
        </xdr:sp>
        <xdr:clientData/>
      </xdr:twoCellAnchor>
    </mc:Choice>
  </mc:AlternateContent>
</xdr:wsDr>
</file>

<file path=xl/drawings/drawing9.xml><?xml version="1.0" encoding="utf-8"?>
<xdr:wsDr xmlns:xdr="http://schemas.openxmlformats.org/drawingml/2006/spreadsheetDrawing" xmlns:a="http://schemas.openxmlformats.org/drawingml/2006/main" xmlns:r="http://schemas.openxmlformats.org/officeDocument/2006/relationships">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1" name="Button 1" descr="返回" hidden="0"/>
            <xdr:cNvSpPr/>
          </xdr:nvSpPr>
          <xdr:spPr>
            <a:xfrm>
              <a:off x="0" y="0"/>
              <a:ext cx="0" cy="0"/>
            </a:xfrm>
            <a:prstGeom prst="rect">
              <a:avLst/>
            </a:prstGeom>
          </xdr:spPr>
          <xdr:txBody>
            <a:bodyPr anchor="ctr">
              <a:noAutofit/>
            </a:bodyPr>
            <a:p>
              <a:r>
                <a:t>返回</a:t>
              </a:r>
            </a:p>
          </xdr:txBody>
        </xdr:sp>
        <xdr:clientData/>
      </xdr:twoCellAnchor>
    </mc:Choice>
  </mc:AlternateContent>
</xdr:wsDr>
</file>

<file path=xl/drawings/drawing11.xml><?xml version="1.0" encoding="utf-8"?>
<xdr:wsDr xmlns:xdr="http://schemas.openxmlformats.org/drawingml/2006/spreadsheetDrawing" xmlns:a="http://schemas.openxmlformats.org/drawingml/2006/main" xmlns:r="http://schemas.openxmlformats.org/officeDocument/2006/relationships">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1" name="Button 1" descr="返回" hidden="0"/>
            <xdr:cNvSpPr/>
          </xdr:nvSpPr>
          <xdr:spPr>
            <a:xfrm>
              <a:off x="0" y="0"/>
              <a:ext cx="0" cy="0"/>
            </a:xfrm>
            <a:prstGeom prst="rect">
              <a:avLst/>
            </a:prstGeom>
          </xdr:spPr>
          <xdr:txBody>
            <a:bodyPr anchor="ctr">
              <a:noAutofit/>
            </a:bodyPr>
            <a:p>
              <a:r>
                <a:t>返回</a:t>
              </a:r>
            </a:p>
          </xdr:txBody>
        </xdr:sp>
        <xdr:clientData/>
      </xdr:twoCellAnchor>
    </mc:Choice>
  </mc:AlternateContent>
</xdr:wsDr>
</file>

<file path=xl/drawings/drawing13.xml><?xml version="1.0" encoding="utf-8"?>
<xdr:wsDr xmlns:xdr="http://schemas.openxmlformats.org/drawingml/2006/spreadsheetDrawing" xmlns:a="http://schemas.openxmlformats.org/drawingml/2006/main" xmlns:r="http://schemas.openxmlformats.org/officeDocument/2006/relationships">
  <xdr:twoCellAnchor editAs="twoCell">
    <xdr:from>
      <xdr:col>4</xdr:col>
      <xdr:colOff>619200</xdr:colOff>
      <xdr:row>31</xdr:row>
      <xdr:rowOff>42120</xdr:rowOff>
    </xdr:from>
    <xdr:to>
      <xdr:col>6</xdr:col>
      <xdr:colOff>377640</xdr:colOff>
      <xdr:row>52</xdr:row>
      <xdr:rowOff>10440</xdr:rowOff>
    </xdr:to>
    <xdr:grpSp>
      <xdr:nvGrpSpPr>
        <xdr:cNvPr id="0" name="组合 2"/>
        <xdr:cNvGrpSpPr/>
      </xdr:nvGrpSpPr>
      <xdr:grpSpPr>
        <a:xfrm>
          <a:off x="9477360" y="5495400"/>
          <a:ext cx="1130040" cy="3969000"/>
          <a:chOff x="9477360" y="5495400"/>
          <a:chExt cx="1130040" cy="3969000"/>
        </a:xfrm>
      </xdr:grpSpPr>
      <xdr:sp>
        <xdr:nvSpPr>
          <xdr:cNvPr id="1" name="Rectangle 1"/>
          <xdr:cNvSpPr/>
        </xdr:nvSpPr>
        <xdr:spPr>
          <a:xfrm>
            <a:off x="9477360" y="5725440"/>
            <a:ext cx="758520" cy="3459600"/>
          </a:xfrm>
          <a:prstGeom prst="rect">
            <a:avLst/>
          </a:prstGeom>
          <a:noFill/>
          <a:ln w="19050">
            <a:solidFill>
              <a:srgbClr val="000000"/>
            </a:solidFill>
            <a:miter/>
          </a:ln>
        </xdr:spPr>
        <xdr:style>
          <a:lnRef idx="0"/>
          <a:fillRef idx="0"/>
          <a:effectRef idx="0"/>
          <a:fontRef idx="minor"/>
        </xdr:style>
      </xdr:sp>
      <xdr:sp>
        <xdr:nvSpPr>
          <xdr:cNvPr id="2" name="Text Box 2"/>
          <xdr:cNvSpPr/>
        </xdr:nvSpPr>
        <xdr:spPr>
          <a:xfrm>
            <a:off x="10321920" y="5865120"/>
            <a:ext cx="247320" cy="195840"/>
          </a:xfrm>
          <a:prstGeom prst="rect">
            <a:avLst/>
          </a:prstGeom>
          <a:noFill/>
          <a:ln w="0">
            <a:noFill/>
          </a:ln>
        </xdr:spPr>
        <xdr:style>
          <a:lnRef idx="0"/>
          <a:fillRef idx="0"/>
          <a:effectRef idx="0"/>
          <a:fontRef idx="minor"/>
        </xdr:style>
      </xdr:sp>
      <xdr:sp>
        <xdr:nvSpPr>
          <xdr:cNvPr id="3" name="Text Box 3"/>
          <xdr:cNvSpPr/>
        </xdr:nvSpPr>
        <xdr:spPr>
          <a:xfrm>
            <a:off x="10360080" y="6021360"/>
            <a:ext cx="247320" cy="189360"/>
          </a:xfrm>
          <a:prstGeom prst="rect">
            <a:avLst/>
          </a:prstGeom>
          <a:noFill/>
          <a:ln w="0">
            <a:noFill/>
          </a:ln>
        </xdr:spPr>
        <xdr:style>
          <a:lnRef idx="0"/>
          <a:fillRef idx="0"/>
          <a:effectRef idx="0"/>
          <a:fontRef idx="minor"/>
        </xdr:style>
        <xdr:txBody>
          <a:bodyPr vertOverflow="clip" lIns="0" rIns="0" tIns="0" bIns="0" anchor="t" upright="1">
            <a:noAutofit/>
          </a:bodyPr>
          <a:p>
            <a:pPr>
              <a:lnSpc>
                <a:spcPct val="100000"/>
              </a:lnSpc>
            </a:pPr>
            <a:r>
              <a:rPr b="0" lang="en-US" sz="1200" spc="-1" strike="noStrike">
                <a:solidFill>
                  <a:srgbClr val="000000"/>
                </a:solidFill>
                <a:latin typeface="Times New Roman"/>
              </a:rPr>
              <a:t>L1</a:t>
            </a:r>
            <a:endParaRPr b="0" lang="en-US" sz="1200" spc="-1" strike="noStrike">
              <a:latin typeface="Times New Roman"/>
            </a:endParaRPr>
          </a:p>
        </xdr:txBody>
      </xdr:sp>
      <xdr:sp>
        <xdr:nvSpPr>
          <xdr:cNvPr id="4" name="Text Box 4"/>
          <xdr:cNvSpPr/>
        </xdr:nvSpPr>
        <xdr:spPr>
          <a:xfrm>
            <a:off x="10321920" y="6510600"/>
            <a:ext cx="209160" cy="189360"/>
          </a:xfrm>
          <a:prstGeom prst="rect">
            <a:avLst/>
          </a:prstGeom>
          <a:noFill/>
          <a:ln w="0">
            <a:noFill/>
          </a:ln>
        </xdr:spPr>
        <xdr:style>
          <a:lnRef idx="0"/>
          <a:fillRef idx="0"/>
          <a:effectRef idx="0"/>
          <a:fontRef idx="minor"/>
        </xdr:style>
      </xdr:sp>
      <xdr:sp>
        <xdr:nvSpPr>
          <xdr:cNvPr id="5" name="Text Box 5"/>
          <xdr:cNvSpPr/>
        </xdr:nvSpPr>
        <xdr:spPr>
          <a:xfrm>
            <a:off x="10321920" y="7109280"/>
            <a:ext cx="209160" cy="169200"/>
          </a:xfrm>
          <a:prstGeom prst="rect">
            <a:avLst/>
          </a:prstGeom>
          <a:noFill/>
          <a:ln w="0">
            <a:noFill/>
          </a:ln>
        </xdr:spPr>
        <xdr:style>
          <a:lnRef idx="0"/>
          <a:fillRef idx="0"/>
          <a:effectRef idx="0"/>
          <a:fontRef idx="minor"/>
        </xdr:style>
      </xdr:sp>
      <xdr:sp>
        <xdr:nvSpPr>
          <xdr:cNvPr id="6" name="Text Box 6"/>
          <xdr:cNvSpPr/>
        </xdr:nvSpPr>
        <xdr:spPr>
          <a:xfrm>
            <a:off x="10302840" y="8237160"/>
            <a:ext cx="209160" cy="199080"/>
          </a:xfrm>
          <a:prstGeom prst="rect">
            <a:avLst/>
          </a:prstGeom>
          <a:noFill/>
          <a:ln w="0">
            <a:noFill/>
          </a:ln>
        </xdr:spPr>
        <xdr:style>
          <a:lnRef idx="0"/>
          <a:fillRef idx="0"/>
          <a:effectRef idx="0"/>
          <a:fontRef idx="minor"/>
        </xdr:style>
        <xdr:txBody>
          <a:bodyPr vertOverflow="clip" lIns="0" rIns="0" tIns="0" bIns="0" anchor="t" upright="1">
            <a:noAutofit/>
          </a:bodyPr>
          <a:p>
            <a:pPr>
              <a:lnSpc>
                <a:spcPct val="100000"/>
              </a:lnSpc>
            </a:pPr>
            <a:r>
              <a:rPr b="0" lang="en-US" sz="1200" spc="-1" strike="noStrike">
                <a:solidFill>
                  <a:srgbClr val="000000"/>
                </a:solidFill>
                <a:latin typeface="Times New Roman"/>
              </a:rPr>
              <a:t>L5</a:t>
            </a:r>
            <a:endParaRPr b="0" lang="en-US" sz="1200" spc="-1" strike="noStrike">
              <a:latin typeface="Times New Roman"/>
            </a:endParaRPr>
          </a:p>
        </xdr:txBody>
      </xdr:sp>
      <xdr:sp>
        <xdr:nvSpPr>
          <xdr:cNvPr id="7" name="Text Box 7"/>
          <xdr:cNvSpPr/>
        </xdr:nvSpPr>
        <xdr:spPr>
          <a:xfrm>
            <a:off x="10321920" y="7508520"/>
            <a:ext cx="209160" cy="189360"/>
          </a:xfrm>
          <a:prstGeom prst="rect">
            <a:avLst/>
          </a:prstGeom>
          <a:noFill/>
          <a:ln w="0">
            <a:noFill/>
          </a:ln>
        </xdr:spPr>
        <xdr:style>
          <a:lnRef idx="0"/>
          <a:fillRef idx="0"/>
          <a:effectRef idx="0"/>
          <a:fontRef idx="minor"/>
        </xdr:style>
        <xdr:txBody>
          <a:bodyPr vertOverflow="clip" lIns="0" rIns="0" tIns="0" bIns="0" anchor="t" upright="1">
            <a:noAutofit/>
          </a:bodyPr>
          <a:p>
            <a:pPr>
              <a:lnSpc>
                <a:spcPct val="100000"/>
              </a:lnSpc>
            </a:pPr>
            <a:r>
              <a:rPr b="0" lang="en-US" sz="1200" spc="-1" strike="noStrike">
                <a:solidFill>
                  <a:srgbClr val="000000"/>
                </a:solidFill>
                <a:latin typeface="Times New Roman"/>
              </a:rPr>
              <a:t>L4</a:t>
            </a:r>
            <a:endParaRPr b="0" lang="en-US" sz="1200" spc="-1" strike="noStrike">
              <a:latin typeface="Times New Roman"/>
            </a:endParaRPr>
          </a:p>
        </xdr:txBody>
      </xdr:sp>
      <xdr:sp>
        <xdr:nvSpPr>
          <xdr:cNvPr id="8" name="Line 8"/>
          <xdr:cNvSpPr/>
        </xdr:nvSpPr>
        <xdr:spPr>
          <a:xfrm>
            <a:off x="9635760" y="7298640"/>
            <a:ext cx="457200" cy="360"/>
          </a:xfrm>
          <a:prstGeom prst="line">
            <a:avLst/>
          </a:prstGeom>
          <a:ln w="9525">
            <a:solidFill>
              <a:srgbClr val="000000"/>
            </a:solidFill>
            <a:round/>
          </a:ln>
        </xdr:spPr>
        <xdr:style>
          <a:lnRef idx="0"/>
          <a:fillRef idx="0"/>
          <a:effectRef idx="0"/>
          <a:fontRef idx="minor"/>
        </xdr:style>
      </xdr:sp>
      <xdr:sp>
        <xdr:nvSpPr>
          <xdr:cNvPr id="9" name="Text Box 9"/>
          <xdr:cNvSpPr/>
        </xdr:nvSpPr>
        <xdr:spPr>
          <a:xfrm>
            <a:off x="9769320" y="7079400"/>
            <a:ext cx="228240" cy="169200"/>
          </a:xfrm>
          <a:prstGeom prst="rect">
            <a:avLst/>
          </a:prstGeom>
          <a:noFill/>
          <a:ln w="0">
            <a:noFill/>
          </a:ln>
        </xdr:spPr>
        <xdr:style>
          <a:lnRef idx="0"/>
          <a:fillRef idx="0"/>
          <a:effectRef idx="0"/>
          <a:fontRef idx="minor"/>
        </xdr:style>
        <xdr:txBody>
          <a:bodyPr vertOverflow="clip" lIns="0" rIns="0" tIns="0" bIns="0" anchor="t" upright="1">
            <a:noAutofit/>
          </a:bodyPr>
          <a:p>
            <a:pPr>
              <a:lnSpc>
                <a:spcPct val="100000"/>
              </a:lnSpc>
            </a:pPr>
            <a:r>
              <a:rPr b="0" lang="en-US" sz="1200" spc="-1" strike="noStrike">
                <a:solidFill>
                  <a:srgbClr val="000000"/>
                </a:solidFill>
                <a:latin typeface="Times New Roman"/>
              </a:rPr>
              <a:t>HL</a:t>
            </a:r>
            <a:endParaRPr b="0" lang="en-US" sz="1200" spc="-1" strike="noStrike">
              <a:latin typeface="Times New Roman"/>
            </a:endParaRPr>
          </a:p>
        </xdr:txBody>
      </xdr:sp>
      <xdr:sp>
        <xdr:nvSpPr>
          <xdr:cNvPr id="10" name="Line 10"/>
          <xdr:cNvSpPr/>
        </xdr:nvSpPr>
        <xdr:spPr>
          <a:xfrm>
            <a:off x="9626400" y="7977240"/>
            <a:ext cx="447480" cy="360"/>
          </a:xfrm>
          <a:prstGeom prst="line">
            <a:avLst/>
          </a:prstGeom>
          <a:ln w="9525">
            <a:solidFill>
              <a:srgbClr val="000000"/>
            </a:solidFill>
            <a:round/>
          </a:ln>
        </xdr:spPr>
        <xdr:style>
          <a:lnRef idx="0"/>
          <a:fillRef idx="0"/>
          <a:effectRef idx="0"/>
          <a:fontRef idx="minor"/>
        </xdr:style>
      </xdr:sp>
      <xdr:sp>
        <xdr:nvSpPr>
          <xdr:cNvPr id="11" name="Text Box 11"/>
          <xdr:cNvSpPr/>
        </xdr:nvSpPr>
        <xdr:spPr>
          <a:xfrm>
            <a:off x="9750240" y="7189200"/>
            <a:ext cx="237600" cy="189360"/>
          </a:xfrm>
          <a:prstGeom prst="rect">
            <a:avLst/>
          </a:prstGeom>
          <a:noFill/>
          <a:ln w="0">
            <a:noFill/>
          </a:ln>
        </xdr:spPr>
        <xdr:style>
          <a:lnRef idx="0"/>
          <a:fillRef idx="0"/>
          <a:effectRef idx="0"/>
          <a:fontRef idx="minor"/>
        </xdr:style>
      </xdr:sp>
      <xdr:sp>
        <xdr:nvSpPr>
          <xdr:cNvPr id="12" name="Text Box 12"/>
          <xdr:cNvSpPr/>
        </xdr:nvSpPr>
        <xdr:spPr>
          <a:xfrm>
            <a:off x="9769320" y="7707960"/>
            <a:ext cx="190080" cy="219240"/>
          </a:xfrm>
          <a:prstGeom prst="rect">
            <a:avLst/>
          </a:prstGeom>
          <a:noFill/>
          <a:ln w="0">
            <a:noFill/>
          </a:ln>
        </xdr:spPr>
        <xdr:style>
          <a:lnRef idx="0"/>
          <a:fillRef idx="0"/>
          <a:effectRef idx="0"/>
          <a:fontRef idx="minor"/>
        </xdr:style>
        <xdr:txBody>
          <a:bodyPr vertOverflow="clip" lIns="0" rIns="0" tIns="0" bIns="0" anchor="t" upright="1">
            <a:noAutofit/>
          </a:bodyPr>
          <a:p>
            <a:pPr>
              <a:lnSpc>
                <a:spcPct val="100000"/>
              </a:lnSpc>
            </a:pPr>
            <a:r>
              <a:rPr b="0" lang="en-US" sz="1200" spc="-1" strike="noStrike">
                <a:solidFill>
                  <a:srgbClr val="000000"/>
                </a:solidFill>
                <a:latin typeface="Times New Roman"/>
              </a:rPr>
              <a:t>LL</a:t>
            </a:r>
            <a:endParaRPr b="0" lang="en-US" sz="1200" spc="-1" strike="noStrike">
              <a:latin typeface="Times New Roman"/>
            </a:endParaRPr>
          </a:p>
        </xdr:txBody>
      </xdr:sp>
      <xdr:sp>
        <xdr:nvSpPr>
          <xdr:cNvPr id="13" name="Line 13"/>
          <xdr:cNvSpPr/>
        </xdr:nvSpPr>
        <xdr:spPr>
          <a:xfrm>
            <a:off x="10226520" y="6420600"/>
            <a:ext cx="171360" cy="360"/>
          </a:xfrm>
          <a:prstGeom prst="line">
            <a:avLst/>
          </a:prstGeom>
          <a:ln w="9525">
            <a:solidFill>
              <a:srgbClr val="000000"/>
            </a:solidFill>
            <a:round/>
          </a:ln>
        </xdr:spPr>
        <xdr:style>
          <a:lnRef idx="0"/>
          <a:fillRef idx="0"/>
          <a:effectRef idx="0"/>
          <a:fontRef idx="minor"/>
        </xdr:style>
      </xdr:sp>
      <xdr:sp>
        <xdr:nvSpPr>
          <xdr:cNvPr id="14" name="Line 14"/>
          <xdr:cNvSpPr/>
        </xdr:nvSpPr>
        <xdr:spPr>
          <a:xfrm>
            <a:off x="10416960" y="6360480"/>
            <a:ext cx="360" cy="99720"/>
          </a:xfrm>
          <a:prstGeom prst="line">
            <a:avLst/>
          </a:prstGeom>
          <a:ln w="9525">
            <a:solidFill>
              <a:srgbClr val="000000"/>
            </a:solidFill>
            <a:round/>
          </a:ln>
        </xdr:spPr>
        <xdr:style>
          <a:lnRef idx="0"/>
          <a:fillRef idx="0"/>
          <a:effectRef idx="0"/>
          <a:fontRef idx="minor"/>
        </xdr:style>
      </xdr:sp>
      <xdr:sp>
        <xdr:nvSpPr>
          <xdr:cNvPr id="15" name="Rectangle 15"/>
          <xdr:cNvSpPr/>
        </xdr:nvSpPr>
        <xdr:spPr>
          <a:xfrm>
            <a:off x="9477360" y="5971680"/>
            <a:ext cx="758520" cy="199080"/>
          </a:xfrm>
          <a:prstGeom prst="rect">
            <a:avLst/>
          </a:prstGeom>
          <a:solidFill>
            <a:srgbClr val="00ff00"/>
          </a:solidFill>
          <a:ln w="9525">
            <a:solidFill>
              <a:srgbClr val="000000"/>
            </a:solidFill>
            <a:miter/>
          </a:ln>
        </xdr:spPr>
        <xdr:style>
          <a:lnRef idx="0"/>
          <a:fillRef idx="0"/>
          <a:effectRef idx="0"/>
          <a:fontRef idx="minor"/>
        </xdr:style>
      </xdr:sp>
      <xdr:sp>
        <xdr:nvSpPr>
          <xdr:cNvPr id="16" name="Text Box 16"/>
          <xdr:cNvSpPr/>
        </xdr:nvSpPr>
        <xdr:spPr>
          <a:xfrm>
            <a:off x="10321920" y="8716320"/>
            <a:ext cx="209160" cy="189360"/>
          </a:xfrm>
          <a:prstGeom prst="rect">
            <a:avLst/>
          </a:prstGeom>
          <a:noFill/>
          <a:ln w="0">
            <a:noFill/>
          </a:ln>
        </xdr:spPr>
        <xdr:style>
          <a:lnRef idx="0"/>
          <a:fillRef idx="0"/>
          <a:effectRef idx="0"/>
          <a:fontRef idx="minor"/>
        </xdr:style>
      </xdr:sp>
      <xdr:sp>
        <xdr:nvSpPr>
          <xdr:cNvPr id="17" name="Text Box 17"/>
          <xdr:cNvSpPr/>
        </xdr:nvSpPr>
        <xdr:spPr>
          <a:xfrm>
            <a:off x="10321920" y="8496720"/>
            <a:ext cx="209160" cy="189360"/>
          </a:xfrm>
          <a:prstGeom prst="rect">
            <a:avLst/>
          </a:prstGeom>
          <a:noFill/>
          <a:ln w="0">
            <a:noFill/>
          </a:ln>
        </xdr:spPr>
        <xdr:style>
          <a:lnRef idx="0"/>
          <a:fillRef idx="0"/>
          <a:effectRef idx="0"/>
          <a:fontRef idx="minor"/>
        </xdr:style>
      </xdr:sp>
      <xdr:sp>
        <xdr:nvSpPr>
          <xdr:cNvPr id="18" name="Arc 18"/>
          <xdr:cNvSpPr/>
        </xdr:nvSpPr>
        <xdr:spPr>
          <a:xfrm>
            <a:off x="9477360" y="9145440"/>
            <a:ext cx="758520" cy="318960"/>
          </a:xfrm>
          <a:custGeom>
            <a:avLst/>
            <a:gdLst>
              <a:gd name="textAreaLeft" fmla="*/ 0 w 758520"/>
              <a:gd name="textAreaRight" fmla="*/ 758880 w 758520"/>
              <a:gd name="textAreaTop" fmla="*/ 0 h 318960"/>
              <a:gd name="textAreaBottom" fmla="*/ 319320 h 318960"/>
            </a:gdLst>
            <a:ahLst/>
            <a:rect l="textAreaLeft" t="textAreaTop" r="textAreaRight" b="textAreaBottom"/>
            <a:pathLst>
              <a:path fill="none" w="42893" h="21600">
                <a:moveTo>
                  <a:pt x="42892" y="3012"/>
                </a:moveTo>
                <a:cubicBezTo>
                  <a:pt x="41391" y="13672"/>
                  <a:pt x="32269" y="21599"/>
                  <a:pt x="21504" y="21600"/>
                </a:cubicBezTo>
                <a:cubicBezTo>
                  <a:pt x="10363" y="21600"/>
                  <a:pt x="1050" y="13127"/>
                  <a:pt x="0" y="2035"/>
                </a:cubicBezTo>
              </a:path>
              <a:path stroke="0" w="42893" h="21600">
                <a:moveTo>
                  <a:pt x="42892" y="3012"/>
                </a:moveTo>
                <a:cubicBezTo>
                  <a:pt x="41391" y="13672"/>
                  <a:pt x="32269" y="21599"/>
                  <a:pt x="21504" y="21600"/>
                </a:cubicBezTo>
                <a:cubicBezTo>
                  <a:pt x="10363" y="21600"/>
                  <a:pt x="1050" y="13127"/>
                  <a:pt x="0" y="2035"/>
                </a:cubicBezTo>
                <a:lnTo>
                  <a:pt x="21504" y="0"/>
                </a:lnTo>
                <a:close/>
              </a:path>
            </a:pathLst>
          </a:custGeom>
          <a:noFill/>
          <a:ln w="19050">
            <a:solidFill>
              <a:srgbClr val="000000"/>
            </a:solidFill>
            <a:round/>
          </a:ln>
        </xdr:spPr>
        <xdr:style>
          <a:lnRef idx="0"/>
          <a:fillRef idx="0"/>
          <a:effectRef idx="0"/>
          <a:fontRef idx="minor"/>
        </xdr:style>
      </xdr:sp>
      <xdr:sp>
        <xdr:nvSpPr>
          <xdr:cNvPr id="19" name="Arc 19"/>
          <xdr:cNvSpPr/>
        </xdr:nvSpPr>
        <xdr:spPr>
          <a:xfrm flipV="1">
            <a:off x="9477360" y="5495040"/>
            <a:ext cx="758520" cy="279000"/>
          </a:xfrm>
          <a:custGeom>
            <a:avLst/>
            <a:gdLst>
              <a:gd name="textAreaLeft" fmla="*/ 0 w 758520"/>
              <a:gd name="textAreaRight" fmla="*/ 758880 w 758520"/>
              <a:gd name="textAreaTop" fmla="*/ -360 h 279000"/>
              <a:gd name="textAreaBottom" fmla="*/ 279000 h 279000"/>
            </a:gdLst>
            <a:ahLst/>
            <a:rect l="textAreaLeft" t="textAreaTop" r="textAreaRight" b="textAreaBottom"/>
            <a:pathLst>
              <a:path fill="none" w="42893" h="21600">
                <a:moveTo>
                  <a:pt x="42892" y="3012"/>
                </a:moveTo>
                <a:cubicBezTo>
                  <a:pt x="41391" y="13672"/>
                  <a:pt x="32269" y="21599"/>
                  <a:pt x="21504" y="21600"/>
                </a:cubicBezTo>
                <a:cubicBezTo>
                  <a:pt x="10363" y="21600"/>
                  <a:pt x="1050" y="13127"/>
                  <a:pt x="0" y="2035"/>
                </a:cubicBezTo>
              </a:path>
              <a:path stroke="0" w="42893" h="21600">
                <a:moveTo>
                  <a:pt x="42892" y="3012"/>
                </a:moveTo>
                <a:cubicBezTo>
                  <a:pt x="41391" y="13672"/>
                  <a:pt x="32269" y="21599"/>
                  <a:pt x="21504" y="21600"/>
                </a:cubicBezTo>
                <a:cubicBezTo>
                  <a:pt x="10363" y="21600"/>
                  <a:pt x="1050" y="13127"/>
                  <a:pt x="0" y="2035"/>
                </a:cubicBezTo>
                <a:lnTo>
                  <a:pt x="21504" y="0"/>
                </a:lnTo>
                <a:close/>
              </a:path>
            </a:pathLst>
          </a:custGeom>
          <a:noFill/>
          <a:ln w="19050">
            <a:solidFill>
              <a:srgbClr val="000000"/>
            </a:solidFill>
            <a:round/>
          </a:ln>
        </xdr:spPr>
        <xdr:style>
          <a:lnRef idx="0"/>
          <a:fillRef idx="0"/>
          <a:effectRef idx="0"/>
          <a:fontRef idx="minor"/>
        </xdr:style>
      </xdr:sp>
      <xdr:sp>
        <xdr:nvSpPr>
          <xdr:cNvPr id="20" name="Text Box 20"/>
          <xdr:cNvSpPr/>
        </xdr:nvSpPr>
        <xdr:spPr>
          <a:xfrm>
            <a:off x="10036080" y="8526600"/>
            <a:ext cx="171000" cy="199080"/>
          </a:xfrm>
          <a:prstGeom prst="rect">
            <a:avLst/>
          </a:prstGeom>
          <a:noFill/>
          <a:ln w="0">
            <a:noFill/>
          </a:ln>
        </xdr:spPr>
        <xdr:style>
          <a:lnRef idx="0"/>
          <a:fillRef idx="0"/>
          <a:effectRef idx="0"/>
          <a:fontRef idx="minor"/>
        </xdr:style>
      </xdr:sp>
      <xdr:sp>
        <xdr:nvSpPr>
          <xdr:cNvPr id="21" name="Line 21"/>
          <xdr:cNvSpPr/>
        </xdr:nvSpPr>
        <xdr:spPr>
          <a:xfrm>
            <a:off x="10226520" y="5725080"/>
            <a:ext cx="266760" cy="360"/>
          </a:xfrm>
          <a:prstGeom prst="line">
            <a:avLst/>
          </a:prstGeom>
          <a:ln w="9525">
            <a:solidFill>
              <a:srgbClr val="000000"/>
            </a:solidFill>
            <a:round/>
          </a:ln>
        </xdr:spPr>
        <xdr:style>
          <a:lnRef idx="0"/>
          <a:fillRef idx="0"/>
          <a:effectRef idx="0"/>
          <a:fontRef idx="minor"/>
        </xdr:style>
      </xdr:sp>
      <xdr:sp>
        <xdr:nvSpPr>
          <xdr:cNvPr id="22" name="Line 22"/>
          <xdr:cNvSpPr/>
        </xdr:nvSpPr>
        <xdr:spPr>
          <a:xfrm>
            <a:off x="10235880" y="7308720"/>
            <a:ext cx="285840" cy="360"/>
          </a:xfrm>
          <a:prstGeom prst="line">
            <a:avLst/>
          </a:prstGeom>
          <a:ln w="9525">
            <a:solidFill>
              <a:srgbClr val="000000"/>
            </a:solidFill>
            <a:round/>
          </a:ln>
        </xdr:spPr>
        <xdr:style>
          <a:lnRef idx="0"/>
          <a:fillRef idx="0"/>
          <a:effectRef idx="0"/>
          <a:fontRef idx="minor"/>
        </xdr:style>
      </xdr:sp>
      <xdr:sp>
        <xdr:nvSpPr>
          <xdr:cNvPr id="23" name="Text Box 23"/>
          <xdr:cNvSpPr/>
        </xdr:nvSpPr>
        <xdr:spPr>
          <a:xfrm>
            <a:off x="9664560" y="8296920"/>
            <a:ext cx="475920" cy="199080"/>
          </a:xfrm>
          <a:prstGeom prst="rect">
            <a:avLst/>
          </a:prstGeom>
          <a:noFill/>
          <a:ln w="0">
            <a:noFill/>
          </a:ln>
        </xdr:spPr>
        <xdr:style>
          <a:lnRef idx="0"/>
          <a:fillRef idx="0"/>
          <a:effectRef idx="0"/>
          <a:fontRef idx="minor"/>
        </xdr:style>
        <xdr:txBody>
          <a:bodyPr vertOverflow="clip" lIns="0" rIns="0" tIns="0" bIns="0" anchor="t" upright="1">
            <a:noAutofit/>
          </a:bodyPr>
          <a:p>
            <a:pPr>
              <a:lnSpc>
                <a:spcPct val="100000"/>
              </a:lnSpc>
            </a:pPr>
            <a:r>
              <a:rPr b="0" lang="en-US" sz="1200" spc="-1" strike="noStrike">
                <a:solidFill>
                  <a:srgbClr val="000000"/>
                </a:solidFill>
                <a:latin typeface="Times New Roman"/>
              </a:rPr>
              <a:t>  </a:t>
            </a:r>
            <a:r>
              <a:rPr b="0" lang="en-US" sz="1200" spc="-1" strike="noStrike">
                <a:solidFill>
                  <a:srgbClr val="000000"/>
                </a:solidFill>
                <a:latin typeface="Times New Roman"/>
              </a:rPr>
              <a:t>LLL</a:t>
            </a:r>
            <a:endParaRPr b="0" lang="en-US" sz="1200" spc="-1" strike="noStrike">
              <a:latin typeface="Times New Roman"/>
            </a:endParaRPr>
          </a:p>
        </xdr:txBody>
      </xdr:sp>
      <xdr:sp>
        <xdr:nvSpPr>
          <xdr:cNvPr id="24" name="Line 24"/>
          <xdr:cNvSpPr/>
        </xdr:nvSpPr>
        <xdr:spPr>
          <a:xfrm>
            <a:off x="9654840" y="8546400"/>
            <a:ext cx="457200" cy="360"/>
          </a:xfrm>
          <a:prstGeom prst="line">
            <a:avLst/>
          </a:prstGeom>
          <a:ln w="9525">
            <a:solidFill>
              <a:srgbClr val="000000"/>
            </a:solidFill>
            <a:round/>
          </a:ln>
        </xdr:spPr>
        <xdr:style>
          <a:lnRef idx="0"/>
          <a:fillRef idx="0"/>
          <a:effectRef idx="0"/>
          <a:fontRef idx="minor"/>
        </xdr:style>
      </xdr:sp>
      <xdr:sp>
        <xdr:nvSpPr>
          <xdr:cNvPr id="25" name="Line 25"/>
          <xdr:cNvSpPr/>
        </xdr:nvSpPr>
        <xdr:spPr>
          <a:xfrm>
            <a:off x="10264680" y="7997400"/>
            <a:ext cx="285480" cy="360"/>
          </a:xfrm>
          <a:prstGeom prst="line">
            <a:avLst/>
          </a:prstGeom>
          <a:ln w="9525">
            <a:solidFill>
              <a:srgbClr val="000000"/>
            </a:solidFill>
            <a:round/>
          </a:ln>
        </xdr:spPr>
        <xdr:style>
          <a:lnRef idx="0"/>
          <a:fillRef idx="0"/>
          <a:effectRef idx="0"/>
          <a:fontRef idx="minor"/>
        </xdr:style>
      </xdr:sp>
      <xdr:sp>
        <xdr:nvSpPr>
          <xdr:cNvPr id="26" name="Text Box 26"/>
          <xdr:cNvSpPr/>
        </xdr:nvSpPr>
        <xdr:spPr>
          <a:xfrm>
            <a:off x="10283760" y="8746200"/>
            <a:ext cx="209160" cy="189360"/>
          </a:xfrm>
          <a:prstGeom prst="rect">
            <a:avLst/>
          </a:prstGeom>
          <a:noFill/>
          <a:ln w="0">
            <a:noFill/>
          </a:ln>
        </xdr:spPr>
        <xdr:style>
          <a:lnRef idx="0"/>
          <a:fillRef idx="0"/>
          <a:effectRef idx="0"/>
          <a:fontRef idx="minor"/>
        </xdr:style>
        <xdr:txBody>
          <a:bodyPr vertOverflow="clip" lIns="0" rIns="0" tIns="0" bIns="0" anchor="t" upright="1">
            <a:noAutofit/>
          </a:bodyPr>
          <a:p>
            <a:pPr>
              <a:lnSpc>
                <a:spcPct val="100000"/>
              </a:lnSpc>
            </a:pPr>
            <a:r>
              <a:rPr b="0" lang="en-US" sz="1200" spc="-1" strike="noStrike">
                <a:solidFill>
                  <a:srgbClr val="000000"/>
                </a:solidFill>
                <a:latin typeface="Times New Roman"/>
              </a:rPr>
              <a:t>L6</a:t>
            </a:r>
            <a:endParaRPr b="0" lang="en-US" sz="1200" spc="-1" strike="noStrike">
              <a:latin typeface="Times New Roman"/>
            </a:endParaRPr>
          </a:p>
        </xdr:txBody>
      </xdr:sp>
      <xdr:sp>
        <xdr:nvSpPr>
          <xdr:cNvPr id="27" name="Line 27"/>
          <xdr:cNvSpPr/>
        </xdr:nvSpPr>
        <xdr:spPr>
          <a:xfrm>
            <a:off x="10264680" y="8536320"/>
            <a:ext cx="285480" cy="360"/>
          </a:xfrm>
          <a:prstGeom prst="line">
            <a:avLst/>
          </a:prstGeom>
          <a:ln w="9525">
            <a:solidFill>
              <a:srgbClr val="000000"/>
            </a:solidFill>
            <a:round/>
          </a:ln>
        </xdr:spPr>
        <xdr:style>
          <a:lnRef idx="0"/>
          <a:fillRef idx="0"/>
          <a:effectRef idx="0"/>
          <a:fontRef idx="minor"/>
        </xdr:style>
      </xdr:sp>
      <xdr:sp>
        <xdr:nvSpPr>
          <xdr:cNvPr id="28" name="Text Box 28"/>
          <xdr:cNvSpPr/>
        </xdr:nvSpPr>
        <xdr:spPr>
          <a:xfrm>
            <a:off x="10036080" y="8766000"/>
            <a:ext cx="199800" cy="129240"/>
          </a:xfrm>
          <a:prstGeom prst="rect">
            <a:avLst/>
          </a:prstGeom>
          <a:noFill/>
          <a:ln w="0">
            <a:noFill/>
          </a:ln>
        </xdr:spPr>
        <xdr:style>
          <a:lnRef idx="0"/>
          <a:fillRef idx="0"/>
          <a:effectRef idx="0"/>
          <a:fontRef idx="minor"/>
        </xdr:style>
      </xdr:sp>
      <xdr:sp>
        <xdr:nvSpPr>
          <xdr:cNvPr id="29" name="Text Box 29"/>
          <xdr:cNvSpPr/>
        </xdr:nvSpPr>
        <xdr:spPr>
          <a:xfrm>
            <a:off x="10036080" y="8875800"/>
            <a:ext cx="199800" cy="129240"/>
          </a:xfrm>
          <a:prstGeom prst="rect">
            <a:avLst/>
          </a:prstGeom>
          <a:noFill/>
          <a:ln w="0">
            <a:noFill/>
          </a:ln>
        </xdr:spPr>
        <xdr:style>
          <a:lnRef idx="0"/>
          <a:fillRef idx="0"/>
          <a:effectRef idx="0"/>
          <a:fontRef idx="minor"/>
        </xdr:style>
      </xdr:sp>
      <xdr:sp>
        <xdr:nvSpPr>
          <xdr:cNvPr id="30" name="Text Box 30"/>
          <xdr:cNvSpPr/>
        </xdr:nvSpPr>
        <xdr:spPr>
          <a:xfrm>
            <a:off x="10321920" y="8875800"/>
            <a:ext cx="209160" cy="189360"/>
          </a:xfrm>
          <a:prstGeom prst="rect">
            <a:avLst/>
          </a:prstGeom>
          <a:noFill/>
          <a:ln w="0">
            <a:noFill/>
          </a:ln>
        </xdr:spPr>
        <xdr:style>
          <a:lnRef idx="0"/>
          <a:fillRef idx="0"/>
          <a:effectRef idx="0"/>
          <a:fontRef idx="minor"/>
        </xdr:style>
      </xdr:sp>
      <xdr:sp>
        <xdr:nvSpPr>
          <xdr:cNvPr id="31" name="Line 31"/>
          <xdr:cNvSpPr/>
        </xdr:nvSpPr>
        <xdr:spPr>
          <a:xfrm>
            <a:off x="10254960" y="9195120"/>
            <a:ext cx="276120" cy="360"/>
          </a:xfrm>
          <a:prstGeom prst="line">
            <a:avLst/>
          </a:prstGeom>
          <a:ln w="9525">
            <a:solidFill>
              <a:srgbClr val="000000"/>
            </a:solidFill>
            <a:round/>
          </a:ln>
        </xdr:spPr>
        <xdr:style>
          <a:lnRef idx="0"/>
          <a:fillRef idx="0"/>
          <a:effectRef idx="0"/>
          <a:fontRef idx="minor"/>
        </xdr:style>
      </xdr:sp>
      <xdr:sp>
        <xdr:nvSpPr>
          <xdr:cNvPr id="32" name="Line 32"/>
          <xdr:cNvSpPr/>
        </xdr:nvSpPr>
        <xdr:spPr>
          <a:xfrm>
            <a:off x="9626400" y="6909480"/>
            <a:ext cx="457200" cy="360"/>
          </a:xfrm>
          <a:prstGeom prst="line">
            <a:avLst/>
          </a:prstGeom>
          <a:ln w="9525">
            <a:solidFill>
              <a:srgbClr val="000000"/>
            </a:solidFill>
            <a:round/>
          </a:ln>
        </xdr:spPr>
        <xdr:style>
          <a:lnRef idx="0"/>
          <a:fillRef idx="0"/>
          <a:effectRef idx="0"/>
          <a:fontRef idx="minor"/>
        </xdr:style>
      </xdr:sp>
      <xdr:sp>
        <xdr:nvSpPr>
          <xdr:cNvPr id="33" name="Text Box 33"/>
          <xdr:cNvSpPr/>
        </xdr:nvSpPr>
        <xdr:spPr>
          <a:xfrm>
            <a:off x="9664560" y="6739920"/>
            <a:ext cx="342720" cy="169200"/>
          </a:xfrm>
          <a:prstGeom prst="rect">
            <a:avLst/>
          </a:prstGeom>
          <a:noFill/>
          <a:ln w="0">
            <a:noFill/>
          </a:ln>
        </xdr:spPr>
        <xdr:style>
          <a:lnRef idx="0"/>
          <a:fillRef idx="0"/>
          <a:effectRef idx="0"/>
          <a:fontRef idx="minor"/>
        </xdr:style>
        <xdr:txBody>
          <a:bodyPr vertOverflow="clip" lIns="0" rIns="0" tIns="0" bIns="0" anchor="t" upright="1">
            <a:noAutofit/>
          </a:bodyPr>
          <a:p>
            <a:pPr>
              <a:lnSpc>
                <a:spcPct val="100000"/>
              </a:lnSpc>
            </a:pPr>
            <a:r>
              <a:rPr b="0" lang="en-US" sz="1200" spc="-1" strike="noStrike">
                <a:solidFill>
                  <a:srgbClr val="000000"/>
                </a:solidFill>
                <a:latin typeface="Times New Roman"/>
              </a:rPr>
              <a:t>HHL</a:t>
            </a:r>
            <a:endParaRPr b="0" lang="en-US" sz="1200" spc="-1" strike="noStrike">
              <a:latin typeface="Times New Roman"/>
            </a:endParaRPr>
          </a:p>
        </xdr:txBody>
      </xdr:sp>
      <xdr:sp>
        <xdr:nvSpPr>
          <xdr:cNvPr id="34" name="Text Box 34"/>
          <xdr:cNvSpPr/>
        </xdr:nvSpPr>
        <xdr:spPr>
          <a:xfrm>
            <a:off x="9664560" y="6550200"/>
            <a:ext cx="466200" cy="199080"/>
          </a:xfrm>
          <a:prstGeom prst="rect">
            <a:avLst/>
          </a:prstGeom>
          <a:noFill/>
          <a:ln w="0">
            <a:noFill/>
          </a:ln>
        </xdr:spPr>
        <xdr:style>
          <a:lnRef idx="0"/>
          <a:fillRef idx="0"/>
          <a:effectRef idx="0"/>
          <a:fontRef idx="minor"/>
        </xdr:style>
      </xdr:sp>
      <xdr:sp>
        <xdr:nvSpPr>
          <xdr:cNvPr id="35" name="Text Box 35"/>
          <xdr:cNvSpPr/>
        </xdr:nvSpPr>
        <xdr:spPr>
          <a:xfrm>
            <a:off x="10321920" y="6879600"/>
            <a:ext cx="209160" cy="169200"/>
          </a:xfrm>
          <a:prstGeom prst="rect">
            <a:avLst/>
          </a:prstGeom>
          <a:noFill/>
          <a:ln w="0">
            <a:noFill/>
          </a:ln>
        </xdr:spPr>
        <xdr:style>
          <a:lnRef idx="0"/>
          <a:fillRef idx="0"/>
          <a:effectRef idx="0"/>
          <a:fontRef idx="minor"/>
        </xdr:style>
      </xdr:sp>
      <xdr:sp>
        <xdr:nvSpPr>
          <xdr:cNvPr id="36" name="Line 36"/>
          <xdr:cNvSpPr/>
        </xdr:nvSpPr>
        <xdr:spPr>
          <a:xfrm>
            <a:off x="10235880" y="6909480"/>
            <a:ext cx="285840" cy="360"/>
          </a:xfrm>
          <a:prstGeom prst="line">
            <a:avLst/>
          </a:prstGeom>
          <a:ln w="9525">
            <a:solidFill>
              <a:srgbClr val="000000"/>
            </a:solidFill>
            <a:round/>
          </a:ln>
        </xdr:spPr>
        <xdr:style>
          <a:lnRef idx="0"/>
          <a:fillRef idx="0"/>
          <a:effectRef idx="0"/>
          <a:fontRef idx="minor"/>
        </xdr:style>
      </xdr:sp>
      <xdr:sp>
        <xdr:nvSpPr>
          <xdr:cNvPr id="37" name="Text Box 38"/>
          <xdr:cNvSpPr/>
        </xdr:nvSpPr>
        <xdr:spPr>
          <a:xfrm>
            <a:off x="10302840" y="7099200"/>
            <a:ext cx="209160" cy="189360"/>
          </a:xfrm>
          <a:prstGeom prst="rect">
            <a:avLst/>
          </a:prstGeom>
          <a:noFill/>
          <a:ln w="0">
            <a:noFill/>
          </a:ln>
        </xdr:spPr>
        <xdr:style>
          <a:lnRef idx="0"/>
          <a:fillRef idx="0"/>
          <a:effectRef idx="0"/>
          <a:fontRef idx="minor"/>
        </xdr:style>
        <xdr:txBody>
          <a:bodyPr vertOverflow="clip" lIns="0" rIns="0" tIns="0" bIns="0" anchor="t" upright="1">
            <a:noAutofit/>
          </a:bodyPr>
          <a:p>
            <a:pPr>
              <a:lnSpc>
                <a:spcPct val="100000"/>
              </a:lnSpc>
            </a:pPr>
            <a:r>
              <a:rPr b="0" lang="en-US" sz="1200" spc="-1" strike="noStrike">
                <a:solidFill>
                  <a:srgbClr val="000000"/>
                </a:solidFill>
                <a:latin typeface="Times New Roman"/>
              </a:rPr>
              <a:t>L3</a:t>
            </a:r>
            <a:endParaRPr b="0" lang="en-US" sz="1200" spc="-1" strike="noStrike">
              <a:latin typeface="Times New Roman"/>
            </a:endParaRPr>
          </a:p>
        </xdr:txBody>
      </xdr:sp>
      <xdr:sp>
        <xdr:nvSpPr>
          <xdr:cNvPr id="38" name="Text Box 39"/>
          <xdr:cNvSpPr/>
        </xdr:nvSpPr>
        <xdr:spPr>
          <a:xfrm>
            <a:off x="10312200" y="6720120"/>
            <a:ext cx="209160" cy="189360"/>
          </a:xfrm>
          <a:prstGeom prst="rect">
            <a:avLst/>
          </a:prstGeom>
          <a:noFill/>
          <a:ln w="0">
            <a:noFill/>
          </a:ln>
        </xdr:spPr>
        <xdr:style>
          <a:lnRef idx="0"/>
          <a:fillRef idx="0"/>
          <a:effectRef idx="0"/>
          <a:fontRef idx="minor"/>
        </xdr:style>
        <xdr:txBody>
          <a:bodyPr vertOverflow="clip" lIns="0" rIns="0" tIns="0" bIns="0" anchor="t" upright="1">
            <a:noAutofit/>
          </a:bodyPr>
          <a:p>
            <a:pPr>
              <a:lnSpc>
                <a:spcPct val="100000"/>
              </a:lnSpc>
            </a:pPr>
            <a:r>
              <a:rPr b="0" lang="en-US" sz="1200" spc="-1" strike="noStrike">
                <a:solidFill>
                  <a:srgbClr val="000000"/>
                </a:solidFill>
                <a:latin typeface="Times New Roman"/>
              </a:rPr>
              <a:t>L2</a:t>
            </a:r>
            <a:endParaRPr b="0" lang="en-US" sz="1200" spc="-1" strike="noStrike">
              <a:latin typeface="Times New Roman"/>
            </a:endParaRPr>
          </a:p>
        </xdr:txBody>
      </xdr:sp>
    </xdr:grpSp>
    <xdr:clientData/>
  </xdr:twoCellAnchor>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1" name="Button 1" descr="返回" hidden="0"/>
            <xdr:cNvSpPr/>
          </xdr:nvSpPr>
          <xdr:spPr>
            <a:xfrm>
              <a:off x="0" y="0"/>
              <a:ext cx="0" cy="0"/>
            </a:xfrm>
            <a:prstGeom prst="rect">
              <a:avLst/>
            </a:prstGeom>
          </xdr:spPr>
          <xdr:txBody>
            <a:bodyPr anchor="ctr">
              <a:noAutofit/>
            </a:bodyPr>
            <a:p>
              <a:r>
                <a:t>返回</a:t>
              </a:r>
            </a:p>
          </xdr:txBody>
        </xdr:sp>
        <xdr:clientData/>
      </xdr:twoCellAnchor>
    </mc:Choice>
  </mc:AlternateContent>
</xdr:wsDr>
</file>

<file path=xl/drawings/drawing15.xml><?xml version="1.0" encoding="utf-8"?>
<xdr:wsDr xmlns:xdr="http://schemas.openxmlformats.org/drawingml/2006/spreadsheetDrawing" xmlns:a="http://schemas.openxmlformats.org/drawingml/2006/main" xmlns:r="http://schemas.openxmlformats.org/officeDocument/2006/relationships">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1" name="Button 1" descr="返回" hidden="0"/>
            <xdr:cNvSpPr/>
          </xdr:nvSpPr>
          <xdr:spPr>
            <a:xfrm>
              <a:off x="0" y="0"/>
              <a:ext cx="0" cy="0"/>
            </a:xfrm>
            <a:prstGeom prst="rect">
              <a:avLst/>
            </a:prstGeom>
          </xdr:spPr>
          <xdr:txBody>
            <a:bodyPr anchor="ctr">
              <a:noAutofit/>
            </a:bodyPr>
            <a:p>
              <a:r>
                <a:t>返回</a:t>
              </a:r>
            </a:p>
          </xdr:txBody>
        </xdr:sp>
        <xdr:clientData/>
      </xdr:twoCellAnchor>
    </mc:Choice>
  </mc:AlternateContent>
</xdr:wsDr>
</file>

<file path=xl/drawings/drawing17.xml><?xml version="1.0" encoding="utf-8"?>
<xdr:wsDr xmlns:xdr="http://schemas.openxmlformats.org/drawingml/2006/spreadsheetDrawing" xmlns:a="http://schemas.openxmlformats.org/drawingml/2006/main" xmlns:r="http://schemas.openxmlformats.org/officeDocument/2006/relationships">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1" name="Button 1080" descr="返回" hidden="0"/>
            <xdr:cNvSpPr/>
          </xdr:nvSpPr>
          <xdr:spPr>
            <a:xfrm>
              <a:off x="0" y="0"/>
              <a:ext cx="0" cy="0"/>
            </a:xfrm>
            <a:prstGeom prst="rect">
              <a:avLst/>
            </a:prstGeom>
          </xdr:spPr>
          <xdr:txBody>
            <a:bodyPr anchor="ctr">
              <a:noAutofit/>
            </a:bodyPr>
            <a:p>
              <a:r>
                <a:t>返回</a:t>
              </a:r>
            </a:p>
          </xdr:txBody>
        </xdr:sp>
        <xdr:clientData/>
      </xdr:twoCellAnchor>
    </mc:Choice>
  </mc:AlternateContent>
</xdr:wsDr>
</file>

<file path=xl/drawings/drawing19.xml><?xml version="1.0" encoding="utf-8"?>
<xdr:wsDr xmlns:xdr="http://schemas.openxmlformats.org/drawingml/2006/spreadsheetDrawing" xmlns:a="http://schemas.openxmlformats.org/drawingml/2006/main" xmlns:r="http://schemas.openxmlformats.org/officeDocument/2006/relationships">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1" name="Button 49" descr="返回" hidden="0"/>
            <xdr:cNvSpPr/>
          </xdr:nvSpPr>
          <xdr:spPr>
            <a:xfrm>
              <a:off x="0" y="0"/>
              <a:ext cx="0" cy="0"/>
            </a:xfrm>
            <a:prstGeom prst="rect">
              <a:avLst/>
            </a:prstGeom>
          </xdr:spPr>
          <xdr:txBody>
            <a:bodyPr anchor="ctr">
              <a:noAutofit/>
            </a:bodyPr>
            <a:p>
              <a:r>
                <a:t>返回</a:t>
              </a:r>
            </a:p>
          </xdr:txBody>
        </xdr:sp>
        <xdr:clientData/>
      </xdr:twoCellAnchor>
    </mc:Choice>
  </mc:AlternateContent>
</xdr:wsDr>
</file>

<file path=xl/drawings/drawing21.xml><?xml version="1.0" encoding="utf-8"?>
<xdr:wsDr xmlns:xdr="http://schemas.openxmlformats.org/drawingml/2006/spreadsheetDrawing" xmlns:a="http://schemas.openxmlformats.org/drawingml/2006/main" xmlns:r="http://schemas.openxmlformats.org/officeDocument/2006/relationships">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1" name="Button 1" descr="返回" hidden="0"/>
            <xdr:cNvSpPr/>
          </xdr:nvSpPr>
          <xdr:spPr>
            <a:xfrm>
              <a:off x="0" y="0"/>
              <a:ext cx="0" cy="0"/>
            </a:xfrm>
            <a:prstGeom prst="rect">
              <a:avLst/>
            </a:prstGeom>
          </xdr:spPr>
          <xdr:txBody>
            <a:bodyPr anchor="ctr">
              <a:noAutofit/>
            </a:bodyPr>
            <a:p>
              <a:r>
                <a:t>返回</a:t>
              </a:r>
            </a:p>
          </xdr:txBody>
        </xdr:sp>
        <xdr:clientData/>
      </xdr:twoCellAnchor>
    </mc:Choice>
  </mc:AlternateContent>
</xdr:wsDr>
</file>

<file path=xl/drawings/drawing23.xml><?xml version="1.0" encoding="utf-8"?>
<xdr:wsDr xmlns:xdr="http://schemas.openxmlformats.org/drawingml/2006/spreadsheetDrawing" xmlns:a="http://schemas.openxmlformats.org/drawingml/2006/main" xmlns:r="http://schemas.openxmlformats.org/officeDocument/2006/relationships">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1" name="Button 1" descr="返回" hidden="0"/>
            <xdr:cNvSpPr/>
          </xdr:nvSpPr>
          <xdr:spPr>
            <a:xfrm>
              <a:off x="0" y="0"/>
              <a:ext cx="0" cy="0"/>
            </a:xfrm>
            <a:prstGeom prst="rect">
              <a:avLst/>
            </a:prstGeom>
          </xdr:spPr>
          <xdr:txBody>
            <a:bodyPr anchor="ctr">
              <a:noAutofit/>
            </a:bodyPr>
            <a:p>
              <a:r>
                <a:t>返回</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2" name="Button 2" descr="容器复用参考" hidden="0"/>
            <xdr:cNvSpPr/>
          </xdr:nvSpPr>
          <xdr:spPr>
            <a:xfrm>
              <a:off x="0" y="0"/>
              <a:ext cx="0" cy="0"/>
            </a:xfrm>
            <a:prstGeom prst="rect">
              <a:avLst/>
            </a:prstGeom>
          </xdr:spPr>
          <xdr:txBody>
            <a:bodyPr anchor="ctr">
              <a:noAutofit/>
            </a:bodyPr>
            <a:p>
              <a:r>
                <a:t>容器复用参考</a:t>
              </a:r>
            </a:p>
          </xdr:txBody>
        </xdr:sp>
        <xdr:clientData/>
      </xdr:twoCellAnchor>
    </mc:Choice>
  </mc:AlternateContent>
</xdr:wsDr>
</file>

<file path=xl/drawings/drawing26.xml><?xml version="1.0" encoding="utf-8"?>
<xdr:wsDr xmlns:xdr="http://schemas.openxmlformats.org/drawingml/2006/spreadsheetDrawing" xmlns:a="http://schemas.openxmlformats.org/drawingml/2006/main" xmlns:r="http://schemas.openxmlformats.org/officeDocument/2006/relationships">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1" name="Button 45" descr="返回" hidden="0"/>
            <xdr:cNvSpPr/>
          </xdr:nvSpPr>
          <xdr:spPr>
            <a:xfrm>
              <a:off x="0" y="0"/>
              <a:ext cx="0" cy="0"/>
            </a:xfrm>
            <a:prstGeom prst="rect">
              <a:avLst/>
            </a:prstGeom>
          </xdr:spPr>
          <xdr:txBody>
            <a:bodyPr anchor="ctr">
              <a:noAutofit/>
            </a:bodyPr>
            <a:p>
              <a:r>
                <a:t>返回</a:t>
              </a:r>
            </a:p>
          </xdr:txBody>
        </xdr:sp>
        <xdr:clientData/>
      </xdr:twoCellAnchor>
    </mc:Choice>
  </mc:AlternateContent>
</xdr:wsDr>
</file>

<file path=xl/drawings/drawing28.xml><?xml version="1.0" encoding="utf-8"?>
<xdr:wsDr xmlns:xdr="http://schemas.openxmlformats.org/drawingml/2006/spreadsheetDrawing" xmlns:a="http://schemas.openxmlformats.org/drawingml/2006/main" xmlns:r="http://schemas.openxmlformats.org/officeDocument/2006/relationships">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1" name="Button 1" descr="返回" hidden="0"/>
            <xdr:cNvSpPr/>
          </xdr:nvSpPr>
          <xdr:spPr>
            <a:xfrm>
              <a:off x="0" y="0"/>
              <a:ext cx="0" cy="0"/>
            </a:xfrm>
            <a:prstGeom prst="rect">
              <a:avLst/>
            </a:prstGeom>
          </xdr:spPr>
          <xdr:txBody>
            <a:bodyPr anchor="ctr">
              <a:noAutofit/>
            </a:bodyPr>
            <a:p>
              <a:r>
                <a:t>返回</a:t>
              </a:r>
            </a:p>
          </xdr:txBody>
        </xdr:sp>
        <xdr:clientData/>
      </xdr:twoCellAnchor>
    </mc:Choice>
  </mc:AlternateContent>
</xdr:wsDr>
</file>

<file path=xl/drawings/drawing30.xml><?xml version="1.0" encoding="utf-8"?>
<xdr:wsDr xmlns:xdr="http://schemas.openxmlformats.org/drawingml/2006/spreadsheetDrawing" xmlns:a="http://schemas.openxmlformats.org/drawingml/2006/main" xmlns:r="http://schemas.openxmlformats.org/officeDocument/2006/relationships">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1" name="Button 1" descr="返回" hidden="0"/>
            <xdr:cNvSpPr/>
          </xdr:nvSpPr>
          <xdr:spPr>
            <a:xfrm>
              <a:off x="0" y="0"/>
              <a:ext cx="0" cy="0"/>
            </a:xfrm>
            <a:prstGeom prst="rect">
              <a:avLst/>
            </a:prstGeom>
          </xdr:spPr>
          <xdr:txBody>
            <a:bodyPr anchor="ctr">
              <a:noAutofit/>
            </a:bodyPr>
            <a:p>
              <a:r>
                <a:t>返回</a:t>
              </a:r>
            </a:p>
          </xdr:txBody>
        </xdr:sp>
        <xdr:clientData/>
      </xdr:twoCellAnchor>
    </mc:Choice>
  </mc:AlternateContent>
</xdr:wsDr>
</file>

<file path=xl/drawings/drawing32.xml><?xml version="1.0" encoding="utf-8"?>
<xdr:wsDr xmlns:xdr="http://schemas.openxmlformats.org/drawingml/2006/spreadsheetDrawing" xmlns:a="http://schemas.openxmlformats.org/drawingml/2006/main" xmlns:r="http://schemas.openxmlformats.org/officeDocument/2006/relationships">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1" name="Button 1" descr="返回" hidden="0"/>
            <xdr:cNvSpPr/>
          </xdr:nvSpPr>
          <xdr:spPr>
            <a:xfrm>
              <a:off x="0" y="0"/>
              <a:ext cx="0" cy="0"/>
            </a:xfrm>
            <a:prstGeom prst="rect">
              <a:avLst/>
            </a:prstGeom>
          </xdr:spPr>
          <xdr:txBody>
            <a:bodyPr anchor="ctr">
              <a:noAutofit/>
            </a:bodyPr>
            <a:p>
              <a:r>
                <a:t>返回</a:t>
              </a:r>
            </a:p>
          </xdr:txBody>
        </xdr:sp>
        <xdr:clientData/>
      </xdr:twoCellAnchor>
    </mc:Choice>
  </mc:AlternateContent>
</xdr:wsDr>
</file>

<file path=xl/drawings/drawing34.xml><?xml version="1.0" encoding="utf-8"?>
<xdr:wsDr xmlns:xdr="http://schemas.openxmlformats.org/drawingml/2006/spreadsheetDrawing" xmlns:a="http://schemas.openxmlformats.org/drawingml/2006/main" xmlns:r="http://schemas.openxmlformats.org/officeDocument/2006/relationships">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1" name="Button 62" descr="返回" hidden="0"/>
            <xdr:cNvSpPr/>
          </xdr:nvSpPr>
          <xdr:spPr>
            <a:xfrm>
              <a:off x="0" y="0"/>
              <a:ext cx="0" cy="0"/>
            </a:xfrm>
            <a:prstGeom prst="rect">
              <a:avLst/>
            </a:prstGeom>
          </xdr:spPr>
          <xdr:txBody>
            <a:bodyPr anchor="ctr">
              <a:noAutofit/>
            </a:bodyPr>
            <a:p>
              <a:r>
                <a:t>返回</a:t>
              </a:r>
            </a:p>
          </xdr:txBody>
        </xdr:sp>
        <xdr:clientData/>
      </xdr:twoCellAnchor>
    </mc:Choice>
  </mc:AlternateContent>
</xdr:wsDr>
</file>

<file path=xl/drawings/drawing36.xml><?xml version="1.0" encoding="utf-8"?>
<xdr:wsDr xmlns:xdr="http://schemas.openxmlformats.org/drawingml/2006/spreadsheetDrawing" xmlns:a="http://schemas.openxmlformats.org/drawingml/2006/main" xmlns:r="http://schemas.openxmlformats.org/officeDocument/2006/relationships">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1" name="Button 45" descr="返回" hidden="0"/>
            <xdr:cNvSpPr/>
          </xdr:nvSpPr>
          <xdr:spPr>
            <a:xfrm>
              <a:off x="0" y="0"/>
              <a:ext cx="0" cy="0"/>
            </a:xfrm>
            <a:prstGeom prst="rect">
              <a:avLst/>
            </a:prstGeom>
          </xdr:spPr>
          <xdr:txBody>
            <a:bodyPr anchor="ctr">
              <a:noAutofit/>
            </a:bodyPr>
            <a:p>
              <a:r>
                <a:t>返回</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2" name="Button 64" descr="返回" hidden="0"/>
            <xdr:cNvSpPr/>
          </xdr:nvSpPr>
          <xdr:spPr>
            <a:xfrm>
              <a:off x="0" y="0"/>
              <a:ext cx="0" cy="0"/>
            </a:xfrm>
            <a:prstGeom prst="rect">
              <a:avLst/>
            </a:prstGeom>
          </xdr:spPr>
          <xdr:txBody>
            <a:bodyPr anchor="ctr">
              <a:noAutofit/>
            </a:bodyPr>
            <a:p>
              <a:r>
                <a:t>返回</a:t>
              </a:r>
            </a:p>
          </xdr:txBody>
        </xdr:sp>
        <xdr:clientData/>
      </xdr:twoCellAnchor>
    </mc:Choice>
  </mc:AlternateContent>
</xdr:wsDr>
</file>

<file path=xl/drawings/drawing39.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314280</xdr:colOff>
      <xdr:row>21</xdr:row>
      <xdr:rowOff>66600</xdr:rowOff>
    </xdr:from>
    <xdr:to>
      <xdr:col>8</xdr:col>
      <xdr:colOff>447120</xdr:colOff>
      <xdr:row>38</xdr:row>
      <xdr:rowOff>180720</xdr:rowOff>
    </xdr:to>
    <xdr:pic>
      <xdr:nvPicPr>
        <xdr:cNvPr id="39" name="图片 1" descr="1"/>
        <xdr:cNvPicPr/>
      </xdr:nvPicPr>
      <xdr:blipFill>
        <a:blip r:embed="rId1"/>
        <a:stretch/>
      </xdr:blipFill>
      <xdr:spPr>
        <a:xfrm>
          <a:off x="314280" y="4190760"/>
          <a:ext cx="5314320" cy="3476520"/>
        </a:xfrm>
        <a:prstGeom prst="rect">
          <a:avLst/>
        </a:prstGeom>
        <a:ln w="0">
          <a:noFill/>
        </a:ln>
      </xdr:spPr>
    </xdr:pic>
    <xdr:clientData/>
  </xdr:twoCellAnchor>
</xdr:wsDr>
</file>

<file path=xl/drawings/drawing40.xml><?xml version="1.0" encoding="utf-8"?>
<xdr:wsDr xmlns:xdr="http://schemas.openxmlformats.org/drawingml/2006/spreadsheetDrawing" xmlns:a="http://schemas.openxmlformats.org/drawingml/2006/main" xmlns:r="http://schemas.openxmlformats.org/officeDocument/2006/relationships">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1" name="Button 1028" descr="返回" hidden="0"/>
            <xdr:cNvSpPr/>
          </xdr:nvSpPr>
          <xdr:spPr>
            <a:xfrm>
              <a:off x="0" y="0"/>
              <a:ext cx="0" cy="0"/>
            </a:xfrm>
            <a:prstGeom prst="rect">
              <a:avLst/>
            </a:prstGeom>
          </xdr:spPr>
          <xdr:txBody>
            <a:bodyPr anchor="ctr">
              <a:noAutofit/>
            </a:bodyPr>
            <a:p>
              <a:r>
                <a:t>返回</a:t>
              </a:r>
            </a:p>
          </xdr:txBody>
        </xdr:sp>
        <xdr:clientData/>
      </xdr:twoCellAnchor>
    </mc:Choice>
  </mc:AlternateContent>
</xdr:wsDr>
</file>

<file path=xl/drawings/drawing42.xml><?xml version="1.0" encoding="utf-8"?>
<xdr:wsDr xmlns:xdr="http://schemas.openxmlformats.org/drawingml/2006/spreadsheetDrawing" xmlns:a="http://schemas.openxmlformats.org/drawingml/2006/main" xmlns:r="http://schemas.openxmlformats.org/officeDocument/2006/relationships">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1" name="Button 8" descr="返回" hidden="0"/>
            <xdr:cNvSpPr/>
          </xdr:nvSpPr>
          <xdr:spPr>
            <a:xfrm>
              <a:off x="0" y="0"/>
              <a:ext cx="0" cy="0"/>
            </a:xfrm>
            <a:prstGeom prst="rect">
              <a:avLst/>
            </a:prstGeom>
          </xdr:spPr>
          <xdr:txBody>
            <a:bodyPr anchor="ctr">
              <a:noAutofit/>
            </a:bodyPr>
            <a:p>
              <a:r>
                <a:t>返回</a:t>
              </a:r>
            </a:p>
          </xdr:txBody>
        </xdr:sp>
        <xdr:clientData/>
      </xdr:twoCellAnchor>
    </mc:Choice>
  </mc:AlternateContent>
</xdr:wsDr>
</file>

<file path=xl/drawings/drawing44.xml><?xml version="1.0" encoding="utf-8"?>
<xdr:wsDr xmlns:xdr="http://schemas.openxmlformats.org/drawingml/2006/spreadsheetDrawing" xmlns:a="http://schemas.openxmlformats.org/drawingml/2006/main" xmlns:r="http://schemas.openxmlformats.org/officeDocument/2006/relationships">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1" name="Button 3" descr="返回" hidden="0"/>
            <xdr:cNvSpPr/>
          </xdr:nvSpPr>
          <xdr:spPr>
            <a:xfrm>
              <a:off x="0" y="0"/>
              <a:ext cx="0" cy="0"/>
            </a:xfrm>
            <a:prstGeom prst="rect">
              <a:avLst/>
            </a:prstGeom>
          </xdr:spPr>
          <xdr:txBody>
            <a:bodyPr anchor="ctr">
              <a:noAutofit/>
            </a:bodyPr>
            <a:p>
              <a:r>
                <a:t>返回</a:t>
              </a:r>
            </a:p>
          </xdr:txBody>
        </xdr:sp>
        <xdr:clientData/>
      </xdr:twoCellAnchor>
    </mc:Choice>
  </mc:AlternateContent>
</xdr:wsDr>
</file>

<file path=xl/drawings/drawing46.xml><?xml version="1.0" encoding="utf-8"?>
<xdr:wsDr xmlns:xdr="http://schemas.openxmlformats.org/drawingml/2006/spreadsheetDrawing" xmlns:a="http://schemas.openxmlformats.org/drawingml/2006/main" xmlns:r="http://schemas.openxmlformats.org/officeDocument/2006/relationships">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1" name="Button 1" descr="返回" hidden="0"/>
            <xdr:cNvSpPr/>
          </xdr:nvSpPr>
          <xdr:spPr>
            <a:xfrm>
              <a:off x="0" y="0"/>
              <a:ext cx="0" cy="0"/>
            </a:xfrm>
            <a:prstGeom prst="rect">
              <a:avLst/>
            </a:prstGeom>
          </xdr:spPr>
          <xdr:txBody>
            <a:bodyPr anchor="ctr">
              <a:noAutofit/>
            </a:bodyPr>
            <a:p>
              <a:r>
                <a:t>返回</a:t>
              </a:r>
            </a:p>
          </xdr:txBody>
        </xdr:sp>
        <xdr:clientData/>
      </xdr:twoCellAnchor>
    </mc:Choice>
  </mc:AlternateContent>
</xdr:wsDr>
</file>

<file path=xl/drawings/drawing48.xml><?xml version="1.0" encoding="utf-8"?>
<xdr:wsDr xmlns:xdr="http://schemas.openxmlformats.org/drawingml/2006/spreadsheetDrawing" xmlns:a="http://schemas.openxmlformats.org/drawingml/2006/main" xmlns:r="http://schemas.openxmlformats.org/officeDocument/2006/relationships">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1" name="Button 1" descr="返回" hidden="0"/>
            <xdr:cNvSpPr/>
          </xdr:nvSpPr>
          <xdr:spPr>
            <a:xfrm>
              <a:off x="0" y="0"/>
              <a:ext cx="0" cy="0"/>
            </a:xfrm>
            <a:prstGeom prst="rect">
              <a:avLst/>
            </a:prstGeom>
          </xdr:spPr>
          <xdr:txBody>
            <a:bodyPr anchor="ctr">
              <a:noAutofit/>
            </a:bodyPr>
            <a:p>
              <a:r>
                <a:t>返回</a:t>
              </a:r>
            </a:p>
          </xdr:txBody>
        </xdr:sp>
        <xdr:clientData/>
      </xdr:twoCellAnchor>
    </mc:Choice>
  </mc:AlternateContent>
</xdr:wsDr>
</file>

<file path=xl/externalLinks/_rels/externalLink1.xml.rels><?xml version="1.0" encoding="UTF-8"?>
<Relationships xmlns="http://schemas.openxmlformats.org/package/2006/relationships"><Relationship Id="rId1" Type="http://schemas.openxmlformats.org/officeDocument/2006/relationships/externalLinkPath" Target="../../../../../../../../../../../C:/Users/zhangxuezhi/Desktop/PrParaLib.xlsx"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https://go.cnhoto.com/PWA/1216/Shared%20Documents/132/02Cal/PrParaLib.xlsx" TargetMode="External"/>
</Relationships>
</file>

<file path=xl/externalLinks/_rels/externalLink3.xml.rels><?xml version="1.0" encoding="UTF-8"?>
<Relationships xmlns="http://schemas.openxmlformats.org/package/2006/relationships"><Relationship Id="rId1" Type="http://schemas.openxmlformats.org/officeDocument/2006/relationships/externalLinkPath" Target="../../../../../../../../../../../&#19978;&#28023;&#25991;&#20214;&#26381;&#21153;&#22120;/00&#39033;&#30446;&#31649;&#29702;/1303&#23665;&#19996;&#26131;&#36798;&#21033;&#39033;&#30446;/06&#21508;&#19987;&#19994;&#25152;&#25552;&#36164;&#26009;&#21450;&#25991;&#20214;/&#24037;&#33402;/&#21407;&#26009;&#39044;&#22788;&#29702;/01-Cal/Cal-&#21407;&#26009;&#39044;&#22788;&#29702;-130826.xls" TargetMode="External"/>
</Relationships>
</file>

<file path=xl/externalLinks/_rels/externalLink4.xml.rels><?xml version="1.0" encoding="UTF-8"?>
<Relationships xmlns="http://schemas.openxmlformats.org/package/2006/relationships"><Relationship Id="rId1" Type="http://schemas.openxmlformats.org/officeDocument/2006/relationships/externalLinkPath" Target="../../../../../../../../../../../Documents%20and%20Settings/chengyan/Application%20Data/Microsoft/Excel/02-Htri/E-113.xls" TargetMode="External"/>
</Relationships>
</file>

<file path=xl/externalLinks/_rels/externalLink5.xml.rels><?xml version="1.0" encoding="UTF-8"?>
<Relationships xmlns="http://schemas.openxmlformats.org/package/2006/relationships"><Relationship Id="rId1" Type="http://schemas.openxmlformats.org/officeDocument/2006/relationships/externalLinkPath" Target="../../../../../../../../../../../Documents%20and%20Settings/chengyan/Application%20Data/Microsoft/Excel/02-Htri/E-114.xls" TargetMode="External"/>
</Relationships>
</file>

<file path=xl/externalLinks/_rels/externalLink6.xml.rels><?xml version="1.0" encoding="UTF-8"?>
<Relationships xmlns="http://schemas.openxmlformats.org/package/2006/relationships"><Relationship Id="rId1" Type="http://schemas.openxmlformats.org/officeDocument/2006/relationships/externalLinkPath" Target="../../../../../../../../../../../Documents%20and%20Settings/chengyan/Application%20Data/Microsoft/Excel/02-Htri/E-124.xls" TargetMode="External"/>
</Relationships>
</file>

<file path=xl/externalLinks/_rels/externalLink7.xml.rels><?xml version="1.0" encoding="UTF-8"?>
<Relationships xmlns="http://schemas.openxmlformats.org/package/2006/relationships"><Relationship Id="rId1" Type="http://schemas.openxmlformats.org/officeDocument/2006/relationships/externalLinkPath" Target="../../../../../../../../../../../Documents%20and%20Settings/chengyan/Application%20Data/Microsoft/Excel/02-Htri/E-112.xls" TargetMode="External"/>
</Relationships>
</file>

<file path=xl/externalLinks/_rels/externalLink8.xml.rels><?xml version="1.0" encoding="UTF-8"?>
<Relationships xmlns="http://schemas.openxmlformats.org/package/2006/relationships"><Relationship Id="rId1" Type="http://schemas.openxmlformats.org/officeDocument/2006/relationships/externalLinkPath" Target="../../../../../../../../../../../Documents%20and%20Settings/chengyan/Application%20Data/Microsoft/Excel/02-Htri/E-206.xls" TargetMode="External"/>
</Relationships>
</file>

<file path=xl/externalLinks/_rels/externalLink9.xml.rels><?xml version="1.0" encoding="UTF-8"?>
<Relationships xmlns="http://schemas.openxmlformats.org/package/2006/relationships"><Relationship Id="rId1" Type="http://schemas.openxmlformats.org/officeDocument/2006/relationships/externalLinkPath" Target="../../../../../../../../../../../Documents%20and%20Settings/chengyan/Application%20Data/Microsoft/Excel/02-Htri/E-207.xls" TargetMode="External"/>
</Relationships>
</file>

<file path=xl/externalLinks/_rels/externalLink10.xml.rels><?xml version="1.0" encoding="UTF-8"?>
<Relationships xmlns="http://schemas.openxmlformats.org/package/2006/relationships"><Relationship Id="rId1" Type="http://schemas.openxmlformats.org/officeDocument/2006/relationships/externalLinkPath" Target="../../../../../../../../../../../Documents%20and%20Settings/chengyan/Application%20Data/Microsoft/Excel/02-Htri/E-301.xls" TargetMode="External"/>
</Relationships>
</file>

<file path=xl/externalLinks/_rels/externalLink11.xml.rels><?xml version="1.0" encoding="UTF-8"?>
<Relationships xmlns="http://schemas.openxmlformats.org/package/2006/relationships"><Relationship Id="rId1" Type="http://schemas.openxmlformats.org/officeDocument/2006/relationships/externalLinkPath" Target="../../../../../../../../../../../Documents%20and%20Settings/chengyan/Application%20Data/Microsoft/Excel/02-Htri/E-306.xls" TargetMode="External"/>
</Relationships>
</file>

<file path=xl/externalLinks/_rels/externalLink12.xml.rels><?xml version="1.0" encoding="UTF-8"?>
<Relationships xmlns="http://schemas.openxmlformats.org/package/2006/relationships"><Relationship Id="rId1" Type="http://schemas.openxmlformats.org/officeDocument/2006/relationships/externalLinkPath" Target="../../../../../../../../../../../Documents%20and%20Settings/chengyan/Application%20Data/Microsoft/Excel/02-Htri/E-307.xls" TargetMode="External"/>
</Relationships>
</file>

<file path=xl/externalLinks/_rels/externalLink13.xml.rels><?xml version="1.0" encoding="UTF-8"?>
<Relationships xmlns="http://schemas.openxmlformats.org/package/2006/relationships"><Relationship Id="rId1" Type="http://schemas.openxmlformats.org/officeDocument/2006/relationships/externalLinkPath" Target="../../../../../../../../../../../Documents%20and%20Settings/chengyan/Application%20Data/Microsoft/Excel/02-Htri/E-308.xls" TargetMode="External"/>
</Relationships>
</file>

<file path=xl/externalLinks/_rels/externalLink14.xml.rels><?xml version="1.0" encoding="UTF-8"?>
<Relationships xmlns="http://schemas.openxmlformats.org/package/2006/relationships"><Relationship Id="rId1" Type="http://schemas.openxmlformats.org/officeDocument/2006/relationships/externalLinkPath" Target="../../../../../../../../../../../Documents%20and%20Settings/chengyan/Application%20Data/Microsoft/Excel/02-Htri/E-309.xls" TargetMode="External"/>
</Relationships>
</file>

<file path=xl/externalLinks/_rels/externalLink15.xml.rels><?xml version="1.0" encoding="UTF-8"?>
<Relationships xmlns="http://schemas.openxmlformats.org/package/2006/relationships"><Relationship Id="rId1" Type="http://schemas.openxmlformats.org/officeDocument/2006/relationships/externalLinkPath" Target="../../../../../../../../../../../Documents%20and%20Settings/chengyan/Application%20Data/Microsoft/Excel/Cal-RTHL-1201D217-1105.xlsm"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空冷器管束"/>
      <sheetName val="空冷器构架"/>
      <sheetName val="空冷器风机"/>
      <sheetName val="空冷器百叶窗"/>
      <sheetName val="空冷器翅化比"/>
      <sheetName val="空冷器加热盘管"/>
      <sheetName val="换热器工艺数据"/>
      <sheetName val="换热器安装尺寸"/>
      <sheetName val="换热器附图"/>
      <sheetName val="安全阀型号"/>
      <sheetName val="离心泵性能修正系数"/>
      <sheetName val="电机型号"/>
      <sheetName val="混相流型判断图"/>
      <sheetName val="安全阀计算附图"/>
    </sheetNames>
    <sheetDataSet>
      <sheetData sheetId="0"/>
      <sheetData sheetId="1"/>
      <sheetData sheetId="2"/>
      <sheetData sheetId="3"/>
      <sheetData sheetId="4"/>
      <sheetData sheetId="5"/>
      <sheetData sheetId="6"/>
      <sheetData sheetId="7"/>
      <sheetData sheetId="8"/>
      <sheetData sheetId="9"/>
      <sheetData sheetId="10"/>
      <sheetData sheetId="11">
        <row r="2">
          <cell r="B2" t="str">
            <v>功率</v>
          </cell>
          <cell r="C2" t="str">
            <v>型号</v>
          </cell>
          <cell r="D2" t="str">
            <v>转速r/min</v>
          </cell>
          <cell r="E2" t="str">
            <v>质量/t</v>
          </cell>
        </row>
        <row r="3">
          <cell r="B3">
            <v>0.18</v>
          </cell>
          <cell r="C3" t="str">
            <v>YB3-63 1-2</v>
          </cell>
          <cell r="D3">
            <v>2800</v>
          </cell>
          <cell r="E3">
            <v>0</v>
          </cell>
          <cell r="F3">
            <v>0</v>
          </cell>
        </row>
        <row r="4">
          <cell r="B4">
            <v>0.25</v>
          </cell>
          <cell r="C4" t="str">
            <v>YB3-63 2-2</v>
          </cell>
          <cell r="D4">
            <v>2800</v>
          </cell>
          <cell r="E4">
            <v>0</v>
          </cell>
          <cell r="F4">
            <v>0</v>
          </cell>
        </row>
        <row r="5">
          <cell r="B5">
            <v>0.37</v>
          </cell>
          <cell r="C5" t="str">
            <v>YB3-71 1-2</v>
          </cell>
          <cell r="D5">
            <v>2800</v>
          </cell>
          <cell r="E5">
            <v>0</v>
          </cell>
          <cell r="F5">
            <v>0</v>
          </cell>
        </row>
        <row r="6">
          <cell r="B6">
            <v>0.55</v>
          </cell>
          <cell r="C6" t="str">
            <v>YB3-71 2-2</v>
          </cell>
          <cell r="D6">
            <v>2800</v>
          </cell>
          <cell r="E6">
            <v>0</v>
          </cell>
          <cell r="F6">
            <v>0</v>
          </cell>
        </row>
        <row r="7">
          <cell r="B7">
            <v>0.75</v>
          </cell>
          <cell r="C7" t="str">
            <v>YB3-80 1-2</v>
          </cell>
          <cell r="D7">
            <v>2825</v>
          </cell>
          <cell r="E7">
            <v>0.022</v>
          </cell>
          <cell r="F7">
            <v>0</v>
          </cell>
        </row>
        <row r="8">
          <cell r="B8">
            <v>1.1</v>
          </cell>
          <cell r="C8" t="str">
            <v>YB3-80 2-2</v>
          </cell>
          <cell r="D8">
            <v>2825</v>
          </cell>
          <cell r="E8">
            <v>0.024</v>
          </cell>
          <cell r="F8">
            <v>0</v>
          </cell>
        </row>
        <row r="9">
          <cell r="B9">
            <v>1.5</v>
          </cell>
          <cell r="C9" t="str">
            <v>YB3-90S-2</v>
          </cell>
          <cell r="D9">
            <v>2840</v>
          </cell>
          <cell r="E9">
            <v>0.033</v>
          </cell>
          <cell r="F9">
            <v>0</v>
          </cell>
        </row>
        <row r="10">
          <cell r="B10">
            <v>2.2</v>
          </cell>
          <cell r="C10" t="str">
            <v>YB3-90L-2</v>
          </cell>
          <cell r="D10">
            <v>2840</v>
          </cell>
          <cell r="E10">
            <v>0.037</v>
          </cell>
          <cell r="F10">
            <v>0</v>
          </cell>
        </row>
        <row r="11">
          <cell r="B11">
            <v>3</v>
          </cell>
          <cell r="C11" t="str">
            <v>YB3-100L-2</v>
          </cell>
          <cell r="D11">
            <v>2880</v>
          </cell>
          <cell r="E11">
            <v>0.043</v>
          </cell>
          <cell r="F11">
            <v>0</v>
          </cell>
        </row>
        <row r="12">
          <cell r="B12">
            <v>4</v>
          </cell>
          <cell r="C12" t="str">
            <v>YB3-112M-2</v>
          </cell>
          <cell r="D12">
            <v>2890</v>
          </cell>
          <cell r="E12">
            <v>0.054</v>
          </cell>
          <cell r="F12">
            <v>0</v>
          </cell>
        </row>
        <row r="13">
          <cell r="B13">
            <v>5.5</v>
          </cell>
          <cell r="C13" t="str">
            <v>YB3-132S1-2</v>
          </cell>
          <cell r="D13">
            <v>2900</v>
          </cell>
          <cell r="E13">
            <v>0.079</v>
          </cell>
          <cell r="F13">
            <v>0</v>
          </cell>
        </row>
        <row r="14">
          <cell r="B14">
            <v>7.5</v>
          </cell>
          <cell r="C14" t="str">
            <v>YB3-132S2-2</v>
          </cell>
          <cell r="D14">
            <v>2900</v>
          </cell>
          <cell r="E14">
            <v>0.087</v>
          </cell>
          <cell r="F14">
            <v>0</v>
          </cell>
        </row>
        <row r="15">
          <cell r="B15">
            <v>11</v>
          </cell>
          <cell r="C15" t="str">
            <v>YB3-160M1-2</v>
          </cell>
          <cell r="D15">
            <v>2930</v>
          </cell>
          <cell r="E15">
            <v>0.14</v>
          </cell>
          <cell r="F15">
            <v>0</v>
          </cell>
        </row>
        <row r="16">
          <cell r="B16">
            <v>15</v>
          </cell>
          <cell r="C16" t="str">
            <v>YB3-160M2-2</v>
          </cell>
          <cell r="D16">
            <v>2930</v>
          </cell>
          <cell r="E16">
            <v>0.152</v>
          </cell>
          <cell r="F16">
            <v>0</v>
          </cell>
        </row>
        <row r="17">
          <cell r="B17">
            <v>18.5</v>
          </cell>
          <cell r="C17" t="str">
            <v>YB3-160L-2</v>
          </cell>
          <cell r="D17">
            <v>2930</v>
          </cell>
          <cell r="E17">
            <v>0.168</v>
          </cell>
          <cell r="F17">
            <v>0</v>
          </cell>
        </row>
        <row r="18">
          <cell r="B18">
            <v>22</v>
          </cell>
          <cell r="C18" t="str">
            <v>YB3-180M-2</v>
          </cell>
          <cell r="D18">
            <v>2940</v>
          </cell>
          <cell r="E18">
            <v>0.22</v>
          </cell>
          <cell r="F18">
            <v>0</v>
          </cell>
        </row>
        <row r="19">
          <cell r="B19">
            <v>30</v>
          </cell>
          <cell r="C19" t="str">
            <v>YB3-200L1-2</v>
          </cell>
          <cell r="D19">
            <v>2950</v>
          </cell>
          <cell r="E19">
            <v>0.29</v>
          </cell>
          <cell r="F19">
            <v>0</v>
          </cell>
        </row>
        <row r="20">
          <cell r="B20">
            <v>37</v>
          </cell>
          <cell r="C20" t="str">
            <v>YB3-200L2-2</v>
          </cell>
          <cell r="D20">
            <v>2950</v>
          </cell>
          <cell r="E20">
            <v>0.305</v>
          </cell>
          <cell r="F20">
            <v>0</v>
          </cell>
        </row>
        <row r="21">
          <cell r="B21">
            <v>45</v>
          </cell>
          <cell r="C21" t="str">
            <v>YB3-225M-2</v>
          </cell>
          <cell r="D21">
            <v>2970</v>
          </cell>
          <cell r="E21">
            <v>0.4</v>
          </cell>
          <cell r="F21">
            <v>0</v>
          </cell>
        </row>
        <row r="22">
          <cell r="B22">
            <v>55</v>
          </cell>
          <cell r="C22" t="str">
            <v>YB3-250M-2</v>
          </cell>
          <cell r="D22">
            <v>2970</v>
          </cell>
          <cell r="E22">
            <v>0.46</v>
          </cell>
          <cell r="F22">
            <v>0</v>
          </cell>
        </row>
        <row r="23">
          <cell r="B23">
            <v>75</v>
          </cell>
          <cell r="C23" t="str">
            <v>YB3-280S-2</v>
          </cell>
          <cell r="D23">
            <v>2970</v>
          </cell>
          <cell r="E23">
            <v>0.625</v>
          </cell>
          <cell r="F23">
            <v>0</v>
          </cell>
        </row>
        <row r="24">
          <cell r="B24">
            <v>90</v>
          </cell>
          <cell r="C24" t="str">
            <v>YB3-280M-2</v>
          </cell>
          <cell r="D24">
            <v>2970</v>
          </cell>
          <cell r="E24">
            <v>0.728</v>
          </cell>
          <cell r="F24">
            <v>0</v>
          </cell>
        </row>
        <row r="25">
          <cell r="B25">
            <v>110</v>
          </cell>
          <cell r="C25" t="str">
            <v>YB3-315S-2</v>
          </cell>
          <cell r="D25">
            <v>2980</v>
          </cell>
          <cell r="E25">
            <v>1.1</v>
          </cell>
          <cell r="F25">
            <v>0</v>
          </cell>
        </row>
        <row r="26">
          <cell r="B26">
            <v>132</v>
          </cell>
          <cell r="C26" t="str">
            <v>YB3-315M-2</v>
          </cell>
          <cell r="D26">
            <v>2980</v>
          </cell>
          <cell r="E26">
            <v>1.16</v>
          </cell>
          <cell r="F26">
            <v>0</v>
          </cell>
        </row>
        <row r="27">
          <cell r="B27">
            <v>160</v>
          </cell>
          <cell r="C27" t="str">
            <v>YB3-315L1-2</v>
          </cell>
          <cell r="D27">
            <v>2980</v>
          </cell>
          <cell r="E27">
            <v>1.35</v>
          </cell>
          <cell r="F27">
            <v>0</v>
          </cell>
        </row>
        <row r="28">
          <cell r="B28">
            <v>185</v>
          </cell>
          <cell r="C28" t="str">
            <v>YB3-3551-2</v>
          </cell>
          <cell r="D28">
            <v>2976</v>
          </cell>
          <cell r="E28">
            <v>2.33</v>
          </cell>
          <cell r="F28">
            <v>0</v>
          </cell>
        </row>
        <row r="29">
          <cell r="B29">
            <v>200</v>
          </cell>
          <cell r="C29" t="str">
            <v>YB3-3552-2</v>
          </cell>
          <cell r="D29">
            <v>2976</v>
          </cell>
          <cell r="E29">
            <v>2.42</v>
          </cell>
          <cell r="F29">
            <v>0</v>
          </cell>
        </row>
        <row r="30">
          <cell r="B30">
            <v>220</v>
          </cell>
          <cell r="C30" t="str">
            <v>YB3-3553-2</v>
          </cell>
          <cell r="D30">
            <v>2976</v>
          </cell>
          <cell r="E30">
            <v>2.51</v>
          </cell>
          <cell r="F30">
            <v>0</v>
          </cell>
        </row>
        <row r="31">
          <cell r="B31">
            <v>250</v>
          </cell>
          <cell r="C31" t="str">
            <v>YB3-3554-2</v>
          </cell>
          <cell r="D31">
            <v>2976</v>
          </cell>
          <cell r="E31">
            <v>2.63</v>
          </cell>
          <cell r="F31">
            <v>0</v>
          </cell>
        </row>
        <row r="32">
          <cell r="B32">
            <v>280</v>
          </cell>
          <cell r="C32" t="str">
            <v>YB3-3555-2</v>
          </cell>
          <cell r="D32">
            <v>2976</v>
          </cell>
          <cell r="E32">
            <v>2.76</v>
          </cell>
          <cell r="F32">
            <v>0</v>
          </cell>
        </row>
        <row r="33">
          <cell r="B33">
            <v>315</v>
          </cell>
          <cell r="C33" t="str">
            <v>YB3-4001-2</v>
          </cell>
          <cell r="D33">
            <v>2980</v>
          </cell>
          <cell r="E33">
            <v>3.55</v>
          </cell>
          <cell r="F33">
            <v>0</v>
          </cell>
        </row>
        <row r="34">
          <cell r="B34">
            <v>355</v>
          </cell>
          <cell r="C34" t="str">
            <v>YB3-4002-2</v>
          </cell>
          <cell r="D34">
            <v>2980</v>
          </cell>
          <cell r="E34">
            <v>3.7</v>
          </cell>
          <cell r="F34">
            <v>0</v>
          </cell>
        </row>
        <row r="35">
          <cell r="B35">
            <v>400</v>
          </cell>
          <cell r="C35" t="str">
            <v>YB3-4003-2</v>
          </cell>
          <cell r="D35">
            <v>2980</v>
          </cell>
          <cell r="E35">
            <v>3.85</v>
          </cell>
          <cell r="F35">
            <v>0</v>
          </cell>
        </row>
        <row r="36">
          <cell r="B36">
            <v>450</v>
          </cell>
          <cell r="C36" t="str">
            <v>YB3-4004-2</v>
          </cell>
          <cell r="D36">
            <v>2980</v>
          </cell>
          <cell r="E36">
            <v>4.05</v>
          </cell>
          <cell r="F36">
            <v>0</v>
          </cell>
        </row>
        <row r="37">
          <cell r="B37">
            <v>500</v>
          </cell>
          <cell r="C37" t="str">
            <v>YB3-4501-2</v>
          </cell>
          <cell r="D37">
            <v>2980</v>
          </cell>
          <cell r="E37">
            <v>4.6</v>
          </cell>
          <cell r="F37">
            <v>0</v>
          </cell>
        </row>
        <row r="38">
          <cell r="B38">
            <v>560</v>
          </cell>
          <cell r="C38" t="str">
            <v>YB3-4502-2</v>
          </cell>
          <cell r="D38">
            <v>2980</v>
          </cell>
          <cell r="E38">
            <v>4.74</v>
          </cell>
          <cell r="F38">
            <v>0</v>
          </cell>
        </row>
        <row r="39">
          <cell r="B39">
            <v>630</v>
          </cell>
          <cell r="C39" t="str">
            <v>YB3-4503-2</v>
          </cell>
          <cell r="D39">
            <v>2980</v>
          </cell>
          <cell r="E39">
            <v>4.99</v>
          </cell>
          <cell r="F39">
            <v>0</v>
          </cell>
        </row>
        <row r="40">
          <cell r="B40">
            <v>710</v>
          </cell>
          <cell r="C40" t="str">
            <v>YB3-4504-2</v>
          </cell>
          <cell r="D40">
            <v>2980</v>
          </cell>
          <cell r="E40">
            <v>5.13</v>
          </cell>
          <cell r="F40">
            <v>0</v>
          </cell>
        </row>
        <row r="41">
          <cell r="B41">
            <v>800</v>
          </cell>
          <cell r="C41" t="str">
            <v>YB3-5001-2</v>
          </cell>
          <cell r="D41">
            <v>2985</v>
          </cell>
          <cell r="E41">
            <v>5.9</v>
          </cell>
          <cell r="F41">
            <v>0</v>
          </cell>
        </row>
        <row r="42">
          <cell r="B42">
            <v>900</v>
          </cell>
          <cell r="C42" t="str">
            <v>YB3-5002-2</v>
          </cell>
          <cell r="D42">
            <v>2985</v>
          </cell>
          <cell r="E42">
            <v>6.1</v>
          </cell>
          <cell r="F42">
            <v>0</v>
          </cell>
        </row>
        <row r="43">
          <cell r="B43">
            <v>1000</v>
          </cell>
          <cell r="C43" t="str">
            <v>YB3-5003-2</v>
          </cell>
          <cell r="D43">
            <v>2985</v>
          </cell>
          <cell r="E43">
            <v>6.35</v>
          </cell>
          <cell r="F43">
            <v>0</v>
          </cell>
        </row>
        <row r="44">
          <cell r="B44">
            <v>1120</v>
          </cell>
          <cell r="C44" t="str">
            <v>YB3-5004-2</v>
          </cell>
          <cell r="D44">
            <v>2985</v>
          </cell>
          <cell r="E44">
            <v>6.65</v>
          </cell>
          <cell r="F44">
            <v>0</v>
          </cell>
        </row>
        <row r="45">
          <cell r="B45">
            <v>1250</v>
          </cell>
          <cell r="C45" t="str">
            <v>YB3-5601-2</v>
          </cell>
          <cell r="D45">
            <v>2988</v>
          </cell>
          <cell r="E45">
            <v>8.5</v>
          </cell>
          <cell r="F45">
            <v>0</v>
          </cell>
        </row>
        <row r="46">
          <cell r="B46">
            <v>1400</v>
          </cell>
          <cell r="C46" t="str">
            <v>YB3-5602-2</v>
          </cell>
          <cell r="D46">
            <v>2988</v>
          </cell>
          <cell r="E46">
            <v>8.75</v>
          </cell>
          <cell r="F46">
            <v>0</v>
          </cell>
        </row>
        <row r="47">
          <cell r="B47">
            <v>1600</v>
          </cell>
          <cell r="C47" t="str">
            <v>YB3-5603-2</v>
          </cell>
          <cell r="D47">
            <v>2988</v>
          </cell>
          <cell r="E47">
            <v>9</v>
          </cell>
          <cell r="F47">
            <v>0</v>
          </cell>
        </row>
        <row r="48">
          <cell r="B48">
            <v>1800</v>
          </cell>
          <cell r="C48" t="str">
            <v>YB3-5604-2</v>
          </cell>
          <cell r="D48">
            <v>2988</v>
          </cell>
          <cell r="E48">
            <v>9.5</v>
          </cell>
        </row>
      </sheetData>
      <sheetData sheetId="12"/>
      <sheetData sheetId="13"/>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空冷器管束"/>
      <sheetName val="空冷器构架"/>
      <sheetName val="空冷器风机"/>
      <sheetName val="空冷器百叶窗"/>
      <sheetName val="空冷器翅化比"/>
      <sheetName val="空冷器加热盘管"/>
      <sheetName val="换热器工艺数据"/>
      <sheetName val="换热器安装尺寸"/>
      <sheetName val="换热器附图"/>
      <sheetName val="安全阀型号"/>
      <sheetName val="离心泵性能修正系数"/>
      <sheetName val="电机型号"/>
      <sheetName val="混相流型判断图"/>
      <sheetName val="安全阀计算附图"/>
      <sheetName val="PrParaLib"/>
    </sheetNames>
    <sheetDataSet>
      <sheetData sheetId="0"/>
      <sheetData sheetId="1"/>
      <sheetData sheetId="2"/>
      <sheetData sheetId="3"/>
      <sheetData sheetId="4"/>
      <sheetData sheetId="5"/>
      <sheetData sheetId="6"/>
      <sheetData sheetId="7"/>
      <sheetData sheetId="8"/>
      <sheetData sheetId="9">
        <row r="6">
          <cell r="B6">
            <v>0.5</v>
          </cell>
          <cell r="C6">
            <v>15</v>
          </cell>
        </row>
        <row r="7">
          <cell r="B7">
            <v>0.75</v>
          </cell>
          <cell r="C7">
            <v>20</v>
          </cell>
        </row>
        <row r="8">
          <cell r="B8">
            <v>1</v>
          </cell>
          <cell r="C8">
            <v>25</v>
          </cell>
        </row>
        <row r="9">
          <cell r="B9">
            <v>1.5</v>
          </cell>
          <cell r="C9">
            <v>40</v>
          </cell>
        </row>
        <row r="10">
          <cell r="B10">
            <v>2</v>
          </cell>
          <cell r="C10">
            <v>50</v>
          </cell>
        </row>
        <row r="11">
          <cell r="B11">
            <v>3</v>
          </cell>
          <cell r="C11">
            <v>80</v>
          </cell>
        </row>
        <row r="12">
          <cell r="B12">
            <v>4</v>
          </cell>
          <cell r="C12">
            <v>100</v>
          </cell>
        </row>
        <row r="13">
          <cell r="B13">
            <v>6</v>
          </cell>
          <cell r="C13">
            <v>150</v>
          </cell>
        </row>
        <row r="14">
          <cell r="B14">
            <v>8</v>
          </cell>
          <cell r="C14">
            <v>200</v>
          </cell>
        </row>
        <row r="15">
          <cell r="B15">
            <v>10</v>
          </cell>
          <cell r="C15">
            <v>250</v>
          </cell>
        </row>
        <row r="19">
          <cell r="B19" t="str">
            <v>D</v>
          </cell>
          <cell r="C19">
            <v>71</v>
          </cell>
        </row>
        <row r="20">
          <cell r="B20" t="str">
            <v>E</v>
          </cell>
          <cell r="C20">
            <v>126.4</v>
          </cell>
        </row>
        <row r="21">
          <cell r="B21" t="str">
            <v>F</v>
          </cell>
          <cell r="C21">
            <v>198.1</v>
          </cell>
        </row>
        <row r="22">
          <cell r="B22" t="str">
            <v>G</v>
          </cell>
          <cell r="C22">
            <v>324.5</v>
          </cell>
        </row>
        <row r="23">
          <cell r="B23" t="str">
            <v>H</v>
          </cell>
          <cell r="C23">
            <v>506.4</v>
          </cell>
        </row>
        <row r="24">
          <cell r="B24" t="str">
            <v>J</v>
          </cell>
          <cell r="C24">
            <v>830.3</v>
          </cell>
        </row>
        <row r="25">
          <cell r="B25" t="str">
            <v>K</v>
          </cell>
          <cell r="C25">
            <v>1185.8</v>
          </cell>
        </row>
        <row r="26">
          <cell r="B26" t="str">
            <v>L</v>
          </cell>
          <cell r="C26">
            <v>1840.6</v>
          </cell>
        </row>
        <row r="27">
          <cell r="B27" t="str">
            <v>M</v>
          </cell>
          <cell r="C27">
            <v>2322.6</v>
          </cell>
        </row>
        <row r="28">
          <cell r="B28" t="str">
            <v>N</v>
          </cell>
          <cell r="C28">
            <v>2800</v>
          </cell>
        </row>
        <row r="29">
          <cell r="B29" t="str">
            <v>P</v>
          </cell>
          <cell r="C29">
            <v>4116.1</v>
          </cell>
        </row>
        <row r="30">
          <cell r="B30" t="str">
            <v>Q</v>
          </cell>
          <cell r="C30">
            <v>7129</v>
          </cell>
        </row>
        <row r="31">
          <cell r="B31" t="str">
            <v>R</v>
          </cell>
          <cell r="C31">
            <v>10322.6</v>
          </cell>
        </row>
        <row r="32">
          <cell r="B32" t="str">
            <v>T</v>
          </cell>
          <cell r="C32">
            <v>16774.2</v>
          </cell>
        </row>
      </sheetData>
      <sheetData sheetId="10"/>
      <sheetData sheetId="11"/>
      <sheetData sheetId="12"/>
      <sheetData sheetId="13"/>
      <sheetData sheetId="14"/>
    </sheetDataSet>
  </externalBook>
</externalLink>
</file>

<file path=xl/externalLinks/externalLink3.xml><?xml version="1.0" encoding="UTF-8" standalone="yes"?>
<externalLink xmlns="http://schemas.openxmlformats.org/spreadsheetml/2006/main"><externalBook xmlns:r="http://schemas.openxmlformats.org/officeDocument/2006/relationships" r:id="rId1"><sheetNames><sheetName val="说明"/><sheetName val="作业流程"/><sheetName val="物流参数"/><sheetName val="摩尔组成"/><sheetName val="管径核算"/><sheetName val="两相流"/><sheetName val="机泵选型"/><sheetName val="压缩机功率计算"/><sheetName val="安全阀选型"/><sheetName val="反应器核算"/><sheetName val="气液分离罐核算(原始）"/><sheetName val="汽包工艺计算"/><sheetName val="缓冲罐核算"/><sheetName val="其他设备选型"/><sheetName val="气液分离罐核算修改"/><sheetName val="气液分离罐核算（李）"/><sheetName val="T-101 Hydraulics"/><sheetName val="电耗"/><sheetName val="水汽耗"/><sheetName val="能耗"/><sheetName val="物料平衡"/><sheetName val="Output to PFD"/><sheetName val="物流参数2"/><sheetName val="摩尔组成2"/></sheetNames><sheetDataSet><sheetData sheetId="0"></sheetData><sheetData sheetId="1"></sheetData><sheetData sheetId="2"></sheetData><sheetData sheetId="3"></sheetData><sheetData sheetId="4"><row r="2"><cell r="A2" t="str"><v>管线编号</v></cell></row><row r="2"><cell r="C2" t="str"><v>混合碳四</v></cell><cell r="D2"><v>101</v></cell><cell r="E2"><v>102</v></cell><cell r="F2"><v>103</v></cell><cell r="G2" t="str"><v>F1</v></cell><cell r="H2"><v>104</v></cell><cell r="I2"><v>105</v></cell><cell r="J2"><v>106</v></cell><cell r="K2"><v>107</v></cell><cell r="L2"><v>108</v></cell><cell r="M2"><v>109</v></cell><cell r="N2" t="str"><v>H3</v></cell><cell r="O2" t="str"><v>H1</v></cell><cell r="P2" t="str"><v>H2</v></cell><cell r="Q2" t="str"><v>H4</v></cell><cell r="R2" t="str"><v>H6</v></cell><cell r="S2" t="str"><v>S11</v></cell><cell r="T2" t="str"><v>S21</v></cell><cell r="U2" t="str"><v>冷低分油</v></cell><cell r="V2" t="str"><v>热低分油</v></cell><cell r="W2" t="str"><v>低分气</v></cell><cell r="X2"><v>3</v></cell><cell r="Y2" t="str"><v>fuel gas for begin</v></cell></row><row r="2"><cell r="AA2"><v>110</v></cell><cell r="AB2" t="str"><v>F2</v></cell><cell r="AC2" t="str"><v>PS11</v></cell><cell r="AD2" t="str"><v>PS12</v></cell><cell r="AE2" t="str"><v>Reflux @COL1</v></cell><cell r="AF2" t="str"><v>不凝气</v></cell><cell r="AG2"><v>112</v></cell><cell r="AH2" t="str"><v>F3</v></cell><cell r="AI2" t="str"><v>PS21</v></cell><cell r="AJ2" t="str"><v>PS22</v></cell><cell r="AK2" t="str"><v>Reflux @COL2</v></cell><cell r="AL2" t="str"><v>异丁烷</v></cell><cell r="AM2" t="str"><v>S35</v></cell><cell r="AN2" t="str"><v>S13</v></cell><cell r="AO2" t="str"><v>S31</v></cell><cell r="AP2" t="str"><v>S32</v></cell><cell r="AQ2" t="str"><v>S33</v></cell><cell r="AR2" t="str"><v>S34</v></cell><cell r="AS2" t="str"><v>S15</v></cell><cell r="AT2"><v>6</v></cell><cell r="AU2" t="str"><v>S35</v></cell><cell r="AV2" t="str"><v>和</v></cell><cell r="AW2" t="str"><v>正丁烷</v></cell></row><row r="3"><cell r="A3" t="str"><v>管线说明</v></cell></row><row r="3"><cell r="C3" t="str"><v>混合碳四进装置</v></cell><cell r="D3" t="str"><v>高速泵出口</v></cell><cell r="E3" t="str"><v>原料和氢气混合</v></cell><cell r="F3" t="str"><v>E101出料</v></cell><cell r="G3" t="str"><v>反应器R101进料</v></cell><cell r="H3" t="str"><v>反应器R101出料</v></cell><cell r="I3" t="str"><v>反应产物冷却</v></cell><cell r="J3" t="str"><v>热高分进料</v></cell><cell r="K3" t="str"><v>热高分不凝气</v></cell><cell r="L3" t="str"><v>循环氢冷却</v></cell><cell r="M3" t="str"><v>循环氢</v></cell><cell r="N3" t="str"><v>循环氢</v></cell><cell r="O3" t="str"><v>新氢进装置</v></cell><cell r="P3" t="str"><v>新氢出压缩机</v></cell><cell r="Q3" t="str"><v>循环氢压缩机进口</v></cell><cell r="R3" t="str"><v>循环氢压缩机出口</v></cell><cell r="S3" t="str"><v>循环冷却水</v></cell><cell r="T3" t="str"><v>冷冻水</v></cell><cell r="U3" t="str"><v>高压自流</v></cell><cell r="V3" t="str"><v>高压自流</v></cell><cell r="W3" t="str"><v>高压放气</v></cell><cell r="X3" t="str"><v>循环冷却水</v></cell><cell r="Y3" t="str"><v>燃料气</v></cell></row><row r="3"><cell r="AA3" t="str"><v>高分罐自流</v></cell><cell r="AB3" t="str"><v>T101进料</v></cell><cell r="AC3" t="str"><v>T101塔顶蒸气</v></cell><cell r="AD3" t="str"><v>T101塔顶冷凝</v></cell><cell r="AE3" t="str"><v>T101塔顶回流</v></cell><cell r="AF3" t="str"><v>T101塔顶冷凝</v></cell><cell r="AG3" t="str"><v>T101塔底液</v></cell><cell r="AH3" t="str"><v>T102塔进料</v></cell><cell r="AI3" t="str"><v>T102塔顶蒸气</v></cell><cell r="AJ3" t="str"><v>T102塔顶液</v></cell><cell r="AK3" t="str"><v>T102塔顶回流</v></cell><cell r="AL3" t="str"><v>T102塔顶产品</v></cell><cell r="AM3" t="str"><v>E104循环水进料</v></cell><cell r="AN3" t="str"><v>E105循环水进料</v></cell><cell r="AO3" t="str"><v>E106蒸汽进口</v></cell><cell r="AP3" t="str"><v>E106蒸汽凝液出口</v></cell><cell r="AQ3" t="str"><v>E108蒸汽进口</v></cell><cell r="AR3" t="str"><v>E108蒸汽凝液出口</v></cell><cell r="AS3" t="str"><v>E107循环水进料</v></cell><cell r="AT3" t="str"><v>E110循环水进料</v></cell><cell r="AU3" t="str"><v>E104蒸汽凝液进口</v></cell><cell r="AV3" t="str"><v>P103进口</v></cell><cell r="AW3" t="str"><v>P104进口</v></cell></row><row r="4"><cell r="A4" t="str"><v>介质名称</v></cell></row><row r="4"><cell r="C4" t="str"><v>液化石油气</v></cell><cell r="D4" t="str"><v>液化石油气</v></cell><cell r="E4" t="str"><v>原料+氢气</v></cell><cell r="F4" t="str"><v>原料+氢气</v></cell><cell r="G4" t="str"><v>原料+氢气</v></cell><cell r="H4" t="str"><v>加氢油+氢气</v></cell><cell r="I4" t="str"><v>加氢油+氢气</v></cell><cell r="J4" t="str"><v>加氢油+氢气</v></cell><cell r="K4" t="str"><v>循环氢气</v></cell><cell r="L4" t="str"><v>循环氢气</v></cell><cell r="M4" t="str"><v>循环氢气</v></cell><cell r="N4" t="str"><v>循环氢气</v></cell><cell r="O4" t="str"><v>氢气</v></cell><cell r="P4" t="str"><v>氢气</v></cell><cell r="Q4" t="str"><v>循环氢气</v></cell><cell r="R4" t="str"><v>循环氢气</v></cell><cell r="S4" t="str"><v>循环水</v></cell><cell r="T4" t="str"><v>冷冻水</v></cell><cell r="U4" t="str"><v>加氢油</v></cell><cell r="V4" t="str"><v>加氢油</v></cell><cell r="W4" t="str"><v>循环氢气</v></cell><cell r="X4" t="str"><v>循环水</v></cell></row><row r="4"><cell r="AA4" t="str"><v>加氢油</v></cell><cell r="AB4" t="str"><v>加氢油</v></cell><cell r="AC4" t="str"><v>混合碳三</v></cell><cell r="AD4" t="str"><v>混合碳三</v></cell><cell r="AE4" t="str"><v>混合碳三</v></cell><cell r="AF4" t="str"><v>混合碳三</v></cell><cell r="AG4" t="str"><v>混合碳四</v></cell><cell r="AH4" t="str"><v>混合碳四</v></cell><cell r="AI4" t="str"><v>异丁烷</v></cell><cell r="AJ4" t="str"><v>异丁烷</v></cell><cell r="AK4" t="str"><v>异丁烷</v></cell><cell r="AL4" t="str"><v>异丁烷</v></cell><cell r="AM4" t="str"><v>凝结水</v></cell><cell r="AN4" t="str"><v>循环水</v></cell><cell r="AO4" t="str"><v>低压蒸汽</v></cell><cell r="AP4" t="str"><v>凝结水</v></cell><cell r="AQ4" t="str"><v>低压蒸汽</v></cell><cell r="AR4" t="str"><v>凝结水</v></cell><cell r="AS4" t="str"><v>循环水</v></cell><cell r="AT4" t="str"><v>循环水</v></cell><cell r="AU4" t="str"><v>凝结水</v></cell><cell r="AV4" t="str"><v>异丁烷</v></cell><cell r="AW4" t="str"><v>重碳四</v></cell></row><row r="5"><cell r="A5" t="str"><v>管道类型</v></cell></row><row r="5"><cell r="C5" t="str"><v>泵送</v></cell><cell r="D5" t="str"><v>高速泵出口</v></cell><cell r="E5" t="str"><v>高速泵出口</v></cell><cell r="F5" t="str"><v>高速泵出口</v></cell><cell r="G5" t="str"><v>高速泵出口</v></cell><cell r="H5" t="str"><v>高速泵出口</v></cell><cell r="I5" t="str"><v>高速泵出口</v></cell><cell r="J5" t="str"><v>高速泵出口</v></cell><cell r="K5" t="str"><v>压缩机入口</v></cell><cell r="L5" t="str"><v>压缩机入口</v></cell><cell r="M5" t="str"><v>压缩机入口</v></cell><cell r="N5" t="str"><v>压缩机出口</v></cell><cell r="O5" t="str"><v>压缩机出口</v></cell><cell r="P5" t="str"><v>压缩机入口</v></cell><cell r="Q5" t="str"><v>压缩机入口</v></cell><cell r="R5" t="str"><v>压缩机出口</v></cell><cell r="S5" t="str"><v>泵送</v></cell><cell r="T5" t="str"><v>泵送</v></cell><cell r="U5" t="str"><v>自流</v></cell><cell r="V5" t="str"><v>自流</v></cell><cell r="W5" t="str"><v>自流</v></cell><cell r="X5" t="str"><v>泵送</v></cell><cell r="Y5" t="str"><v>泵送</v></cell></row><row r="5"><cell r="AA5" t="str"><v>自流</v></cell><cell r="AB5" t="str"><v>自流</v></cell><cell r="AC5" t="str"><v>塔顶出口</v></cell><cell r="AD5" t="str"><v>塔顶出口</v></cell><cell r="AE5" t="str"><v>泵出口</v></cell><cell r="AF5" t="str"><v>塔顶出口</v></cell><cell r="AG5" t="str"><v>余压</v></cell><cell r="AH5" t="str"><v>余压</v></cell><cell r="AI5" t="str"><v>塔顶出口</v></cell><cell r="AJ5" t="str"><v>泵入口</v></cell><cell r="AK5" t="str"><v>泵出口</v></cell><cell r="AL5" t="str"><v>泵出口</v></cell><cell r="AM5" t="str"><v>泵出口</v></cell><cell r="AN5" t="str"><v>泵出口</v></cell><cell r="AO5" t="str"><v>加热蒸汽管道</v></cell><cell r="AP5" t="str"><v>加热蒸汽管道</v></cell><cell r="AQ5" t="str"><v>加热蒸汽管道</v></cell><cell r="AR5" t="str"><v>加热蒸汽管道</v></cell><cell r="AS5" t="str"><v>泵出口</v></cell><cell r="AT5" t="str"><v>泵出口</v></cell><cell r="AU5" t="str"><v>加热蒸汽管道</v></cell><cell r="AV5" t="str"><v>泵入口</v></cell><cell r="AW5" t="str"><v>泵入口</v></cell></row><row r="6"><cell r="A6" t="str"><v>流体性质</v></cell></row><row r="6"><cell r="C6" t="str"><v>饱和液体</v></cell><cell r="D6" t="str"><v>不饱和液体</v></cell><cell r="E6" t="str"><v>两相流</v></cell><cell r="F6" t="str"><v>中压气体</v></cell><cell r="G6" t="str"><v>中压气体</v></cell><cell r="H6" t="str"><v>中压气体</v></cell><cell r="I6" t="str"><v>两相流</v></cell><cell r="J6" t="str"><v>两相流</v></cell><cell r="K6" t="str"><v>中压气体</v></cell><cell r="L6" t="str"><v>两相流</v></cell><cell r="M6" t="str"><v>中压气体</v></cell><cell r="N6" t="str"><v>中压气体</v></cell><cell r="O6" t="str"><v>低压气体</v></cell><cell r="P6" t="str"><v>中压气体</v></cell><cell r="Q6" t="str"><v>中压气体</v></cell><cell r="R6" t="str"><v>中压气体</v></cell><cell r="S6" t="str"><v>不饱和液体</v></cell><cell r="T6" t="str"><v>不饱和液体</v></cell><cell r="U6" t="str"><v>饱和液体</v></cell><cell r="V6" t="str"><v>饱和液体</v></cell><cell r="W6" t="str"><v>中压气体</v></cell><cell r="X6" t="str"><v>不饱和液体</v></cell><cell r="Y6" t="str"><v>低压气体</v></cell></row><row r="6"><cell r="AA6" t="str"><v>饱和液体</v></cell><cell r="AB6" t="str"><v>两相流</v></cell><cell r="AC6" t="str"><v>中压气体</v></cell><cell r="AD6" t="str"><v>两相流</v></cell><cell r="AE6" t="str"><v>饱和液体</v></cell><cell r="AF6" t="str"><v>中压气体</v></cell><cell r="AG6" t="str"><v>饱和液体</v></cell><cell r="AH6" t="str"><v>两相流</v></cell><cell r="AI6" t="str"><v>低压气体</v></cell><cell r="AJ6" t="str"><v>饱和液体</v></cell><cell r="AK6" t="str"><v>饱和液体</v></cell><cell r="AL6" t="str"><v>饱和液体</v></cell><cell r="AM6" t="str"><v>饱和液体</v></cell><cell r="AN6" t="str"><v>饱和液体</v></cell><cell r="AO6" t="str"><v>过热蒸汽</v></cell><cell r="AP6" t="str"><v>饱和液体</v></cell><cell r="AQ6" t="str"><v>过热蒸汽</v></cell><cell r="AR6" t="str"><v>饱和液体</v></cell><cell r="AS6" t="str"><v>饱和液体</v></cell><cell r="AT6" t="str"><v>饱和液体</v></cell><cell r="AU6" t="str"><v>饱和液体</v></cell><cell r="AV6" t="str"><v>饱和液体</v></cell><cell r="AW6" t="str"><v>饱和液体</v></cell></row><row r="7"><cell r="A7" t="str"><v>输送温度(C)</v></cell></row><row r="7"><cell r="C7"><v>40</v></cell><cell r="D7"><v>42.900304</v></cell><cell r="E7"><v>31.333873</v></cell><cell r="F7"><v>210</v></cell><cell r="G7"><v>240</v></cell><cell r="H7"><v>280.458607</v></cell><cell r="I7"><v>57.803473</v></cell><cell r="J7"><v>35</v></cell><cell r="K7"><v>35</v></cell><cell r="L7"><v>9</v></cell><cell r="M7"><v>9</v></cell><cell r="N7"><v>9</v></cell><cell r="O7"><v>40</v></cell><cell r="P7"><v>117.845693</v></cell><cell r="Q7"><v>13.190216</v></cell><cell r="R7"><v>41.401192</v></cell><cell r="S7"><v>30</v></cell><cell r="T7"><v>-5</v></cell><cell r="U7"><v>9</v></cell><cell r="V7"><v>35</v></cell><cell r="W7"><v>9</v></cell><cell r="X7"><v>32</v></cell><cell r="Y7"><v>40</v></cell></row><row r="7"><cell r="AA7"><v>28.172569</v></cell><cell r="AB7"><v>100</v></cell><cell r="AC7"><v>89.26258</v></cell><cell r="AD7"><v>40</v></cell><cell r="AE7"><v>40</v></cell><cell r="AF7"><v>40.431745</v></cell><cell r="AG7"><v>110.121056</v></cell><cell r="AH7"><v>61.344831</v></cell><cell r="AI7"><v>48.580093</v></cell><cell r="AJ7"><v>40</v></cell><cell r="AK7"><v>45.251565</v></cell><cell r="AL7"><v>45.25224</v></cell><cell r="AM7"><v>182.188524</v></cell><cell r="AN7"><v>31.5</v></cell><cell r="AO7"><v>250</v></cell><cell r="AP7"><v>182.188524</v></cell><cell r="AQ7"><v>250</v></cell><cell r="AR7"><v>182.188524</v></cell><cell r="AS7"><v>31.5</v></cell><cell r="AT7"><v>32</v></cell><cell r="AU7"><v>182.188524</v></cell><cell r="AV7"><v>45.251565</v></cell><cell r="AW7"><v>66.616051</v></cell></row><row r="8"><cell r="A8" t="str"><v>压力(bar)</v></cell></row><row r="8"><cell r="C8"><v>4.87499</v></cell><cell r="D8"><v>37</v></cell><cell r="E8"><v>35</v></cell><cell r="F8"><v>34</v></cell><cell r="G8"><v>31</v></cell><cell r="H8"><v>28</v></cell><cell r="I8"><v>27</v></cell><cell r="J8"><v>26.5</v></cell><cell r="K8"><v>26.5</v></cell><cell r="L8"><v>26</v></cell><cell r="M8"><v>26</v></cell><cell r="N8"><v>26</v></cell><cell r="O8"><v>15</v></cell><cell r="P8"><v>27</v></cell><cell r="Q8"><v>26</v></cell><cell r="R8"><v>35</v></cell><cell r="S8"><v>5</v></cell><cell r="T8"><v>5</v></cell><cell r="U8"><v>26</v></cell><cell r="V8"><v>26.5</v></cell><cell r="W8"><v>26</v></cell><cell r="X8"><v>5</v></cell><cell r="Y8"><v>3</v></cell></row><row r="8"><cell r="AA8"><v>26</v></cell><cell r="AB8"><v>23</v></cell><cell r="AC8"><v>21.5</v></cell><cell r="AD8"><v>21</v></cell><cell r="AE8"><v>21</v></cell><cell r="AF8"><v>21</v></cell><cell r="AG8"><v>22</v></cell><cell r="AH8"><v>8</v></cell><cell r="AI8"><v>6.5</v></cell><cell r="AJ8"><v>6</v></cell><cell r="AK8"><v>6</v></cell><cell r="AL8"><v>6</v></cell><cell r="AM8"><v>10.5</v></cell><cell r="AN8"><v>5</v></cell><cell r="AO8"><v>11</v></cell><cell r="AP8"><v>10.5</v></cell><cell r="AQ8"><v>11</v></cell><cell r="AR8"><v>10.5</v></cell><cell r="AS8"><v>5</v></cell><cell r="AT8"><v>5</v></cell><cell r="AU8"><v>10.5</v></cell><cell r="AV8"><v>6</v></cell><cell r="AW8"><v>7.5</v></cell></row><row r="9"><cell r="A9" t="str"><v>汽化率</v></cell></row><row r="9"><cell r="C9"><v>0</v></cell><cell r="D9"><v>0</v></cell><cell r="E9"><v>0.720286</v></cell><cell r="F9"><v>1</v></cell><cell r="G9"><v>1</v></cell><cell r="H9"><v>1</v></cell><cell r="I9"><v>0.936823</v></cell><cell r="J9"><v>0.764446</v></cell><cell r="K9"><v>1</v></cell><cell r="L9"><v>0.883118</v></cell><cell r="M9"><v>1</v></cell><cell r="N9"><v>1</v></cell><cell r="O9"><v>1</v></cell><cell r="P9"><v>1</v></cell><cell r="Q9"><v>1</v></cell><cell r="R9"><v>1</v></cell><cell r="S9"><v>0</v></cell><cell r="T9"><v>0</v></cell><cell r="U9"><v>0</v></cell><cell r="V9"><v>0</v></cell><cell r="W9"><v>1</v></cell><cell r="X9"><v>0</v></cell><cell r="Y9"><v>1</v></cell></row><row r="9"><cell r="AA9"><v>0.00034</v></cell><cell r="AB9"><v>0.15088</v></cell><cell r="AC9"><v>1</v></cell><cell r="AD9"><v>0.0499</v></cell><cell r="AE9"><v>0</v></cell><cell r="AF9"><v>1</v></cell><cell r="AG9"><v>0</v></cell><cell r="AH9"><v>0.514999</v></cell><cell r="AI9"><v>1</v></cell><cell r="AJ9"><v>0</v></cell><cell r="AK9"><v>0</v></cell><cell r="AL9"><v>0</v></cell><cell r="AM9"><v>0</v></cell><cell r="AN9"><v>0</v></cell><cell r="AO9"><v>1</v></cell><cell r="AP9"><v>0</v></cell><cell r="AQ9"><v>1</v></cell><cell r="AR9"><v>0</v></cell><cell r="AS9"><v>0</v></cell><cell r="AT9"><v>0</v></cell><cell r="AU9"><v>0</v></cell><cell r="AV9"><v>0</v></cell><cell r="AW9"><v>0</v></cell></row><row r="10"><cell r="A10" t="str"><v>介质操作流量(kg/h)</v></cell></row><row r="10"><cell r="C10"><v>25000</v></cell><cell r="D10"><v>25000</v></cell><cell r="E10"><v>32541.596671</v></cell><cell r="F10"><v>32541.596671</v></cell><cell r="G10"><v>32541.596671</v></cell><cell r="H10"><v>32541.596671</v></cell><cell r="I10"><v>32541.596671</v></cell><cell r="J10"><v>32541.596671</v></cell><cell r="K10"><v>14286.243213</v></cell><cell r="L10"><v>14286.243213</v></cell><cell r="M10"><v>7444.943683</v></cell><cell r="N10"><v>7439.767446</v></cell><cell r="O10"><v>100</v></cell><cell r="P10"><v>100</v></cell><cell r="Q10"><v>7539.767446</v></cell><cell r="R10"><v>7541.596671</v></cell><cell r="S10"><v>1045097.7813</v></cell><cell r="T10"><v>198467.537516</v></cell><cell r="U10"><v>6808.979681</v></cell><cell r="V10"><v>18253.496242</v></cell><cell r="W10"><v>5.176236</v></cell><cell r="X10"><v>3015.223988</v></cell><cell r="Y10"><v>145</v></cell></row><row r="10"><cell r="AA10"><v>25062.475923</v></cell><cell r="AB10"><v>25062.475923</v></cell><cell r="AC10"><v>23672.748747</v></cell><cell r="AD10"><v>23672.748747</v></cell><cell r="AE10"><v>22982.34</v></cell><cell r="AF10"><v>594.925846</v></cell><cell r="AG10"><v>24463.149608</v></cell><cell r="AH10"><v>24463.149608</v></cell><cell r="AI10"><v>90731.56298</v></cell><cell r="AJ10"><v>90731.56298</v></cell><cell r="AK10"><v>74397.654663</v></cell><cell r="AL10"><v>16271.856199</v></cell><cell r="AM10"><v>15111.151841</v></cell><cell r="AN10"><v>233627.444112</v></cell><cell r="AO10"><v>4006.127073</v></cell><cell r="AP10"><v>4006.127073</v></cell><cell r="AQ10"><v>11105.024767</v></cell><cell r="AR10"><v>11105.024767</v></cell><cell r="AS10"><v>811470.337187</v></cell><cell r="AT10"><v>16726.492669</v></cell><cell r="AU10"><v>15111.151841</v></cell><cell r="AV10"><v>90654.211835</v></cell><cell r="AW10"><v>8191.293409</v></cell></row><row r="11"><cell r="A11" t="str"><v>介质最大流量系数</v></cell></row><row r="11"><cell r="C11"><v>1.1</v></cell><cell r="D11"><v>1.1</v></cell><cell r="E11"><v>1.1</v></cell><cell r="F11"><v>1.1</v></cell><cell r="G11"><v>1.1</v></cell><cell r="H11"><v>1.1</v></cell><cell r="I11"><v>1.1</v></cell><cell r="J11"><v>1.1</v></cell><cell r="K11"><v>1.1</v></cell><cell r="L11"><v>1.1</v></cell><cell r="M11"><v>1.1</v></cell><cell r="N11"><v>1.1</v></cell><cell r="O11"><v>1.1</v></cell><cell r="P11"><v>1.1</v></cell><cell r="Q11"><v>1.1</v></cell><cell r="R11"><v>1.1</v></cell><cell r="S11"><v>1.1</v></cell><cell r="T11"><v>1.1</v></cell><cell r="U11"><v>1.1</v></cell><cell r="V11"><v>1.1</v></cell><cell r="W11"><v>1.1</v></cell><cell r="X11"><v>1.1</v></cell><cell r="Y11"><v>1.5</v></cell></row><row r="11"><cell r="AA11"><v>1.1</v></cell><cell r="AB11"><v>1.1</v></cell><cell r="AC11"><v>1.1</v></cell><cell r="AD11"><v>1.1</v></cell><cell r="AE11"><v>1.2</v></cell><cell r="AF11"><v>1.1</v></cell><cell r="AG11"><v>1.1</v></cell><cell r="AH11"><v>1.1</v></cell><cell r="AI11"><v>1.1</v></cell><cell r="AJ11"><v>1.1</v></cell><cell r="AK11"><v>1.2</v></cell><cell r="AL11"><v>1.1</v></cell><cell r="AM11"><v>1.1</v></cell><cell r="AN11"><v>1.1</v></cell><cell r="AO11"><v>1.2</v></cell><cell r="AP11"><v>1.2</v></cell><cell r="AQ11"><v>1.2</v></cell><cell r="AR11"><v>1.2</v></cell><cell r="AS11"><v>1.1</v></cell><cell r="AT11"><v>1.1</v></cell><cell r="AU11"><v>1.2</v></cell><cell r="AV11"><v>1.2</v></cell><cell r="AW11"><v>1.1</v></cell></row><row r="12"><cell r="A12" t="str"><v>介质最大操作流量(kg/h)</v></cell></row><row r="12"><cell r="C12"><v>27500</v></cell><cell r="D12"><v>27500</v></cell><cell r="E12"><v>35795.7563381</v></cell><cell r="F12"><v>35795.7563381</v></cell><cell r="G12"><v>35795.7563381</v></cell><cell r="H12"><v>35795.7563381</v></cell><cell r="I12"><v>35795.7563381</v></cell><cell r="J12"><v>35795.7563381</v></cell><cell r="K12"><v>15714.8675343</v></cell><cell r="L12"><v>15714.8675343</v></cell><cell r="M12"><v>8189.4380513</v></cell><cell r="N12"><v>8183.7441906</v></cell><cell r="O12"><v>110</v></cell><cell r="P12"><v>110</v></cell><cell r="Q12"><v>8293.7441906</v></cell><cell r="R12"><v>8295.7563381</v></cell><cell r="S12"><v>1149607.55943</v></cell><cell r="T12"><v>218314.2912676</v></cell><cell r="U12"><v>7489.8776491</v></cell><cell r="V12"><v>20078.8458662</v></cell><cell r="W12"><v>5.6938596</v></cell><cell r="X12"><v>3316.7463868</v></cell><cell r="Y12"><v>217.5</v></cell></row><row r="12"><cell r="AA12"><v>27568.7235153</v></cell><cell r="AB12"><v>27568.7235153</v></cell><cell r="AC12"><v>26040.0236217</v></cell><cell r="AD12"><v>26040.0236217</v></cell><cell r="AE12"><v>27578.808</v></cell><cell r="AF12"><v>654.4184306</v></cell><cell r="AG12"><v>26909.4645688</v></cell><cell r="AH12"><v>26909.4645688</v></cell><cell r="AI12"><v>99804.719278</v></cell><cell r="AJ12"><v>99804.719278</v></cell><cell r="AK12"><v>89277.1855956</v></cell><cell r="AL12"><v>17899.0418189</v></cell><cell r="AM12"><v>16622.2670251</v></cell><cell r="AN12"><v>256990.1885232</v></cell><cell r="AO12"><v>4807.3524876</v></cell><cell r="AP12"><v>4807.3524876</v></cell><cell r="AQ12"><v>13326.0297204</v></cell><cell r="AR12"><v>13326.0297204</v></cell><cell r="AS12"><v>892617.3709057</v></cell><cell r="AT12"><v>18399.1419359</v></cell><cell r="AU12"><v>18133.3822092</v></cell><cell r="AV12"><v>108785.054202</v></cell><cell r="AW12"><v>9010.4227499</v></cell></row><row r="13"><cell r="A13" t="str"><v>输送密度(kg/m3)</v></cell></row><row r="13"><cell r="C13"><v>541.071054</v></cell><cell r="D13"><v>545.024865</v></cell><cell r="E13"><v>42.65158</v></cell><cell r="F13"><v>19.960012</v></cell><cell r="G13"><v>17.032343</v></cell><cell r="H13"><v>14.52909</v></cell><cell r="I13"><v>26.168156</v></cell><cell r="J13"><v>31.754863</v></cell><cell r="K13"><v>14.416296</v></cell><cell r="L13"><v>16.944519</v></cell><cell r="M13"><v>8.957302</v></cell><cell r="N13"><v>8.957302</v></cell><cell r="O13"><v>1.235783</v></cell><cell r="P13"><v>1.774975</v></cell><cell r="Q13"><v>8.504099</v></cell><cell r="R13"><v>10.381838</v></cell><cell r="S13"><v>1003.688869</v></cell><cell r="T13"><v>1080.494599</v></cell><cell r="U13"><v>570.838219</v></cell><cell r="V13"><v>540.130441</v></cell><cell r="W13"><v>8.957302</v></cell><cell r="X13"><v>1002.175473</v></cell><cell r="Y13"><v>7.202502</v></cell></row><row r="13"><cell r="AA13"><v>546.843836</v></cell><cell r="AB13"><v>220.714909</v></cell><cell r="AC13"><v>53.229679</v></cell><cell r="AD13"><v>331.325343</v></cell><cell r="AE13"><v>509.2944</v></cell><cell r="AF13"><v>22.454897</v></cell><cell r="AG13"><v>421.323377</v></cell><cell r="AH13"><v>37.954778</v></cell><cell r="AI13"><v>16.604317</v></cell><cell r="AJ13"><v>531.919828</v></cell><cell r="AK13"><v>524.560464</v></cell><cell r="AL13"><v>524.560287</v></cell><cell r="AM13"><v>872.439862</v></cell><cell r="AN13"><v>1002.554177</v></cell><cell r="AO13"><v>4.734293</v></cell><cell r="AP13"><v>872.439862</v></cell><cell r="AQ13"><v>4.734293</v></cell><cell r="AR13"><v>872.439862</v></cell><cell r="AS13"><v>1002.554177</v></cell><cell r="AT13"><v>1002.175473</v></cell><cell r="AU13"><v>872.439862</v></cell><cell r="AV13"><v>524.560464</v></cell><cell r="AW13"><v>520.049596</v></cell></row><row r="14"><cell r="A14" t="str"><v>介质粘度(cs)</v></cell></row><row r="14"><cell r="C14"><v>0.26356981942708</v></cell><cell r="D14"><v>0.257252483333948</v></cell><cell r="E14" t="e"><v>#VALUE!</v></cell><cell r="F14"><v>0.92174293281988</v></cell><cell r="G14"><v>1.12192432949477</v></cell><cell r="H14"><v>1.3827431724905</v></cell><cell r="I14" t="e"><v>#VALUE!</v></cell><cell r="J14" t="e"><v>#VALUE!</v></cell><cell r="K14"><v>0.849802196070336</v></cell><cell r="L14" t="e"><v>#VALUE!</v></cell><cell r="M14"><v>1.09340960034618</v></cell><cell r="N14"><v>1.09340960034618</v></cell><cell r="O14"><v>7.37103520601918</v></cell><cell r="P14"><v>6.20121410160707</v></cell><cell r="Q14"><v>1.15073919059503</v></cell><cell r="R14"><v>1.01244114963073</v></cell><cell r="S14"><v>0.794301924254976</v></cell><cell r="T14"><v>4.19832547446172</v></cell><cell r="U14"><v>0.322830521619296</v></cell><cell r="V14"><v>0.266891086036752</v></cell><cell r="W14"><v>1.09340960034618</v></cell><cell r="X14"><v>0.762513173179603</v></cell><cell r="Y14"><v>1.0810132367891</v></cell></row><row r="14"><cell r="AA14"><v>0.27</v></cell><cell r="AB14" t="e"><v>#VALUE!</v></cell><cell r="AC14"><v>0.217209651029457</v></cell><cell r="AD14" t="e"><v>#VALUE!</v></cell><cell r="AE14"><v>0.238457363756601</v></cell><cell r="AF14"><v>0.565578189915545</v></cell><cell r="AG14"><v>0.178568301943521</v></cell><cell r="AH14" t="e"><v>#VALUE!</v></cell><cell r="AI14"><v>0.507157265185915</v></cell><cell r="AJ14"><v>0.271418722146225</v></cell><cell r="AK14"><v>0.261893545984053</v></cell><cell r="AL14"><v>0.261893634353605</v></cell><cell r="AM14"><v>0.168975543669049</v></cell><cell r="AN14"><v>0.770264607854704</v></cell><cell r="AO14"><v>3.80901646771757</v></cell><cell r="AP14"><v>0.168975543669049</v></cell><cell r="AQ14"><v>3.80901646771757</v></cell><cell r="AR14"><v>0.168975543669049</v></cell><cell r="AS14"><v>0.770264607854704</v></cell><cell r="AT14"><v>0.762513173179603</v></cell><cell r="AU14"><v>0.168975543669049</v></cell><cell r="AV14"><v>0.261893545984053</v></cell><cell r="AW14"><v>0.223505605799951</v></cell></row><row r="15"><cell r="A15" t="str"><v>动力粘度（cp）</v></cell></row><row r="15"><cell r="C15"><v>0.14261</v></cell><cell r="D15"><v>0.140209</v></cell><cell r="E15" t="str"><v><empty></v></cell><cell r="F15"><v>0.018398</v></cell><cell r="G15"><v>0.019109</v></cell><cell r="H15"><v>0.02009</v></cell><cell r="I15" t="str"><v><empty></v></cell><cell r="J15" t="str"><v><empty></v></cell><cell r="K15"><v>0.012251</v></cell><cell r="L15" t="str"><v><empty></v></cell><cell r="M15"><v>0.009794</v></cell><cell r="N15"><v>0.009794</v></cell><cell r="O15"><v>0.009109</v></cell><cell r="P15"><v>0.011007</v></cell><cell r="Q15"><v>0.009786</v></cell><cell r="R15"><v>0.010511</v></cell><cell r="S15"><v>0.797232</v></cell><cell r="T15"><v>4.536268</v></cell><cell r="U15"><v>0.184284</v></cell><cell r="V15"><v>0.144156</v></cell><cell r="W15"><v>0.009794</v></cell><cell r="X15"><v>0.764172</v></cell><cell r="Y15"><v>0.007786</v></cell></row><row r="15"><cell r="AA15" t="str"><v><empty></v></cell><cell r="AB15" t="str"><v><empty></v></cell><cell r="AC15"><v>0.011562</v></cell><cell r="AD15" t="str"><v><empty></v></cell><cell r="AE15"><v>0.121445</v></cell><cell r="AF15"><v>0.0127</v></cell><cell r="AG15"><v>0.075235</v></cell><cell r="AH15" t="str"><v><empty></v></cell><cell r="AI15"><v>0.008421</v></cell><cell r="AJ15"><v>0.144373</v></cell><cell r="AK15"><v>0.137379</v></cell><cell r="AL15"><v>0.137379</v></cell><cell r="AM15"><v>0.147421</v></cell><cell r="AN15"><v>0.772232</v></cell><cell r="AO15"><v>0.018033</v></cell><cell r="AP15"><v>0.147421</v></cell><cell r="AQ15"><v>0.018033</v></cell><cell r="AR15"><v>0.147421</v></cell><cell r="AS15"><v>0.772232</v></cell><cell r="AT15"><v>0.764172</v></cell><cell r="AU15"><v>0.147421</v></cell><cell r="AV15"><v>0.137379</v></cell><cell r="AW15"><v>0.116234</v></cell></row><row r="16"><cell r="A16" t="str"><v>介质正常流量(m3/h)</v></cell></row><row r="16"><cell r="C16"><v>46.2046524484749</v></cell><cell r="D16"><v>45.8694668912032</v></cell><cell r="E16"><v>762.963451084344</v></cell><cell r="F16"><v>1630.33953441511</v></cell><cell r="G16"><v>1910.57664063012</v></cell><cell r="H16"><v>2239.75463508038</v></cell><cell r="I16"><v>1243.55711846872</v></cell><cell r="J16"><v>1024.77521855471</v></cell><cell r="K16"><v>990.978765488722</v></cell><cell r="L16"><v>843.118840552511</v></cell><cell r="M16"><v>831.159168575538</v></cell><cell r="N16"><v>830.581289544553</v></cell><cell r="O16"><v>80.9203557582521</v></cell><cell r="P16"><v>56.3388216735447</v></cell><cell r="Q16"><v>886.603912536766</v></cell><cell r="R16"><v>726.422110516462</v></cell><cell r="S16"><v>1041.25672165843</v></cell><cell r="T16"><v>183.682119003355</v></cell><cell r="U16"><v>11.9280374970829</v></cell><cell r="V16"><v>33.7946074807511</v></cell><cell r="W16"><v>0.57787891934424</v></cell><cell r="X16"><v>3.00867868874696</v></cell><cell r="Y16"><v>20.1318930560519</v></cell></row><row r="16"><cell r="AA16"><v>45.8311391170184</v></cell><cell r="AB16"><v>113.55135018541</v></cell><cell r="AC16"><v>444.728376945501</v></cell><cell r="AD16"><v>71.4486508416593</v></cell><cell r="AE16"><v>45.1258446980764</v></cell><cell r="AF16"><v>26.4942585129649</v></cell><cell r="AG16"><v>58.0626448553316</v></cell><cell r="AH16"><v>644.534124478346</v></cell><cell r="AI16"><v>5464.33574955236</v></cell><cell r="AJ16"><v>170.573756051072</v></cell><cell r="AK16"><v>141.82855889612</v></cell><cell r="AL16"><v>31.0199925580718</v></cell><cell r="AM16"><v>17.3205655761291</v></cell><cell r="AN16"><v>233.032238528093</v></cell><cell r="AO16"><v>846.193311863039</v></cell><cell r="AP16"><v>4.59186615317676</v></cell><cell r="AQ16"><v>2345.65641944848</v></cell><cell r="AR16"><v>12.7286994218061</v></cell><cell r="AS16"><v>809.402978715035</v></cell><cell r="AT16"><v>16.6901836251584</v></cell><cell r="AU16"><v>17.3205655761291</v></cell><cell r="AV16"><v>172.819375565826</v></cell><cell r="AW16"><v>15.750985044511</v></cell></row><row r="17"><cell r="A17" t="str"><v>介质最大流量(m3/h)</v></cell></row><row r="17"><cell r="C17"><v>50.8251176933224</v></cell><cell r="D17"><v>50.4564135803235</v></cell><cell r="E17"><v>839.259796192779</v></cell><cell r="F17"><v>1793.37348785662</v></cell><cell r="G17"><v>2101.63430469314</v></cell><cell r="H17"><v>2463.73009858842</v></cell><cell r="I17"><v>1367.91283031559</v></cell><cell r="J17"><v>1127.25274041019</v></cell><cell r="K17"><v>1090.07664203759</v></cell><cell r="L17"><v>927.430724607763</v></cell><cell r="M17"><v>914.275085433092</v></cell><cell r="N17"><v>913.639418499008</v></cell><cell r="O17"><v>89.0123913340773</v></cell><cell r="P17"><v>61.9727038408992</v></cell><cell r="Q17"><v>975.264303790443</v></cell><cell r="R17"><v>799.064321568108</v></cell><cell r="S17"><v>1145.38239382428</v></cell><cell r="T17"><v>202.05033090369</v></cell><cell r="U17"><v>13.1208412467912</v></cell><cell r="V17"><v>37.1740682288262</v></cell><cell r="W17"><v>0.635666811278664</v></cell><cell r="X17"><v>3.30954655762165</v></cell><cell r="Y17"><v>30.1978395840779</v></cell></row><row r="17"><cell r="AA17"><v>50.4142530287203</v></cell><cell r="AB17"><v>124.906485203952</v></cell><cell r="AC17"><v>489.201214640051</v></cell><cell r="AD17"><v>78.5935159258252</v></cell><cell r="AE17"><v>54.1510136376917</v></cell><cell r="AF17"><v>29.1436843642614</v></cell><cell r="AG17"><v>63.8689093408648</v></cell><cell r="AH17"><v>708.987536926181</v></cell><cell r="AI17"><v>6010.7693245076</v></cell><cell r="AJ17"><v>187.631131656179</v></cell><cell r="AK17"><v>170.194270675344</v></cell><cell r="AL17"><v>34.121991813879</v></cell><cell r="AM17"><v>19.052622133742</v></cell><cell r="AN17"><v>256.335462380902</v></cell><cell r="AO17"><v>1015.43197423565</v></cell><cell r="AP17"><v>5.51023938381211</v></cell><cell r="AQ17"><v>2814.78770333818</v></cell><cell r="AR17"><v>15.2744393061673</v></cell><cell r="AS17"><v>890.343276586538</v></cell><cell r="AT17"><v>18.3592019876743</v></cell><cell r="AU17"><v>20.7846786913549</v></cell><cell r="AV17"><v>207.383250678991</v></cell><cell r="AW17"><v>17.3260835489621</v></cell></row><row r="18"><cell r="A18" t="str"><v>摩擦系数λ1</v></cell></row><row r="18"><cell r="C18"><v>0.00014075959778742</v></cell><cell r="D18"><v>9.22598342620962E-005</v></cell><cell r="E18" t="e"><v>#VALUE!</v></cell><cell r="F18"><v>2.32513702648744E-005</v></cell><cell r="G18"><v>2.41499312094513E-005</v></cell><cell r="H18"><v>2.5389717829184E-005</v></cell><cell r="I18" t="e"><v>#VALUE!</v></cell><cell r="J18" t="e"><v>#VALUE!</v></cell><cell r="K18"><v>2.82137155221478E-005</v></cell><cell r="L18" t="e"><v>#VALUE!</v></cell><cell r="M18"><v>4.32818150984951E-005</v></cell><cell r="N18"><v>4.33119285307181E-005</v></cell><cell r="O18"><v>0.00119877444428451</v></cell><cell r="P18"><v>0.000905348440295285</v></cell><cell r="Q18"><v>4.27025729395023E-005</v></cell><cell r="R18"><v>4.58550864245712E-005</v></cell><cell r="S18"><v>5.01954757696965E-005</v></cell><cell r="T18"><v>0.000751996823106879</v></cell><cell r="U18"><v>0.000356182326303663</v></cell><cell r="V18"><v>0.000194874362895898</v></cell><cell r="W18"><v>0.0124503857979549</v></cell><cell r="X18"><v>0.00166766310023075</v></cell><cell r="Y18"><v>0.000259110254870303</v></cell></row><row r="18"><cell r="AA18"><v>0.000145368784306553</v></cell><cell r="AB18" t="e"><v>#VALUE!</v></cell><cell r="AC18"><v>1.60690817033451E-005</v></cell><cell r="AD18" t="e"><v>#VALUE!</v></cell><cell r="AE18"><v>0.000119526686164733</v></cell><cell r="AF18"><v>0.00017558510650369</v></cell><cell r="AG18"><v>7.58884355666164E-005</v></cell><cell r="AH18" t="e"><v>#VALUE!</v></cell><cell r="AI18"><v>6.10719874457098E-006</v></cell><cell r="AJ18"><v>7.8528197751153E-005</v></cell><cell r="AK18"><v>4.17677028935631E-005</v></cell><cell r="AL18"><v>0.000138886502076816</v></cell><cell r="AM18"><v>0.000128389219061214</v></cell><cell r="AN18"><v>0.000135937954877536</v></cell><cell r="AO18"><v>6.78783829809092E-005</v></cell><cell r="AP18"><v>0.000277455195958205</v></cell><cell r="AQ18"><v>4.89741235948173E-005</v></cell><cell r="AR18"><v>0.000160146714899829</v></cell><cell r="AS18"><v>6.26198356251832E-005</v></cell><cell r="AT18"><v>0.000601247121345114</v></cell><cell r="AU18"><v>0.000117690117472779</v></cell><cell r="AV18"><v>6.85554277742311E-005</v></cell><cell r="AW18"><v>0.00018674435173676</v></cell></row><row r="19"><cell r="A19" t="str"><v>摩擦系数λ2</v></cell></row><row r="19"><cell r="C19"><v>0.0199015851716382</v></cell><cell r="D19"><v>0.0186008681376089</v></cell><cell r="E19" t="e"><v>#VALUE!</v></cell><cell r="F19"><v>0.0149197984093885</v></cell><cell r="G19"><v>0.0150105888844203</v></cell><cell r="H19"><v>0.0151313071367446</v></cell><cell r="I19" t="e"><v>#VALUE!</v></cell><cell r="J19" t="e"><v>#VALUE!</v></cell><cell r="K19"><v>0.0153888027182655</v></cell><cell r="L19" t="e"><v>#VALUE!</v></cell><cell r="M19"><v>0.0164793493772832</v></cell><cell r="N19"><v>0.0164811833292804</v></cell><cell r="O19"><v>0.0280368477311464</v></cell><cell r="P19"><v>0.0268053639388509</v></cell><cell r="Q19"><v>0.0164438623893655</v></cell><cell r="R19"><v>0.0166323336856001</v></cell><cell r="S19"><v>0.0168747566579714</v></cell><cell r="T19"><v>0.0260211057546737</v></cell><cell r="U19"><v>0.0230886619645237</v></cell><cell r="V19"><v>0.0209648587234521</v></cell><cell r="W19"><v>0.0407718517364744</v></cell><cell r="X19"><v>0.0295575557852575</v></cell><cell r="Y19"><v>0.0219426321739745</v></cell></row><row r="19"><cell r="AA19"><v>0.020004448007586</v></cell><cell r="AB19" t="e"><v>#VALUE!</v></cell><cell r="AC19"><v>0.0140633814396694</v></cell><cell r="AD19" t="e"><v>#VALUE!</v></cell><cell r="AE19"><v>0.0193876677022044</v></cell><cell r="AF19"><v>0.0206181272130518</v></cell><cell r="AG19"><v>0.01802848707245</v></cell><cell r="AH19" t="e"><v>#VALUE!</v></cell><cell r="AI19"><v>0.0120466395341943</v></cell><cell r="AJ19"><v>0.018127390385659</v></cell><cell r="AK19"><v>0.0163857257359645</v></cell><cell r="AL19"><v>0.0198589733608068</v></cell><cell r="AM19"><v>0.0196108201124279</v></cell><cell r="AN19"><v>0.0197909072697564</v></cell><cell r="AO19"><v>0.0177095785028271</v></cell><cell r="AP19"><v>0.0221841117759552</v></cell><cell r="AQ19"><v>0.0168083798663456</v></cell><cell r="AR19"><v>0.0203167423154021</v></cell><cell r="AS19"><v>0.0174825627024298</v></cell><cell r="AT19"><v>0.0251061239387353</v></cell><cell r="AU19"><v>0.0193396934658233</v></cell><cell r="AV19"><v>0.0177377235535274</v></cell><cell r="AW19"><v>0.0208223998930608</v></cell></row><row r="20"><cell r="A20" t="str"><v>雷诺数Re</v></cell></row><row r="20"><cell r="C20"><v>454675.922679569</v></cell><cell r="D20"><v>693692.986898131</v></cell><cell r="E20" t="e"><v>#VALUE!</v></cell><cell r="F20"><v>2752525.9488334</v></cell><cell r="G20"><v>2650111.06843042</v></cell><cell r="H20"><v>2520705.44582563</v></cell><cell r="I20" t="e"><v>#VALUE!</v></cell><cell r="J20" t="e"><v>#VALUE!</v></cell><cell r="K20"><v>2268400.27325574</v></cell><cell r="L20" t="e"><v>#VALUE!</v></cell><cell r="M20"><v>1478681.05471911</v></cell><cell r="N20"><v>1477652.97392863</v></cell><cell r="O20"><v>53387.8581622571</v></cell><cell r="P20"><v>70691.0148087581</v></cell><cell r="Q20"><v>1498738.73152024</v></cell><cell r="R20"><v>1395701.21856113</v></cell><cell r="S20"><v>1275015.30802578</v></cell><cell r="T20"><v>85106.7425199799</v></cell><cell r="U20"><v>179683.255663384</v></cell><cell r="V20"><v>328416.724749929</v></cell><cell r="W20"><v>5140.40295928119</v></cell><cell r="X20"><v>38377.0558880535</v></cell><cell r="Y20"><v>246999.100950424</v></cell></row><row r="20"><cell r="AA20"><v>440259.580523402</v></cell><cell r="AB20" t="e"><v>#VALUE!</v></cell><cell r="AC20"><v>3982803.82049942</v></cell><cell r="AD20" t="e"><v>#VALUE!</v></cell><cell r="AE20"><v>535445.280494051</v></cell><cell r="AF20"><v>364495.607141115</v></cell><cell r="AG20"><v>843343.251473666</v></cell><cell r="AH20" t="e"><v>#VALUE!</v></cell><cell r="AI20"><v>10479436.2647676</v></cell><cell r="AJ20"><v>814993.872682635</v></cell><cell r="AK20"><v>1532284.4103515</v></cell><cell r="AL20"><v>460807.919005711</v></cell><cell r="AM20"><v>498484.222179792</v></cell><cell r="AN20"><v>470803.022288045</v></cell><cell r="AO20"><v>942862.767046175</v></cell><cell r="AP20"><v>230667.873344282</v></cell><cell r="AQ20"><v>1306812.56349777</v></cell><cell r="AR20"><v>399633.548774519</v></cell><cell r="AS20"><v>1022040.37045191</v></cell><cell r="AT20"><v>106445.416082523</v></cell><cell r="AU20"><v>543800.969650682</v></cell><cell r="AV20"><v>933551.172793594</v></cell><cell r="AW20"><v>342714.515350998</v></cell></row><row r="21"><cell r="A21" t="str"><v>管径选型（m）</v></cell></row><row r="21"><cell r="C21"><v>0.15</v></cell><cell r="D21"><v>0.1</v></cell><cell r="E21"><v>0.25</v></cell><cell r="F21"><v>0.25</v></cell><cell r="G21"><v>0.25</v></cell><cell r="H21"><v>0.25</v></cell><cell r="I21"><v>0.25</v></cell><cell r="J21"><v>0.25</v></cell><cell r="K21"><v>0.2</v></cell><cell r="L21"><v>0.2</v></cell><cell r="M21"><v>0.2</v></cell><cell r="N21"><v>0.2</v></cell><cell r="O21"><v>0.08</v></cell><cell r="P21"><v>0.05</v></cell><cell r="Q21"><v>0.2</v></cell><cell r="R21"><v>0.2</v></cell><cell r="S21"><v>0.4</v></cell><cell r="T21"><v>0.2</v></cell><cell r="U21"><v>0.08</v></cell><cell r="V21"><v>0.15</v></cell><cell r="W21"><v>0.04</v></cell><cell r="X21"><v>0.04</v></cell><cell r="Y21"><v>0.04</v></cell></row><row r="21"><cell r="AA21"><v>0.15</v></cell><cell r="AB21"><v>0.15</v></cell><cell r="AC21"><v>0.2</v></cell><cell r="AD21"><v>0.1</v></cell><cell r="AE21"><v>0.15</v></cell><cell r="AF21"><v>0.05</v></cell><cell r="AG21"><v>0.15</v></cell><cell r="AH21"><v>0.15</v></cell><cell r="AI21"><v>0.4</v></cell><cell r="AJ21"><v>0.3</v></cell><cell r="AK21"><v>0.15</v></cell><cell r="AL21"><v>0.1</v></cell><cell r="AM21"><v>0.08</v></cell><cell r="AN21"><v>0.25</v></cell><cell r="AO21"><v>0.1</v></cell><cell r="AP21"><v>0.05</v></cell><cell r="AQ21"><v>0.2</v></cell><cell r="AR21"><v>0.08</v></cell><cell r="AS21"><v>0.4</v></cell><cell r="AT21"><v>0.08</v></cell><cell r="AU21"><v>0.08</v></cell><cell r="AV21"><v>0.3</v></cell><cell r="AW21"><v>0.08</v></cell></row><row r="22"><cell r="A22" t="str"><v>管径选型后最大流速(m/s)</v></cell></row><row r="22"><cell r="C22"><v>0.799325590836241</v></cell><cell r="D22"><v>1.78543572471067</v></cell><cell r="E22"><v>4.75164781991665</v></cell><cell r="F22"><v>10.1535653948004</v></cell><cell r="G22"><v>11.898849566557</v></cell><cell r="H22"><v>13.9489319099132</v></cell><cell r="I22"><v>7.74472940022983</v></cell><cell r="J22"><v>6.3821811205106</v></cell><cell r="K22"><v>9.64328239594475</v></cell><cell r="L22"><v>8.20444731606301</v></cell><cell r="M22"><v>8.08806692704433</v></cell><cell r="N22"><v>8.08244354652342</v></cell><cell r="O22"><v>4.92150960578541</v></cell><cell r="P22"><v>8.77179106028297</v></cell><cell r="Q22"><v>8.62760353671658</v></cell><cell r="R22"><v>7.06886342505403</v></cell><cell r="S22"><v>2.53313515973168</v></cell><cell r="T22"><v>1.78742330948063</v></cell><cell r="U22"><v>0.725453448270035</v></cell><cell r="V22"><v>0.584635813931371</v></cell><cell r="W22"><v>0.140584485863116</v></cell><cell r="X22"><v>0.731941471519297</v></cell><cell r="Y22"><v>6.67857386413612</v></cell></row><row r="22"><cell r="AA22"><v>0.792863930623893</v></cell><cell r="AB22"><v>1.96440174890228</v></cell><cell r="AC22"><v>4.32768236588863</v></cell><cell r="AD22"><v>2.78108690466473</v></cell><cell r="AE22"><v>0.851631888616681</v></cell><cell r="AF22"><v>4.12507917399312</v></cell><cell r="AG22"><v>1.00446503642156</v></cell><cell r="AH22"><v>11.1502325536869</v></cell><cell r="AI22"><v>13.2934565740172</v></cell><cell r="AJ22"><v>0.737717746544699</v></cell><cell r="AK22"><v>2.67664182865997</v></cell><cell r="AL22"><v>1.2074307082052</v></cell><cell r="AM22"><v>1.05342257905067</v></cell><cell r="AN22"><v>1.45129773464064</v></cell><cell r="AO22"><v>35.9317754506598</v></cell><cell r="AP22"><v>0.779934803087347</v></cell><cell r="AQ22"><v>24.9008112467991</v></cell><cell r="AR22"><v>0.844526235523229</v></cell><cell r="AS22"><v>1.96908898749677</v></cell><cell r="AT22"><v>1.01508326630365</v></cell><cell r="AU22"><v>1.14918826805527</v></cell><cell r="AV22"><v>0.815378039942562</v></cell><cell r="AW22"><v>0.957961979662184</v></cell></row><row r="23"><cell r="A23" t="str"><v>管径选型后一般流速范围(m/s)</v></cell></row><row r="23"><cell r="C23" t="e"><v>#VALUE!</v></cell><cell r="D23" t="e"><v>#VALUE!</v></cell><cell r="E23" t="e"><v>#VALUE!</v></cell><cell r="F23" t="e"><v>#VALUE!</v></cell><cell r="G23" t="e"><v>#VALUE!</v></cell><cell r="H23" t="e"><v>#VALUE!</v></cell><cell r="I23" t="e"><v>#VALUE!</v></cell><cell r="J23" t="e"><v>#VALUE!</v></cell><cell r="K23" t="e"><v>#VALUE!</v></cell><cell r="L23" t="e"><v>#VALUE!</v></cell><cell r="M23" t="e"><v>#VALUE!</v></cell><cell r="N23" t="e"><v>#VALUE!</v></cell><cell r="O23" t="e"><v>#VALUE!</v></cell><cell r="P23" t="e"><v>#VALUE!</v></cell><cell r="Q23" t="e"><v>#VALUE!</v></cell><cell r="R23" t="e"><v>#VALUE!</v></cell><cell r="S23" t="e"><v>#VALUE!</v></cell><cell r="T23" t="e"><v>#VALUE!</v></cell><cell r="U23" t="e"><v>#VALUE!</v></cell><cell r="V23" t="e"><v>#VALUE!</v></cell><cell r="W23" t="e"><v>#VALUE!</v></cell><cell r="X23" t="e"><v>#VALUE!</v></cell><cell r="Y23" t="e"><v>#VALUE!</v></cell></row><row r="23"><cell r="AA23" t="e"><v>#VALUE!</v></cell><cell r="AB23" t="e"><v>#VALUE!</v></cell><cell r="AC23" t="e"><v>#VALUE!</v></cell><cell r="AD23" t="e"><v>#VALUE!</v></cell><cell r="AE23" t="e"><v>#VALUE!</v></cell><cell r="AF23" t="e"><v>#VALUE!</v></cell><cell r="AG23" t="e"><v>#VALUE!</v></cell><cell r="AH23" t="e"><v>#VALUE!</v></cell><cell r="AI23" t="e"><v>#VALUE!</v></cell><cell r="AJ23" t="e"><v>#VALUE!</v></cell><cell r="AK23" t="e"><v>#VALUE!</v></cell><cell r="AL23" t="e"><v>#VALUE!</v></cell><cell r="AM23" t="e"><v>#VALUE!</v></cell><cell r="AN23" t="e"><v>#VALUE!</v></cell><cell r="AO23" t="e"><v>#VALUE!</v></cell><cell r="AP23" t="e"><v>#VALUE!</v></cell><cell r="AQ23" t="e"><v>#VALUE!</v></cell><cell r="AR23" t="e"><v>#VALUE!</v></cell><cell r="AS23" t="e"><v>#VALUE!</v></cell><cell r="AT23" t="e"><v>#VALUE!</v></cell><cell r="AU23" t="e"><v>#VALUE!</v></cell><cell r="AV23" t="e"><v>#VALUE!</v></cell><cell r="AW23" t="e"><v>#VALUE!</v></cell></row><row r="24"><cell r="A24" t="str"><v>管径选型后100米管线压力降（kPa）</v></cell></row><row r="24"><cell r="C24"><v>2.29333843916113</v></cell><cell r="D24"><v>16.1587579316486</v></cell><cell r="E24" t="e"><v>#VALUE!</v></cell><cell r="F24"><v>6.14031836860718</v></cell><cell r="G24"><v>7.23955827609035</v></cell><cell r="H24"><v>8.55513298908035</v></cell><cell r="I24" t="e"><v>#VALUE!</v></cell><cell r="J24" t="e"><v>#VALUE!</v></cell><cell r="K24"><v>5.15760765059684</v></cell><cell r="L24" t="e"><v>#VALUE!</v></cell><cell r="M24"><v>2.4140527707225</v></cell><cell r="N24"><v>2.41096538795661</v></cell><cell r="O24"><v>0.524503138294721</v></cell><cell r="P24"><v>3.66092224972523</v></cell><cell r="Q24"><v>2.60227092475055</v></cell><cell r="R24"><v>2.15708186518662</v></cell><cell r="S24"><v>13.5851164500644</v></cell><cell r="T24"><v>22.4565580034129</v></cell><cell r="U24"><v>4.33521782750048</v></cell><cell r="V24"><v>1.29014989624813</v></cell><cell r="W24"><v>0.00902240795402196</v></cell><cell r="X24"><v>19.8369550977456</v></cell><cell r="Y24"><v>8.81149483038975</v></cell></row><row r="24"><cell r="AA24"><v>2.29227100426557</v></cell><cell r="AB24" t="e"><v>#VALUE!</v></cell><cell r="AC24"><v>3.5050512118864</v></cell><cell r="AD24" t="e"><v>#VALUE!</v></cell><cell r="AE24"><v>2.38713534569023</v></cell><cell r="AF24"><v>7.87816113272088</v></cell><cell r="AG24"><v>2.55460191442103</v></cell><cell r="AH24" t="e"><v>#VALUE!</v></cell><cell r="AI24"><v>4.41847891435665</v></cell><cell r="AJ24"><v>0.874602428185767</v></cell><cell r="AK24"><v>20.5267646301646</v></cell><cell r="AL24"><v>7.59358117185379</v></cell><cell r="AM24"><v>11.8663326633022</v></cell><cell r="AN24"><v>8.35827363493071</v></cell><cell r="AO24"><v>54.1241034638372</v></cell><cell r="AP24"><v>11.7731898091164</v></cell><cell r="AQ24"><v>12.3352509170138</v></cell><cell r="AR24"><v>7.9012514188467</v></cell><cell r="AS24"><v>8.49480951698583</v></cell><cell r="AT24"><v>16.2034238493636</v></cell><cell r="AU24"><v>13.9266759786439</v></cell><cell r="AV24"><v>1.03100366202913</v></cell><cell r="AW24"><v>6.21086528071004</v></cell></row><row r="25"><cell r="A25" t="str"><v>最大100米管线允许压力降(kPa)</v></cell></row><row r="25"><cell r="C25" t="e"><v>#VALUE!</v></cell><cell r="D25" t="e"><v>#VALUE!</v></cell><cell r="E25" t="e"><v>#VALUE!</v></cell><cell r="F25" t="e"><v>#VALUE!</v></cell><cell r="G25" t="e"><v>#VALUE!</v></cell><cell r="H25" t="e"><v>#VALUE!</v></cell><cell r="I25" t="e"><v>#VALUE!</v></cell><cell r="J25" t="e"><v>#VALUE!</v></cell><cell r="K25" t="e"><v>#VALUE!</v></cell><cell r="L25" t="e"><v>#VALUE!</v></cell><cell r="M25" t="e"><v>#VALUE!</v></cell><cell r="N25" t="e"><v>#VALUE!</v></cell><cell r="O25" t="e"><v>#VALUE!</v></cell><cell r="P25" t="e"><v>#VALUE!</v></cell><cell r="Q25" t="e"><v>#VALUE!</v></cell><cell r="R25" t="e"><v>#VALUE!</v></cell><cell r="S25" t="e"><v>#VALUE!</v></cell><cell r="T25" t="e"><v>#VALUE!</v></cell><cell r="U25" t="e"><v>#VALUE!</v></cell><cell r="V25" t="e"><v>#VALUE!</v></cell><cell r="W25" t="e"><v>#VALUE!</v></cell><cell r="X25" t="e"><v>#VALUE!</v></cell><cell r="Y25" t="e"><v>#VALUE!</v></cell></row><row r="25"><cell r="AA25" t="e"><v>#VALUE!</v></cell><cell r="AB25" t="e"><v>#VALUE!</v></cell><cell r="AC25" t="e"><v>#VALUE!</v></cell><cell r="AD25" t="e"><v>#VALUE!</v></cell><cell r="AE25" t="e"><v>#VALUE!</v></cell><cell r="AF25" t="e"><v>#VALUE!</v></cell><cell r="AG25" t="e"><v>#VALUE!</v></cell><cell r="AH25" t="e"><v>#VALUE!</v></cell><cell r="AI25" t="e"><v>#VALUE!</v></cell><cell r="AJ25" t="e"><v>#VALUE!</v></cell><cell r="AK25" t="e"><v>#VALUE!</v></cell><cell r="AL25" t="e"><v>#VALUE!</v></cell><cell r="AM25" t="e"><v>#VALUE!</v></cell><cell r="AN25" t="e"><v>#VALUE!</v></cell><cell r="AO25" t="e"><v>#VALUE!</v></cell><cell r="AP25" t="e"><v>#VALUE!</v></cell><cell r="AQ25" t="e"><v>#VALUE!</v></cell><cell r="AR25" t="e"><v>#VALUE!</v></cell><cell r="AS25" t="e"><v>#VALUE!</v></cell><cell r="AT25" t="e"><v>#VALUE!</v></cell><cell r="AU25" t="e"><v>#VALUE!</v></cell><cell r="AV25" t="e"><v>#VALUE!</v></cell><cell r="AW25" t="e"><v>#VALUE!</v></cell></row><row r="26"><cell r="A26" t="str"><v>选用管径</v></cell></row><row r="26"><cell r="C26" t="str"><v>管径DN150</v></cell><cell r="D26" t="str"><v>管径DN100</v></cell><cell r="E26" t="str"><v>管径DN250</v></cell><cell r="F26" t="str"><v>管径DN250</v></cell><cell r="G26" t="str"><v>管径DN250</v></cell><cell r="H26" t="str"><v>管径DN250</v></cell><cell r="I26" t="str"><v>管径DN250</v></cell><cell r="J26" t="str"><v>管径DN250</v></cell><cell r="K26" t="str"><v>管径DN200</v></cell><cell r="L26" t="str"><v>管径DN200</v></cell><cell r="M26" t="str"><v>管径DN200</v></cell><cell r="N26" t="str"><v>管径DN200</v></cell><cell r="O26" t="str"><v>管径DN80</v></cell><cell r="P26" t="str"><v>管径DN50</v></cell><cell r="Q26" t="str"><v>管径DN200</v></cell><cell r="R26" t="str"><v>管径DN200</v></cell><cell r="S26" t="str"><v>管径DN400</v></cell><cell r="T26" t="str"><v>管径DN200</v></cell><cell r="U26" t="str"><v>管径DN80</v></cell><cell r="V26" t="str"><v>管径DN150</v></cell><cell r="W26" t="str"><v>管径DN40</v></cell><cell r="X26" t="str"><v>管径DN40</v></cell><cell r="Y26" t="str"><v>管径DN40</v></cell></row><row r="26"><cell r="AA26" t="str"><v>管径DN150</v></cell><cell r="AB26" t="str"><v>管径DN150</v></cell><cell r="AC26" t="str"><v>管径DN200</v></cell><cell r="AD26" t="str"><v>管径DN100</v></cell><cell r="AE26" t="str"><v>管径DN150</v></cell><cell r="AF26" t="str"><v>管径DN50</v></cell><cell r="AG26" t="str"><v>管径DN150</v></cell><cell r="AH26" t="str"><v>管径DN150</v></cell><cell r="AI26" t="str"><v>管径DN400</v></cell><cell r="AJ26" t="str"><v>管径DN300</v></cell><cell r="AK26" t="str"><v>管径DN150</v></cell><cell r="AL26" t="str"><v>管径DN100</v></cell><cell r="AM26" t="str"><v>管径DN80</v></cell><cell r="AN26" t="str"><v>管径DN250</v></cell><cell r="AO26" t="str"><v>管径DN100</v></cell><cell r="AP26" t="str"><v>管径DN50</v></cell><cell r="AQ26" t="str"><v>管径DN200</v></cell><cell r="AR26" t="str"><v>管径DN80</v></cell><cell r="AS26" t="str"><v>管径DN400</v></cell><cell r="AT26" t="str"><v>管径DN80</v></cell><cell r="AU26" t="str"><v>管径DN80</v></cell><cell r="AV26" t="str"><v>管径DN300</v></cell><cell r="AW26" t="str"><v>管径DN80</v></cell></row><row r="27"><cell r="A27" t="str"><v>核算检查</v></cell></row><row r="27"><cell r="C27" t="e"><v>#VALUE!</v></cell><cell r="D27" t="e"><v>#VALUE!</v></cell><cell r="E27" t="e"><v>#VALUE!</v></cell><cell r="F27" t="e"><v>#VALUE!</v></cell><cell r="G27" t="e"><v>#VALUE!</v></cell><cell r="H27" t="e"><v>#VALUE!</v></cell><cell r="I27" t="e"><v>#VALUE!</v></cell><cell r="J27" t="e"><v>#VALUE!</v></cell><cell r="K27" t="e"><v>#VALUE!</v></cell><cell r="L27" t="e"><v>#VALUE!</v></cell><cell r="M27" t="e"><v>#VALUE!</v></cell><cell r="N27" t="e"><v>#VALUE!</v></cell><cell r="O27" t="e"><v>#VALUE!</v></cell><cell r="P27" t="e"><v>#VALUE!</v></cell><cell r="Q27" t="e"><v>#VALUE!</v></cell><cell r="R27" t="e"><v>#VALUE!</v></cell><cell r="S27" t="e"><v>#VALUE!</v></cell><cell r="T27" t="e"><v>#VALUE!</v></cell><cell r="U27" t="e"><v>#VALUE!</v></cell><cell r="V27" t="e"><v>#VALUE!</v></cell><cell r="W27" t="e"><v>#VALUE!</v></cell><cell r="X27" t="e"><v>#VALUE!</v></cell><cell r="Y27" t="e"><v>#VALUE!</v></cell></row><row r="27"><cell r="AA27" t="e"><v>#VALUE!</v></cell><cell r="AB27" t="e"><v>#VALUE!</v></cell><cell r="AC27" t="e"><v>#VALUE!</v></cell><cell r="AD27" t="e"><v>#VALUE!</v></cell><cell r="AE27" t="e"><v>#VALUE!</v></cell><cell r="AF27" t="e"><v>#VALUE!</v></cell><cell r="AG27" t="e"><v>#VALUE!</v></cell><cell r="AH27" t="e"><v>#VALUE!</v></cell><cell r="AI27" t="e"><v>#VALUE!</v></cell><cell r="AJ27" t="e"><v>#VALUE!</v></cell><cell r="AK27" t="e"><v>#VALUE!</v></cell><cell r="AL27" t="e"><v>#VALUE!</v></cell><cell r="AM27" t="e"><v>#VALUE!</v></cell><cell r="AN27" t="e"><v>#VALUE!</v></cell><cell r="AO27" t="e"><v>#VALUE!</v></cell><cell r="AP27" t="e"><v>#VALUE!</v></cell><cell r="AQ27" t="e"><v>#VALUE!</v></cell><cell r="AR27" t="e"><v>#VALUE!</v></cell><cell r="AS27" t="e"><v>#VALUE!</v></cell><cell r="AT27" t="e"><v>#VALUE!</v></cell><cell r="AU27" t="e"><v>#VALUE!</v></cell><cell r="AV27" t="e"><v>#VALUE!</v></cell><cell r="AW27" t="e"><v>#VALUE!</v></cell></row></sheetData><sheetData sheetId="5"></sheetData><sheetData sheetId="6"></sheetData><sheetData sheetId="7"></sheetData><sheetData sheetId="8"></sheetData><sheetData sheetId="9"></sheetData><sheetData sheetId="10"></sheetData><sheetData sheetId="11"></sheetData><sheetData sheetId="12"></sheetData><sheetData sheetId="13"></sheetData><sheetData sheetId="14"></sheetData><sheetData sheetId="15"></sheetData><sheetData sheetId="16"></sheetData><sheetData sheetId="17"></sheetData><sheetData sheetId="18"></sheetData><sheetData sheetId="19"></sheetData><sheetData sheetId="20"></sheetData><sheetData sheetId="21"></sheetData><sheetData sheetId="22"></sheetData><sheetData sheetId="23"></sheetData></sheetDataSet></externalBook></externalLink>
</file>

<file path=xl/externalLinks/externalLink4.xml><?xml version="1.0" encoding="utf-8"?>
<externalLink xmlns="http://schemas.openxmlformats.org/spreadsheetml/2006/main">
  <externalBook xmlns:r="http://schemas.openxmlformats.org/officeDocument/2006/relationships" r:id="rId1">
    <sheetNames>
      <sheetName val="1 - Output Summary"/>
      <sheetName val="2 - Rating Data Sheet"/>
      <sheetName val="3 - TEMA"/>
    </sheetNames>
    <sheetDataSet>
      <sheetData sheetId="0">
        <row r="13">
          <cell r="P13" t="str">
            <v>3.3753</v>
          </cell>
        </row>
      </sheetData>
      <sheetData sheetId="1"/>
      <sheetData sheetId="2"/>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1 - Output Summary"/>
      <sheetName val="2 - Rating Data Sheet"/>
    </sheetNames>
    <sheetDataSet>
      <sheetData sheetId="0">
        <row r="13">
          <cell r="P13" t="str">
            <v>4.7299</v>
          </cell>
        </row>
      </sheetData>
      <sheetData sheetId="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1 - Output Summary"/>
      <sheetName val="2"/>
      <sheetName val="3 - Rating Data Sheet"/>
    </sheetNames>
    <sheetDataSet>
      <sheetData sheetId="0">
        <row r="13">
          <cell r="J13" t="str">
            <v>13.6853</v>
          </cell>
        </row>
      </sheetData>
      <sheetData sheetId="1"/>
      <sheetData sheetId="2"/>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1 - Output Summary"/>
      <sheetName val="2"/>
      <sheetName val="3 - Rating Data Sheet"/>
    </sheetNames>
    <sheetDataSet>
      <sheetData sheetId="0">
        <row r="13">
          <cell r="P13" t="str">
            <v>5.3366</v>
          </cell>
        </row>
      </sheetData>
      <sheetData sheetId="1"/>
      <sheetData sheetId="2"/>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1 - Output Summary"/>
      <sheetName val="2 - Rating Data Sheet"/>
    </sheetNames>
    <sheetDataSet>
      <sheetData sheetId="0">
        <row r="13">
          <cell r="P13" t="str">
            <v>14.2145</v>
          </cell>
        </row>
      </sheetData>
      <sheetData sheetId="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1 - Output Summary"/>
      <sheetName val="2 - Rating Data Sheet"/>
    </sheetNames>
    <sheetDataSet>
      <sheetData sheetId="0">
        <row r="13">
          <cell r="P13" t="str">
            <v>1.8836</v>
          </cell>
        </row>
      </sheetData>
      <sheetData sheetId="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1 - Output Summary"/>
      <sheetName val="2 - Rating Data Sheet"/>
    </sheetNames>
    <sheetDataSet>
      <sheetData sheetId="0">
        <row r="13">
          <cell r="P13" t="str">
            <v>2.3130</v>
          </cell>
        </row>
      </sheetData>
      <sheetData sheetId="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1 - Output Summary"/>
      <sheetName val="2"/>
      <sheetName val="3 - Rating Data Sheet"/>
    </sheetNames>
    <sheetDataSet>
      <sheetData sheetId="0">
        <row r="13">
          <cell r="P13" t="str">
            <v>2.7363</v>
          </cell>
        </row>
      </sheetData>
      <sheetData sheetId="1"/>
      <sheetData sheetId="2"/>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1 - Output Summary"/>
      <sheetName val="2"/>
      <sheetName val="3 - Rating Data Sheet"/>
    </sheetNames>
    <sheetDataSet>
      <sheetData sheetId="0">
        <row r="13">
          <cell r="P13" t="str">
            <v>1.2889</v>
          </cell>
        </row>
      </sheetData>
      <sheetData sheetId="1"/>
      <sheetData sheetId="2"/>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1 - Output Summary"/>
      <sheetName val="2"/>
      <sheetName val="3 - Rating Data Sheet"/>
    </sheetNames>
    <sheetDataSet>
      <sheetData sheetId="0">
        <row r="13">
          <cell r="P13" t="str">
            <v>6.2966</v>
          </cell>
        </row>
      </sheetData>
      <sheetData sheetId="1"/>
      <sheetData sheetId="2"/>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1 - Output Summary"/>
      <sheetName val="2 - Rating Data Sheet"/>
    </sheetNames>
    <sheetDataSet>
      <sheetData sheetId="0">
        <row r="13">
          <cell r="P13" t="str">
            <v>20.6884</v>
          </cell>
        </row>
      </sheetData>
      <sheetData sheetId="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说明"/>
      <sheetName val="作业流程"/>
      <sheetName val="表头"/>
      <sheetName val="项目信息"/>
      <sheetName val="实验数据"/>
      <sheetName val="物料平衡（石油大学）"/>
      <sheetName val="物料平衡(simulation)"/>
      <sheetName val="裂解前后物料计算"/>
      <sheetName val="反应器选型"/>
      <sheetName val="泄放量"/>
      <sheetName val="塔径核算"/>
      <sheetName val="高压容器核算"/>
      <sheetName val="汽液分离罐核算"/>
      <sheetName val="卧式回流罐核算"/>
      <sheetName val="缓冲罐核算"/>
      <sheetName val="净化风罐核算"/>
      <sheetName val="机泵选型"/>
      <sheetName val="streams"/>
      <sheetName val="输入"/>
      <sheetName val="辅助剂用量"/>
      <sheetName val="混相流管径核算"/>
      <sheetName val="单相流管径核算"/>
      <sheetName val="安全阀选型"/>
      <sheetName val="其他设备选型"/>
      <sheetName val="安全阀数据源"/>
      <sheetName val="电耗"/>
      <sheetName val="汽耗"/>
      <sheetName val="水耗"/>
      <sheetName val="燃料消耗"/>
      <sheetName val="能耗"/>
      <sheetName val="塔釜物料停留时间"/>
      <sheetName val="操作介质重"/>
      <sheetName val="空冷器数据"/>
      <sheetName val="管束"/>
      <sheetName val="构架"/>
      <sheetName val="风机"/>
      <sheetName val="百叶窗"/>
      <sheetName val="翅化比"/>
      <sheetName val="空冷器加热盘管"/>
      <sheetName val="换热器数据"/>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14">
          <cell r="I14">
            <v>-0.1759888</v>
          </cell>
        </row>
      </sheetData>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theme/theme1.xml><?xml version="1.0" encoding="utf-8"?>
<a:theme xmlns:a="http://schemas.openxmlformats.org/drawingml/2006/main" xmlns:r="http://schemas.openxmlformats.org/officeDocument/2006/relationships" name="Office 主题">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chengyan/Application%20Data/Microsoft/Application%20Data/Microsoft/My%20Documents/My%20RTX%20Files/chengyan/&#23384;&#26723;&#25991;&#20214;/PR-02" TargetMode="External"/><Relationship Id="rId3" Type="http://schemas.openxmlformats.org/officeDocument/2006/relationships/hyperlink" Target="../../chengyan/Application%20Data/Microsoft/Application%20Data/Microsoft/My%20Documents/My%20RTX%20Files/chengyan/&#23665;&#19996;&#29577;&#30343;&#8212;2012.06.05&#21457;&#20986;/ASPEN" TargetMode="External"/><Relationship Id="rId4" Type="http://schemas.openxmlformats.org/officeDocument/2006/relationships/hyperlink" Target="../../chengyan/Application%20Data/Microsoft/Application%20Data/Microsoft/My%20Documents/My%20RTX%20Files/chengyan/02-Devolve/01-NextUnit" TargetMode="External"/><Relationship Id="rId5" Type="http://schemas.openxmlformats.org/officeDocument/2006/relationships/hyperlink" Target="../../chengyan/Application%20Data/Microsoft/Application%20Data/Microsoft/My%20Documents/My%20RTX%20Files/chengyan/&#23665;&#19996;&#29577;&#30343;&#8212;2012.06.05&#21457;&#20986;/ASPEN" TargetMode="External"/><Relationship Id="rId6" Type="http://schemas.openxmlformats.org/officeDocument/2006/relationships/hyperlink" Target="../../chengyan/Application%20Data/Microsoft/Application%20Data/Microsoft/My%20Documents/My%20RTX%20Files/chengyan/02-Devolve/03-Safe" TargetMode="External"/><Relationship Id="rId7" Type="http://schemas.openxmlformats.org/officeDocument/2006/relationships/hyperlink" Target="../../chengyan/Application%20Data/Microsoft/Application%20Data/Microsoft/My%20Documents/My%20RTX%20Files/chengyan/02-Devolve/06-Equipment" TargetMode="External"/><Relationship Id="rId8" Type="http://schemas.openxmlformats.org/officeDocument/2006/relationships/hyperlink" Target="../../chengyan/Application%20Data/Microsoft/Application%20Data/Microsoft/My%20Documents/My%20RTX%20Files/chengyan/02-Devolve/04-Pipe" TargetMode="External"/><Relationship Id="rId9" Type="http://schemas.openxmlformats.org/officeDocument/2006/relationships/hyperlink" Target="../../chengyan/Application%20Data/Microsoft/Application%20Data/Microsoft/My%20Documents/My%20RTX%20Files/chengyan/&#23384;&#26723;&#25991;&#20214;/PR-01" TargetMode="External"/><Relationship Id="rId10" Type="http://schemas.openxmlformats.org/officeDocument/2006/relationships/hyperlink" Target="../../chengyan/Application%20Data/Microsoft/Application%20Data/Microsoft/My%20Documents/My%20RTX%20Files/chengyan/&#23384;&#26723;&#25991;&#20214;/PR-00" TargetMode="External"/><Relationship Id="rId11" Type="http://schemas.openxmlformats.org/officeDocument/2006/relationships/hyperlink" Target="../../chengyan/Application%20Data/Microsoft/Application%20Data/Microsoft/My%20Documents/My%20RTX%20Files/chengyan/03-Order" TargetMode="External"/><Relationship Id="rId12" Type="http://schemas.openxmlformats.org/officeDocument/2006/relationships/hyperlink" Target="../../chengyan/Application%20Data/Microsoft/Application%20Data/Microsoft/My%20Documents/My%20RTX%20Files/chengyan/02-Devolve/02-Project%20Engineer" TargetMode="External"/><Relationship Id="rId13" Type="http://schemas.openxmlformats.org/officeDocument/2006/relationships/hyperlink" Target="../../chengyan/Application%20Data/Microsoft/Application%20Data/Microsoft/My%20Documents/My%20RTX%20Files/chengyan/&#23384;&#26723;&#25991;&#20214;/PR-01" TargetMode="External"/><Relationship Id="rId14" Type="http://schemas.openxmlformats.org/officeDocument/2006/relationships/hyperlink" Target="../../chengyan/Application%20Data/Microsoft/Application%20Data/Microsoft/My%20Documents/My%20RTX%20Files/chengyan/&#23384;&#26723;&#25991;&#20214;/PR-00" TargetMode="External"/><Relationship Id="rId15" Type="http://schemas.openxmlformats.org/officeDocument/2006/relationships/hyperlink" Target="../../chengyan/Application%20Data/Microsoft/Application%20Data/Microsoft/My%20Documents/My%20RTX%20Files/chengyan/03-Order" TargetMode="External"/><Relationship Id="rId16" Type="http://schemas.openxmlformats.org/officeDocument/2006/relationships/hyperlink" Target="../../chengyan/Application%20Data/Microsoft/Application%20Data/Microsoft/My%20Documents/My%20RTX%20Files/chengyan/&#23665;&#19996;&#29577;&#30343;&#8212;2012.06.05&#21457;&#20986;/HTRI" TargetMode="External"/><Relationship Id="rId17" Type="http://schemas.openxmlformats.org/officeDocument/2006/relationships/hyperlink" Target="../../chengyan/Application%20Data/Microsoft/Application%20Data/Microsoft/My%20Documents/My%20RTX%20Files/chengyan/&#23384;&#26723;&#25991;&#20214;/PR-01" TargetMode="External"/><Relationship Id="rId18" Type="http://schemas.openxmlformats.org/officeDocument/2006/relationships/hyperlink" Target="../../chengyan/Application%20Data/Microsoft/Application%20Data/Microsoft/My%20Documents/My%20RTX%20Files/chengyan/&#23384;&#26723;&#25991;&#20214;/PR-00" TargetMode="External"/><Relationship Id="rId19" Type="http://schemas.openxmlformats.org/officeDocument/2006/relationships/hyperlink" Target="../../chengyan/Application%20Data/Microsoft/Application%20Data/Microsoft/My%20Documents/My%20RTX%20Files/chengyan/03-Order" TargetMode="External"/><Relationship Id="rId20" Type="http://schemas.openxmlformats.org/officeDocument/2006/relationships/hyperlink" Target="../../chengyan/Application%20Data/Microsoft/Application%20Data/Microsoft/My%20Documents/My%20RTX%20Files/chengyan/02-Devolve/05-Water" TargetMode="External"/><Relationship Id="rId21" Type="http://schemas.openxmlformats.org/officeDocument/2006/relationships/hyperlink" Target="../../chengyan/Application%20Data/Microsoft/Application%20Data/Microsoft/My%20Documents/My%20RTX%20Files/chengyan/02-Devolve/02-Project%20Engineer" TargetMode="External"/><Relationship Id="rId22" Type="http://schemas.openxmlformats.org/officeDocument/2006/relationships/hyperlink" Target="../../chengyan/Application%20Data/Microsoft/Application%20Data/Microsoft/My%20Documents/My%20RTX%20Files/chengyan/&#23384;&#26723;&#25991;&#20214;/PR-01" TargetMode="External"/><Relationship Id="rId23" Type="http://schemas.openxmlformats.org/officeDocument/2006/relationships/hyperlink" Target="../../chengyan/Application%20Data/Microsoft/Application%20Data/Microsoft/My%20Documents/My%20RTX%20Files/chengyan/&#23384;&#26723;&#25991;&#20214;/PR-00" TargetMode="External"/><Relationship Id="rId24" Type="http://schemas.openxmlformats.org/officeDocument/2006/relationships/hyperlink" Target="../../chengyan/Application%20Data/Microsoft/Application%20Data/Microsoft/My%20Documents/My%20RTX%20Files/chengyan/03-Order" TargetMode="External"/><Relationship Id="rId25" Type="http://schemas.openxmlformats.org/officeDocument/2006/relationships/hyperlink" Target="../../chengyan/Application%20Data/Microsoft/Application%20Data/Microsoft/My%20Documents/My%20RTX%20Files/chengyan/&#23384;&#26723;&#25991;&#20214;/PR-01" TargetMode="External"/><Relationship Id="rId26" Type="http://schemas.openxmlformats.org/officeDocument/2006/relationships/hyperlink" Target="../../chengyan/Application%20Data/Microsoft/Application%20Data/Microsoft/My%20Documents/My%20RTX%20Files/chengyan/&#23384;&#26723;&#25991;&#20214;/PR-00" TargetMode="External"/><Relationship Id="rId27" Type="http://schemas.openxmlformats.org/officeDocument/2006/relationships/hyperlink" Target="../../chengyan/Application%20Data/Microsoft/Application%20Data/Microsoft/My%20Documents/My%20RTX%20Files/chengyan/03-Order" TargetMode="External"/><Relationship Id="rId28" Type="http://schemas.openxmlformats.org/officeDocument/2006/relationships/hyperlink" Target="../../chengyan/Application%20Data/Microsoft/Application%20Data/Microsoft/My%20Documents/My%20RTX%20Files/chengyan/02-Devolve/06-Equipment" TargetMode="External"/><Relationship Id="rId29" Type="http://schemas.openxmlformats.org/officeDocument/2006/relationships/hyperlink" Target="../../chengyan/Application%20Data/Microsoft/Application%20Data/Microsoft/My%20Documents/My%20RTX%20Files/chengyan/&#23384;&#26723;&#25991;&#20214;/PR-01" TargetMode="External"/><Relationship Id="rId30" Type="http://schemas.openxmlformats.org/officeDocument/2006/relationships/hyperlink" Target="../../chengyan/Application%20Data/Microsoft/Application%20Data/Microsoft/My%20Documents/My%20RTX%20Files/chengyan/&#23384;&#26723;&#25991;&#20214;/PR-00" TargetMode="External"/><Relationship Id="rId31" Type="http://schemas.openxmlformats.org/officeDocument/2006/relationships/hyperlink" Target="../../chengyan/Application%20Data/Microsoft/Application%20Data/Microsoft/My%20Documents/My%20RTX%20Files/chengyan/03-Order" TargetMode="External"/><Relationship Id="rId32" Type="http://schemas.openxmlformats.org/officeDocument/2006/relationships/hyperlink" Target="../../chengyan/Application%20Data/Microsoft/Application%20Data/Microsoft/My%20Documents/My%20RTX%20Files/chengyan/&#23384;&#26723;&#25991;&#20214;/PR-00" TargetMode="External"/><Relationship Id="rId33" Type="http://schemas.openxmlformats.org/officeDocument/2006/relationships/hyperlink" Target="../../chengyan/Application%20Data/Microsoft/Application%20Data/Microsoft/My%20Documents/My%20RTX%20Files/chengyan/&#23384;&#26723;&#25991;&#20214;/PR-00" TargetMode="External"/><Relationship Id="rId34" Type="http://schemas.openxmlformats.org/officeDocument/2006/relationships/hyperlink" Target="../../chengyan/Application%20Data/Microsoft/Application%20Data/Microsoft/My%20Documents/My%20RTX%20Files/chengyan/&#23384;&#26723;&#25991;&#20214;/PR-00" TargetMode="External"/><Relationship Id="rId35" Type="http://schemas.openxmlformats.org/officeDocument/2006/relationships/hyperlink" Target="../../chengyan/Application%20Data/Microsoft/Application%20Data/Microsoft/My%20Documents/My%20RTX%20Files/chengyan/&#23384;&#26723;&#25991;&#20214;/PR-01" TargetMode="External"/><Relationship Id="rId36" Type="http://schemas.openxmlformats.org/officeDocument/2006/relationships/hyperlink" Target="../../chengyan/Application%20Data/Microsoft/Application%20Data/Microsoft/My%20Documents/My%20RTX%20Files/chengyan/02-Devolve/07-Electric" TargetMode="External"/><Relationship Id="rId37" Type="http://schemas.openxmlformats.org/officeDocument/2006/relationships/hyperlink" Target="../../chengyan/Application%20Data/Microsoft/Application%20Data/Microsoft/My%20Documents/My%20RTX%20Files/chengyan/&#23384;&#26723;&#25991;&#20214;/PR-01" TargetMode="External"/><Relationship Id="rId38" Type="http://schemas.openxmlformats.org/officeDocument/2006/relationships/hyperlink" Target="../../chengyan/Application%20Data/Microsoft/Application%20Data/Microsoft/My%20Documents/My%20RTX%20Files/chengyan/&#23384;&#26723;&#25991;&#20214;/PR-02" TargetMode="External"/><Relationship Id="rId39" Type="http://schemas.openxmlformats.org/officeDocument/2006/relationships/hyperlink" Target="../../chengyan/Application%20Data/Microsoft/Application%20Data/Microsoft/My%20Documents/My%20RTX%20Files/chengyan/&#23384;&#26723;&#25991;&#20214;/PR-02" TargetMode="External"/><Relationship Id="rId40" Type="http://schemas.openxmlformats.org/officeDocument/2006/relationships/hyperlink" Target="../../chengyan/Application%20Data/Microsoft/Application%20Data/Microsoft/My%20Documents/My%20RTX%20Files/chengyan/&#23384;&#26723;&#25991;&#20214;/PR-02" TargetMode="External"/><Relationship Id="rId41" Type="http://schemas.openxmlformats.org/officeDocument/2006/relationships/hyperlink" Target="../../chengyan/Application%20Data/Microsoft/Application%20Data/Microsoft/My%20Documents/My%20RTX%20Files/chengyan/02-Devolve/08-Instrument" TargetMode="External"/><Relationship Id="rId42" Type="http://schemas.openxmlformats.org/officeDocument/2006/relationships/hyperlink" Target="../../chengyan/Application%20Data/Microsoft/Application%20Data/Microsoft/My%20Documents/My%20RTX%20Files/chengyan/&#23384;&#26723;&#25991;&#20214;/PR-00" TargetMode="External"/><Relationship Id="rId43" Type="http://schemas.openxmlformats.org/officeDocument/2006/relationships/hyperlink" Target="../../chengyan/Application%20Data/Microsoft/Application%20Data/Microsoft/My%20Documents/My%20RTX%20Files/chengyan/&#23384;&#26723;&#25991;&#20214;" TargetMode="External"/><Relationship Id="rId44" Type="http://schemas.openxmlformats.org/officeDocument/2006/relationships/hyperlink" Target="../../chengyan/Application%20Data/Microsoft/Application%20Data/Microsoft/My%20Documents/My%20RTX%20Files/chengyan/&#23384;&#26723;&#25991;&#20214;" TargetMode="External"/><Relationship Id="rId45"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2.vml"/><Relationship Id="rId3" Type="http://schemas.openxmlformats.org/officeDocument/2006/relationships/ctrlProp" Target="../ctrlProps/ctrlProps2.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3.xml"/><Relationship Id="rId3" Type="http://schemas.openxmlformats.org/officeDocument/2006/relationships/vmlDrawing" Target="../drawings/vmlDrawing3.vml"/><Relationship Id="rId4" Type="http://schemas.openxmlformats.org/officeDocument/2006/relationships/ctrlProp" Target="../ctrlProps/ctrlProps4.x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4.vml"/><Relationship Id="rId4" Type="http://schemas.openxmlformats.org/officeDocument/2006/relationships/ctrlProp" Target="../ctrlProps/ctrlProps6.x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5.vml"/><Relationship Id="rId4" Type="http://schemas.openxmlformats.org/officeDocument/2006/relationships/ctrlProp" Target="../ctrlProps/ctrlProps8.x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9.xml"/><Relationship Id="rId3" Type="http://schemas.openxmlformats.org/officeDocument/2006/relationships/vmlDrawing" Target="../drawings/vmlDrawing6.vml"/><Relationship Id="rId4" Type="http://schemas.openxmlformats.org/officeDocument/2006/relationships/ctrlProp" Target="../ctrlProps/ctrlProps10.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1.xml"/><Relationship Id="rId3" Type="http://schemas.openxmlformats.org/officeDocument/2006/relationships/vmlDrawing" Target="../drawings/vmlDrawing7.vml"/><Relationship Id="rId4" Type="http://schemas.openxmlformats.org/officeDocument/2006/relationships/ctrlProp" Target="../ctrlProps/ctrlProps12.x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3.xml"/><Relationship Id="rId3" Type="http://schemas.openxmlformats.org/officeDocument/2006/relationships/vmlDrawing" Target="../drawings/vmlDrawing8.vml"/><Relationship Id="rId4" Type="http://schemas.openxmlformats.org/officeDocument/2006/relationships/ctrlProp" Target="../ctrlProps/ctrlProps14.x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5.xml"/><Relationship Id="rId3" Type="http://schemas.openxmlformats.org/officeDocument/2006/relationships/vmlDrawing" Target="../drawings/vmlDrawing9.vml"/><Relationship Id="rId4" Type="http://schemas.openxmlformats.org/officeDocument/2006/relationships/ctrlProp" Target="../ctrlProps/ctrlProps16.x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7.xml"/><Relationship Id="rId3" Type="http://schemas.openxmlformats.org/officeDocument/2006/relationships/vmlDrawing" Target="../drawings/vmlDrawing10.vml"/><Relationship Id="rId4" Type="http://schemas.openxmlformats.org/officeDocument/2006/relationships/ctrlProp" Target="../ctrlProps/ctrlProps18.x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9.xml"/><Relationship Id="rId3" Type="http://schemas.openxmlformats.org/officeDocument/2006/relationships/vmlDrawing" Target="../drawings/vmlDrawing11.vml"/><Relationship Id="rId4" Type="http://schemas.openxmlformats.org/officeDocument/2006/relationships/ctrlProp" Target="../ctrlProps/ctrlProps20.x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2.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21.xml"/><Relationship Id="rId3" Type="http://schemas.openxmlformats.org/officeDocument/2006/relationships/vmlDrawing" Target="../drawings/vmlDrawing13.vml"/><Relationship Id="rId4" Type="http://schemas.openxmlformats.org/officeDocument/2006/relationships/ctrlProp" Target="../ctrlProps/ctrlProps22.x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23.xml"/><Relationship Id="rId3" Type="http://schemas.openxmlformats.org/officeDocument/2006/relationships/vmlDrawing" Target="../drawings/vmlDrawing14.vml"/><Relationship Id="rId4" Type="http://schemas.openxmlformats.org/officeDocument/2006/relationships/ctrlProp" Target="../ctrlProps/ctrlProps24.xml"/><Relationship Id="rId5" Type="http://schemas.openxmlformats.org/officeDocument/2006/relationships/ctrlProp" Target="../ctrlProps/ctrlProps25.x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26.xml"/><Relationship Id="rId3" Type="http://schemas.openxmlformats.org/officeDocument/2006/relationships/vmlDrawing" Target="../drawings/vmlDrawing15.vml"/><Relationship Id="rId4" Type="http://schemas.openxmlformats.org/officeDocument/2006/relationships/ctrlProp" Target="../ctrlProps/ctrlProps27.xml"/>
</Relationships>
</file>

<file path=xl/worksheets/_rels/sheet17.xml.rels><?xml version="1.0" encoding="UTF-8"?>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28.xml"/><Relationship Id="rId3" Type="http://schemas.openxmlformats.org/officeDocument/2006/relationships/vmlDrawing" Target="../drawings/vmlDrawing16.vml"/><Relationship Id="rId4" Type="http://schemas.openxmlformats.org/officeDocument/2006/relationships/ctrlProp" Target="../ctrlProps/ctrlProps29.x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drawing" Target="../drawings/drawing30.xml"/><Relationship Id="rId3" Type="http://schemas.openxmlformats.org/officeDocument/2006/relationships/vmlDrawing" Target="../drawings/vmlDrawing17.vml"/><Relationship Id="rId4" Type="http://schemas.openxmlformats.org/officeDocument/2006/relationships/ctrlProp" Target="../ctrlProps/ctrlProps31.xml"/>
</Relationships>
</file>

<file path=xl/worksheets/_rels/sheet19.xml.rels><?xml version="1.0" encoding="UTF-8"?>
<Relationships xmlns="http://schemas.openxmlformats.org/package/2006/relationships"><Relationship Id="rId1" Type="http://schemas.openxmlformats.org/officeDocument/2006/relationships/comments" Target="../comments19.xml"/><Relationship Id="rId2" Type="http://schemas.openxmlformats.org/officeDocument/2006/relationships/drawing" Target="../drawings/drawing32.xml"/><Relationship Id="rId3" Type="http://schemas.openxmlformats.org/officeDocument/2006/relationships/vmlDrawing" Target="../drawings/vmlDrawing18.vml"/><Relationship Id="rId4" Type="http://schemas.openxmlformats.org/officeDocument/2006/relationships/ctrlProp" Target="../ctrlProps/ctrlProps33.xml"/>
</Relationships>
</file>

<file path=xl/worksheets/_rels/sheet20.xml.rels><?xml version="1.0" encoding="UTF-8"?>
<Relationships xmlns="http://schemas.openxmlformats.org/package/2006/relationships"><Relationship Id="rId1" Type="http://schemas.openxmlformats.org/officeDocument/2006/relationships/comments" Target="../comments20.xml"/><Relationship Id="rId2" Type="http://schemas.openxmlformats.org/officeDocument/2006/relationships/drawing" Target="../drawings/drawing34.xml"/><Relationship Id="rId3" Type="http://schemas.openxmlformats.org/officeDocument/2006/relationships/vmlDrawing" Target="../drawings/vmlDrawing19.vml"/><Relationship Id="rId4" Type="http://schemas.openxmlformats.org/officeDocument/2006/relationships/ctrlProp" Target="../ctrlProps/ctrlProps35.xml"/>
</Relationships>
</file>

<file path=xl/worksheets/_rels/sheet21.xml.rels><?xml version="1.0" encoding="UTF-8"?>
<Relationships xmlns="http://schemas.openxmlformats.org/package/2006/relationships"><Relationship Id="rId1" Type="http://schemas.openxmlformats.org/officeDocument/2006/relationships/comments" Target="../comments21.xml"/><Relationship Id="rId2" Type="http://schemas.openxmlformats.org/officeDocument/2006/relationships/drawing" Target="../drawings/drawing36.xml"/><Relationship Id="rId3" Type="http://schemas.openxmlformats.org/officeDocument/2006/relationships/vmlDrawing" Target="../drawings/vmlDrawing20.vml"/><Relationship Id="rId4" Type="http://schemas.openxmlformats.org/officeDocument/2006/relationships/ctrlProp" Target="../ctrlProps/ctrlProps37.xml"/><Relationship Id="rId5" Type="http://schemas.openxmlformats.org/officeDocument/2006/relationships/ctrlProp" Target="../ctrlProps/ctrlProps38.xml"/>
</Relationships>
</file>

<file path=xl/worksheets/_rels/sheet22.xml.rels><?xml version="1.0" encoding="UTF-8"?>
<Relationships xmlns="http://schemas.openxmlformats.org/package/2006/relationships"><Relationship Id="rId1" Type="http://schemas.openxmlformats.org/officeDocument/2006/relationships/comments" Target="../comments22.xml"/><Relationship Id="rId2" Type="http://schemas.openxmlformats.org/officeDocument/2006/relationships/drawing" Target="../drawings/drawing39.xml"/><Relationship Id="rId3" Type="http://schemas.openxmlformats.org/officeDocument/2006/relationships/vmlDrawing" Target="../drawings/vmlDrawing21.vml"/>
</Relationships>
</file>

<file path=xl/worksheets/_rels/sheet23.xml.rels><?xml version="1.0" encoding="UTF-8"?>
<Relationships xmlns="http://schemas.openxmlformats.org/package/2006/relationships"><Relationship Id="rId1" Type="http://schemas.openxmlformats.org/officeDocument/2006/relationships/comments" Target="../comments23.xml"/><Relationship Id="rId2" Type="http://schemas.openxmlformats.org/officeDocument/2006/relationships/vmlDrawing" Target="../drawings/vmlDrawing22.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drawing" Target="../drawings/drawing40.xml"/><Relationship Id="rId3" Type="http://schemas.openxmlformats.org/officeDocument/2006/relationships/vmlDrawing" Target="../drawings/vmlDrawing23.vml"/><Relationship Id="rId4" Type="http://schemas.openxmlformats.org/officeDocument/2006/relationships/ctrlProp" Target="../ctrlProps/ctrlProps41.xml"/>
</Relationships>
</file>

<file path=xl/worksheets/_rels/sheet25.xml.rels><?xml version="1.0" encoding="UTF-8"?>
<Relationships xmlns="http://schemas.openxmlformats.org/package/2006/relationships"><Relationship Id="rId1" Type="http://schemas.openxmlformats.org/officeDocument/2006/relationships/drawing" Target="../drawings/drawing42.xml"/><Relationship Id="rId2" Type="http://schemas.openxmlformats.org/officeDocument/2006/relationships/vmlDrawing" Target="../drawings/vmlDrawing24.vml"/><Relationship Id="rId3" Type="http://schemas.openxmlformats.org/officeDocument/2006/relationships/ctrlProp" Target="../ctrlProps/ctrlProps43.xml"/>
</Relationships>
</file>

<file path=xl/worksheets/_rels/sheet27.xml.rels><?xml version="1.0" encoding="UTF-8"?>
<Relationships xmlns="http://schemas.openxmlformats.org/package/2006/relationships"><Relationship Id="rId1" Type="http://schemas.openxmlformats.org/officeDocument/2006/relationships/comments" Target="../comments27.xml"/><Relationship Id="rId2" Type="http://schemas.openxmlformats.org/officeDocument/2006/relationships/drawing" Target="../drawings/drawing44.xml"/><Relationship Id="rId3" Type="http://schemas.openxmlformats.org/officeDocument/2006/relationships/vmlDrawing" Target="../drawings/vmlDrawing25.vml"/><Relationship Id="rId4" Type="http://schemas.openxmlformats.org/officeDocument/2006/relationships/ctrlProp" Target="../ctrlProps/ctrlProps45.xml"/>
</Relationships>
</file>

<file path=xl/worksheets/_rels/sheet28.xml.rels><?xml version="1.0" encoding="UTF-8"?>
<Relationships xmlns="http://schemas.openxmlformats.org/package/2006/relationships"><Relationship Id="rId1" Type="http://schemas.openxmlformats.org/officeDocument/2006/relationships/drawing" Target="../drawings/drawing46.xml"/><Relationship Id="rId2" Type="http://schemas.openxmlformats.org/officeDocument/2006/relationships/vmlDrawing" Target="../drawings/vmlDrawing26.vml"/><Relationship Id="rId3" Type="http://schemas.openxmlformats.org/officeDocument/2006/relationships/ctrlProp" Target="../ctrlProps/ctrlProps47.xml"/>
</Relationships>
</file>

<file path=xl/worksheets/_rels/sheet30.xml.rels><?xml version="1.0" encoding="UTF-8"?>
<Relationships xmlns="http://schemas.openxmlformats.org/package/2006/relationships"><Relationship Id="rId1" Type="http://schemas.openxmlformats.org/officeDocument/2006/relationships/drawing" Target="../drawings/drawing48.xml"/><Relationship Id="rId2" Type="http://schemas.openxmlformats.org/officeDocument/2006/relationships/vmlDrawing" Target="../drawings/vmlDrawing27.vml"/><Relationship Id="rId3" Type="http://schemas.openxmlformats.org/officeDocument/2006/relationships/ctrlProp" Target="../ctrlProps/ctrlProps4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G35" activeCellId="0" sqref="1:1048576"/>
    </sheetView>
  </sheetViews>
  <sheetFormatPr defaultColWidth="9.00390625" defaultRowHeight="13.5" zeroHeight="false" outlineLevelRow="0" outlineLevelCol="0"/>
  <cols>
    <col collapsed="false" customWidth="true" hidden="false" outlineLevel="0" max="1" min="1" style="1" width="6.62"/>
    <col collapsed="false" customWidth="true" hidden="false" outlineLevel="0" max="2" min="2" style="1" width="6"/>
    <col collapsed="false" customWidth="false" hidden="false" outlineLevel="0" max="16384" min="3" style="1" width="9"/>
  </cols>
  <sheetData>
    <row r="1" customFormat="false" ht="13.5" hidden="false" customHeight="false" outlineLevel="0" collapsed="false">
      <c r="A1" s="1" t="s">
        <v>0</v>
      </c>
    </row>
    <row r="2" customFormat="false" ht="13.5" hidden="false" customHeight="false" outlineLevel="0" collapsed="false">
      <c r="A2" s="1" t="n">
        <v>1</v>
      </c>
      <c r="B2" s="1" t="s">
        <v>1</v>
      </c>
    </row>
    <row r="3" customFormat="false" ht="13.5" hidden="false" customHeight="false" outlineLevel="0" collapsed="false">
      <c r="B3" s="2" t="n">
        <v>1.1</v>
      </c>
      <c r="C3" s="2" t="s">
        <v>2</v>
      </c>
      <c r="D3" s="2"/>
      <c r="E3" s="2"/>
      <c r="F3" s="2"/>
      <c r="G3" s="2"/>
      <c r="H3" s="2"/>
      <c r="I3" s="2"/>
      <c r="J3" s="2"/>
      <c r="K3" s="2"/>
      <c r="L3" s="2"/>
    </row>
    <row r="4" customFormat="false" ht="13.5" hidden="false" customHeight="false" outlineLevel="0" collapsed="false">
      <c r="B4" s="2" t="n">
        <v>1.2</v>
      </c>
      <c r="C4" s="2" t="s">
        <v>3</v>
      </c>
      <c r="D4" s="2"/>
      <c r="E4" s="2"/>
      <c r="F4" s="2"/>
      <c r="G4" s="2"/>
      <c r="H4" s="2"/>
      <c r="I4" s="2"/>
      <c r="J4" s="2"/>
      <c r="K4" s="2"/>
      <c r="L4" s="2"/>
    </row>
    <row r="5" customFormat="false" ht="13.5" hidden="false" customHeight="false" outlineLevel="0" collapsed="false">
      <c r="B5" s="2" t="n">
        <v>1.3</v>
      </c>
      <c r="C5" s="2" t="s">
        <v>4</v>
      </c>
      <c r="D5" s="2"/>
      <c r="E5" s="2"/>
      <c r="F5" s="2"/>
      <c r="G5" s="2"/>
      <c r="H5" s="2"/>
      <c r="I5" s="2"/>
      <c r="J5" s="2"/>
      <c r="K5" s="2"/>
      <c r="L5" s="2"/>
    </row>
    <row r="6" customFormat="false" ht="13.5" hidden="false" customHeight="false" outlineLevel="0" collapsed="false">
      <c r="C6" s="3"/>
    </row>
    <row r="7" customFormat="false" ht="13.5" hidden="false" customHeight="false" outlineLevel="0" collapsed="false">
      <c r="A7" s="1" t="n">
        <v>2</v>
      </c>
      <c r="B7" s="1" t="s">
        <v>5</v>
      </c>
      <c r="C7" s="4"/>
    </row>
    <row r="8" customFormat="false" ht="15" hidden="false" customHeight="false" outlineLevel="0" collapsed="false">
      <c r="B8" s="5" t="s">
        <v>6</v>
      </c>
      <c r="C8" s="4"/>
    </row>
    <row r="9" customFormat="false" ht="13.5" hidden="false" customHeight="false" outlineLevel="0" collapsed="false">
      <c r="B9" s="6" t="s">
        <v>7</v>
      </c>
      <c r="C9" s="4"/>
    </row>
    <row r="10" customFormat="false" ht="13.5" hidden="false" customHeight="false" outlineLevel="0" collapsed="false">
      <c r="B10" s="1" t="s">
        <v>8</v>
      </c>
      <c r="C10" s="4"/>
    </row>
    <row r="11" customFormat="false" ht="15" hidden="false" customHeight="false" outlineLevel="0" collapsed="false">
      <c r="B11" s="7" t="s">
        <v>9</v>
      </c>
    </row>
    <row r="12" customFormat="false" ht="15" hidden="false" customHeight="false" outlineLevel="0" collapsed="false">
      <c r="B12" s="1" t="s">
        <v>10</v>
      </c>
      <c r="D12" s="8" t="s">
        <v>11</v>
      </c>
      <c r="E12" s="9" t="s">
        <v>12</v>
      </c>
      <c r="F12" s="10" t="s">
        <v>13</v>
      </c>
    </row>
    <row r="18" customFormat="false" ht="13.5" hidden="false" customHeight="false" outlineLevel="0" collapsed="false">
      <c r="B18" s="4"/>
    </row>
  </sheetData>
  <conditionalFormatting sqref="B11">
    <cfRule type="cellIs" priority="2" operator="equal" aboveAverage="0" equalAverage="0" bottom="0" percent="0" rank="0" text="" dxfId="0">
      <formula>"核算未通过"</formula>
    </cfRule>
  </conditionalFormatting>
  <printOptions headings="false" gridLines="false" gridLinesSet="true" horizontalCentered="false" verticalCentered="false"/>
  <pageMargins left="0.698611111111111" right="0.698611111111111" top="0.75" bottom="0.75" header="0.511811023622047" footer="0.511811023622047"/>
  <pageSetup paperSize="8"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1:1048576"/>
    </sheetView>
  </sheetViews>
  <sheetFormatPr defaultColWidth="8.50390625" defaultRowHeight="14.25" zeroHeight="false" outlineLevelRow="0" outlineLevelCol="0"/>
  <cols>
    <col collapsed="false" customWidth="true" hidden="false" outlineLevel="0" max="1" min="1" style="0" width="4.63"/>
    <col collapsed="false" customWidth="true" hidden="false" outlineLevel="0" max="2" min="2" style="11" width="11.38"/>
    <col collapsed="false" customWidth="true" hidden="false" outlineLevel="0" max="4" min="4" style="11" width="23.63"/>
    <col collapsed="false" customWidth="true" hidden="false" outlineLevel="0" max="6" min="6" style="11" width="24.5"/>
    <col collapsed="false" customWidth="true" hidden="false" outlineLevel="0" max="8" min="8" style="11" width="19.37"/>
    <col collapsed="false" customWidth="true" hidden="false" outlineLevel="0" max="10" min="10" style="11" width="19.88"/>
    <col collapsed="false" customWidth="true" hidden="false" outlineLevel="0" max="12" min="12" style="11" width="20.75"/>
    <col collapsed="false" customWidth="true" hidden="false" outlineLevel="0" max="13" min="13" style="0" width="8.88"/>
    <col collapsed="false" customWidth="true" hidden="false" outlineLevel="0" max="14" min="14" style="0" width="10.5"/>
    <col collapsed="false" customWidth="true" hidden="false" outlineLevel="0" max="15" min="15" style="11" width="10.5"/>
  </cols>
  <sheetData>
    <row r="1" customFormat="false" ht="27.75" hidden="false" customHeight="true" outlineLevel="0" collapsed="false">
      <c r="A1" s="12" t="s">
        <v>14</v>
      </c>
      <c r="B1" s="12"/>
      <c r="C1" s="12"/>
      <c r="D1" s="12"/>
      <c r="E1" s="12"/>
      <c r="F1" s="12"/>
      <c r="G1" s="12"/>
      <c r="H1" s="12"/>
      <c r="I1" s="12"/>
      <c r="J1" s="12"/>
      <c r="K1" s="12"/>
      <c r="L1" s="12"/>
      <c r="M1" s="12"/>
      <c r="N1" s="12"/>
      <c r="O1" s="12"/>
    </row>
    <row r="2" customFormat="false" ht="24" hidden="false" customHeight="true" outlineLevel="0" collapsed="false">
      <c r="A2" s="13" t="s">
        <v>15</v>
      </c>
      <c r="B2" s="14" t="s">
        <v>16</v>
      </c>
      <c r="C2" s="13" t="s">
        <v>17</v>
      </c>
    </row>
    <row r="3" s="17" customFormat="true" ht="27.75" hidden="false" customHeight="true" outlineLevel="0" collapsed="false">
      <c r="A3" s="15" t="s">
        <v>18</v>
      </c>
      <c r="B3" s="16" t="s">
        <v>19</v>
      </c>
      <c r="C3" s="15" t="s">
        <v>20</v>
      </c>
      <c r="D3" s="16" t="s">
        <v>21</v>
      </c>
      <c r="E3" s="15" t="s">
        <v>20</v>
      </c>
      <c r="F3" s="16" t="s">
        <v>22</v>
      </c>
      <c r="G3" s="15" t="s">
        <v>20</v>
      </c>
      <c r="H3" s="16" t="s">
        <v>23</v>
      </c>
      <c r="I3" s="15" t="s">
        <v>20</v>
      </c>
      <c r="J3" s="16" t="s">
        <v>24</v>
      </c>
      <c r="K3" s="15" t="s">
        <v>20</v>
      </c>
      <c r="L3" s="16" t="s">
        <v>25</v>
      </c>
      <c r="M3" s="15" t="s">
        <v>20</v>
      </c>
      <c r="N3" s="15" t="s">
        <v>26</v>
      </c>
      <c r="O3" s="16" t="s">
        <v>27</v>
      </c>
    </row>
    <row r="4" s="17" customFormat="true" ht="27.75" hidden="false" customHeight="true" outlineLevel="0" collapsed="false">
      <c r="A4" s="18" t="n">
        <f aca="false">ROW()-2</f>
        <v>2</v>
      </c>
      <c r="B4" s="19" t="s">
        <v>28</v>
      </c>
      <c r="C4" s="20" t="s">
        <v>29</v>
      </c>
      <c r="D4" s="16"/>
      <c r="E4" s="15"/>
      <c r="F4" s="16"/>
      <c r="G4" s="15"/>
      <c r="H4" s="16"/>
      <c r="I4" s="15"/>
      <c r="J4" s="16"/>
      <c r="K4" s="15"/>
      <c r="L4" s="16"/>
      <c r="M4" s="15"/>
      <c r="N4" s="21" t="n">
        <v>41771</v>
      </c>
      <c r="O4" s="22" t="n">
        <f aca="false">N4+2</f>
        <v>41773</v>
      </c>
    </row>
    <row r="5" s="17" customFormat="true" ht="27.75" hidden="false" customHeight="true" outlineLevel="0" collapsed="false">
      <c r="A5" s="18" t="n">
        <f aca="false">ROW()-2</f>
        <v>3</v>
      </c>
      <c r="B5" s="13" t="s">
        <v>30</v>
      </c>
      <c r="C5" s="20" t="s">
        <v>29</v>
      </c>
      <c r="D5" s="23"/>
      <c r="E5" s="18"/>
      <c r="F5" s="23"/>
      <c r="G5" s="18"/>
      <c r="H5" s="23"/>
      <c r="I5" s="18"/>
      <c r="J5" s="23"/>
      <c r="K5" s="18"/>
      <c r="L5" s="23"/>
      <c r="M5" s="18"/>
      <c r="N5" s="22" t="n">
        <f aca="false">N4</f>
        <v>41771</v>
      </c>
      <c r="O5" s="22" t="n">
        <f aca="false">N17-1</f>
        <v>41817</v>
      </c>
    </row>
    <row r="6" s="17" customFormat="true" ht="27.75" hidden="false" customHeight="true" outlineLevel="0" collapsed="false">
      <c r="A6" s="18" t="n">
        <f aca="false">ROW()-2</f>
        <v>4</v>
      </c>
      <c r="B6" s="19" t="s">
        <v>31</v>
      </c>
      <c r="C6" s="20" t="s">
        <v>32</v>
      </c>
      <c r="D6" s="19" t="s">
        <v>33</v>
      </c>
      <c r="E6" s="20" t="s">
        <v>34</v>
      </c>
      <c r="F6" s="23"/>
      <c r="G6" s="18"/>
      <c r="H6" s="23"/>
      <c r="I6" s="18"/>
      <c r="J6" s="23"/>
      <c r="K6" s="18"/>
      <c r="L6" s="23"/>
      <c r="M6" s="18"/>
      <c r="N6" s="22" t="n">
        <f aca="false">N5</f>
        <v>41771</v>
      </c>
      <c r="O6" s="22" t="n">
        <f aca="false">N6+30</f>
        <v>41801</v>
      </c>
    </row>
    <row r="7" s="17" customFormat="true" ht="27.75" hidden="false" customHeight="true" outlineLevel="0" collapsed="false">
      <c r="A7" s="18" t="n">
        <f aca="false">ROW()-2</f>
        <v>5</v>
      </c>
      <c r="B7" s="19" t="s">
        <v>35</v>
      </c>
      <c r="C7" s="20" t="s">
        <v>36</v>
      </c>
      <c r="D7" s="19" t="s">
        <v>37</v>
      </c>
      <c r="E7" s="20" t="s">
        <v>32</v>
      </c>
      <c r="F7" s="19" t="s">
        <v>38</v>
      </c>
      <c r="G7" s="20" t="s">
        <v>34</v>
      </c>
      <c r="H7" s="19" t="s">
        <v>39</v>
      </c>
      <c r="I7" s="20" t="s">
        <v>34</v>
      </c>
      <c r="J7" s="23"/>
      <c r="K7" s="18"/>
      <c r="L7" s="23"/>
      <c r="M7" s="18"/>
      <c r="N7" s="24" t="n">
        <f aca="false">O6+1</f>
        <v>41802</v>
      </c>
      <c r="O7" s="22" t="n">
        <f aca="false">N7+15</f>
        <v>41817</v>
      </c>
    </row>
    <row r="8" s="17" customFormat="true" ht="27.75" hidden="false" customHeight="true" outlineLevel="0" collapsed="false">
      <c r="A8" s="18" t="n">
        <f aca="false">ROW()-2</f>
        <v>6</v>
      </c>
      <c r="B8" s="19" t="s">
        <v>40</v>
      </c>
      <c r="C8" s="20" t="s">
        <v>32</v>
      </c>
      <c r="D8" s="19" t="s">
        <v>41</v>
      </c>
      <c r="E8" s="20" t="s">
        <v>34</v>
      </c>
      <c r="F8" s="19" t="s">
        <v>42</v>
      </c>
      <c r="G8" s="20" t="s">
        <v>34</v>
      </c>
      <c r="H8" s="19" t="s">
        <v>43</v>
      </c>
      <c r="I8" s="20" t="s">
        <v>34</v>
      </c>
      <c r="J8" s="19" t="s">
        <v>44</v>
      </c>
      <c r="K8" s="20" t="s">
        <v>34</v>
      </c>
      <c r="L8" s="23"/>
      <c r="M8" s="18"/>
      <c r="N8" s="24" t="n">
        <f aca="false">O6+1</f>
        <v>41802</v>
      </c>
      <c r="O8" s="22" t="n">
        <f aca="false">N8+45</f>
        <v>41847</v>
      </c>
    </row>
    <row r="9" s="17" customFormat="true" ht="27.75" hidden="false" customHeight="true" outlineLevel="0" collapsed="false">
      <c r="A9" s="18" t="n">
        <f aca="false">ROW()-2</f>
        <v>7</v>
      </c>
      <c r="B9" s="19" t="s">
        <v>45</v>
      </c>
      <c r="C9" s="20" t="s">
        <v>32</v>
      </c>
      <c r="D9" s="19" t="s">
        <v>46</v>
      </c>
      <c r="E9" s="20" t="s">
        <v>34</v>
      </c>
      <c r="F9" s="19" t="s">
        <v>47</v>
      </c>
      <c r="G9" s="20" t="s">
        <v>34</v>
      </c>
      <c r="H9" s="19" t="s">
        <v>48</v>
      </c>
      <c r="I9" s="20" t="s">
        <v>34</v>
      </c>
      <c r="J9" s="23"/>
      <c r="K9" s="18"/>
      <c r="L9" s="23"/>
      <c r="M9" s="18"/>
      <c r="N9" s="24" t="n">
        <f aca="false">N8</f>
        <v>41802</v>
      </c>
      <c r="O9" s="22" t="n">
        <f aca="false">N9+45</f>
        <v>41847</v>
      </c>
    </row>
    <row r="10" s="17" customFormat="true" ht="27.75" hidden="false" customHeight="true" outlineLevel="0" collapsed="false">
      <c r="A10" s="18" t="n">
        <f aca="false">ROW()-2</f>
        <v>8</v>
      </c>
      <c r="B10" s="19" t="s">
        <v>49</v>
      </c>
      <c r="C10" s="20" t="s">
        <v>36</v>
      </c>
      <c r="D10" s="19" t="s">
        <v>50</v>
      </c>
      <c r="E10" s="20" t="s">
        <v>34</v>
      </c>
      <c r="F10" s="19" t="s">
        <v>51</v>
      </c>
      <c r="G10" s="20" t="s">
        <v>34</v>
      </c>
      <c r="H10" s="19" t="s">
        <v>52</v>
      </c>
      <c r="I10" s="20" t="s">
        <v>34</v>
      </c>
      <c r="J10" s="19" t="s">
        <v>53</v>
      </c>
      <c r="K10" s="20" t="s">
        <v>34</v>
      </c>
      <c r="L10" s="19" t="s">
        <v>54</v>
      </c>
      <c r="M10" s="20" t="s">
        <v>34</v>
      </c>
      <c r="N10" s="24" t="n">
        <f aca="false">O7+1</f>
        <v>41818</v>
      </c>
      <c r="O10" s="22" t="n">
        <f aca="false">N10+30</f>
        <v>41848</v>
      </c>
    </row>
    <row r="11" s="17" customFormat="true" ht="27.75" hidden="false" customHeight="true" outlineLevel="0" collapsed="false">
      <c r="A11" s="18" t="n">
        <f aca="false">ROW()-2</f>
        <v>9</v>
      </c>
      <c r="B11" s="19" t="s">
        <v>55</v>
      </c>
      <c r="C11" s="20" t="s">
        <v>36</v>
      </c>
      <c r="D11" s="19" t="s">
        <v>56</v>
      </c>
      <c r="E11" s="20" t="s">
        <v>34</v>
      </c>
      <c r="F11" s="19" t="s">
        <v>57</v>
      </c>
      <c r="G11" s="20" t="s">
        <v>34</v>
      </c>
      <c r="H11" s="19" t="s">
        <v>58</v>
      </c>
      <c r="I11" s="20" t="s">
        <v>34</v>
      </c>
      <c r="J11" s="23"/>
      <c r="K11" s="23"/>
      <c r="L11" s="23"/>
      <c r="M11" s="18"/>
      <c r="N11" s="24" t="n">
        <f aca="false">N10</f>
        <v>41818</v>
      </c>
      <c r="O11" s="22" t="n">
        <f aca="false">N11+30</f>
        <v>41848</v>
      </c>
    </row>
    <row r="12" s="17" customFormat="true" ht="27.75" hidden="false" customHeight="true" outlineLevel="0" collapsed="false">
      <c r="A12" s="18" t="n">
        <f aca="false">ROW()-2</f>
        <v>10</v>
      </c>
      <c r="B12" s="19" t="s">
        <v>59</v>
      </c>
      <c r="C12" s="20" t="s">
        <v>29</v>
      </c>
      <c r="D12" s="19" t="s">
        <v>60</v>
      </c>
      <c r="E12" s="20" t="s">
        <v>34</v>
      </c>
      <c r="F12" s="19" t="s">
        <v>61</v>
      </c>
      <c r="G12" s="20" t="s">
        <v>34</v>
      </c>
      <c r="H12" s="19" t="s">
        <v>62</v>
      </c>
      <c r="I12" s="20" t="s">
        <v>34</v>
      </c>
      <c r="J12" s="19" t="s">
        <v>63</v>
      </c>
      <c r="K12" s="20" t="s">
        <v>34</v>
      </c>
      <c r="L12" s="23"/>
      <c r="M12" s="18"/>
      <c r="N12" s="24" t="n">
        <f aca="false">N11</f>
        <v>41818</v>
      </c>
      <c r="O12" s="22" t="n">
        <f aca="false">N12+30</f>
        <v>41848</v>
      </c>
    </row>
    <row r="13" s="17" customFormat="true" ht="27.75" hidden="false" customHeight="true" outlineLevel="0" collapsed="false">
      <c r="A13" s="18" t="n">
        <f aca="false">ROW()-2</f>
        <v>11</v>
      </c>
      <c r="B13" s="19" t="s">
        <v>64</v>
      </c>
      <c r="C13" s="20" t="s">
        <v>34</v>
      </c>
      <c r="D13" s="19" t="s">
        <v>65</v>
      </c>
      <c r="E13" s="20" t="s">
        <v>34</v>
      </c>
      <c r="F13" s="19" t="s">
        <v>66</v>
      </c>
      <c r="G13" s="20" t="s">
        <v>34</v>
      </c>
      <c r="H13" s="19" t="s">
        <v>67</v>
      </c>
      <c r="I13" s="20" t="s">
        <v>34</v>
      </c>
      <c r="J13" s="23"/>
      <c r="K13" s="18"/>
      <c r="L13" s="23"/>
      <c r="M13" s="18"/>
      <c r="N13" s="24" t="n">
        <f aca="false">N12</f>
        <v>41818</v>
      </c>
      <c r="O13" s="22" t="n">
        <f aca="false">N13+30</f>
        <v>41848</v>
      </c>
    </row>
    <row r="14" s="17" customFormat="true" ht="27.75" hidden="false" customHeight="true" outlineLevel="0" collapsed="false">
      <c r="A14" s="18" t="n">
        <f aca="false">ROW()-2</f>
        <v>12</v>
      </c>
      <c r="B14" s="19" t="s">
        <v>68</v>
      </c>
      <c r="C14" s="20" t="s">
        <v>36</v>
      </c>
      <c r="D14" s="19" t="s">
        <v>69</v>
      </c>
      <c r="E14" s="20" t="s">
        <v>34</v>
      </c>
      <c r="F14" s="19" t="s">
        <v>70</v>
      </c>
      <c r="G14" s="20" t="s">
        <v>34</v>
      </c>
      <c r="H14" s="19" t="s">
        <v>71</v>
      </c>
      <c r="I14" s="20" t="s">
        <v>34</v>
      </c>
      <c r="J14" s="23"/>
      <c r="K14" s="18"/>
      <c r="L14" s="23"/>
      <c r="M14" s="18"/>
      <c r="N14" s="24" t="n">
        <f aca="false">N13</f>
        <v>41818</v>
      </c>
      <c r="O14" s="22" t="n">
        <f aca="false">N14+30</f>
        <v>41848</v>
      </c>
    </row>
    <row r="15" s="17" customFormat="true" ht="27.75" hidden="false" customHeight="true" outlineLevel="0" collapsed="false">
      <c r="A15" s="18" t="n">
        <f aca="false">ROW()-2</f>
        <v>13</v>
      </c>
      <c r="B15" s="19" t="s">
        <v>72</v>
      </c>
      <c r="C15" s="20" t="s">
        <v>34</v>
      </c>
      <c r="D15" s="19" t="s">
        <v>73</v>
      </c>
      <c r="E15" s="20" t="s">
        <v>34</v>
      </c>
      <c r="F15" s="19" t="s">
        <v>74</v>
      </c>
      <c r="G15" s="20" t="s">
        <v>34</v>
      </c>
      <c r="H15" s="23"/>
      <c r="I15" s="23"/>
      <c r="J15" s="23"/>
      <c r="K15" s="18"/>
      <c r="L15" s="23"/>
      <c r="M15" s="18"/>
      <c r="N15" s="24" t="n">
        <f aca="false">N14</f>
        <v>41818</v>
      </c>
      <c r="O15" s="22" t="n">
        <f aca="false">N15+30</f>
        <v>41848</v>
      </c>
    </row>
    <row r="16" s="17" customFormat="true" ht="27.75" hidden="false" customHeight="true" outlineLevel="0" collapsed="false">
      <c r="A16" s="18" t="n">
        <f aca="false">ROW()-2</f>
        <v>14</v>
      </c>
      <c r="B16" s="19" t="s">
        <v>75</v>
      </c>
      <c r="C16" s="20" t="s">
        <v>34</v>
      </c>
      <c r="D16" s="19" t="s">
        <v>76</v>
      </c>
      <c r="E16" s="20" t="s">
        <v>34</v>
      </c>
      <c r="F16" s="23"/>
      <c r="G16" s="23"/>
      <c r="H16" s="23"/>
      <c r="I16" s="23"/>
      <c r="J16" s="23"/>
      <c r="K16" s="18"/>
      <c r="L16" s="23"/>
      <c r="M16" s="18"/>
      <c r="N16" s="24" t="n">
        <f aca="false">O15+1</f>
        <v>41849</v>
      </c>
      <c r="O16" s="22" t="n">
        <f aca="false">N16+15</f>
        <v>41864</v>
      </c>
    </row>
    <row r="17" s="17" customFormat="true" ht="27.75" hidden="false" customHeight="true" outlineLevel="0" collapsed="false">
      <c r="A17" s="18" t="n">
        <f aca="false">ROW()-2</f>
        <v>15</v>
      </c>
      <c r="B17" s="19" t="s">
        <v>77</v>
      </c>
      <c r="C17" s="20" t="s">
        <v>36</v>
      </c>
      <c r="D17" s="19" t="s">
        <v>78</v>
      </c>
      <c r="E17" s="20" t="s">
        <v>34</v>
      </c>
      <c r="F17" s="19" t="s">
        <v>79</v>
      </c>
      <c r="G17" s="20" t="s">
        <v>34</v>
      </c>
      <c r="H17" s="19" t="s">
        <v>80</v>
      </c>
      <c r="I17" s="20" t="s">
        <v>34</v>
      </c>
      <c r="J17" s="23" t="s">
        <v>81</v>
      </c>
      <c r="K17" s="20" t="s">
        <v>34</v>
      </c>
      <c r="L17" s="23"/>
      <c r="M17" s="18"/>
      <c r="N17" s="24" t="n">
        <f aca="false">O7+1</f>
        <v>41818</v>
      </c>
      <c r="O17" s="22" t="n">
        <f aca="false">N17+31</f>
        <v>41849</v>
      </c>
    </row>
    <row r="18" s="17" customFormat="true" ht="27.75" hidden="false" customHeight="true" outlineLevel="0" collapsed="false">
      <c r="A18" s="18" t="n">
        <f aca="false">ROW()-2</f>
        <v>16</v>
      </c>
      <c r="B18" s="13" t="s">
        <v>82</v>
      </c>
      <c r="C18" s="20" t="s">
        <v>34</v>
      </c>
      <c r="D18" s="23"/>
      <c r="E18" s="18"/>
      <c r="F18" s="23"/>
      <c r="G18" s="18"/>
      <c r="H18" s="23"/>
      <c r="I18" s="18"/>
      <c r="J18" s="23"/>
      <c r="K18" s="18"/>
      <c r="L18" s="23"/>
      <c r="M18" s="18"/>
      <c r="N18" s="24" t="n">
        <f aca="false">O17+1</f>
        <v>41850</v>
      </c>
      <c r="O18" s="22" t="n">
        <f aca="false">N18+15</f>
        <v>41865</v>
      </c>
    </row>
    <row r="19" s="17" customFormat="true" ht="27.75" hidden="false" customHeight="true" outlineLevel="0" collapsed="false">
      <c r="A19" s="18" t="n">
        <f aca="false">ROW()-2</f>
        <v>17</v>
      </c>
      <c r="B19" s="19" t="s">
        <v>83</v>
      </c>
      <c r="C19" s="20" t="s">
        <v>34</v>
      </c>
      <c r="D19" s="23"/>
      <c r="E19" s="18"/>
      <c r="F19" s="23"/>
      <c r="G19" s="18"/>
      <c r="H19" s="23"/>
      <c r="I19" s="18"/>
      <c r="J19" s="23"/>
      <c r="K19" s="18"/>
      <c r="L19" s="23"/>
      <c r="M19" s="18"/>
      <c r="N19" s="24" t="n">
        <f aca="false">O18+1</f>
        <v>41866</v>
      </c>
      <c r="O19" s="22" t="n">
        <f aca="false">N19+15</f>
        <v>41881</v>
      </c>
    </row>
    <row r="20" s="17" customFormat="true" ht="27.75" hidden="false" customHeight="true" outlineLevel="0" collapsed="false">
      <c r="A20" s="18" t="n">
        <f aca="false">ROW()-2</f>
        <v>18</v>
      </c>
      <c r="B20" s="19" t="s">
        <v>84</v>
      </c>
      <c r="C20" s="20" t="s">
        <v>34</v>
      </c>
      <c r="D20" s="23"/>
      <c r="E20" s="18"/>
      <c r="F20" s="23"/>
      <c r="G20" s="18"/>
      <c r="H20" s="23"/>
      <c r="I20" s="18"/>
      <c r="J20" s="23"/>
      <c r="K20" s="18"/>
      <c r="L20" s="23"/>
      <c r="M20" s="18"/>
      <c r="N20" s="24" t="n">
        <f aca="false">O19+1</f>
        <v>41882</v>
      </c>
      <c r="O20" s="22" t="n">
        <f aca="false">N20+1</f>
        <v>41883</v>
      </c>
    </row>
    <row r="21" customFormat="false" ht="15" hidden="false" customHeight="false" outlineLevel="0" collapsed="false"/>
    <row r="22" customFormat="false" ht="15" hidden="false" customHeight="false" outlineLevel="0" collapsed="false">
      <c r="A22" s="25" t="s">
        <v>85</v>
      </c>
      <c r="B22" s="26" t="s">
        <v>86</v>
      </c>
    </row>
    <row r="23" customFormat="false" ht="14.25" hidden="false" customHeight="false" outlineLevel="0" collapsed="false">
      <c r="B23" s="27"/>
    </row>
  </sheetData>
  <mergeCells count="1">
    <mergeCell ref="A1:O1"/>
  </mergeCells>
  <conditionalFormatting sqref="F7">
    <cfRule type="cellIs" priority="2" operator="equal" aboveAverage="0" equalAverage="0" bottom="0" percent="0" rank="0" text="" dxfId="1">
      <formula>"完成"</formula>
    </cfRule>
    <cfRule type="cellIs" priority="3" operator="equal" aboveAverage="0" equalAverage="0" bottom="0" percent="0" rank="0" text="" dxfId="2">
      <formula>"进行中"</formula>
    </cfRule>
    <cfRule type="cellIs" priority="4" operator="equal" aboveAverage="0" equalAverage="0" bottom="0" percent="0" rank="0" text="" dxfId="3">
      <formula>"未开始"</formula>
    </cfRule>
  </conditionalFormatting>
  <conditionalFormatting sqref="D7">
    <cfRule type="cellIs" priority="5" operator="equal" aboveAverage="0" equalAverage="0" bottom="0" percent="0" rank="0" text="" dxfId="4">
      <formula>"完成"</formula>
    </cfRule>
    <cfRule type="cellIs" priority="6" operator="equal" aboveAverage="0" equalAverage="0" bottom="0" percent="0" rank="0" text="" dxfId="5">
      <formula>"进行中"</formula>
    </cfRule>
    <cfRule type="cellIs" priority="7" operator="equal" aboveAverage="0" equalAverage="0" bottom="0" percent="0" rank="0" text="" dxfId="6">
      <formula>"未开始"</formula>
    </cfRule>
  </conditionalFormatting>
  <conditionalFormatting sqref="H7">
    <cfRule type="cellIs" priority="8" operator="equal" aboveAverage="0" equalAverage="0" bottom="0" percent="0" rank="0" text="" dxfId="7">
      <formula>"完成"</formula>
    </cfRule>
    <cfRule type="cellIs" priority="9" operator="equal" aboveAverage="0" equalAverage="0" bottom="0" percent="0" rank="0" text="" dxfId="8">
      <formula>"进行中"</formula>
    </cfRule>
    <cfRule type="cellIs" priority="10" operator="equal" aboveAverage="0" equalAverage="0" bottom="0" percent="0" rank="0" text="" dxfId="9">
      <formula>"未开始"</formula>
    </cfRule>
  </conditionalFormatting>
  <conditionalFormatting sqref="I7:I14">
    <cfRule type="cellIs" priority="11" operator="equal" aboveAverage="0" equalAverage="0" bottom="0" percent="0" rank="0" text="" dxfId="10">
      <formula>"不需要"</formula>
    </cfRule>
    <cfRule type="cellIs" priority="12" operator="equal" aboveAverage="0" equalAverage="0" bottom="0" percent="0" rank="0" text="" dxfId="11">
      <formula>"完成"</formula>
    </cfRule>
    <cfRule type="cellIs" priority="13" operator="equal" aboveAverage="0" equalAverage="0" bottom="0" percent="0" rank="0" text="" dxfId="12">
      <formula>"进行中"</formula>
    </cfRule>
    <cfRule type="cellIs" priority="14" operator="equal" aboveAverage="0" equalAverage="0" bottom="0" percent="0" rank="0" text="" dxfId="13">
      <formula>"未开始"</formula>
    </cfRule>
  </conditionalFormatting>
  <conditionalFormatting sqref="G7:G15">
    <cfRule type="cellIs" priority="15" operator="equal" aboveAverage="0" equalAverage="0" bottom="0" percent="0" rank="0" text="" dxfId="14">
      <formula>"不需要"</formula>
    </cfRule>
    <cfRule type="cellIs" priority="16" operator="equal" aboveAverage="0" equalAverage="0" bottom="0" percent="0" rank="0" text="" dxfId="15">
      <formula>"完成"</formula>
    </cfRule>
    <cfRule type="cellIs" priority="17" operator="equal" aboveAverage="0" equalAverage="0" bottom="0" percent="0" rank="0" text="" dxfId="16">
      <formula>"进行中"</formula>
    </cfRule>
    <cfRule type="cellIs" priority="18" operator="equal" aboveAverage="0" equalAverage="0" bottom="0" percent="0" rank="0" text="" dxfId="17">
      <formula>"未开始"</formula>
    </cfRule>
  </conditionalFormatting>
  <conditionalFormatting sqref="M10">
    <cfRule type="cellIs" priority="19" operator="equal" aboveAverage="0" equalAverage="0" bottom="0" percent="0" rank="0" text="" dxfId="18">
      <formula>"不需要"</formula>
    </cfRule>
    <cfRule type="cellIs" priority="20" operator="equal" aboveAverage="0" equalAverage="0" bottom="0" percent="0" rank="0" text="" dxfId="19">
      <formula>"完成"</formula>
    </cfRule>
    <cfRule type="cellIs" priority="21" operator="equal" aboveAverage="0" equalAverage="0" bottom="0" percent="0" rank="0" text="" dxfId="20">
      <formula>"进行中"</formula>
    </cfRule>
    <cfRule type="cellIs" priority="22" operator="equal" aboveAverage="0" equalAverage="0" bottom="0" percent="0" rank="0" text="" dxfId="21">
      <formula>"未开始"</formula>
    </cfRule>
  </conditionalFormatting>
  <conditionalFormatting sqref="K17">
    <cfRule type="cellIs" priority="23" operator="equal" aboveAverage="0" equalAverage="0" bottom="0" percent="0" rank="0" text="" dxfId="22">
      <formula>"不需要"</formula>
    </cfRule>
    <cfRule type="cellIs" priority="24" operator="equal" aboveAverage="0" equalAverage="0" bottom="0" percent="0" rank="0" text="" dxfId="23">
      <formula>"完成"</formula>
    </cfRule>
    <cfRule type="cellIs" priority="25" operator="equal" aboveAverage="0" equalAverage="0" bottom="0" percent="0" rank="0" text="" dxfId="24">
      <formula>"进行中"</formula>
    </cfRule>
    <cfRule type="cellIs" priority="26" operator="equal" aboveAverage="0" equalAverage="0" bottom="0" percent="0" rank="0" text="" dxfId="25">
      <formula>"未开始"</formula>
    </cfRule>
  </conditionalFormatting>
  <conditionalFormatting sqref="K12">
    <cfRule type="cellIs" priority="27" operator="equal" aboveAverage="0" equalAverage="0" bottom="0" percent="0" rank="0" text="" dxfId="26">
      <formula>"不需要"</formula>
    </cfRule>
    <cfRule type="cellIs" priority="28" operator="equal" aboveAverage="0" equalAverage="0" bottom="0" percent="0" rank="0" text="" dxfId="27">
      <formula>"完成"</formula>
    </cfRule>
    <cfRule type="cellIs" priority="29" operator="equal" aboveAverage="0" equalAverage="0" bottom="0" percent="0" rank="0" text="" dxfId="28">
      <formula>"进行中"</formula>
    </cfRule>
    <cfRule type="cellIs" priority="30" operator="equal" aboveAverage="0" equalAverage="0" bottom="0" percent="0" rank="0" text="" dxfId="29">
      <formula>"未开始"</formula>
    </cfRule>
  </conditionalFormatting>
  <conditionalFormatting sqref="I17">
    <cfRule type="cellIs" priority="31" operator="equal" aboveAverage="0" equalAverage="0" bottom="0" percent="0" rank="0" text="" dxfId="30">
      <formula>"不需要"</formula>
    </cfRule>
    <cfRule type="cellIs" priority="32" operator="equal" aboveAverage="0" equalAverage="0" bottom="0" percent="0" rank="0" text="" dxfId="31">
      <formula>"完成"</formula>
    </cfRule>
    <cfRule type="cellIs" priority="33" operator="equal" aboveAverage="0" equalAverage="0" bottom="0" percent="0" rank="0" text="" dxfId="32">
      <formula>"进行中"</formula>
    </cfRule>
    <cfRule type="cellIs" priority="34" operator="equal" aboveAverage="0" equalAverage="0" bottom="0" percent="0" rank="0" text="" dxfId="33">
      <formula>"未开始"</formula>
    </cfRule>
  </conditionalFormatting>
  <conditionalFormatting sqref="G17">
    <cfRule type="cellIs" priority="35" operator="equal" aboveAverage="0" equalAverage="0" bottom="0" percent="0" rank="0" text="" dxfId="34">
      <formula>"不需要"</formula>
    </cfRule>
    <cfRule type="cellIs" priority="36" operator="equal" aboveAverage="0" equalAverage="0" bottom="0" percent="0" rank="0" text="" dxfId="35">
      <formula>"完成"</formula>
    </cfRule>
    <cfRule type="cellIs" priority="37" operator="equal" aboveAverage="0" equalAverage="0" bottom="0" percent="0" rank="0" text="" dxfId="36">
      <formula>"进行中"</formula>
    </cfRule>
    <cfRule type="cellIs" priority="38" operator="equal" aboveAverage="0" equalAverage="0" bottom="0" percent="0" rank="0" text="" dxfId="37">
      <formula>"未开始"</formula>
    </cfRule>
  </conditionalFormatting>
  <conditionalFormatting sqref="E6:E17">
    <cfRule type="cellIs" priority="39" operator="equal" aboveAverage="0" equalAverage="0" bottom="0" percent="0" rank="0" text="" dxfId="38">
      <formula>"不需要"</formula>
    </cfRule>
    <cfRule type="cellIs" priority="40" operator="equal" aboveAverage="0" equalAverage="0" bottom="0" percent="0" rank="0" text="" dxfId="39">
      <formula>"完成"</formula>
    </cfRule>
    <cfRule type="cellIs" priority="41" operator="equal" aboveAverage="0" equalAverage="0" bottom="0" percent="0" rank="0" text="" dxfId="40">
      <formula>"进行中"</formula>
    </cfRule>
    <cfRule type="cellIs" priority="42" operator="equal" aboveAverage="0" equalAverage="0" bottom="0" percent="0" rank="0" text="" dxfId="41">
      <formula>"未开始"</formula>
    </cfRule>
  </conditionalFormatting>
  <conditionalFormatting sqref="H14">
    <cfRule type="cellIs" priority="43" operator="equal" aboveAverage="0" equalAverage="0" bottom="0" percent="0" rank="0" text="" dxfId="42">
      <formula>"完成"</formula>
    </cfRule>
    <cfRule type="cellIs" priority="44" operator="equal" aboveAverage="0" equalAverage="0" bottom="0" percent="0" rank="0" text="" dxfId="43">
      <formula>"进行中"</formula>
    </cfRule>
    <cfRule type="cellIs" priority="45" operator="equal" aboveAverage="0" equalAverage="0" bottom="0" percent="0" rank="0" text="" dxfId="44">
      <formula>"未开始"</formula>
    </cfRule>
  </conditionalFormatting>
  <conditionalFormatting sqref="H15:I15">
    <cfRule type="cellIs" priority="46" operator="equal" aboveAverage="0" equalAverage="0" bottom="0" percent="0" rank="0" text="" dxfId="45">
      <formula>"完成"</formula>
    </cfRule>
    <cfRule type="cellIs" priority="47" operator="equal" aboveAverage="0" equalAverage="0" bottom="0" percent="0" rank="0" text="" dxfId="46">
      <formula>"进行中"</formula>
    </cfRule>
    <cfRule type="cellIs" priority="48" operator="equal" aboveAverage="0" equalAverage="0" bottom="0" percent="0" rank="0" text="" dxfId="47">
      <formula>"未开始"</formula>
    </cfRule>
  </conditionalFormatting>
  <conditionalFormatting sqref="F12:F13 F8:F9">
    <cfRule type="cellIs" priority="49" operator="equal" aboveAverage="0" equalAverage="0" bottom="0" percent="0" rank="0" text="" dxfId="48">
      <formula>"完成"</formula>
    </cfRule>
    <cfRule type="cellIs" priority="50" operator="equal" aboveAverage="0" equalAverage="0" bottom="0" percent="0" rank="0" text="" dxfId="49">
      <formula>"进行中"</formula>
    </cfRule>
    <cfRule type="cellIs" priority="51" operator="equal" aboveAverage="0" equalAverage="0" bottom="0" percent="0" rank="0" text="" dxfId="50">
      <formula>"未开始"</formula>
    </cfRule>
  </conditionalFormatting>
  <conditionalFormatting sqref="C20">
    <cfRule type="cellIs" priority="52" operator="equal" aboveAverage="0" equalAverage="0" bottom="0" percent="0" rank="0" text="" dxfId="51">
      <formula>"不需要"</formula>
    </cfRule>
    <cfRule type="cellIs" priority="53" operator="equal" aboveAverage="0" equalAverage="0" bottom="0" percent="0" rank="0" text="" dxfId="52">
      <formula>"完成"</formula>
    </cfRule>
    <cfRule type="cellIs" priority="54" operator="equal" aboveAverage="0" equalAverage="0" bottom="0" percent="0" rank="0" text="" dxfId="53">
      <formula>"进行中"</formula>
    </cfRule>
    <cfRule type="cellIs" priority="55" operator="equal" aboveAverage="0" equalAverage="0" bottom="0" percent="0" rank="0" text="" dxfId="54">
      <formula>"未开始"</formula>
    </cfRule>
  </conditionalFormatting>
  <conditionalFormatting sqref="K10 K8 C4:C19">
    <cfRule type="cellIs" priority="56" operator="equal" aboveAverage="0" equalAverage="0" bottom="0" percent="0" rank="0" text="" dxfId="55">
      <formula>"不需要"</formula>
    </cfRule>
    <cfRule type="cellIs" priority="57" operator="equal" aboveAverage="0" equalAverage="0" bottom="0" percent="0" rank="0" text="" dxfId="56">
      <formula>"完成"</formula>
    </cfRule>
    <cfRule type="cellIs" priority="58" operator="equal" aboveAverage="0" equalAverage="0" bottom="0" percent="0" rank="0" text="" dxfId="57">
      <formula>"进行中"</formula>
    </cfRule>
    <cfRule type="cellIs" priority="59" operator="equal" aboveAverage="0" equalAverage="0" bottom="0" percent="0" rank="0" text="" dxfId="58">
      <formula>"未开始"</formula>
    </cfRule>
  </conditionalFormatting>
  <dataValidations count="1">
    <dataValidation allowBlank="true" errorStyle="stop" operator="between" showDropDown="false" showErrorMessage="true" showInputMessage="true" sqref="C4:C18 E6:E17 G7:G15 I7:I14 K8 K10 M10 K12 G17 I17 K17 C19:C20" type="list">
      <formula1>"完成,进行中,未开始,不需要"</formula1>
      <formula2>0</formula2>
    </dataValidation>
  </dataValidations>
  <hyperlinks>
    <hyperlink ref="A2" location="表头!A1" display="表头"/>
    <hyperlink ref="B2" location="项目信息!A1" display="项目信息"/>
    <hyperlink ref="C2" location="输入!A1" display="输入"/>
    <hyperlink ref="B4" location="输入!A1" display="整理基础设计资料"/>
    <hyperlink ref="B5" r:id="rId2" display="PFD图"/>
    <hyperlink ref="B6" r:id="rId3" display="流程模拟"/>
    <hyperlink ref="D6" r:id="rId4" display="下游装置物料条件发下游装置工艺专业"/>
    <hyperlink ref="B7" r:id="rId5" display="换热网络设计"/>
    <hyperlink ref="D7" r:id="rId6" display="燃料消耗、化学药剂消耗发项目工程师、安全环保专业"/>
    <hyperlink ref="F7" r:id="rId7" display="加热炉条件发工业炉专业"/>
    <hyperlink ref="H7" r:id="rId8" display="分析化验项目条件发项目工程师、管道专业"/>
    <hyperlink ref="B8" location="反应器选型!A1" display="反应器计算"/>
    <hyperlink ref="D8" r:id="rId9" display="反应器数据表共享给设备、自控、管道专业编辑"/>
    <hyperlink ref="F8" r:id="rId10" display="反应器汇总表共享给设备专业编辑"/>
    <hyperlink ref="H8" r:id="rId11" display="反应器数据表订货资料发项目工程师"/>
    <hyperlink ref="J8" r:id="rId12" display="污染物的排放（处理）资料提项目工程师"/>
    <hyperlink ref="B9" location="'TraySizingT-101'!A1" display="塔径计算"/>
    <hyperlink ref="D9" r:id="rId13" display="塔数据表共享给设备、自控、管道专业编辑"/>
    <hyperlink ref="F9" r:id="rId14" display="塔汇总表共享给设备专业编辑"/>
    <hyperlink ref="H9" r:id="rId15" display="塔数据表订货资料发项目工程师"/>
    <hyperlink ref="B10" r:id="rId16" display="换热器计算"/>
    <hyperlink ref="D10" r:id="rId17" display="换热器数据表共享给设备、管道专业编辑"/>
    <hyperlink ref="F10" r:id="rId18" display="换热器汇总表共享给设备专业编辑"/>
    <hyperlink ref="H10" r:id="rId19" display="换热器数据表订货资料发项目工程师"/>
    <hyperlink ref="J10" r:id="rId20" display="给排水设计条件发给排水专业"/>
    <hyperlink ref="L10" r:id="rId21" display="公用工程（含氢气、氮气）消耗给项目工程师"/>
    <hyperlink ref="B11" location="空冷器数据!A1" display="空冷计算"/>
    <hyperlink ref="D11" r:id="rId22" display="空冷器数据表共享给设备、管道、电气专业编辑"/>
    <hyperlink ref="F11" r:id="rId23" display="空冷器汇总表共享给设备、电气专业编辑"/>
    <hyperlink ref="H11" r:id="rId24" display="空冷器数据表订货资料发项目工程师"/>
    <hyperlink ref="B12" location="卧式回流罐核算!A1" display="容器选型"/>
    <hyperlink ref="D12" r:id="rId25" display="容器数据表共享给设备、自控、管道专业编辑"/>
    <hyperlink ref="F12" r:id="rId26" display="容器汇总表共享给设备、管道专业编辑"/>
    <hyperlink ref="H12" r:id="rId27" display="容器数据表订货资料发项目工程师"/>
    <hyperlink ref="J12" r:id="rId28" display="设备基础条件发管道"/>
    <hyperlink ref="B13" location="安全阀选型!A1" display="安全阀选型"/>
    <hyperlink ref="D13" r:id="rId29" display="安全阀数据表共享给管道专业编辑"/>
    <hyperlink ref="F13" r:id="rId30" display="安全阀汇总表共享给管道专业编辑"/>
    <hyperlink ref="H13" r:id="rId31" display="安全阀数据表订货资料发项目工程师"/>
    <hyperlink ref="B14" location="单相流管径核算!A1" display="管径核算"/>
    <hyperlink ref="D14" r:id="rId32" display="管道表共享给管道专业编辑"/>
    <hyperlink ref="F14" r:id="rId33" display="界区条件表共享给管道专业编辑"/>
    <hyperlink ref="H14" r:id="rId34" display="界区条件表发项目工程师"/>
    <hyperlink ref="B15" location="机泵选型!A1" display="机泵、压缩机选型"/>
    <hyperlink ref="D15" r:id="rId35" display="泵、压缩机数据表共享给电气、管道、机械专业编辑"/>
    <hyperlink ref="F15" r:id="rId36" display="电专业条件发电气专业"/>
    <hyperlink ref="B16" location="其他设备选型!A1" display="过滤器、喷射器选型"/>
    <hyperlink ref="D16" r:id="rId37" display="过滤器、喷射器数据表共享给管道、自控专业编辑"/>
    <hyperlink ref="B17" r:id="rId38" display="P&amp;ID图"/>
    <hyperlink ref="D17" r:id="rId39" display="P&amp;ID图共享给管道、自控专业编辑"/>
    <hyperlink ref="F17" r:id="rId40" display="“图例符号说明”共享给自控签字"/>
    <hyperlink ref="H17" r:id="rId41" display="自控专业条件发自控专业"/>
    <hyperlink ref="B18" r:id="rId42" display="说明书"/>
    <hyperlink ref="B19" r:id="rId43" display="目录"/>
    <hyperlink ref="B20" r:id="rId44" display="签字检查"/>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4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19" activeCellId="0" sqref="1:1048576"/>
    </sheetView>
  </sheetViews>
  <sheetFormatPr defaultColWidth="9.00390625" defaultRowHeight="14.25" zeroHeight="false" outlineLevelRow="0" outlineLevelCol="0"/>
  <cols>
    <col collapsed="false" customWidth="true" hidden="false" outlineLevel="0" max="1" min="1" style="28" width="25.75"/>
    <col collapsed="false" customWidth="true" hidden="false" outlineLevel="0" max="2" min="2" style="29" width="13.63"/>
    <col collapsed="false" customWidth="true" hidden="false" outlineLevel="0" max="3" min="3" style="28" width="14.63"/>
    <col collapsed="false" customWidth="false" hidden="false" outlineLevel="0" max="16384" min="4" style="28" width="9"/>
  </cols>
  <sheetData>
    <row r="1" customFormat="false" ht="14.25" hidden="false" customHeight="false" outlineLevel="0" collapsed="false">
      <c r="A1" s="30" t="s">
        <v>87</v>
      </c>
      <c r="B1" s="31" t="n">
        <v>260</v>
      </c>
    </row>
    <row r="2" customFormat="false" ht="14.25" hidden="false" customHeight="false" outlineLevel="0" collapsed="false">
      <c r="A2" s="30" t="s">
        <v>88</v>
      </c>
      <c r="B2" s="31" t="str">
        <f aca="false">输入!D3</f>
        <v>60~110</v>
      </c>
    </row>
    <row r="3" customFormat="false" ht="14.25" hidden="false" customHeight="false" outlineLevel="0" collapsed="false">
      <c r="A3" s="30" t="s">
        <v>89</v>
      </c>
      <c r="B3" s="31" t="n">
        <v>8400</v>
      </c>
    </row>
    <row r="5" customFormat="false" ht="14.25" hidden="false" customHeight="false" outlineLevel="0" collapsed="false">
      <c r="A5" s="32" t="s">
        <v>90</v>
      </c>
      <c r="B5" s="29" t="n">
        <v>714</v>
      </c>
      <c r="C5" s="33" t="s">
        <v>91</v>
      </c>
    </row>
    <row r="6" customFormat="false" ht="14.25" hidden="false" customHeight="false" outlineLevel="0" collapsed="false">
      <c r="A6" s="34" t="s">
        <v>92</v>
      </c>
      <c r="B6" s="35" t="s">
        <v>93</v>
      </c>
      <c r="C6" s="35" t="n">
        <v>7</v>
      </c>
    </row>
    <row r="7" customFormat="false" ht="13.25" hidden="false" customHeight="false" outlineLevel="0" collapsed="false">
      <c r="A7" s="32" t="s">
        <v>94</v>
      </c>
      <c r="B7" s="36" t="s">
        <v>95</v>
      </c>
      <c r="C7" s="37" t="s">
        <v>96</v>
      </c>
    </row>
    <row r="8" customFormat="false" ht="14.25" hidden="false" customHeight="false" outlineLevel="0" collapsed="false">
      <c r="A8" s="38" t="s">
        <v>97</v>
      </c>
      <c r="B8" s="39" t="s">
        <v>98</v>
      </c>
      <c r="C8" s="40"/>
    </row>
    <row r="9" customFormat="false" ht="14.25" hidden="false" customHeight="false" outlineLevel="0" collapsed="false">
      <c r="A9" s="38" t="s">
        <v>99</v>
      </c>
      <c r="B9" s="41" t="s">
        <v>100</v>
      </c>
      <c r="C9" s="40"/>
    </row>
    <row r="10" customFormat="false" ht="14.25" hidden="false" customHeight="false" outlineLevel="0" collapsed="false">
      <c r="A10" s="34" t="s">
        <v>101</v>
      </c>
      <c r="B10" s="35" t="s">
        <v>102</v>
      </c>
      <c r="C10" s="40"/>
    </row>
    <row r="11" customFormat="false" ht="14.25" hidden="false" customHeight="false" outlineLevel="0" collapsed="false">
      <c r="A11" s="32" t="s">
        <v>103</v>
      </c>
      <c r="B11" s="29" t="n">
        <v>38.9</v>
      </c>
    </row>
    <row r="12" customFormat="false" ht="14.25" hidden="false" customHeight="false" outlineLevel="0" collapsed="false">
      <c r="A12" s="34" t="s">
        <v>104</v>
      </c>
      <c r="B12" s="35" t="n">
        <v>0.5</v>
      </c>
    </row>
    <row r="13" customFormat="false" ht="14.25" hidden="false" customHeight="false" outlineLevel="0" collapsed="false">
      <c r="A13" s="28" t="s">
        <v>105</v>
      </c>
      <c r="B13" s="42" t="n">
        <v>101.07</v>
      </c>
    </row>
    <row r="14" customFormat="false" ht="14.25" hidden="false" customHeight="false" outlineLevel="0" collapsed="false">
      <c r="A14" s="28" t="s">
        <v>106</v>
      </c>
      <c r="B14" s="43" t="n">
        <v>350</v>
      </c>
    </row>
    <row r="15" customFormat="false" ht="14.25" hidden="false" customHeight="false" outlineLevel="0" collapsed="false">
      <c r="A15" s="44" t="s">
        <v>107</v>
      </c>
      <c r="B15" s="35" t="n">
        <v>0.5</v>
      </c>
    </row>
    <row r="16" customFormat="false" ht="14.25" hidden="false" customHeight="false" outlineLevel="0" collapsed="false">
      <c r="A16" s="44" t="s">
        <v>108</v>
      </c>
      <c r="B16" s="29" t="s">
        <v>109</v>
      </c>
    </row>
    <row r="17" customFormat="false" ht="14.25" hidden="false" customHeight="false" outlineLevel="0" collapsed="false">
      <c r="A17" s="28" t="s">
        <v>110</v>
      </c>
      <c r="B17" s="29" t="n">
        <v>0.5</v>
      </c>
    </row>
    <row r="18" customFormat="false" ht="14.25" hidden="false" customHeight="false" outlineLevel="0" collapsed="false">
      <c r="A18" s="28" t="s">
        <v>111</v>
      </c>
      <c r="B18" s="29" t="s">
        <v>109</v>
      </c>
    </row>
    <row r="19" customFormat="false" ht="14.25" hidden="false" customHeight="false" outlineLevel="0" collapsed="false">
      <c r="A19" s="44" t="s">
        <v>112</v>
      </c>
      <c r="B19" s="35" t="n">
        <v>0.6</v>
      </c>
    </row>
    <row r="20" customFormat="false" ht="14.25" hidden="false" customHeight="false" outlineLevel="0" collapsed="false">
      <c r="A20" s="44" t="s">
        <v>113</v>
      </c>
      <c r="B20" s="35" t="n">
        <v>40</v>
      </c>
    </row>
    <row r="21" customFormat="false" ht="14.25" hidden="false" customHeight="false" outlineLevel="0" collapsed="false">
      <c r="A21" s="28" t="s">
        <v>114</v>
      </c>
      <c r="B21" s="29" t="n">
        <v>0.35</v>
      </c>
    </row>
    <row r="22" customFormat="false" ht="14.25" hidden="false" customHeight="false" outlineLevel="0" collapsed="false">
      <c r="A22" s="28" t="s">
        <v>115</v>
      </c>
      <c r="B22" s="29" t="s">
        <v>109</v>
      </c>
    </row>
    <row r="23" customFormat="false" ht="14.25" hidden="false" customHeight="false" outlineLevel="0" collapsed="false">
      <c r="A23" s="44" t="s">
        <v>116</v>
      </c>
      <c r="B23" s="35" t="n">
        <v>0.4</v>
      </c>
    </row>
    <row r="24" customFormat="false" ht="14.25" hidden="false" customHeight="false" outlineLevel="0" collapsed="false">
      <c r="A24" s="44" t="s">
        <v>117</v>
      </c>
      <c r="B24" s="35" t="n">
        <v>33</v>
      </c>
    </row>
    <row r="25" customFormat="false" ht="14.25" hidden="false" customHeight="false" outlineLevel="0" collapsed="false">
      <c r="A25" s="44" t="s">
        <v>118</v>
      </c>
      <c r="B25" s="35" t="n">
        <v>0.2</v>
      </c>
    </row>
    <row r="26" customFormat="false" ht="14.25" hidden="false" customHeight="false" outlineLevel="0" collapsed="false">
      <c r="A26" s="44" t="s">
        <v>119</v>
      </c>
      <c r="B26" s="35" t="n">
        <v>43</v>
      </c>
    </row>
    <row r="27" customFormat="false" ht="14.25" hidden="false" customHeight="false" outlineLevel="0" collapsed="false">
      <c r="A27" s="28" t="s">
        <v>120</v>
      </c>
      <c r="B27" s="29" t="n">
        <v>0.8</v>
      </c>
    </row>
    <row r="28" customFormat="false" ht="14.25" hidden="false" customHeight="false" outlineLevel="0" collapsed="false">
      <c r="A28" s="28" t="s">
        <v>121</v>
      </c>
      <c r="B28" s="29" t="n">
        <v>105</v>
      </c>
    </row>
    <row r="29" customFormat="false" ht="14.25" hidden="false" customHeight="false" outlineLevel="0" collapsed="false">
      <c r="A29" s="28" t="s">
        <v>122</v>
      </c>
      <c r="B29" s="29" t="n">
        <v>0.5</v>
      </c>
    </row>
    <row r="30" customFormat="false" ht="14.25" hidden="false" customHeight="false" outlineLevel="0" collapsed="false">
      <c r="A30" s="28" t="s">
        <v>123</v>
      </c>
      <c r="B30" s="29" t="n">
        <v>65</v>
      </c>
    </row>
    <row r="31" customFormat="false" ht="14.25" hidden="false" customHeight="false" outlineLevel="0" collapsed="false">
      <c r="A31" s="44" t="s">
        <v>124</v>
      </c>
      <c r="B31" s="35" t="n">
        <v>0.8</v>
      </c>
    </row>
    <row r="32" customFormat="false" ht="14.25" hidden="false" customHeight="false" outlineLevel="0" collapsed="false">
      <c r="A32" s="44" t="s">
        <v>125</v>
      </c>
      <c r="B32" s="45" t="n">
        <v>175</v>
      </c>
    </row>
    <row r="33" s="46" customFormat="true" ht="14.25" hidden="false" customHeight="false" outlineLevel="0" collapsed="false">
      <c r="A33" s="28" t="s">
        <v>126</v>
      </c>
      <c r="B33" s="42" t="n">
        <v>3.5</v>
      </c>
    </row>
    <row r="34" s="46" customFormat="true" ht="14.25" hidden="false" customHeight="false" outlineLevel="0" collapsed="false">
      <c r="A34" s="28" t="s">
        <v>127</v>
      </c>
      <c r="B34" s="42" t="n">
        <v>440</v>
      </c>
    </row>
    <row r="35" s="46" customFormat="true" ht="14.25" hidden="false" customHeight="false" outlineLevel="0" collapsed="false">
      <c r="A35" s="28" t="s">
        <v>128</v>
      </c>
      <c r="B35" s="42" t="n">
        <v>1</v>
      </c>
    </row>
    <row r="36" s="46" customFormat="true" ht="14.25" hidden="false" customHeight="false" outlineLevel="0" collapsed="false">
      <c r="A36" s="28" t="s">
        <v>129</v>
      </c>
      <c r="B36" s="43" t="n">
        <v>250</v>
      </c>
    </row>
    <row r="37" s="46" customFormat="true" ht="14.25" hidden="false" customHeight="false" outlineLevel="0" collapsed="false">
      <c r="A37" s="44" t="s">
        <v>130</v>
      </c>
      <c r="B37" s="35" t="n">
        <v>110000</v>
      </c>
    </row>
    <row r="38" s="46" customFormat="true" ht="14.25" hidden="false" customHeight="false" outlineLevel="0" collapsed="false">
      <c r="A38" s="44" t="s">
        <v>131</v>
      </c>
      <c r="B38" s="35" t="n">
        <v>10000</v>
      </c>
    </row>
    <row r="39" s="46" customFormat="true" ht="14.25" hidden="false" customHeight="false" outlineLevel="0" collapsed="false">
      <c r="A39" s="44" t="s">
        <v>132</v>
      </c>
      <c r="B39" s="35" t="n">
        <v>380</v>
      </c>
      <c r="C39" s="35" t="n">
        <v>220</v>
      </c>
    </row>
    <row r="40" s="46" customFormat="true" ht="14.25" hidden="false" customHeight="false" outlineLevel="0" collapsed="false">
      <c r="A40" s="44" t="s">
        <v>133</v>
      </c>
      <c r="B40" s="35" t="s">
        <v>134</v>
      </c>
    </row>
    <row r="41" customFormat="false" ht="14.25" hidden="false" customHeight="false" outlineLevel="0" collapsed="false">
      <c r="A41" s="28" t="s">
        <v>135</v>
      </c>
      <c r="B41" s="47" t="n">
        <v>71</v>
      </c>
    </row>
    <row r="42" customFormat="false" ht="14.25" hidden="false" customHeight="false" outlineLevel="0" collapsed="false">
      <c r="A42" s="28" t="s">
        <v>136</v>
      </c>
      <c r="B42" s="47" t="n">
        <v>45</v>
      </c>
    </row>
    <row r="43" customFormat="false" ht="14.25" hidden="false" customHeight="false" outlineLevel="0" collapsed="false">
      <c r="A43" s="28" t="s">
        <v>137</v>
      </c>
      <c r="B43" s="47" t="n">
        <v>53</v>
      </c>
    </row>
    <row r="44" customFormat="false" ht="14.25" hidden="false" customHeight="false" outlineLevel="0" collapsed="false">
      <c r="A44" s="44" t="s">
        <v>138</v>
      </c>
      <c r="B44" s="35" t="n">
        <v>1729</v>
      </c>
    </row>
    <row r="45" customFormat="false" ht="14.25" hidden="false" customHeight="false" outlineLevel="0" collapsed="false">
      <c r="A45" s="28" t="s">
        <v>139</v>
      </c>
      <c r="B45" s="29" t="n">
        <v>900</v>
      </c>
    </row>
    <row r="46" customFormat="false" ht="14.25" hidden="false" customHeight="false" outlineLevel="0" collapsed="false">
      <c r="A46" s="28" t="s">
        <v>140</v>
      </c>
      <c r="B46" s="29" t="n">
        <v>1.7</v>
      </c>
    </row>
    <row r="47" customFormat="false" ht="14.25" hidden="false" customHeight="false" outlineLevel="0" collapsed="false">
      <c r="A47" s="28" t="s">
        <v>141</v>
      </c>
      <c r="B47" s="29" t="n">
        <v>2.6</v>
      </c>
    </row>
    <row r="48" customFormat="false" ht="14.25" hidden="false" customHeight="false" outlineLevel="0" collapsed="false">
      <c r="A48" s="44" t="s">
        <v>142</v>
      </c>
      <c r="B48" s="35" t="n">
        <v>0.4</v>
      </c>
    </row>
    <row r="49" customFormat="false" ht="14.25" hidden="false" customHeight="false" outlineLevel="0" collapsed="false">
      <c r="A49" s="44" t="s">
        <v>143</v>
      </c>
      <c r="B49" s="48" t="s">
        <v>109</v>
      </c>
    </row>
    <row r="50" customFormat="false" ht="14.25" hidden="false" customHeight="false" outlineLevel="0" collapsed="false">
      <c r="A50" s="28" t="s">
        <v>144</v>
      </c>
      <c r="B50" s="29" t="n">
        <v>1.6</v>
      </c>
    </row>
    <row r="51" customFormat="false" ht="14.25" hidden="false" customHeight="false" outlineLevel="0" collapsed="false">
      <c r="A51" s="28" t="s">
        <v>145</v>
      </c>
      <c r="B51" s="29" t="n">
        <v>104</v>
      </c>
    </row>
    <row r="52" customFormat="false" ht="14.25" hidden="false" customHeight="false" outlineLevel="0" collapsed="false">
      <c r="A52" s="28" t="s">
        <v>146</v>
      </c>
      <c r="B52" s="29" t="n">
        <v>0.6</v>
      </c>
    </row>
    <row r="53" customFormat="false" ht="14.25" hidden="false" customHeight="false" outlineLevel="0" collapsed="false">
      <c r="A53" s="28" t="s">
        <v>147</v>
      </c>
      <c r="B53" s="29" t="n">
        <v>40</v>
      </c>
    </row>
    <row r="54" customFormat="false" ht="14.25" hidden="false" customHeight="false" outlineLevel="0" collapsed="false">
      <c r="A54" s="28" t="s">
        <v>148</v>
      </c>
      <c r="B54" s="29" t="n">
        <v>0.5</v>
      </c>
    </row>
    <row r="55" customFormat="false" ht="14.25" hidden="false" customHeight="false" outlineLevel="0" collapsed="false">
      <c r="A55" s="28" t="s">
        <v>149</v>
      </c>
      <c r="B55" s="48" t="s">
        <v>109</v>
      </c>
    </row>
  </sheetData>
  <dataValidations count="6">
    <dataValidation allowBlank="true" errorStyle="stop" operator="between" showDropDown="false" showErrorMessage="true" showInputMessage="true" sqref="B10" type="list">
      <formula1>"0.05g,0.10g,0.15g,0.2g,0.3g,0.4g"</formula1>
      <formula2>0</formula2>
    </dataValidation>
    <dataValidation allowBlank="true" errorStyle="stop" operator="between" showDropDown="false" showErrorMessage="true" showInputMessage="true" sqref="C6" type="list">
      <formula1>"6,7,8"</formula1>
      <formula2>0</formula2>
    </dataValidation>
    <dataValidation allowBlank="true" errorStyle="stop" operator="between" showDropDown="false" showErrorMessage="true" showInputMessage="true" sqref="B6" type="list">
      <formula1>"6  度Grade,7  度Grade,8  度Grade"</formula1>
      <formula2>0</formula2>
    </dataValidation>
    <dataValidation allowBlank="true" errorStyle="stop" operator="between" showDropDown="false" showErrorMessage="true" showInputMessage="true" sqref="B9" type="list">
      <formula1>"第一组 Number 1 ,第二组 Number 2,第三组 Number 3"</formula1>
      <formula2>0</formula2>
    </dataValidation>
    <dataValidation allowBlank="true" errorStyle="stop" operator="between" showDropDown="false" showErrorMessage="true" showInputMessage="true" sqref="B8" type="list">
      <formula1>"Ⅰ类 ClassⅠ,Ⅱ类 ClassⅡ,Ⅲ类 ClassⅢ,Ⅳ类 ClassⅣ"</formula1>
      <formula2>0</formula2>
    </dataValidation>
    <dataValidation allowBlank="true" errorStyle="stop" operator="between" showDropDown="false" showErrorMessage="true" showInputMessage="true" sqref="B7" type="list">
      <formula1>"A类 Category A,B类 CategoryB,C类 CategoryC"</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1001" r:id="rId3" name="Button 1">
              <controlPr defaultSize="0" print="false" autoFill="0" autoPict="0" macro="模块3.返回主页">
                <anchor moveWithCells="true" sizeWithCells="false">
                  <from>
                    <xdr:col>2</xdr:col>
                    <xdr:colOff>23040</xdr:colOff>
                    <xdr:row>0</xdr:row>
                    <xdr:rowOff>30600</xdr:rowOff>
                  </from>
                  <to>
                    <xdr:col>3</xdr:col>
                    <xdr:colOff>-535320</xdr:colOff>
                    <xdr:row>1</xdr:row>
                    <xdr:rowOff>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L13" activeCellId="0" sqref="1:1048576"/>
    </sheetView>
  </sheetViews>
  <sheetFormatPr defaultColWidth="9.00390625" defaultRowHeight="13.5" zeroHeight="false" outlineLevelRow="0" outlineLevelCol="0"/>
  <cols>
    <col collapsed="false" customWidth="false" hidden="false" outlineLevel="0" max="1" min="1" style="49" width="9"/>
    <col collapsed="false" customWidth="true" hidden="false" outlineLevel="0" max="2" min="2" style="49" width="24.5"/>
    <col collapsed="false" customWidth="true" hidden="false" outlineLevel="0" max="3" min="3" style="49" width="13"/>
    <col collapsed="false" customWidth="true" hidden="false" outlineLevel="0" max="4" min="4" style="49" width="15"/>
    <col collapsed="false" customWidth="true" hidden="false" outlineLevel="0" max="5" min="5" style="49" width="11.63"/>
    <col collapsed="false" customWidth="true" hidden="false" outlineLevel="0" max="6" min="6" style="49" width="10.5"/>
    <col collapsed="false" customWidth="true" hidden="false" outlineLevel="0" max="7" min="7" style="49" width="16.37"/>
    <col collapsed="false" customWidth="true" hidden="false" outlineLevel="0" max="8" min="8" style="49" width="8.5"/>
    <col collapsed="false" customWidth="true" hidden="false" outlineLevel="0" max="9" min="9" style="49" width="10.5"/>
    <col collapsed="false" customWidth="true" hidden="false" outlineLevel="0" max="10" min="10" style="49" width="8.5"/>
    <col collapsed="false" customWidth="true" hidden="false" outlineLevel="0" max="11" min="11" style="49" width="13.88"/>
    <col collapsed="false" customWidth="true" hidden="false" outlineLevel="0" max="12" min="12" style="49" width="9.12"/>
    <col collapsed="false" customWidth="false" hidden="false" outlineLevel="0" max="16384" min="13" style="49" width="9"/>
  </cols>
  <sheetData>
    <row r="1" customFormat="false" ht="13.8" hidden="false" customHeight="false" outlineLevel="0" collapsed="false">
      <c r="B1" s="49" t="s">
        <v>150</v>
      </c>
      <c r="D1" s="50"/>
    </row>
    <row r="2" customFormat="false" ht="13.8" hidden="false" customHeight="false" outlineLevel="0" collapsed="false">
      <c r="A2" s="49" t="n">
        <v>1</v>
      </c>
      <c r="B2" s="49" t="s">
        <v>151</v>
      </c>
      <c r="C2" s="49" t="s">
        <v>152</v>
      </c>
      <c r="D2" s="50" t="n">
        <v>340</v>
      </c>
    </row>
    <row r="3" customFormat="false" ht="13.8" hidden="false" customHeight="false" outlineLevel="0" collapsed="false">
      <c r="A3" s="49" t="n">
        <v>2</v>
      </c>
      <c r="B3" s="49" t="s">
        <v>88</v>
      </c>
      <c r="C3" s="49" t="s">
        <v>153</v>
      </c>
      <c r="D3" s="51" t="s">
        <v>154</v>
      </c>
    </row>
    <row r="4" customFormat="false" ht="13.8" hidden="false" customHeight="false" outlineLevel="0" collapsed="false">
      <c r="A4" s="49" t="n">
        <v>3</v>
      </c>
      <c r="B4" s="49" t="s">
        <v>155</v>
      </c>
      <c r="C4" s="49" t="s">
        <v>156</v>
      </c>
      <c r="D4" s="50" t="n">
        <v>8400</v>
      </c>
    </row>
    <row r="5" customFormat="false" ht="13.8" hidden="false" customHeight="false" outlineLevel="0" collapsed="false">
      <c r="A5" s="49" t="n">
        <v>4</v>
      </c>
      <c r="B5" s="49" t="s">
        <v>157</v>
      </c>
      <c r="C5" s="49" t="s">
        <v>158</v>
      </c>
      <c r="D5" s="49" t="s">
        <v>159</v>
      </c>
      <c r="E5" s="49" t="s">
        <v>160</v>
      </c>
      <c r="F5" s="49" t="s">
        <v>161</v>
      </c>
      <c r="G5" s="49" t="s">
        <v>162</v>
      </c>
    </row>
    <row r="6" customFormat="false" ht="13.8" hidden="false" customHeight="false" outlineLevel="0" collapsed="false">
      <c r="A6" s="49" t="n">
        <v>5</v>
      </c>
      <c r="B6" s="49" t="s">
        <v>163</v>
      </c>
      <c r="G6" s="52" t="s">
        <v>164</v>
      </c>
    </row>
    <row r="7" customFormat="false" ht="15" hidden="false" customHeight="false" outlineLevel="0" collapsed="false">
      <c r="B7" s="53"/>
      <c r="C7" s="54" t="s">
        <v>165</v>
      </c>
      <c r="D7" s="55" t="s">
        <v>166</v>
      </c>
      <c r="E7" s="55" t="s">
        <v>152</v>
      </c>
      <c r="G7" s="53"/>
      <c r="H7" s="54" t="s">
        <v>165</v>
      </c>
      <c r="I7" s="55" t="s">
        <v>166</v>
      </c>
      <c r="J7" s="55" t="s">
        <v>152</v>
      </c>
    </row>
    <row r="8" customFormat="false" ht="13.8" hidden="false" customHeight="false" outlineLevel="0" collapsed="false">
      <c r="B8" s="56" t="s">
        <v>167</v>
      </c>
      <c r="C8" s="55"/>
      <c r="D8" s="55"/>
      <c r="E8" s="55"/>
      <c r="G8" s="56" t="s">
        <v>167</v>
      </c>
      <c r="H8" s="55"/>
      <c r="I8" s="55"/>
      <c r="J8" s="55"/>
      <c r="L8" s="57"/>
      <c r="M8" s="57"/>
      <c r="N8" s="57"/>
    </row>
    <row r="9" customFormat="false" ht="13.8" hidden="false" customHeight="false" outlineLevel="0" collapsed="false">
      <c r="B9" s="56" t="s">
        <v>168</v>
      </c>
      <c r="C9" s="58" t="e">
        <f aca="false">#REF!</f>
        <v>#REF!</v>
      </c>
      <c r="D9" s="58" t="e">
        <f aca="false">#REF!</f>
        <v>#REF!</v>
      </c>
      <c r="E9" s="55" t="e">
        <f aca="false">D9*0.8/1000</f>
        <v>#REF!</v>
      </c>
      <c r="G9" s="56" t="s">
        <v>168</v>
      </c>
      <c r="H9" s="59" t="e">
        <f aca="false">#REF!</f>
        <v>#REF!</v>
      </c>
      <c r="I9" s="59" t="e">
        <f aca="false">#REF!</f>
        <v>#REF!</v>
      </c>
      <c r="J9" s="55" t="e">
        <f aca="false">I9*0.8/1000</f>
        <v>#REF!</v>
      </c>
    </row>
    <row r="10" customFormat="false" ht="13.8" hidden="false" customHeight="false" outlineLevel="0" collapsed="false">
      <c r="B10" s="56" t="s">
        <v>169</v>
      </c>
      <c r="C10" s="58" t="e">
        <f aca="false">#REF!</f>
        <v>#REF!</v>
      </c>
      <c r="D10" s="58" t="e">
        <f aca="false">#REF!</f>
        <v>#REF!</v>
      </c>
      <c r="E10" s="60" t="e">
        <f aca="false">D10*0.8/1000</f>
        <v>#REF!</v>
      </c>
      <c r="G10" s="56" t="s">
        <v>169</v>
      </c>
      <c r="H10" s="59" t="e">
        <f aca="false">#REF!</f>
        <v>#REF!</v>
      </c>
      <c r="I10" s="59" t="e">
        <f aca="false">#REF!</f>
        <v>#REF!</v>
      </c>
      <c r="J10" s="60" t="e">
        <f aca="false">I10*0.8/1000</f>
        <v>#REF!</v>
      </c>
      <c r="O10" s="61"/>
    </row>
    <row r="11" customFormat="false" ht="13.8" hidden="false" customHeight="false" outlineLevel="0" collapsed="false">
      <c r="B11" s="56" t="s">
        <v>170</v>
      </c>
      <c r="C11" s="58" t="e">
        <f aca="false">#REF!</f>
        <v>#REF!</v>
      </c>
      <c r="D11" s="58" t="e">
        <f aca="false">#REF!</f>
        <v>#REF!</v>
      </c>
      <c r="E11" s="60" t="e">
        <f aca="false">D11*0.8/1000</f>
        <v>#REF!</v>
      </c>
      <c r="G11" s="56" t="s">
        <v>170</v>
      </c>
      <c r="H11" s="59" t="e">
        <f aca="false">#REF!</f>
        <v>#REF!</v>
      </c>
      <c r="I11" s="59" t="e">
        <f aca="false">#REF!</f>
        <v>#REF!</v>
      </c>
      <c r="J11" s="60" t="e">
        <f aca="false">I11*0.8/1000</f>
        <v>#REF!</v>
      </c>
      <c r="L11" s="57"/>
      <c r="M11" s="57"/>
      <c r="N11" s="57"/>
    </row>
    <row r="12" customFormat="false" ht="13.8" hidden="false" customHeight="false" outlineLevel="0" collapsed="false">
      <c r="B12" s="62" t="s">
        <v>171</v>
      </c>
      <c r="C12" s="58" t="e">
        <f aca="false">#REF!</f>
        <v>#REF!</v>
      </c>
      <c r="D12" s="58" t="e">
        <f aca="false">#REF!</f>
        <v>#REF!</v>
      </c>
      <c r="E12" s="60" t="e">
        <f aca="false">D12*0.8/1000</f>
        <v>#REF!</v>
      </c>
      <c r="G12" s="62" t="s">
        <v>171</v>
      </c>
      <c r="H12" s="59" t="e">
        <f aca="false">#REF!</f>
        <v>#REF!</v>
      </c>
      <c r="I12" s="59" t="e">
        <f aca="false">#REF!</f>
        <v>#REF!</v>
      </c>
      <c r="J12" s="60" t="e">
        <f aca="false">I12*0.8/1000</f>
        <v>#REF!</v>
      </c>
    </row>
    <row r="13" customFormat="false" ht="13.8" hidden="false" customHeight="false" outlineLevel="0" collapsed="false">
      <c r="B13" s="56" t="s">
        <v>172</v>
      </c>
      <c r="C13" s="55"/>
      <c r="D13" s="55"/>
      <c r="E13" s="55"/>
      <c r="G13" s="56" t="s">
        <v>172</v>
      </c>
      <c r="H13" s="55"/>
      <c r="I13" s="55"/>
      <c r="J13" s="55"/>
    </row>
    <row r="14" customFormat="false" ht="13.8" hidden="false" customHeight="false" outlineLevel="0" collapsed="false">
      <c r="B14" s="63" t="s">
        <v>173</v>
      </c>
      <c r="C14" s="58" t="e">
        <f aca="false">D14/$D$22*100</f>
        <v>#REF!</v>
      </c>
      <c r="D14" s="58" t="e">
        <f aca="false">#REF!</f>
        <v>#REF!</v>
      </c>
      <c r="E14" s="60" t="e">
        <f aca="false">D14*0.8/1000</f>
        <v>#REF!</v>
      </c>
      <c r="G14" s="63" t="s">
        <v>173</v>
      </c>
      <c r="H14" s="60" t="e">
        <f aca="false">#REF!</f>
        <v>#REF!</v>
      </c>
      <c r="I14" s="58" t="e">
        <f aca="false">#REF!</f>
        <v>#REF!</v>
      </c>
      <c r="J14" s="60" t="e">
        <f aca="false">I14*0.8/1000</f>
        <v>#REF!</v>
      </c>
      <c r="L14" s="57"/>
      <c r="M14" s="57"/>
      <c r="N14" s="57"/>
    </row>
    <row r="15" customFormat="false" ht="13.8" hidden="false" customHeight="false" outlineLevel="0" collapsed="false">
      <c r="B15" s="63" t="s">
        <v>174</v>
      </c>
      <c r="C15" s="58" t="e">
        <f aca="false">D15/$D$22*100</f>
        <v>#REF!</v>
      </c>
      <c r="D15" s="58" t="e">
        <f aca="false">#REF!</f>
        <v>#REF!</v>
      </c>
      <c r="E15" s="60" t="e">
        <f aca="false">D15*0.8/1000</f>
        <v>#REF!</v>
      </c>
      <c r="G15" s="63" t="s">
        <v>174</v>
      </c>
      <c r="H15" s="60" t="e">
        <f aca="false">#REF!</f>
        <v>#REF!</v>
      </c>
      <c r="I15" s="58" t="e">
        <f aca="false">#REF!</f>
        <v>#REF!</v>
      </c>
      <c r="J15" s="60" t="e">
        <f aca="false">I15*0.8/1000</f>
        <v>#REF!</v>
      </c>
      <c r="L15" s="57"/>
    </row>
    <row r="16" customFormat="false" ht="13.8" hidden="false" customHeight="false" outlineLevel="0" collapsed="false">
      <c r="B16" s="56" t="s">
        <v>175</v>
      </c>
      <c r="C16" s="58" t="e">
        <f aca="false">D16/$D$22*100</f>
        <v>#REF!</v>
      </c>
      <c r="D16" s="58" t="e">
        <f aca="false">#REF!</f>
        <v>#REF!</v>
      </c>
      <c r="E16" s="60" t="e">
        <f aca="false">D16*0.8/1000</f>
        <v>#REF!</v>
      </c>
      <c r="G16" s="56" t="s">
        <v>175</v>
      </c>
      <c r="H16" s="60" t="e">
        <f aca="false">#REF!</f>
        <v>#REF!</v>
      </c>
      <c r="I16" s="58" t="e">
        <f aca="false">#REF!</f>
        <v>#REF!</v>
      </c>
      <c r="J16" s="60" t="e">
        <f aca="false">I16*0.8/1000</f>
        <v>#REF!</v>
      </c>
      <c r="L16" s="57"/>
    </row>
    <row r="17" customFormat="false" ht="13.8" hidden="false" customHeight="false" outlineLevel="0" collapsed="false">
      <c r="B17" s="56" t="s">
        <v>176</v>
      </c>
      <c r="C17" s="58" t="e">
        <f aca="false">D17/$D$22*100</f>
        <v>#REF!</v>
      </c>
      <c r="D17" s="58" t="e">
        <f aca="false">#REF!</f>
        <v>#REF!</v>
      </c>
      <c r="E17" s="60" t="e">
        <f aca="false">D17*0.8/1000</f>
        <v>#REF!</v>
      </c>
      <c r="G17" s="56" t="s">
        <v>176</v>
      </c>
      <c r="H17" s="60" t="e">
        <f aca="false">#REF!</f>
        <v>#REF!</v>
      </c>
      <c r="I17" s="58" t="e">
        <f aca="false">#REF!</f>
        <v>#REF!</v>
      </c>
      <c r="J17" s="60" t="e">
        <f aca="false">I17*0.8/1000</f>
        <v>#REF!</v>
      </c>
      <c r="L17" s="57"/>
    </row>
    <row r="18" customFormat="false" ht="21.65" hidden="false" customHeight="false" outlineLevel="0" collapsed="false">
      <c r="B18" s="56" t="s">
        <v>177</v>
      </c>
      <c r="C18" s="58" t="e">
        <f aca="false">D18/$D$22*100</f>
        <v>#REF!</v>
      </c>
      <c r="D18" s="58" t="e">
        <f aca="false">#REF!</f>
        <v>#REF!</v>
      </c>
      <c r="E18" s="60" t="e">
        <f aca="false">D18*0.8/1000</f>
        <v>#REF!</v>
      </c>
      <c r="G18" s="56" t="s">
        <v>177</v>
      </c>
      <c r="H18" s="60" t="e">
        <f aca="false">#REF!</f>
        <v>#REF!</v>
      </c>
      <c r="I18" s="58" t="e">
        <f aca="false">#REF!</f>
        <v>#REF!</v>
      </c>
      <c r="J18" s="60" t="e">
        <f aca="false">I18*0.8/1000</f>
        <v>#REF!</v>
      </c>
      <c r="L18" s="57"/>
    </row>
    <row r="19" customFormat="false" ht="17.25" hidden="false" customHeight="true" outlineLevel="0" collapsed="false">
      <c r="B19" s="56" t="s">
        <v>178</v>
      </c>
      <c r="C19" s="58" t="e">
        <f aca="false">D19/$D$22*100</f>
        <v>#REF!</v>
      </c>
      <c r="D19" s="58" t="e">
        <f aca="false">#REF!</f>
        <v>#REF!</v>
      </c>
      <c r="E19" s="60" t="e">
        <f aca="false">D19*0.8/1000</f>
        <v>#REF!</v>
      </c>
      <c r="G19" s="56" t="s">
        <v>178</v>
      </c>
      <c r="H19" s="60" t="e">
        <f aca="false">#REF!</f>
        <v>#REF!</v>
      </c>
      <c r="I19" s="58" t="e">
        <f aca="false">#REF!</f>
        <v>#REF!</v>
      </c>
      <c r="J19" s="60" t="e">
        <f aca="false">I19*0.8/1000</f>
        <v>#REF!</v>
      </c>
      <c r="L19" s="57"/>
    </row>
    <row r="20" customFormat="false" ht="13.8" hidden="false" customHeight="false" outlineLevel="0" collapsed="false">
      <c r="B20" s="56" t="s">
        <v>179</v>
      </c>
      <c r="C20" s="58" t="e">
        <f aca="false">D20/$D$22*100</f>
        <v>#REF!</v>
      </c>
      <c r="D20" s="58" t="e">
        <f aca="false">#REF!</f>
        <v>#REF!</v>
      </c>
      <c r="E20" s="60" t="e">
        <f aca="false">D20*0.8/1000</f>
        <v>#REF!</v>
      </c>
      <c r="G20" s="56" t="s">
        <v>179</v>
      </c>
      <c r="H20" s="60" t="e">
        <f aca="false">#REF!</f>
        <v>#REF!</v>
      </c>
      <c r="I20" s="58" t="e">
        <f aca="false">#REF!</f>
        <v>#REF!</v>
      </c>
      <c r="J20" s="60" t="e">
        <f aca="false">I20*0.8/1000</f>
        <v>#REF!</v>
      </c>
      <c r="L20" s="57"/>
      <c r="N20" s="57"/>
    </row>
    <row r="21" customFormat="false" ht="13.8" hidden="false" customHeight="false" outlineLevel="0" collapsed="false">
      <c r="B21" s="56" t="s">
        <v>180</v>
      </c>
      <c r="C21" s="58" t="e">
        <f aca="false">D21/$D$22*100</f>
        <v>#REF!</v>
      </c>
      <c r="D21" s="58" t="e">
        <f aca="false">#REF!</f>
        <v>#REF!</v>
      </c>
      <c r="E21" s="60" t="e">
        <f aca="false">D21*0.8/1000</f>
        <v>#REF!</v>
      </c>
      <c r="G21" s="56" t="s">
        <v>180</v>
      </c>
      <c r="H21" s="60" t="e">
        <f aca="false">#REF!</f>
        <v>#REF!</v>
      </c>
      <c r="I21" s="58" t="e">
        <f aca="false">#REF!</f>
        <v>#REF!</v>
      </c>
      <c r="J21" s="60" t="e">
        <f aca="false">I21*0.8/1000</f>
        <v>#REF!</v>
      </c>
      <c r="L21" s="57"/>
    </row>
    <row r="22" customFormat="false" ht="13.8" hidden="false" customHeight="false" outlineLevel="0" collapsed="false">
      <c r="B22" s="62" t="s">
        <v>171</v>
      </c>
      <c r="C22" s="55" t="e">
        <f aca="false">SUM(C14:C21)</f>
        <v>#REF!</v>
      </c>
      <c r="D22" s="58" t="e">
        <f aca="false">D12</f>
        <v>#REF!</v>
      </c>
      <c r="E22" s="60" t="e">
        <f aca="false">D22*0.8/1000</f>
        <v>#REF!</v>
      </c>
      <c r="G22" s="62" t="s">
        <v>171</v>
      </c>
      <c r="H22" s="60" t="e">
        <f aca="false">#REF!</f>
        <v>#REF!</v>
      </c>
      <c r="I22" s="58" t="e">
        <f aca="false">#REF!</f>
        <v>#REF!</v>
      </c>
      <c r="J22" s="60" t="e">
        <f aca="false">I22*0.8/1000</f>
        <v>#REF!</v>
      </c>
    </row>
    <row r="23" customFormat="false" ht="13.8" hidden="false" customHeight="false" outlineLevel="0" collapsed="false">
      <c r="B23" s="64"/>
    </row>
    <row r="24" customFormat="false" ht="13.8" hidden="false" customHeight="false" outlineLevel="0" collapsed="false">
      <c r="A24" s="49" t="n">
        <v>6</v>
      </c>
      <c r="B24" s="49" t="s">
        <v>181</v>
      </c>
      <c r="L24" s="65"/>
    </row>
    <row r="25" customFormat="false" ht="13.8" hidden="false" customHeight="false" outlineLevel="0" collapsed="false">
      <c r="B25" s="49" t="s">
        <v>182</v>
      </c>
      <c r="C25" s="49" t="s">
        <v>183</v>
      </c>
    </row>
    <row r="26" customFormat="false" ht="13.8" hidden="false" customHeight="false" outlineLevel="0" collapsed="false">
      <c r="B26" s="49" t="s">
        <v>184</v>
      </c>
      <c r="C26" s="49" t="s">
        <v>185</v>
      </c>
    </row>
    <row r="27" customFormat="false" ht="13.8" hidden="false" customHeight="false" outlineLevel="0" collapsed="false"/>
    <row r="28" customFormat="false" ht="13.8" hidden="false" customHeight="false" outlineLevel="0" collapsed="false">
      <c r="A28" s="49" t="n">
        <v>7</v>
      </c>
      <c r="B28" s="49" t="s">
        <v>186</v>
      </c>
    </row>
    <row r="29" customFormat="false" ht="13.8" hidden="false" customHeight="true" outlineLevel="0" collapsed="false">
      <c r="B29" s="66" t="s">
        <v>187</v>
      </c>
      <c r="C29" s="66" t="s">
        <v>188</v>
      </c>
      <c r="D29" s="66" t="s">
        <v>189</v>
      </c>
      <c r="E29" s="67" t="s">
        <v>190</v>
      </c>
      <c r="F29" s="67" t="s">
        <v>191</v>
      </c>
    </row>
    <row r="30" customFormat="false" ht="13.8" hidden="false" customHeight="false" outlineLevel="0" collapsed="false">
      <c r="B30" s="66"/>
      <c r="C30" s="66"/>
      <c r="D30" s="66"/>
      <c r="E30" s="67"/>
      <c r="F30" s="67"/>
    </row>
    <row r="31" customFormat="false" ht="13.8" hidden="false" customHeight="false" outlineLevel="0" collapsed="false">
      <c r="B31" s="68" t="s">
        <v>192</v>
      </c>
      <c r="C31" s="69" t="n">
        <f aca="false">C32</f>
        <v>13.25</v>
      </c>
      <c r="D31" s="70" t="n">
        <v>1</v>
      </c>
      <c r="E31" s="70" t="n">
        <v>440</v>
      </c>
      <c r="F31" s="70" t="n">
        <v>800</v>
      </c>
    </row>
    <row r="32" customFormat="false" ht="13.8" hidden="false" customHeight="false" outlineLevel="0" collapsed="false">
      <c r="B32" s="68" t="s">
        <v>193</v>
      </c>
      <c r="C32" s="69" t="n">
        <f aca="false">F51+0.3</f>
        <v>13.25</v>
      </c>
      <c r="D32" s="70"/>
      <c r="E32" s="70" t="n">
        <v>440</v>
      </c>
      <c r="F32" s="70"/>
    </row>
    <row r="33" customFormat="false" ht="13.8" hidden="false" customHeight="false" outlineLevel="0" collapsed="false">
      <c r="B33" s="68" t="s">
        <v>194</v>
      </c>
      <c r="C33" s="69" t="n">
        <f aca="false">C34+0.3</f>
        <v>12.9</v>
      </c>
      <c r="D33" s="70" t="n">
        <v>1</v>
      </c>
      <c r="E33" s="70" t="n">
        <v>360</v>
      </c>
      <c r="F33" s="70" t="n">
        <v>800</v>
      </c>
    </row>
    <row r="34" customFormat="false" ht="13.8" hidden="false" customHeight="false" outlineLevel="0" collapsed="false">
      <c r="B34" s="68" t="s">
        <v>195</v>
      </c>
      <c r="C34" s="69" t="n">
        <f aca="false">F54+0.4</f>
        <v>12.6</v>
      </c>
      <c r="D34" s="71"/>
      <c r="E34" s="70" t="n">
        <v>370</v>
      </c>
      <c r="F34" s="70"/>
    </row>
    <row r="35" customFormat="false" ht="13.8" hidden="false" customHeight="false" outlineLevel="0" collapsed="false">
      <c r="D35" s="49" t="s">
        <v>196</v>
      </c>
      <c r="F35" s="49" t="s">
        <v>197</v>
      </c>
      <c r="H35" s="49" t="s">
        <v>198</v>
      </c>
    </row>
    <row r="36" customFormat="false" ht="13.8" hidden="false" customHeight="false" outlineLevel="0" collapsed="false">
      <c r="B36" s="49" t="s">
        <v>199</v>
      </c>
      <c r="C36" s="49" t="s">
        <v>200</v>
      </c>
      <c r="D36" s="72" t="n">
        <v>2</v>
      </c>
      <c r="F36" s="73" t="n">
        <f aca="false">D36</f>
        <v>2</v>
      </c>
      <c r="H36" s="49" t="s">
        <v>201</v>
      </c>
      <c r="I36" s="49" t="s">
        <v>202</v>
      </c>
    </row>
    <row r="37" customFormat="false" ht="13.8" hidden="false" customHeight="false" outlineLevel="0" collapsed="false">
      <c r="B37" s="49" t="s">
        <v>203</v>
      </c>
      <c r="C37" s="49" t="s">
        <v>200</v>
      </c>
      <c r="D37" s="72" t="n">
        <v>11</v>
      </c>
      <c r="E37" s="74" t="s">
        <v>204</v>
      </c>
      <c r="F37" s="75" t="n">
        <f aca="false">C31+0.5+0.3</f>
        <v>14.05</v>
      </c>
      <c r="H37" s="49" t="n">
        <v>13.86</v>
      </c>
      <c r="I37" s="49" t="n">
        <v>13.92</v>
      </c>
      <c r="J37" s="52" t="n">
        <f aca="false">I37-H37</f>
        <v>0.0600000000000005</v>
      </c>
    </row>
    <row r="38" customFormat="false" ht="13.8" hidden="false" customHeight="false" outlineLevel="0" collapsed="false">
      <c r="B38" s="49" t="s">
        <v>205</v>
      </c>
      <c r="C38" s="49" t="s">
        <v>200</v>
      </c>
      <c r="D38" s="76" t="n">
        <v>11</v>
      </c>
      <c r="F38" s="77" t="n">
        <f aca="false">F49-0.1</f>
        <v>11.8</v>
      </c>
      <c r="G38" s="78" t="s">
        <v>206</v>
      </c>
      <c r="H38" s="49" t="n">
        <v>15.89</v>
      </c>
      <c r="I38" s="49" t="n">
        <v>16.35</v>
      </c>
      <c r="J38" s="52" t="n">
        <f aca="false">I38-H38</f>
        <v>0.460000000000001</v>
      </c>
    </row>
    <row r="39" customFormat="false" ht="13.8" hidden="false" customHeight="false" outlineLevel="0" collapsed="false">
      <c r="B39" s="49" t="s">
        <v>207</v>
      </c>
      <c r="C39" s="49" t="s">
        <v>200</v>
      </c>
      <c r="D39" s="76" t="n">
        <v>12.5</v>
      </c>
      <c r="F39" s="77" t="n">
        <f aca="false">F37</f>
        <v>14.05</v>
      </c>
      <c r="G39" s="78"/>
      <c r="H39" s="52" t="n">
        <f aca="false">H38-H37</f>
        <v>2.03</v>
      </c>
      <c r="I39" s="52" t="n">
        <f aca="false">I38-I37</f>
        <v>2.43</v>
      </c>
    </row>
    <row r="40" customFormat="false" ht="13.8" hidden="false" customHeight="false" outlineLevel="0" collapsed="false">
      <c r="B40" s="49" t="s">
        <v>208</v>
      </c>
      <c r="C40" s="49" t="s">
        <v>200</v>
      </c>
      <c r="D40" s="76"/>
      <c r="F40" s="76"/>
      <c r="G40" s="74"/>
    </row>
    <row r="41" customFormat="false" ht="13.8" hidden="false" customHeight="false" outlineLevel="0" collapsed="false">
      <c r="B41" s="49" t="s">
        <v>209</v>
      </c>
      <c r="C41" s="49" t="s">
        <v>210</v>
      </c>
      <c r="D41" s="79" t="n">
        <v>2</v>
      </c>
      <c r="F41" s="73" t="n">
        <v>2</v>
      </c>
    </row>
    <row r="42" customFormat="false" ht="13.8" hidden="false" customHeight="false" outlineLevel="0" collapsed="false">
      <c r="B42" s="49" t="s">
        <v>211</v>
      </c>
      <c r="C42" s="49" t="s">
        <v>200</v>
      </c>
      <c r="D42" s="79" t="n">
        <v>0.9</v>
      </c>
      <c r="F42" s="73" t="n">
        <v>0.9</v>
      </c>
    </row>
    <row r="43" customFormat="false" ht="13.8" hidden="false" customHeight="false" outlineLevel="0" collapsed="false">
      <c r="B43" s="49" t="s">
        <v>212</v>
      </c>
      <c r="C43" s="49" t="s">
        <v>200</v>
      </c>
      <c r="D43" s="79" t="n">
        <v>1</v>
      </c>
      <c r="F43" s="73" t="n">
        <v>1</v>
      </c>
    </row>
    <row r="44" customFormat="false" ht="13.8" hidden="false" customHeight="false" outlineLevel="0" collapsed="false">
      <c r="B44" s="49" t="s">
        <v>213</v>
      </c>
      <c r="C44" s="49" t="s">
        <v>200</v>
      </c>
      <c r="D44" s="79" t="n">
        <v>0.15</v>
      </c>
      <c r="F44" s="73" t="n">
        <v>0.15</v>
      </c>
    </row>
    <row r="45" customFormat="false" ht="13.8" hidden="false" customHeight="false" outlineLevel="0" collapsed="false">
      <c r="B45" s="49" t="s">
        <v>212</v>
      </c>
      <c r="C45" s="49" t="s">
        <v>200</v>
      </c>
      <c r="D45" s="79" t="n">
        <v>1</v>
      </c>
      <c r="F45" s="73" t="n">
        <v>1</v>
      </c>
    </row>
    <row r="46" customFormat="false" ht="13.8" hidden="false" customHeight="false" outlineLevel="0" collapsed="false">
      <c r="D46" s="79"/>
      <c r="F46" s="79"/>
    </row>
    <row r="47" customFormat="false" ht="13.8" hidden="false" customHeight="false" outlineLevel="0" collapsed="false">
      <c r="B47" s="49" t="s">
        <v>214</v>
      </c>
      <c r="C47" s="49" t="s">
        <v>200</v>
      </c>
      <c r="D47" s="79" t="n">
        <v>0.85</v>
      </c>
      <c r="F47" s="73" t="n">
        <v>0.85</v>
      </c>
    </row>
    <row r="48" customFormat="false" ht="13.8" hidden="false" customHeight="false" outlineLevel="0" collapsed="false">
      <c r="B48" s="49" t="s">
        <v>215</v>
      </c>
      <c r="C48" s="49" t="s">
        <v>200</v>
      </c>
      <c r="D48" s="79" t="n">
        <v>1.1</v>
      </c>
      <c r="F48" s="73" t="n">
        <v>1.1</v>
      </c>
    </row>
    <row r="49" customFormat="false" ht="13.8" hidden="false" customHeight="false" outlineLevel="0" collapsed="false">
      <c r="B49" s="49" t="s">
        <v>216</v>
      </c>
      <c r="C49" s="49" t="s">
        <v>200</v>
      </c>
      <c r="D49" s="79" t="n">
        <v>11.5</v>
      </c>
      <c r="F49" s="73" t="n">
        <f aca="false">F56-0.1</f>
        <v>11.9</v>
      </c>
    </row>
    <row r="50" customFormat="false" ht="13.8" hidden="false" customHeight="false" outlineLevel="0" collapsed="false">
      <c r="D50" s="79"/>
    </row>
    <row r="51" customFormat="false" ht="13.8" hidden="false" customHeight="false" outlineLevel="0" collapsed="false">
      <c r="B51" s="49" t="s">
        <v>217</v>
      </c>
      <c r="C51" s="49" t="s">
        <v>200</v>
      </c>
      <c r="D51" s="79" t="n">
        <v>11.8</v>
      </c>
      <c r="F51" s="80" t="n">
        <f aca="false">C33+0.05</f>
        <v>12.95</v>
      </c>
    </row>
    <row r="52" customFormat="false" ht="13.8" hidden="false" customHeight="false" outlineLevel="0" collapsed="false">
      <c r="B52" s="49" t="s">
        <v>218</v>
      </c>
      <c r="C52" s="49" t="s">
        <v>200</v>
      </c>
      <c r="D52" s="79" t="n">
        <v>2.4</v>
      </c>
      <c r="F52" s="73" t="n">
        <v>1.5</v>
      </c>
    </row>
    <row r="53" customFormat="false" ht="13.8" hidden="false" customHeight="false" outlineLevel="0" collapsed="false">
      <c r="B53" s="49" t="s">
        <v>219</v>
      </c>
      <c r="C53" s="49" t="s">
        <v>200</v>
      </c>
      <c r="D53" s="79"/>
      <c r="F53" s="80" t="n">
        <f aca="false">F52-0.1</f>
        <v>1.4</v>
      </c>
    </row>
    <row r="54" customFormat="false" ht="13.8" hidden="false" customHeight="false" outlineLevel="0" collapsed="false">
      <c r="B54" s="49" t="s">
        <v>220</v>
      </c>
      <c r="C54" s="49" t="s">
        <v>200</v>
      </c>
      <c r="D54" s="79" t="n">
        <v>12</v>
      </c>
      <c r="F54" s="75" t="n">
        <f aca="false">F56+0.2</f>
        <v>12.2</v>
      </c>
    </row>
    <row r="55" customFormat="false" ht="13.8" hidden="false" customHeight="false" outlineLevel="0" collapsed="false">
      <c r="B55" s="49" t="s">
        <v>221</v>
      </c>
      <c r="C55" s="49" t="s">
        <v>200</v>
      </c>
      <c r="D55" s="79" t="n">
        <v>2.4</v>
      </c>
      <c r="F55" s="79" t="n">
        <f aca="false">F57+0.1</f>
        <v>2.4</v>
      </c>
    </row>
    <row r="56" customFormat="false" ht="13.8" hidden="false" customHeight="false" outlineLevel="0" collapsed="false">
      <c r="B56" s="49" t="s">
        <v>222</v>
      </c>
      <c r="C56" s="49" t="s">
        <v>200</v>
      </c>
      <c r="D56" s="79" t="n">
        <v>11.8</v>
      </c>
      <c r="F56" s="81" t="n">
        <v>12</v>
      </c>
      <c r="G56" s="82" t="s">
        <v>223</v>
      </c>
    </row>
    <row r="57" customFormat="false" ht="13.8" hidden="false" customHeight="false" outlineLevel="0" collapsed="false">
      <c r="B57" s="49" t="s">
        <v>224</v>
      </c>
      <c r="C57" s="49" t="s">
        <v>200</v>
      </c>
      <c r="D57" s="79" t="n">
        <v>2.4</v>
      </c>
      <c r="F57" s="81" t="n">
        <v>2.3</v>
      </c>
    </row>
    <row r="58" customFormat="false" ht="13.8" hidden="false" customHeight="false" outlineLevel="0" collapsed="false"/>
    <row r="59" customFormat="false" ht="13.8" hidden="false" customHeight="false" outlineLevel="0" collapsed="false"/>
    <row r="60" customFormat="false" ht="13.8" hidden="false" customHeight="false" outlineLevel="0" collapsed="false"/>
    <row r="61" customFormat="false" ht="13.8" hidden="false" customHeight="false" outlineLevel="0" collapsed="false"/>
    <row r="62" customFormat="false" ht="13.8" hidden="false" customHeight="false" outlineLevel="0" collapsed="false"/>
    <row r="63" customFormat="false" ht="13.8" hidden="false" customHeight="false" outlineLevel="0" collapsed="false">
      <c r="A63" s="49" t="n">
        <v>8</v>
      </c>
      <c r="B63" s="49" t="s">
        <v>225</v>
      </c>
    </row>
    <row r="64" customFormat="false" ht="13.8" hidden="false" customHeight="false" outlineLevel="0" collapsed="false">
      <c r="A64" s="49" t="n">
        <v>8.1</v>
      </c>
      <c r="B64" s="49" t="s">
        <v>226</v>
      </c>
    </row>
    <row r="65" customFormat="false" ht="13.8" hidden="false" customHeight="false" outlineLevel="0" collapsed="false">
      <c r="B65" s="49" t="s">
        <v>227</v>
      </c>
    </row>
    <row r="66" customFormat="false" ht="13.8" hidden="false" customHeight="false" outlineLevel="0" collapsed="false">
      <c r="B66" s="49" t="s">
        <v>228</v>
      </c>
    </row>
    <row r="67" customFormat="false" ht="13.8" hidden="false" customHeight="false" outlineLevel="0" collapsed="false"/>
    <row r="68" customFormat="false" ht="13.8" hidden="false" customHeight="false" outlineLevel="0" collapsed="false">
      <c r="A68" s="49" t="n">
        <v>8.2</v>
      </c>
      <c r="B68" s="49" t="s">
        <v>229</v>
      </c>
    </row>
    <row r="69" customFormat="false" ht="13.8" hidden="false" customHeight="false" outlineLevel="0" collapsed="false">
      <c r="B69" s="49" t="s">
        <v>230</v>
      </c>
    </row>
    <row r="70" customFormat="false" ht="13.8" hidden="false" customHeight="false" outlineLevel="0" collapsed="false">
      <c r="B70" s="49" t="s">
        <v>231</v>
      </c>
    </row>
    <row r="71" customFormat="false" ht="13.8" hidden="false" customHeight="false" outlineLevel="0" collapsed="false"/>
    <row r="72" customFormat="false" ht="13.8" hidden="false" customHeight="false" outlineLevel="0" collapsed="false">
      <c r="A72" s="49" t="n">
        <v>8.3</v>
      </c>
      <c r="C72" s="83" t="s">
        <v>232</v>
      </c>
      <c r="D72" s="83" t="s">
        <v>233</v>
      </c>
      <c r="E72" s="49" t="s">
        <v>234</v>
      </c>
    </row>
    <row r="73" customFormat="false" ht="13.8" hidden="false" customHeight="false" outlineLevel="0" collapsed="false">
      <c r="B73" s="49" t="s">
        <v>235</v>
      </c>
      <c r="C73" s="83"/>
      <c r="D73" s="83"/>
    </row>
    <row r="74" customFormat="false" ht="13.8" hidden="false" customHeight="false" outlineLevel="0" collapsed="false">
      <c r="B74" s="49" t="s">
        <v>236</v>
      </c>
      <c r="D74" s="84"/>
      <c r="E74" s="84"/>
      <c r="F74" s="52"/>
    </row>
    <row r="75" customFormat="false" ht="13.8" hidden="false" customHeight="false" outlineLevel="0" collapsed="false">
      <c r="B75" s="49" t="s">
        <v>237</v>
      </c>
      <c r="D75" s="84"/>
      <c r="E75" s="84"/>
      <c r="F75" s="52"/>
    </row>
    <row r="76" customFormat="false" ht="13.8" hidden="false" customHeight="false" outlineLevel="0" collapsed="false">
      <c r="B76" s="49" t="s">
        <v>238</v>
      </c>
      <c r="D76" s="84"/>
      <c r="E76" s="84"/>
      <c r="F76" s="52"/>
    </row>
    <row r="77" customFormat="false" ht="13.8" hidden="false" customHeight="false" outlineLevel="0" collapsed="false">
      <c r="B77" s="49" t="s">
        <v>239</v>
      </c>
      <c r="C77" s="85"/>
      <c r="D77" s="84"/>
    </row>
    <row r="78" customFormat="false" ht="13.8" hidden="false" customHeight="false" outlineLevel="0" collapsed="false">
      <c r="B78" s="49" t="s">
        <v>240</v>
      </c>
      <c r="C78" s="85"/>
      <c r="D78" s="84"/>
    </row>
    <row r="79" customFormat="false" ht="13.8" hidden="false" customHeight="false" outlineLevel="0" collapsed="false">
      <c r="B79" s="49" t="s">
        <v>241</v>
      </c>
      <c r="D79" s="84"/>
    </row>
    <row r="80" customFormat="false" ht="13.8" hidden="false" customHeight="false" outlineLevel="0" collapsed="false">
      <c r="B80" s="49" t="s">
        <v>242</v>
      </c>
      <c r="D80" s="84"/>
    </row>
    <row r="81" customFormat="false" ht="13.8" hidden="false" customHeight="false" outlineLevel="0" collapsed="false"/>
    <row r="82" customFormat="false" ht="13.8" hidden="false" customHeight="false" outlineLevel="0" collapsed="false">
      <c r="A82" s="49" t="n">
        <v>9</v>
      </c>
      <c r="B82" s="49" t="s">
        <v>243</v>
      </c>
    </row>
    <row r="83" customFormat="false" ht="13.8" hidden="false" customHeight="false" outlineLevel="0" collapsed="false">
      <c r="B83" s="49" t="s">
        <v>244</v>
      </c>
      <c r="C83" s="49" t="s">
        <v>245</v>
      </c>
    </row>
    <row r="84" customFormat="false" ht="13.8" hidden="false" customHeight="false" outlineLevel="0" collapsed="false">
      <c r="C84" s="49" t="s">
        <v>246</v>
      </c>
    </row>
    <row r="85" customFormat="false" ht="13.8" hidden="false" customHeight="false" outlineLevel="0" collapsed="false"/>
    <row r="86" customFormat="false" ht="13.8" hidden="false" customHeight="false" outlineLevel="0" collapsed="false">
      <c r="A86" s="49" t="n">
        <v>10</v>
      </c>
      <c r="B86" s="49" t="s">
        <v>247</v>
      </c>
    </row>
    <row r="87" customFormat="false" ht="13.8" hidden="false" customHeight="false" outlineLevel="0" collapsed="false">
      <c r="B87" s="49" t="s">
        <v>248</v>
      </c>
    </row>
    <row r="88" customFormat="false" ht="15" hidden="false" customHeight="false" outlineLevel="0" collapsed="false">
      <c r="B88" s="86"/>
      <c r="C88" s="87"/>
      <c r="D88" s="87"/>
      <c r="E88" s="87"/>
      <c r="F88" s="87"/>
      <c r="G88" s="87"/>
    </row>
    <row r="89" s="88" customFormat="true" ht="13.5" hidden="false" customHeight="false" outlineLevel="0" collapsed="false">
      <c r="A89" s="88" t="n">
        <v>11</v>
      </c>
      <c r="B89" s="88" t="s">
        <v>249</v>
      </c>
    </row>
    <row r="90" s="88" customFormat="true" ht="15" hidden="false" customHeight="false" outlineLevel="0" collapsed="false">
      <c r="B90" s="89" t="s">
        <v>250</v>
      </c>
      <c r="C90" s="90" t="s">
        <v>251</v>
      </c>
      <c r="D90" s="90" t="s">
        <v>252</v>
      </c>
      <c r="E90" s="90" t="s">
        <v>253</v>
      </c>
      <c r="F90" s="90"/>
      <c r="G90" s="90" t="s">
        <v>254</v>
      </c>
    </row>
    <row r="91" s="88" customFormat="true" ht="15" hidden="false" customHeight="false" outlineLevel="0" collapsed="false">
      <c r="B91" s="89"/>
      <c r="C91" s="90" t="s">
        <v>255</v>
      </c>
      <c r="D91" s="90"/>
      <c r="E91" s="90" t="s">
        <v>256</v>
      </c>
      <c r="F91" s="90"/>
      <c r="G91" s="90"/>
    </row>
    <row r="92" s="88" customFormat="true" ht="15" hidden="false" customHeight="false" outlineLevel="0" collapsed="false">
      <c r="B92" s="91" t="s">
        <v>257</v>
      </c>
      <c r="C92" s="92" t="n">
        <v>2.84</v>
      </c>
      <c r="D92" s="92" t="n">
        <f aca="false">125000*C92/100</f>
        <v>3550</v>
      </c>
      <c r="E92" s="92" t="n">
        <v>100</v>
      </c>
      <c r="F92" s="92"/>
      <c r="G92" s="88" t="n">
        <v>125000</v>
      </c>
    </row>
    <row r="93" s="88" customFormat="true" ht="13.8" hidden="false" customHeight="false" outlineLevel="0" collapsed="false">
      <c r="B93" s="91" t="s">
        <v>258</v>
      </c>
      <c r="C93" s="93" t="n">
        <f aca="false">32/34*100</f>
        <v>94.1176470588235</v>
      </c>
      <c r="D93" s="93" t="e">
        <f aca="false">C93*G93/100</f>
        <v>#REF!</v>
      </c>
      <c r="E93" s="93" t="e">
        <f aca="false">D93*100/$D$92</f>
        <v>#REF!</v>
      </c>
      <c r="F93" s="92"/>
      <c r="G93" s="94" t="e">
        <f aca="false">I15</f>
        <v>#REF!</v>
      </c>
    </row>
    <row r="94" s="88" customFormat="true" ht="13.8" hidden="false" customHeight="false" outlineLevel="0" collapsed="false">
      <c r="B94" s="92" t="s">
        <v>175</v>
      </c>
      <c r="C94" s="95"/>
      <c r="D94" s="96" t="e">
        <f aca="false">C94*G94/100</f>
        <v>#REF!</v>
      </c>
      <c r="E94" s="93" t="e">
        <f aca="false">D94*100/$D$92</f>
        <v>#REF!</v>
      </c>
      <c r="F94" s="92"/>
      <c r="G94" s="94" t="e">
        <f aca="false">I16</f>
        <v>#REF!</v>
      </c>
    </row>
    <row r="95" s="88" customFormat="true" ht="13.8" hidden="false" customHeight="false" outlineLevel="0" collapsed="false">
      <c r="B95" s="92" t="s">
        <v>176</v>
      </c>
      <c r="C95" s="92" t="n">
        <v>0.002</v>
      </c>
      <c r="D95" s="96" t="e">
        <f aca="false">C95*G95/100</f>
        <v>#REF!</v>
      </c>
      <c r="E95" s="93" t="e">
        <f aca="false">D95*100/$D$92</f>
        <v>#REF!</v>
      </c>
      <c r="F95" s="92"/>
      <c r="G95" s="94" t="e">
        <f aca="false">I17</f>
        <v>#REF!</v>
      </c>
    </row>
    <row r="96" s="88" customFormat="true" ht="15" hidden="false" customHeight="false" outlineLevel="0" collapsed="false">
      <c r="B96" s="90" t="s">
        <v>158</v>
      </c>
      <c r="C96" s="92" t="n">
        <v>0.005</v>
      </c>
      <c r="D96" s="96" t="e">
        <f aca="false">C96*G96/100</f>
        <v>#REF!</v>
      </c>
      <c r="E96" s="93" t="e">
        <f aca="false">D96*100/$D$92</f>
        <v>#REF!</v>
      </c>
      <c r="F96" s="92"/>
      <c r="G96" s="94" t="e">
        <f aca="false">I18</f>
        <v>#REF!</v>
      </c>
    </row>
    <row r="97" s="88" customFormat="true" ht="15" hidden="false" customHeight="false" outlineLevel="0" collapsed="false">
      <c r="B97" s="90" t="s">
        <v>159</v>
      </c>
      <c r="C97" s="92" t="n">
        <v>0.004</v>
      </c>
      <c r="D97" s="96" t="e">
        <f aca="false">C97*G97/100</f>
        <v>#REF!</v>
      </c>
      <c r="E97" s="93" t="e">
        <f aca="false">D97*100/$D$92</f>
        <v>#REF!</v>
      </c>
      <c r="F97" s="92"/>
      <c r="G97" s="94" t="e">
        <f aca="false">I19</f>
        <v>#REF!</v>
      </c>
    </row>
    <row r="98" s="88" customFormat="true" ht="15" hidden="false" customHeight="false" outlineLevel="0" collapsed="false">
      <c r="B98" s="90" t="s">
        <v>160</v>
      </c>
      <c r="C98" s="92" t="n">
        <v>0.023</v>
      </c>
      <c r="D98" s="96" t="e">
        <f aca="false">C98*G98/100</f>
        <v>#REF!</v>
      </c>
      <c r="E98" s="93" t="e">
        <f aca="false">D98*100/$D$92</f>
        <v>#REF!</v>
      </c>
      <c r="F98" s="92"/>
      <c r="G98" s="94" t="e">
        <f aca="false">I20</f>
        <v>#REF!</v>
      </c>
    </row>
    <row r="99" s="88" customFormat="true" ht="15" hidden="false" customHeight="false" outlineLevel="0" collapsed="false">
      <c r="B99" s="90" t="s">
        <v>259</v>
      </c>
      <c r="C99" s="92" t="n">
        <v>3.89</v>
      </c>
      <c r="D99" s="96" t="e">
        <f aca="false">C99*G99/100</f>
        <v>#REF!</v>
      </c>
      <c r="E99" s="93" t="e">
        <f aca="false">D99*100/$D$92</f>
        <v>#REF!</v>
      </c>
      <c r="F99" s="92"/>
      <c r="G99" s="94" t="e">
        <f aca="false">I21</f>
        <v>#REF!</v>
      </c>
    </row>
    <row r="100" s="88" customFormat="true" ht="15" hidden="false" customHeight="false" outlineLevel="0" collapsed="false">
      <c r="B100" s="89" t="s">
        <v>171</v>
      </c>
      <c r="C100" s="92"/>
      <c r="D100" s="97" t="e">
        <f aca="false">SUM(D93:D99)</f>
        <v>#REF!</v>
      </c>
      <c r="E100" s="93" t="e">
        <f aca="false">SUM(E93:E99)</f>
        <v>#REF!</v>
      </c>
      <c r="F100" s="92"/>
    </row>
    <row r="101" s="88" customFormat="true" ht="13.5" hidden="false" customHeight="false" outlineLevel="0" collapsed="false"/>
    <row r="102" s="88" customFormat="true" ht="15" hidden="false" customHeight="false" outlineLevel="0" collapsed="false">
      <c r="A102" s="88" t="n">
        <v>12</v>
      </c>
      <c r="B102" s="98" t="s">
        <v>260</v>
      </c>
      <c r="C102" s="98"/>
      <c r="D102" s="98"/>
    </row>
    <row r="103" s="88" customFormat="true" ht="15" hidden="false" customHeight="false" outlineLevel="0" collapsed="false">
      <c r="B103" s="89" t="s">
        <v>250</v>
      </c>
      <c r="C103" s="90" t="s">
        <v>261</v>
      </c>
      <c r="D103" s="90" t="s">
        <v>262</v>
      </c>
      <c r="E103" s="90" t="s">
        <v>263</v>
      </c>
      <c r="F103" s="90"/>
      <c r="G103" s="90" t="s">
        <v>254</v>
      </c>
    </row>
    <row r="104" s="88" customFormat="true" ht="15" hidden="false" customHeight="false" outlineLevel="0" collapsed="false">
      <c r="B104" s="89"/>
      <c r="C104" s="90" t="s">
        <v>255</v>
      </c>
      <c r="D104" s="90"/>
      <c r="E104" s="90" t="s">
        <v>256</v>
      </c>
      <c r="F104" s="90"/>
      <c r="G104" s="90"/>
    </row>
    <row r="105" s="88" customFormat="true" ht="15" hidden="false" customHeight="false" outlineLevel="0" collapsed="false">
      <c r="B105" s="91" t="s">
        <v>257</v>
      </c>
      <c r="C105" s="92" t="n">
        <v>0.5</v>
      </c>
      <c r="D105" s="92" t="n">
        <f aca="false">125000*C105/100</f>
        <v>625</v>
      </c>
      <c r="E105" s="92" t="n">
        <v>100</v>
      </c>
      <c r="F105" s="92"/>
      <c r="G105" s="88" t="n">
        <v>125000</v>
      </c>
    </row>
    <row r="106" s="88" customFormat="true" ht="13.8" hidden="false" customHeight="false" outlineLevel="0" collapsed="false">
      <c r="B106" s="91" t="s">
        <v>264</v>
      </c>
      <c r="C106" s="93" t="n">
        <f aca="false">14/17*100</f>
        <v>82.3529411764706</v>
      </c>
      <c r="D106" s="93" t="e">
        <f aca="false">C106*G106/100</f>
        <v>#REF!</v>
      </c>
      <c r="E106" s="93" t="e">
        <f aca="false">D106*100/$D$105</f>
        <v>#REF!</v>
      </c>
      <c r="F106" s="92"/>
      <c r="G106" s="99" t="e">
        <f aca="false">I14</f>
        <v>#REF!</v>
      </c>
    </row>
    <row r="107" s="88" customFormat="true" ht="13.8" hidden="false" customHeight="false" outlineLevel="0" collapsed="false">
      <c r="B107" s="92" t="s">
        <v>175</v>
      </c>
      <c r="C107" s="92" t="n">
        <v>0</v>
      </c>
      <c r="D107" s="92" t="e">
        <f aca="false">C107*G107/100</f>
        <v>#REF!</v>
      </c>
      <c r="E107" s="93" t="e">
        <f aca="false">D107*100/$D$105</f>
        <v>#REF!</v>
      </c>
      <c r="F107" s="92"/>
      <c r="G107" s="100" t="e">
        <f aca="false">I16</f>
        <v>#REF!</v>
      </c>
    </row>
    <row r="108" s="88" customFormat="true" ht="13.8" hidden="false" customHeight="false" outlineLevel="0" collapsed="false">
      <c r="B108" s="92" t="s">
        <v>176</v>
      </c>
      <c r="C108" s="92" t="n">
        <v>0</v>
      </c>
      <c r="D108" s="92" t="e">
        <f aca="false">C108*G108/100</f>
        <v>#REF!</v>
      </c>
      <c r="E108" s="93" t="e">
        <f aca="false">D108*100/$D$105</f>
        <v>#REF!</v>
      </c>
      <c r="F108" s="92"/>
      <c r="G108" s="100" t="e">
        <f aca="false">I17</f>
        <v>#REF!</v>
      </c>
    </row>
    <row r="109" s="88" customFormat="true" ht="15" hidden="false" customHeight="false" outlineLevel="0" collapsed="false">
      <c r="B109" s="90" t="s">
        <v>158</v>
      </c>
      <c r="C109" s="92" t="n">
        <v>0.0017</v>
      </c>
      <c r="D109" s="96" t="e">
        <f aca="false">C109*G109/100</f>
        <v>#REF!</v>
      </c>
      <c r="E109" s="93" t="e">
        <f aca="false">D109*100/$D$105</f>
        <v>#REF!</v>
      </c>
      <c r="F109" s="92"/>
      <c r="G109" s="100" t="e">
        <f aca="false">I18</f>
        <v>#REF!</v>
      </c>
    </row>
    <row r="110" s="88" customFormat="true" ht="15" hidden="false" customHeight="false" outlineLevel="0" collapsed="false">
      <c r="B110" s="90" t="s">
        <v>159</v>
      </c>
      <c r="C110" s="92" t="n">
        <v>0.0019</v>
      </c>
      <c r="D110" s="96" t="e">
        <f aca="false">C110*G110/100</f>
        <v>#REF!</v>
      </c>
      <c r="E110" s="93" t="e">
        <f aca="false">D110*100/$D$105</f>
        <v>#REF!</v>
      </c>
      <c r="F110" s="92"/>
      <c r="G110" s="100" t="e">
        <f aca="false">I19</f>
        <v>#REF!</v>
      </c>
    </row>
    <row r="111" s="88" customFormat="true" ht="15" hidden="false" customHeight="false" outlineLevel="0" collapsed="false">
      <c r="B111" s="90" t="s">
        <v>160</v>
      </c>
      <c r="C111" s="92" t="n">
        <v>0.0053</v>
      </c>
      <c r="D111" s="96" t="e">
        <f aca="false">C111*G111/100</f>
        <v>#REF!</v>
      </c>
      <c r="E111" s="93" t="e">
        <f aca="false">D111*100/$D$105</f>
        <v>#REF!</v>
      </c>
      <c r="F111" s="92"/>
      <c r="G111" s="100" t="e">
        <f aca="false">I20</f>
        <v>#REF!</v>
      </c>
    </row>
    <row r="112" s="88" customFormat="true" ht="15" hidden="false" customHeight="false" outlineLevel="0" collapsed="false">
      <c r="B112" s="90" t="s">
        <v>259</v>
      </c>
      <c r="C112" s="92" t="n">
        <v>1.53</v>
      </c>
      <c r="D112" s="96" t="e">
        <f aca="false">C112*G112/100</f>
        <v>#REF!</v>
      </c>
      <c r="E112" s="93" t="e">
        <f aca="false">D112*100/$D$105</f>
        <v>#REF!</v>
      </c>
      <c r="F112" s="92"/>
      <c r="G112" s="100" t="e">
        <f aca="false">I21</f>
        <v>#REF!</v>
      </c>
    </row>
    <row r="113" s="88" customFormat="true" ht="15" hidden="false" customHeight="false" outlineLevel="0" collapsed="false">
      <c r="B113" s="89" t="s">
        <v>171</v>
      </c>
      <c r="C113" s="92"/>
      <c r="D113" s="97" t="e">
        <f aca="false">SUM(D106:D112)</f>
        <v>#REF!</v>
      </c>
      <c r="E113" s="93" t="e">
        <f aca="false">SUM(E106:E112)</f>
        <v>#REF!</v>
      </c>
      <c r="F113" s="92"/>
    </row>
    <row r="114" s="88" customFormat="true" ht="13.5" hidden="false" customHeight="false" outlineLevel="0" collapsed="false"/>
    <row r="115" s="88" customFormat="true" ht="13.5" hidden="false" customHeight="false" outlineLevel="0" collapsed="false"/>
  </sheetData>
  <mergeCells count="6">
    <mergeCell ref="B29:B30"/>
    <mergeCell ref="C29:C30"/>
    <mergeCell ref="D29:D30"/>
    <mergeCell ref="E29:E30"/>
    <mergeCell ref="F29:F30"/>
    <mergeCell ref="G38:G3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01" r:id="rId4" name="Button 10">
              <controlPr defaultSize="0" print="false" autoFill="0" autoPict="0" macro="模块3.返回主页">
                <anchor moveWithCells="true" sizeWithCells="false">
                  <from>
                    <xdr:col>4</xdr:col>
                    <xdr:colOff>60840</xdr:colOff>
                    <xdr:row>0</xdr:row>
                    <xdr:rowOff>30600</xdr:rowOff>
                  </from>
                  <to>
                    <xdr:col>5</xdr:col>
                    <xdr:colOff>-268560</xdr:colOff>
                    <xdr:row>1</xdr:row>
                    <xdr:rowOff>-3960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S3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M21" activeCellId="0" sqref="1:1048576"/>
    </sheetView>
  </sheetViews>
  <sheetFormatPr defaultColWidth="9.00390625" defaultRowHeight="14.25" zeroHeight="false" outlineLevelRow="0" outlineLevelCol="0"/>
  <cols>
    <col collapsed="false" customWidth="true" hidden="false" outlineLevel="0" max="1" min="1" style="101" width="3"/>
    <col collapsed="false" customWidth="true" hidden="false" outlineLevel="0" max="2" min="2" style="102" width="5.5"/>
    <col collapsed="false" customWidth="true" hidden="false" outlineLevel="0" max="3" min="3" style="102" width="21.37"/>
    <col collapsed="false" customWidth="true" hidden="false" outlineLevel="0" max="4" min="4" style="102" width="14.75"/>
    <col collapsed="false" customWidth="true" hidden="false" outlineLevel="0" max="5" min="5" style="102" width="3.12"/>
    <col collapsed="false" customWidth="true" hidden="false" outlineLevel="0" max="6" min="6" style="101" width="6"/>
    <col collapsed="false" customWidth="true" hidden="false" outlineLevel="0" max="7" min="7" style="101" width="23"/>
    <col collapsed="false" customWidth="true" hidden="false" outlineLevel="0" max="8" min="8" style="101" width="15.75"/>
    <col collapsed="false" customWidth="true" hidden="false" outlineLevel="0" max="9" min="9" style="101" width="11.38"/>
    <col collapsed="false" customWidth="true" hidden="false" outlineLevel="0" max="10" min="10" style="101" width="4.63"/>
    <col collapsed="false" customWidth="true" hidden="false" outlineLevel="0" max="11" min="11" style="101" width="9.12"/>
    <col collapsed="false" customWidth="true" hidden="false" outlineLevel="0" max="12" min="12" style="101" width="5.5"/>
    <col collapsed="false" customWidth="true" hidden="false" outlineLevel="0" max="13" min="13" style="101" width="30.37"/>
    <col collapsed="false" customWidth="true" hidden="false" outlineLevel="0" max="14" min="14" style="101" width="10.5"/>
    <col collapsed="false" customWidth="true" hidden="false" outlineLevel="0" max="15" min="15" style="101" width="42.12"/>
    <col collapsed="false" customWidth="true" hidden="false" outlineLevel="0" max="16" min="16" style="101" width="3.75"/>
    <col collapsed="false" customWidth="true" hidden="false" outlineLevel="0" max="17" min="17" style="101" width="30.5"/>
    <col collapsed="false" customWidth="false" hidden="false" outlineLevel="0" max="18" min="18" style="101" width="9"/>
    <col collapsed="false" customWidth="true" hidden="false" outlineLevel="0" max="19" min="19" style="101" width="25"/>
    <col collapsed="false" customWidth="false" hidden="false" outlineLevel="0" max="257" min="20" style="101" width="9"/>
    <col collapsed="false" customWidth="true" hidden="false" outlineLevel="0" max="258" min="258" style="101" width="3"/>
    <col collapsed="false" customWidth="true" hidden="false" outlineLevel="0" max="259" min="259" style="101" width="5.5"/>
    <col collapsed="false" customWidth="true" hidden="false" outlineLevel="0" max="260" min="260" style="101" width="21.37"/>
    <col collapsed="false" customWidth="true" hidden="false" outlineLevel="0" max="261" min="261" style="101" width="14.75"/>
    <col collapsed="false" customWidth="true" hidden="false" outlineLevel="0" max="262" min="262" style="101" width="3.12"/>
    <col collapsed="false" customWidth="true" hidden="false" outlineLevel="0" max="263" min="263" style="101" width="6"/>
    <col collapsed="false" customWidth="true" hidden="false" outlineLevel="0" max="264" min="264" style="101" width="23"/>
    <col collapsed="false" customWidth="true" hidden="false" outlineLevel="0" max="265" min="265" style="101" width="15.75"/>
    <col collapsed="false" customWidth="true" hidden="false" outlineLevel="0" max="266" min="266" style="101" width="11.38"/>
    <col collapsed="false" customWidth="true" hidden="false" outlineLevel="0" max="267" min="267" style="101" width="4.63"/>
    <col collapsed="false" customWidth="true" hidden="false" outlineLevel="0" max="268" min="268" style="101" width="5.5"/>
    <col collapsed="false" customWidth="true" hidden="false" outlineLevel="0" max="269" min="269" style="101" width="30.37"/>
    <col collapsed="false" customWidth="true" hidden="false" outlineLevel="0" max="270" min="270" style="101" width="10.5"/>
    <col collapsed="false" customWidth="true" hidden="false" outlineLevel="0" max="271" min="271" style="101" width="42.12"/>
    <col collapsed="false" customWidth="true" hidden="false" outlineLevel="0" max="272" min="272" style="101" width="3.75"/>
    <col collapsed="false" customWidth="true" hidden="false" outlineLevel="0" max="273" min="273" style="101" width="30.5"/>
    <col collapsed="false" customWidth="false" hidden="false" outlineLevel="0" max="274" min="274" style="101" width="9"/>
    <col collapsed="false" customWidth="true" hidden="false" outlineLevel="0" max="275" min="275" style="101" width="25"/>
    <col collapsed="false" customWidth="false" hidden="false" outlineLevel="0" max="513" min="276" style="101" width="9"/>
    <col collapsed="false" customWidth="true" hidden="false" outlineLevel="0" max="514" min="514" style="101" width="3"/>
    <col collapsed="false" customWidth="true" hidden="false" outlineLevel="0" max="515" min="515" style="101" width="5.5"/>
    <col collapsed="false" customWidth="true" hidden="false" outlineLevel="0" max="516" min="516" style="101" width="21.37"/>
    <col collapsed="false" customWidth="true" hidden="false" outlineLevel="0" max="517" min="517" style="101" width="14.75"/>
    <col collapsed="false" customWidth="true" hidden="false" outlineLevel="0" max="518" min="518" style="101" width="3.12"/>
    <col collapsed="false" customWidth="true" hidden="false" outlineLevel="0" max="519" min="519" style="101" width="6"/>
    <col collapsed="false" customWidth="true" hidden="false" outlineLevel="0" max="520" min="520" style="101" width="23"/>
    <col collapsed="false" customWidth="true" hidden="false" outlineLevel="0" max="521" min="521" style="101" width="15.75"/>
    <col collapsed="false" customWidth="true" hidden="false" outlineLevel="0" max="522" min="522" style="101" width="11.38"/>
    <col collapsed="false" customWidth="true" hidden="false" outlineLevel="0" max="523" min="523" style="101" width="4.63"/>
    <col collapsed="false" customWidth="true" hidden="false" outlineLevel="0" max="524" min="524" style="101" width="5.5"/>
    <col collapsed="false" customWidth="true" hidden="false" outlineLevel="0" max="525" min="525" style="101" width="30.37"/>
    <col collapsed="false" customWidth="true" hidden="false" outlineLevel="0" max="526" min="526" style="101" width="10.5"/>
    <col collapsed="false" customWidth="true" hidden="false" outlineLevel="0" max="527" min="527" style="101" width="42.12"/>
    <col collapsed="false" customWidth="true" hidden="false" outlineLevel="0" max="528" min="528" style="101" width="3.75"/>
    <col collapsed="false" customWidth="true" hidden="false" outlineLevel="0" max="529" min="529" style="101" width="30.5"/>
    <col collapsed="false" customWidth="false" hidden="false" outlineLevel="0" max="530" min="530" style="101" width="9"/>
    <col collapsed="false" customWidth="true" hidden="false" outlineLevel="0" max="531" min="531" style="101" width="25"/>
    <col collapsed="false" customWidth="false" hidden="false" outlineLevel="0" max="769" min="532" style="101" width="9"/>
    <col collapsed="false" customWidth="true" hidden="false" outlineLevel="0" max="770" min="770" style="101" width="3"/>
    <col collapsed="false" customWidth="true" hidden="false" outlineLevel="0" max="771" min="771" style="101" width="5.5"/>
    <col collapsed="false" customWidth="true" hidden="false" outlineLevel="0" max="772" min="772" style="101" width="21.37"/>
    <col collapsed="false" customWidth="true" hidden="false" outlineLevel="0" max="773" min="773" style="101" width="14.75"/>
    <col collapsed="false" customWidth="true" hidden="false" outlineLevel="0" max="774" min="774" style="101" width="3.12"/>
    <col collapsed="false" customWidth="true" hidden="false" outlineLevel="0" max="775" min="775" style="101" width="6"/>
    <col collapsed="false" customWidth="true" hidden="false" outlineLevel="0" max="776" min="776" style="101" width="23"/>
    <col collapsed="false" customWidth="true" hidden="false" outlineLevel="0" max="777" min="777" style="101" width="15.75"/>
    <col collapsed="false" customWidth="true" hidden="false" outlineLevel="0" max="778" min="778" style="101" width="11.38"/>
    <col collapsed="false" customWidth="true" hidden="false" outlineLevel="0" max="779" min="779" style="101" width="4.63"/>
    <col collapsed="false" customWidth="true" hidden="false" outlineLevel="0" max="780" min="780" style="101" width="5.5"/>
    <col collapsed="false" customWidth="true" hidden="false" outlineLevel="0" max="781" min="781" style="101" width="30.37"/>
    <col collapsed="false" customWidth="true" hidden="false" outlineLevel="0" max="782" min="782" style="101" width="10.5"/>
    <col collapsed="false" customWidth="true" hidden="false" outlineLevel="0" max="783" min="783" style="101" width="42.12"/>
    <col collapsed="false" customWidth="true" hidden="false" outlineLevel="0" max="784" min="784" style="101" width="3.75"/>
    <col collapsed="false" customWidth="true" hidden="false" outlineLevel="0" max="785" min="785" style="101" width="30.5"/>
    <col collapsed="false" customWidth="false" hidden="false" outlineLevel="0" max="786" min="786" style="101" width="9"/>
    <col collapsed="false" customWidth="true" hidden="false" outlineLevel="0" max="787" min="787" style="101" width="25"/>
    <col collapsed="false" customWidth="false" hidden="false" outlineLevel="0" max="1025" min="788" style="101" width="9"/>
    <col collapsed="false" customWidth="true" hidden="false" outlineLevel="0" max="1026" min="1026" style="101" width="3"/>
    <col collapsed="false" customWidth="true" hidden="false" outlineLevel="0" max="1027" min="1027" style="101" width="5.5"/>
    <col collapsed="false" customWidth="true" hidden="false" outlineLevel="0" max="1028" min="1028" style="101" width="21.37"/>
    <col collapsed="false" customWidth="true" hidden="false" outlineLevel="0" max="1029" min="1029" style="101" width="14.75"/>
    <col collapsed="false" customWidth="true" hidden="false" outlineLevel="0" max="1030" min="1030" style="101" width="3.12"/>
    <col collapsed="false" customWidth="true" hidden="false" outlineLevel="0" max="1031" min="1031" style="101" width="6"/>
    <col collapsed="false" customWidth="true" hidden="false" outlineLevel="0" max="1032" min="1032" style="101" width="23"/>
    <col collapsed="false" customWidth="true" hidden="false" outlineLevel="0" max="1033" min="1033" style="101" width="15.75"/>
    <col collapsed="false" customWidth="true" hidden="false" outlineLevel="0" max="1034" min="1034" style="101" width="11.38"/>
    <col collapsed="false" customWidth="true" hidden="false" outlineLevel="0" max="1035" min="1035" style="101" width="4.63"/>
    <col collapsed="false" customWidth="true" hidden="false" outlineLevel="0" max="1036" min="1036" style="101" width="5.5"/>
    <col collapsed="false" customWidth="true" hidden="false" outlineLevel="0" max="1037" min="1037" style="101" width="30.37"/>
    <col collapsed="false" customWidth="true" hidden="false" outlineLevel="0" max="1038" min="1038" style="101" width="10.5"/>
    <col collapsed="false" customWidth="true" hidden="false" outlineLevel="0" max="1039" min="1039" style="101" width="42.12"/>
    <col collapsed="false" customWidth="true" hidden="false" outlineLevel="0" max="1040" min="1040" style="101" width="3.75"/>
    <col collapsed="false" customWidth="true" hidden="false" outlineLevel="0" max="1041" min="1041" style="101" width="30.5"/>
    <col collapsed="false" customWidth="false" hidden="false" outlineLevel="0" max="1042" min="1042" style="101" width="9"/>
    <col collapsed="false" customWidth="true" hidden="false" outlineLevel="0" max="1043" min="1043" style="101" width="25"/>
    <col collapsed="false" customWidth="false" hidden="false" outlineLevel="0" max="1281" min="1044" style="101" width="9"/>
    <col collapsed="false" customWidth="true" hidden="false" outlineLevel="0" max="1282" min="1282" style="101" width="3"/>
    <col collapsed="false" customWidth="true" hidden="false" outlineLevel="0" max="1283" min="1283" style="101" width="5.5"/>
    <col collapsed="false" customWidth="true" hidden="false" outlineLevel="0" max="1284" min="1284" style="101" width="21.37"/>
    <col collapsed="false" customWidth="true" hidden="false" outlineLevel="0" max="1285" min="1285" style="101" width="14.75"/>
    <col collapsed="false" customWidth="true" hidden="false" outlineLevel="0" max="1286" min="1286" style="101" width="3.12"/>
    <col collapsed="false" customWidth="true" hidden="false" outlineLevel="0" max="1287" min="1287" style="101" width="6"/>
    <col collapsed="false" customWidth="true" hidden="false" outlineLevel="0" max="1288" min="1288" style="101" width="23"/>
    <col collapsed="false" customWidth="true" hidden="false" outlineLevel="0" max="1289" min="1289" style="101" width="15.75"/>
    <col collapsed="false" customWidth="true" hidden="false" outlineLevel="0" max="1290" min="1290" style="101" width="11.38"/>
    <col collapsed="false" customWidth="true" hidden="false" outlineLevel="0" max="1291" min="1291" style="101" width="4.63"/>
    <col collapsed="false" customWidth="true" hidden="false" outlineLevel="0" max="1292" min="1292" style="101" width="5.5"/>
    <col collapsed="false" customWidth="true" hidden="false" outlineLevel="0" max="1293" min="1293" style="101" width="30.37"/>
    <col collapsed="false" customWidth="true" hidden="false" outlineLevel="0" max="1294" min="1294" style="101" width="10.5"/>
    <col collapsed="false" customWidth="true" hidden="false" outlineLevel="0" max="1295" min="1295" style="101" width="42.12"/>
    <col collapsed="false" customWidth="true" hidden="false" outlineLevel="0" max="1296" min="1296" style="101" width="3.75"/>
    <col collapsed="false" customWidth="true" hidden="false" outlineLevel="0" max="1297" min="1297" style="101" width="30.5"/>
    <col collapsed="false" customWidth="false" hidden="false" outlineLevel="0" max="1298" min="1298" style="101" width="9"/>
    <col collapsed="false" customWidth="true" hidden="false" outlineLevel="0" max="1299" min="1299" style="101" width="25"/>
    <col collapsed="false" customWidth="false" hidden="false" outlineLevel="0" max="1537" min="1300" style="101" width="9"/>
    <col collapsed="false" customWidth="true" hidden="false" outlineLevel="0" max="1538" min="1538" style="101" width="3"/>
    <col collapsed="false" customWidth="true" hidden="false" outlineLevel="0" max="1539" min="1539" style="101" width="5.5"/>
    <col collapsed="false" customWidth="true" hidden="false" outlineLevel="0" max="1540" min="1540" style="101" width="21.37"/>
    <col collapsed="false" customWidth="true" hidden="false" outlineLevel="0" max="1541" min="1541" style="101" width="14.75"/>
    <col collapsed="false" customWidth="true" hidden="false" outlineLevel="0" max="1542" min="1542" style="101" width="3.12"/>
    <col collapsed="false" customWidth="true" hidden="false" outlineLevel="0" max="1543" min="1543" style="101" width="6"/>
    <col collapsed="false" customWidth="true" hidden="false" outlineLevel="0" max="1544" min="1544" style="101" width="23"/>
    <col collapsed="false" customWidth="true" hidden="false" outlineLevel="0" max="1545" min="1545" style="101" width="15.75"/>
    <col collapsed="false" customWidth="true" hidden="false" outlineLevel="0" max="1546" min="1546" style="101" width="11.38"/>
    <col collapsed="false" customWidth="true" hidden="false" outlineLevel="0" max="1547" min="1547" style="101" width="4.63"/>
    <col collapsed="false" customWidth="true" hidden="false" outlineLevel="0" max="1548" min="1548" style="101" width="5.5"/>
    <col collapsed="false" customWidth="true" hidden="false" outlineLevel="0" max="1549" min="1549" style="101" width="30.37"/>
    <col collapsed="false" customWidth="true" hidden="false" outlineLevel="0" max="1550" min="1550" style="101" width="10.5"/>
    <col collapsed="false" customWidth="true" hidden="false" outlineLevel="0" max="1551" min="1551" style="101" width="42.12"/>
    <col collapsed="false" customWidth="true" hidden="false" outlineLevel="0" max="1552" min="1552" style="101" width="3.75"/>
    <col collapsed="false" customWidth="true" hidden="false" outlineLevel="0" max="1553" min="1553" style="101" width="30.5"/>
    <col collapsed="false" customWidth="false" hidden="false" outlineLevel="0" max="1554" min="1554" style="101" width="9"/>
    <col collapsed="false" customWidth="true" hidden="false" outlineLevel="0" max="1555" min="1555" style="101" width="25"/>
    <col collapsed="false" customWidth="false" hidden="false" outlineLevel="0" max="1793" min="1556" style="101" width="9"/>
    <col collapsed="false" customWidth="true" hidden="false" outlineLevel="0" max="1794" min="1794" style="101" width="3"/>
    <col collapsed="false" customWidth="true" hidden="false" outlineLevel="0" max="1795" min="1795" style="101" width="5.5"/>
    <col collapsed="false" customWidth="true" hidden="false" outlineLevel="0" max="1796" min="1796" style="101" width="21.37"/>
    <col collapsed="false" customWidth="true" hidden="false" outlineLevel="0" max="1797" min="1797" style="101" width="14.75"/>
    <col collapsed="false" customWidth="true" hidden="false" outlineLevel="0" max="1798" min="1798" style="101" width="3.12"/>
    <col collapsed="false" customWidth="true" hidden="false" outlineLevel="0" max="1799" min="1799" style="101" width="6"/>
    <col collapsed="false" customWidth="true" hidden="false" outlineLevel="0" max="1800" min="1800" style="101" width="23"/>
    <col collapsed="false" customWidth="true" hidden="false" outlineLevel="0" max="1801" min="1801" style="101" width="15.75"/>
    <col collapsed="false" customWidth="true" hidden="false" outlineLevel="0" max="1802" min="1802" style="101" width="11.38"/>
    <col collapsed="false" customWidth="true" hidden="false" outlineLevel="0" max="1803" min="1803" style="101" width="4.63"/>
    <col collapsed="false" customWidth="true" hidden="false" outlineLevel="0" max="1804" min="1804" style="101" width="5.5"/>
    <col collapsed="false" customWidth="true" hidden="false" outlineLevel="0" max="1805" min="1805" style="101" width="30.37"/>
    <col collapsed="false" customWidth="true" hidden="false" outlineLevel="0" max="1806" min="1806" style="101" width="10.5"/>
    <col collapsed="false" customWidth="true" hidden="false" outlineLevel="0" max="1807" min="1807" style="101" width="42.12"/>
    <col collapsed="false" customWidth="true" hidden="false" outlineLevel="0" max="1808" min="1808" style="101" width="3.75"/>
    <col collapsed="false" customWidth="true" hidden="false" outlineLevel="0" max="1809" min="1809" style="101" width="30.5"/>
    <col collapsed="false" customWidth="false" hidden="false" outlineLevel="0" max="1810" min="1810" style="101" width="9"/>
    <col collapsed="false" customWidth="true" hidden="false" outlineLevel="0" max="1811" min="1811" style="101" width="25"/>
    <col collapsed="false" customWidth="false" hidden="false" outlineLevel="0" max="2049" min="1812" style="101" width="9"/>
    <col collapsed="false" customWidth="true" hidden="false" outlineLevel="0" max="2050" min="2050" style="101" width="3"/>
    <col collapsed="false" customWidth="true" hidden="false" outlineLevel="0" max="2051" min="2051" style="101" width="5.5"/>
    <col collapsed="false" customWidth="true" hidden="false" outlineLevel="0" max="2052" min="2052" style="101" width="21.37"/>
    <col collapsed="false" customWidth="true" hidden="false" outlineLevel="0" max="2053" min="2053" style="101" width="14.75"/>
    <col collapsed="false" customWidth="true" hidden="false" outlineLevel="0" max="2054" min="2054" style="101" width="3.12"/>
    <col collapsed="false" customWidth="true" hidden="false" outlineLevel="0" max="2055" min="2055" style="101" width="6"/>
    <col collapsed="false" customWidth="true" hidden="false" outlineLevel="0" max="2056" min="2056" style="101" width="23"/>
    <col collapsed="false" customWidth="true" hidden="false" outlineLevel="0" max="2057" min="2057" style="101" width="15.75"/>
    <col collapsed="false" customWidth="true" hidden="false" outlineLevel="0" max="2058" min="2058" style="101" width="11.38"/>
    <col collapsed="false" customWidth="true" hidden="false" outlineLevel="0" max="2059" min="2059" style="101" width="4.63"/>
    <col collapsed="false" customWidth="true" hidden="false" outlineLevel="0" max="2060" min="2060" style="101" width="5.5"/>
    <col collapsed="false" customWidth="true" hidden="false" outlineLevel="0" max="2061" min="2061" style="101" width="30.37"/>
    <col collapsed="false" customWidth="true" hidden="false" outlineLevel="0" max="2062" min="2062" style="101" width="10.5"/>
    <col collapsed="false" customWidth="true" hidden="false" outlineLevel="0" max="2063" min="2063" style="101" width="42.12"/>
    <col collapsed="false" customWidth="true" hidden="false" outlineLevel="0" max="2064" min="2064" style="101" width="3.75"/>
    <col collapsed="false" customWidth="true" hidden="false" outlineLevel="0" max="2065" min="2065" style="101" width="30.5"/>
    <col collapsed="false" customWidth="false" hidden="false" outlineLevel="0" max="2066" min="2066" style="101" width="9"/>
    <col collapsed="false" customWidth="true" hidden="false" outlineLevel="0" max="2067" min="2067" style="101" width="25"/>
    <col collapsed="false" customWidth="false" hidden="false" outlineLevel="0" max="2305" min="2068" style="101" width="9"/>
    <col collapsed="false" customWidth="true" hidden="false" outlineLevel="0" max="2306" min="2306" style="101" width="3"/>
    <col collapsed="false" customWidth="true" hidden="false" outlineLevel="0" max="2307" min="2307" style="101" width="5.5"/>
    <col collapsed="false" customWidth="true" hidden="false" outlineLevel="0" max="2308" min="2308" style="101" width="21.37"/>
    <col collapsed="false" customWidth="true" hidden="false" outlineLevel="0" max="2309" min="2309" style="101" width="14.75"/>
    <col collapsed="false" customWidth="true" hidden="false" outlineLevel="0" max="2310" min="2310" style="101" width="3.12"/>
    <col collapsed="false" customWidth="true" hidden="false" outlineLevel="0" max="2311" min="2311" style="101" width="6"/>
    <col collapsed="false" customWidth="true" hidden="false" outlineLevel="0" max="2312" min="2312" style="101" width="23"/>
    <col collapsed="false" customWidth="true" hidden="false" outlineLevel="0" max="2313" min="2313" style="101" width="15.75"/>
    <col collapsed="false" customWidth="true" hidden="false" outlineLevel="0" max="2314" min="2314" style="101" width="11.38"/>
    <col collapsed="false" customWidth="true" hidden="false" outlineLevel="0" max="2315" min="2315" style="101" width="4.63"/>
    <col collapsed="false" customWidth="true" hidden="false" outlineLevel="0" max="2316" min="2316" style="101" width="5.5"/>
    <col collapsed="false" customWidth="true" hidden="false" outlineLevel="0" max="2317" min="2317" style="101" width="30.37"/>
    <col collapsed="false" customWidth="true" hidden="false" outlineLevel="0" max="2318" min="2318" style="101" width="10.5"/>
    <col collapsed="false" customWidth="true" hidden="false" outlineLevel="0" max="2319" min="2319" style="101" width="42.12"/>
    <col collapsed="false" customWidth="true" hidden="false" outlineLevel="0" max="2320" min="2320" style="101" width="3.75"/>
    <col collapsed="false" customWidth="true" hidden="false" outlineLevel="0" max="2321" min="2321" style="101" width="30.5"/>
    <col collapsed="false" customWidth="false" hidden="false" outlineLevel="0" max="2322" min="2322" style="101" width="9"/>
    <col collapsed="false" customWidth="true" hidden="false" outlineLevel="0" max="2323" min="2323" style="101" width="25"/>
    <col collapsed="false" customWidth="false" hidden="false" outlineLevel="0" max="2561" min="2324" style="101" width="9"/>
    <col collapsed="false" customWidth="true" hidden="false" outlineLevel="0" max="2562" min="2562" style="101" width="3"/>
    <col collapsed="false" customWidth="true" hidden="false" outlineLevel="0" max="2563" min="2563" style="101" width="5.5"/>
    <col collapsed="false" customWidth="true" hidden="false" outlineLevel="0" max="2564" min="2564" style="101" width="21.37"/>
    <col collapsed="false" customWidth="true" hidden="false" outlineLevel="0" max="2565" min="2565" style="101" width="14.75"/>
    <col collapsed="false" customWidth="true" hidden="false" outlineLevel="0" max="2566" min="2566" style="101" width="3.12"/>
    <col collapsed="false" customWidth="true" hidden="false" outlineLevel="0" max="2567" min="2567" style="101" width="6"/>
    <col collapsed="false" customWidth="true" hidden="false" outlineLevel="0" max="2568" min="2568" style="101" width="23"/>
    <col collapsed="false" customWidth="true" hidden="false" outlineLevel="0" max="2569" min="2569" style="101" width="15.75"/>
    <col collapsed="false" customWidth="true" hidden="false" outlineLevel="0" max="2570" min="2570" style="101" width="11.38"/>
    <col collapsed="false" customWidth="true" hidden="false" outlineLevel="0" max="2571" min="2571" style="101" width="4.63"/>
    <col collapsed="false" customWidth="true" hidden="false" outlineLevel="0" max="2572" min="2572" style="101" width="5.5"/>
    <col collapsed="false" customWidth="true" hidden="false" outlineLevel="0" max="2573" min="2573" style="101" width="30.37"/>
    <col collapsed="false" customWidth="true" hidden="false" outlineLevel="0" max="2574" min="2574" style="101" width="10.5"/>
    <col collapsed="false" customWidth="true" hidden="false" outlineLevel="0" max="2575" min="2575" style="101" width="42.12"/>
    <col collapsed="false" customWidth="true" hidden="false" outlineLevel="0" max="2576" min="2576" style="101" width="3.75"/>
    <col collapsed="false" customWidth="true" hidden="false" outlineLevel="0" max="2577" min="2577" style="101" width="30.5"/>
    <col collapsed="false" customWidth="false" hidden="false" outlineLevel="0" max="2578" min="2578" style="101" width="9"/>
    <col collapsed="false" customWidth="true" hidden="false" outlineLevel="0" max="2579" min="2579" style="101" width="25"/>
    <col collapsed="false" customWidth="false" hidden="false" outlineLevel="0" max="2817" min="2580" style="101" width="9"/>
    <col collapsed="false" customWidth="true" hidden="false" outlineLevel="0" max="2818" min="2818" style="101" width="3"/>
    <col collapsed="false" customWidth="true" hidden="false" outlineLevel="0" max="2819" min="2819" style="101" width="5.5"/>
    <col collapsed="false" customWidth="true" hidden="false" outlineLevel="0" max="2820" min="2820" style="101" width="21.37"/>
    <col collapsed="false" customWidth="true" hidden="false" outlineLevel="0" max="2821" min="2821" style="101" width="14.75"/>
    <col collapsed="false" customWidth="true" hidden="false" outlineLevel="0" max="2822" min="2822" style="101" width="3.12"/>
    <col collapsed="false" customWidth="true" hidden="false" outlineLevel="0" max="2823" min="2823" style="101" width="6"/>
    <col collapsed="false" customWidth="true" hidden="false" outlineLevel="0" max="2824" min="2824" style="101" width="23"/>
    <col collapsed="false" customWidth="true" hidden="false" outlineLevel="0" max="2825" min="2825" style="101" width="15.75"/>
    <col collapsed="false" customWidth="true" hidden="false" outlineLevel="0" max="2826" min="2826" style="101" width="11.38"/>
    <col collapsed="false" customWidth="true" hidden="false" outlineLevel="0" max="2827" min="2827" style="101" width="4.63"/>
    <col collapsed="false" customWidth="true" hidden="false" outlineLevel="0" max="2828" min="2828" style="101" width="5.5"/>
    <col collapsed="false" customWidth="true" hidden="false" outlineLevel="0" max="2829" min="2829" style="101" width="30.37"/>
    <col collapsed="false" customWidth="true" hidden="false" outlineLevel="0" max="2830" min="2830" style="101" width="10.5"/>
    <col collapsed="false" customWidth="true" hidden="false" outlineLevel="0" max="2831" min="2831" style="101" width="42.12"/>
    <col collapsed="false" customWidth="true" hidden="false" outlineLevel="0" max="2832" min="2832" style="101" width="3.75"/>
    <col collapsed="false" customWidth="true" hidden="false" outlineLevel="0" max="2833" min="2833" style="101" width="30.5"/>
    <col collapsed="false" customWidth="false" hidden="false" outlineLevel="0" max="2834" min="2834" style="101" width="9"/>
    <col collapsed="false" customWidth="true" hidden="false" outlineLevel="0" max="2835" min="2835" style="101" width="25"/>
    <col collapsed="false" customWidth="false" hidden="false" outlineLevel="0" max="3073" min="2836" style="101" width="9"/>
    <col collapsed="false" customWidth="true" hidden="false" outlineLevel="0" max="3074" min="3074" style="101" width="3"/>
    <col collapsed="false" customWidth="true" hidden="false" outlineLevel="0" max="3075" min="3075" style="101" width="5.5"/>
    <col collapsed="false" customWidth="true" hidden="false" outlineLevel="0" max="3076" min="3076" style="101" width="21.37"/>
    <col collapsed="false" customWidth="true" hidden="false" outlineLevel="0" max="3077" min="3077" style="101" width="14.75"/>
    <col collapsed="false" customWidth="true" hidden="false" outlineLevel="0" max="3078" min="3078" style="101" width="3.12"/>
    <col collapsed="false" customWidth="true" hidden="false" outlineLevel="0" max="3079" min="3079" style="101" width="6"/>
    <col collapsed="false" customWidth="true" hidden="false" outlineLevel="0" max="3080" min="3080" style="101" width="23"/>
    <col collapsed="false" customWidth="true" hidden="false" outlineLevel="0" max="3081" min="3081" style="101" width="15.75"/>
    <col collapsed="false" customWidth="true" hidden="false" outlineLevel="0" max="3082" min="3082" style="101" width="11.38"/>
    <col collapsed="false" customWidth="true" hidden="false" outlineLevel="0" max="3083" min="3083" style="101" width="4.63"/>
    <col collapsed="false" customWidth="true" hidden="false" outlineLevel="0" max="3084" min="3084" style="101" width="5.5"/>
    <col collapsed="false" customWidth="true" hidden="false" outlineLevel="0" max="3085" min="3085" style="101" width="30.37"/>
    <col collapsed="false" customWidth="true" hidden="false" outlineLevel="0" max="3086" min="3086" style="101" width="10.5"/>
    <col collapsed="false" customWidth="true" hidden="false" outlineLevel="0" max="3087" min="3087" style="101" width="42.12"/>
    <col collapsed="false" customWidth="true" hidden="false" outlineLevel="0" max="3088" min="3088" style="101" width="3.75"/>
    <col collapsed="false" customWidth="true" hidden="false" outlineLevel="0" max="3089" min="3089" style="101" width="30.5"/>
    <col collapsed="false" customWidth="false" hidden="false" outlineLevel="0" max="3090" min="3090" style="101" width="9"/>
    <col collapsed="false" customWidth="true" hidden="false" outlineLevel="0" max="3091" min="3091" style="101" width="25"/>
    <col collapsed="false" customWidth="false" hidden="false" outlineLevel="0" max="3329" min="3092" style="101" width="9"/>
    <col collapsed="false" customWidth="true" hidden="false" outlineLevel="0" max="3330" min="3330" style="101" width="3"/>
    <col collapsed="false" customWidth="true" hidden="false" outlineLevel="0" max="3331" min="3331" style="101" width="5.5"/>
    <col collapsed="false" customWidth="true" hidden="false" outlineLevel="0" max="3332" min="3332" style="101" width="21.37"/>
    <col collapsed="false" customWidth="true" hidden="false" outlineLevel="0" max="3333" min="3333" style="101" width="14.75"/>
    <col collapsed="false" customWidth="true" hidden="false" outlineLevel="0" max="3334" min="3334" style="101" width="3.12"/>
    <col collapsed="false" customWidth="true" hidden="false" outlineLevel="0" max="3335" min="3335" style="101" width="6"/>
    <col collapsed="false" customWidth="true" hidden="false" outlineLevel="0" max="3336" min="3336" style="101" width="23"/>
    <col collapsed="false" customWidth="true" hidden="false" outlineLevel="0" max="3337" min="3337" style="101" width="15.75"/>
    <col collapsed="false" customWidth="true" hidden="false" outlineLevel="0" max="3338" min="3338" style="101" width="11.38"/>
    <col collapsed="false" customWidth="true" hidden="false" outlineLevel="0" max="3339" min="3339" style="101" width="4.63"/>
    <col collapsed="false" customWidth="true" hidden="false" outlineLevel="0" max="3340" min="3340" style="101" width="5.5"/>
    <col collapsed="false" customWidth="true" hidden="false" outlineLevel="0" max="3341" min="3341" style="101" width="30.37"/>
    <col collapsed="false" customWidth="true" hidden="false" outlineLevel="0" max="3342" min="3342" style="101" width="10.5"/>
    <col collapsed="false" customWidth="true" hidden="false" outlineLevel="0" max="3343" min="3343" style="101" width="42.12"/>
    <col collapsed="false" customWidth="true" hidden="false" outlineLevel="0" max="3344" min="3344" style="101" width="3.75"/>
    <col collapsed="false" customWidth="true" hidden="false" outlineLevel="0" max="3345" min="3345" style="101" width="30.5"/>
    <col collapsed="false" customWidth="false" hidden="false" outlineLevel="0" max="3346" min="3346" style="101" width="9"/>
    <col collapsed="false" customWidth="true" hidden="false" outlineLevel="0" max="3347" min="3347" style="101" width="25"/>
    <col collapsed="false" customWidth="false" hidden="false" outlineLevel="0" max="3585" min="3348" style="101" width="9"/>
    <col collapsed="false" customWidth="true" hidden="false" outlineLevel="0" max="3586" min="3586" style="101" width="3"/>
    <col collapsed="false" customWidth="true" hidden="false" outlineLevel="0" max="3587" min="3587" style="101" width="5.5"/>
    <col collapsed="false" customWidth="true" hidden="false" outlineLevel="0" max="3588" min="3588" style="101" width="21.37"/>
    <col collapsed="false" customWidth="true" hidden="false" outlineLevel="0" max="3589" min="3589" style="101" width="14.75"/>
    <col collapsed="false" customWidth="true" hidden="false" outlineLevel="0" max="3590" min="3590" style="101" width="3.12"/>
    <col collapsed="false" customWidth="true" hidden="false" outlineLevel="0" max="3591" min="3591" style="101" width="6"/>
    <col collapsed="false" customWidth="true" hidden="false" outlineLevel="0" max="3592" min="3592" style="101" width="23"/>
    <col collapsed="false" customWidth="true" hidden="false" outlineLevel="0" max="3593" min="3593" style="101" width="15.75"/>
    <col collapsed="false" customWidth="true" hidden="false" outlineLevel="0" max="3594" min="3594" style="101" width="11.38"/>
    <col collapsed="false" customWidth="true" hidden="false" outlineLevel="0" max="3595" min="3595" style="101" width="4.63"/>
    <col collapsed="false" customWidth="true" hidden="false" outlineLevel="0" max="3596" min="3596" style="101" width="5.5"/>
    <col collapsed="false" customWidth="true" hidden="false" outlineLevel="0" max="3597" min="3597" style="101" width="30.37"/>
    <col collapsed="false" customWidth="true" hidden="false" outlineLevel="0" max="3598" min="3598" style="101" width="10.5"/>
    <col collapsed="false" customWidth="true" hidden="false" outlineLevel="0" max="3599" min="3599" style="101" width="42.12"/>
    <col collapsed="false" customWidth="true" hidden="false" outlineLevel="0" max="3600" min="3600" style="101" width="3.75"/>
    <col collapsed="false" customWidth="true" hidden="false" outlineLevel="0" max="3601" min="3601" style="101" width="30.5"/>
    <col collapsed="false" customWidth="false" hidden="false" outlineLevel="0" max="3602" min="3602" style="101" width="9"/>
    <col collapsed="false" customWidth="true" hidden="false" outlineLevel="0" max="3603" min="3603" style="101" width="25"/>
    <col collapsed="false" customWidth="false" hidden="false" outlineLevel="0" max="3841" min="3604" style="101" width="9"/>
    <col collapsed="false" customWidth="true" hidden="false" outlineLevel="0" max="3842" min="3842" style="101" width="3"/>
    <col collapsed="false" customWidth="true" hidden="false" outlineLevel="0" max="3843" min="3843" style="101" width="5.5"/>
    <col collapsed="false" customWidth="true" hidden="false" outlineLevel="0" max="3844" min="3844" style="101" width="21.37"/>
    <col collapsed="false" customWidth="true" hidden="false" outlineLevel="0" max="3845" min="3845" style="101" width="14.75"/>
    <col collapsed="false" customWidth="true" hidden="false" outlineLevel="0" max="3846" min="3846" style="101" width="3.12"/>
    <col collapsed="false" customWidth="true" hidden="false" outlineLevel="0" max="3847" min="3847" style="101" width="6"/>
    <col collapsed="false" customWidth="true" hidden="false" outlineLevel="0" max="3848" min="3848" style="101" width="23"/>
    <col collapsed="false" customWidth="true" hidden="false" outlineLevel="0" max="3849" min="3849" style="101" width="15.75"/>
    <col collapsed="false" customWidth="true" hidden="false" outlineLevel="0" max="3850" min="3850" style="101" width="11.38"/>
    <col collapsed="false" customWidth="true" hidden="false" outlineLevel="0" max="3851" min="3851" style="101" width="4.63"/>
    <col collapsed="false" customWidth="true" hidden="false" outlineLevel="0" max="3852" min="3852" style="101" width="5.5"/>
    <col collapsed="false" customWidth="true" hidden="false" outlineLevel="0" max="3853" min="3853" style="101" width="30.37"/>
    <col collapsed="false" customWidth="true" hidden="false" outlineLevel="0" max="3854" min="3854" style="101" width="10.5"/>
    <col collapsed="false" customWidth="true" hidden="false" outlineLevel="0" max="3855" min="3855" style="101" width="42.12"/>
    <col collapsed="false" customWidth="true" hidden="false" outlineLevel="0" max="3856" min="3856" style="101" width="3.75"/>
    <col collapsed="false" customWidth="true" hidden="false" outlineLevel="0" max="3857" min="3857" style="101" width="30.5"/>
    <col collapsed="false" customWidth="false" hidden="false" outlineLevel="0" max="3858" min="3858" style="101" width="9"/>
    <col collapsed="false" customWidth="true" hidden="false" outlineLevel="0" max="3859" min="3859" style="101" width="25"/>
    <col collapsed="false" customWidth="false" hidden="false" outlineLevel="0" max="4097" min="3860" style="101" width="9"/>
    <col collapsed="false" customWidth="true" hidden="false" outlineLevel="0" max="4098" min="4098" style="101" width="3"/>
    <col collapsed="false" customWidth="true" hidden="false" outlineLevel="0" max="4099" min="4099" style="101" width="5.5"/>
    <col collapsed="false" customWidth="true" hidden="false" outlineLevel="0" max="4100" min="4100" style="101" width="21.37"/>
    <col collapsed="false" customWidth="true" hidden="false" outlineLevel="0" max="4101" min="4101" style="101" width="14.75"/>
    <col collapsed="false" customWidth="true" hidden="false" outlineLevel="0" max="4102" min="4102" style="101" width="3.12"/>
    <col collapsed="false" customWidth="true" hidden="false" outlineLevel="0" max="4103" min="4103" style="101" width="6"/>
    <col collapsed="false" customWidth="true" hidden="false" outlineLevel="0" max="4104" min="4104" style="101" width="23"/>
    <col collapsed="false" customWidth="true" hidden="false" outlineLevel="0" max="4105" min="4105" style="101" width="15.75"/>
    <col collapsed="false" customWidth="true" hidden="false" outlineLevel="0" max="4106" min="4106" style="101" width="11.38"/>
    <col collapsed="false" customWidth="true" hidden="false" outlineLevel="0" max="4107" min="4107" style="101" width="4.63"/>
    <col collapsed="false" customWidth="true" hidden="false" outlineLevel="0" max="4108" min="4108" style="101" width="5.5"/>
    <col collapsed="false" customWidth="true" hidden="false" outlineLevel="0" max="4109" min="4109" style="101" width="30.37"/>
    <col collapsed="false" customWidth="true" hidden="false" outlineLevel="0" max="4110" min="4110" style="101" width="10.5"/>
    <col collapsed="false" customWidth="true" hidden="false" outlineLevel="0" max="4111" min="4111" style="101" width="42.12"/>
    <col collapsed="false" customWidth="true" hidden="false" outlineLevel="0" max="4112" min="4112" style="101" width="3.75"/>
    <col collapsed="false" customWidth="true" hidden="false" outlineLevel="0" max="4113" min="4113" style="101" width="30.5"/>
    <col collapsed="false" customWidth="false" hidden="false" outlineLevel="0" max="4114" min="4114" style="101" width="9"/>
    <col collapsed="false" customWidth="true" hidden="false" outlineLevel="0" max="4115" min="4115" style="101" width="25"/>
    <col collapsed="false" customWidth="false" hidden="false" outlineLevel="0" max="4353" min="4116" style="101" width="9"/>
    <col collapsed="false" customWidth="true" hidden="false" outlineLevel="0" max="4354" min="4354" style="101" width="3"/>
    <col collapsed="false" customWidth="true" hidden="false" outlineLevel="0" max="4355" min="4355" style="101" width="5.5"/>
    <col collapsed="false" customWidth="true" hidden="false" outlineLevel="0" max="4356" min="4356" style="101" width="21.37"/>
    <col collapsed="false" customWidth="true" hidden="false" outlineLevel="0" max="4357" min="4357" style="101" width="14.75"/>
    <col collapsed="false" customWidth="true" hidden="false" outlineLevel="0" max="4358" min="4358" style="101" width="3.12"/>
    <col collapsed="false" customWidth="true" hidden="false" outlineLevel="0" max="4359" min="4359" style="101" width="6"/>
    <col collapsed="false" customWidth="true" hidden="false" outlineLevel="0" max="4360" min="4360" style="101" width="23"/>
    <col collapsed="false" customWidth="true" hidden="false" outlineLevel="0" max="4361" min="4361" style="101" width="15.75"/>
    <col collapsed="false" customWidth="true" hidden="false" outlineLevel="0" max="4362" min="4362" style="101" width="11.38"/>
    <col collapsed="false" customWidth="true" hidden="false" outlineLevel="0" max="4363" min="4363" style="101" width="4.63"/>
    <col collapsed="false" customWidth="true" hidden="false" outlineLevel="0" max="4364" min="4364" style="101" width="5.5"/>
    <col collapsed="false" customWidth="true" hidden="false" outlineLevel="0" max="4365" min="4365" style="101" width="30.37"/>
    <col collapsed="false" customWidth="true" hidden="false" outlineLevel="0" max="4366" min="4366" style="101" width="10.5"/>
    <col collapsed="false" customWidth="true" hidden="false" outlineLevel="0" max="4367" min="4367" style="101" width="42.12"/>
    <col collapsed="false" customWidth="true" hidden="false" outlineLevel="0" max="4368" min="4368" style="101" width="3.75"/>
    <col collapsed="false" customWidth="true" hidden="false" outlineLevel="0" max="4369" min="4369" style="101" width="30.5"/>
    <col collapsed="false" customWidth="false" hidden="false" outlineLevel="0" max="4370" min="4370" style="101" width="9"/>
    <col collapsed="false" customWidth="true" hidden="false" outlineLevel="0" max="4371" min="4371" style="101" width="25"/>
    <col collapsed="false" customWidth="false" hidden="false" outlineLevel="0" max="4609" min="4372" style="101" width="9"/>
    <col collapsed="false" customWidth="true" hidden="false" outlineLevel="0" max="4610" min="4610" style="101" width="3"/>
    <col collapsed="false" customWidth="true" hidden="false" outlineLevel="0" max="4611" min="4611" style="101" width="5.5"/>
    <col collapsed="false" customWidth="true" hidden="false" outlineLevel="0" max="4612" min="4612" style="101" width="21.37"/>
    <col collapsed="false" customWidth="true" hidden="false" outlineLevel="0" max="4613" min="4613" style="101" width="14.75"/>
    <col collapsed="false" customWidth="true" hidden="false" outlineLevel="0" max="4614" min="4614" style="101" width="3.12"/>
    <col collapsed="false" customWidth="true" hidden="false" outlineLevel="0" max="4615" min="4615" style="101" width="6"/>
    <col collapsed="false" customWidth="true" hidden="false" outlineLevel="0" max="4616" min="4616" style="101" width="23"/>
    <col collapsed="false" customWidth="true" hidden="false" outlineLevel="0" max="4617" min="4617" style="101" width="15.75"/>
    <col collapsed="false" customWidth="true" hidden="false" outlineLevel="0" max="4618" min="4618" style="101" width="11.38"/>
    <col collapsed="false" customWidth="true" hidden="false" outlineLevel="0" max="4619" min="4619" style="101" width="4.63"/>
    <col collapsed="false" customWidth="true" hidden="false" outlineLevel="0" max="4620" min="4620" style="101" width="5.5"/>
    <col collapsed="false" customWidth="true" hidden="false" outlineLevel="0" max="4621" min="4621" style="101" width="30.37"/>
    <col collapsed="false" customWidth="true" hidden="false" outlineLevel="0" max="4622" min="4622" style="101" width="10.5"/>
    <col collapsed="false" customWidth="true" hidden="false" outlineLevel="0" max="4623" min="4623" style="101" width="42.12"/>
    <col collapsed="false" customWidth="true" hidden="false" outlineLevel="0" max="4624" min="4624" style="101" width="3.75"/>
    <col collapsed="false" customWidth="true" hidden="false" outlineLevel="0" max="4625" min="4625" style="101" width="30.5"/>
    <col collapsed="false" customWidth="false" hidden="false" outlineLevel="0" max="4626" min="4626" style="101" width="9"/>
    <col collapsed="false" customWidth="true" hidden="false" outlineLevel="0" max="4627" min="4627" style="101" width="25"/>
    <col collapsed="false" customWidth="false" hidden="false" outlineLevel="0" max="4865" min="4628" style="101" width="9"/>
    <col collapsed="false" customWidth="true" hidden="false" outlineLevel="0" max="4866" min="4866" style="101" width="3"/>
    <col collapsed="false" customWidth="true" hidden="false" outlineLevel="0" max="4867" min="4867" style="101" width="5.5"/>
    <col collapsed="false" customWidth="true" hidden="false" outlineLevel="0" max="4868" min="4868" style="101" width="21.37"/>
    <col collapsed="false" customWidth="true" hidden="false" outlineLevel="0" max="4869" min="4869" style="101" width="14.75"/>
    <col collapsed="false" customWidth="true" hidden="false" outlineLevel="0" max="4870" min="4870" style="101" width="3.12"/>
    <col collapsed="false" customWidth="true" hidden="false" outlineLevel="0" max="4871" min="4871" style="101" width="6"/>
    <col collapsed="false" customWidth="true" hidden="false" outlineLevel="0" max="4872" min="4872" style="101" width="23"/>
    <col collapsed="false" customWidth="true" hidden="false" outlineLevel="0" max="4873" min="4873" style="101" width="15.75"/>
    <col collapsed="false" customWidth="true" hidden="false" outlineLevel="0" max="4874" min="4874" style="101" width="11.38"/>
    <col collapsed="false" customWidth="true" hidden="false" outlineLevel="0" max="4875" min="4875" style="101" width="4.63"/>
    <col collapsed="false" customWidth="true" hidden="false" outlineLevel="0" max="4876" min="4876" style="101" width="5.5"/>
    <col collapsed="false" customWidth="true" hidden="false" outlineLevel="0" max="4877" min="4877" style="101" width="30.37"/>
    <col collapsed="false" customWidth="true" hidden="false" outlineLevel="0" max="4878" min="4878" style="101" width="10.5"/>
    <col collapsed="false" customWidth="true" hidden="false" outlineLevel="0" max="4879" min="4879" style="101" width="42.12"/>
    <col collapsed="false" customWidth="true" hidden="false" outlineLevel="0" max="4880" min="4880" style="101" width="3.75"/>
    <col collapsed="false" customWidth="true" hidden="false" outlineLevel="0" max="4881" min="4881" style="101" width="30.5"/>
    <col collapsed="false" customWidth="false" hidden="false" outlineLevel="0" max="4882" min="4882" style="101" width="9"/>
    <col collapsed="false" customWidth="true" hidden="false" outlineLevel="0" max="4883" min="4883" style="101" width="25"/>
    <col collapsed="false" customWidth="false" hidden="false" outlineLevel="0" max="5121" min="4884" style="101" width="9"/>
    <col collapsed="false" customWidth="true" hidden="false" outlineLevel="0" max="5122" min="5122" style="101" width="3"/>
    <col collapsed="false" customWidth="true" hidden="false" outlineLevel="0" max="5123" min="5123" style="101" width="5.5"/>
    <col collapsed="false" customWidth="true" hidden="false" outlineLevel="0" max="5124" min="5124" style="101" width="21.37"/>
    <col collapsed="false" customWidth="true" hidden="false" outlineLevel="0" max="5125" min="5125" style="101" width="14.75"/>
    <col collapsed="false" customWidth="true" hidden="false" outlineLevel="0" max="5126" min="5126" style="101" width="3.12"/>
    <col collapsed="false" customWidth="true" hidden="false" outlineLevel="0" max="5127" min="5127" style="101" width="6"/>
    <col collapsed="false" customWidth="true" hidden="false" outlineLevel="0" max="5128" min="5128" style="101" width="23"/>
    <col collapsed="false" customWidth="true" hidden="false" outlineLevel="0" max="5129" min="5129" style="101" width="15.75"/>
    <col collapsed="false" customWidth="true" hidden="false" outlineLevel="0" max="5130" min="5130" style="101" width="11.38"/>
    <col collapsed="false" customWidth="true" hidden="false" outlineLevel="0" max="5131" min="5131" style="101" width="4.63"/>
    <col collapsed="false" customWidth="true" hidden="false" outlineLevel="0" max="5132" min="5132" style="101" width="5.5"/>
    <col collapsed="false" customWidth="true" hidden="false" outlineLevel="0" max="5133" min="5133" style="101" width="30.37"/>
    <col collapsed="false" customWidth="true" hidden="false" outlineLevel="0" max="5134" min="5134" style="101" width="10.5"/>
    <col collapsed="false" customWidth="true" hidden="false" outlineLevel="0" max="5135" min="5135" style="101" width="42.12"/>
    <col collapsed="false" customWidth="true" hidden="false" outlineLevel="0" max="5136" min="5136" style="101" width="3.75"/>
    <col collapsed="false" customWidth="true" hidden="false" outlineLevel="0" max="5137" min="5137" style="101" width="30.5"/>
    <col collapsed="false" customWidth="false" hidden="false" outlineLevel="0" max="5138" min="5138" style="101" width="9"/>
    <col collapsed="false" customWidth="true" hidden="false" outlineLevel="0" max="5139" min="5139" style="101" width="25"/>
    <col collapsed="false" customWidth="false" hidden="false" outlineLevel="0" max="5377" min="5140" style="101" width="9"/>
    <col collapsed="false" customWidth="true" hidden="false" outlineLevel="0" max="5378" min="5378" style="101" width="3"/>
    <col collapsed="false" customWidth="true" hidden="false" outlineLevel="0" max="5379" min="5379" style="101" width="5.5"/>
    <col collapsed="false" customWidth="true" hidden="false" outlineLevel="0" max="5380" min="5380" style="101" width="21.37"/>
    <col collapsed="false" customWidth="true" hidden="false" outlineLevel="0" max="5381" min="5381" style="101" width="14.75"/>
    <col collapsed="false" customWidth="true" hidden="false" outlineLevel="0" max="5382" min="5382" style="101" width="3.12"/>
    <col collapsed="false" customWidth="true" hidden="false" outlineLevel="0" max="5383" min="5383" style="101" width="6"/>
    <col collapsed="false" customWidth="true" hidden="false" outlineLevel="0" max="5384" min="5384" style="101" width="23"/>
    <col collapsed="false" customWidth="true" hidden="false" outlineLevel="0" max="5385" min="5385" style="101" width="15.75"/>
    <col collapsed="false" customWidth="true" hidden="false" outlineLevel="0" max="5386" min="5386" style="101" width="11.38"/>
    <col collapsed="false" customWidth="true" hidden="false" outlineLevel="0" max="5387" min="5387" style="101" width="4.63"/>
    <col collapsed="false" customWidth="true" hidden="false" outlineLevel="0" max="5388" min="5388" style="101" width="5.5"/>
    <col collapsed="false" customWidth="true" hidden="false" outlineLevel="0" max="5389" min="5389" style="101" width="30.37"/>
    <col collapsed="false" customWidth="true" hidden="false" outlineLevel="0" max="5390" min="5390" style="101" width="10.5"/>
    <col collapsed="false" customWidth="true" hidden="false" outlineLevel="0" max="5391" min="5391" style="101" width="42.12"/>
    <col collapsed="false" customWidth="true" hidden="false" outlineLevel="0" max="5392" min="5392" style="101" width="3.75"/>
    <col collapsed="false" customWidth="true" hidden="false" outlineLevel="0" max="5393" min="5393" style="101" width="30.5"/>
    <col collapsed="false" customWidth="false" hidden="false" outlineLevel="0" max="5394" min="5394" style="101" width="9"/>
    <col collapsed="false" customWidth="true" hidden="false" outlineLevel="0" max="5395" min="5395" style="101" width="25"/>
    <col collapsed="false" customWidth="false" hidden="false" outlineLevel="0" max="5633" min="5396" style="101" width="9"/>
    <col collapsed="false" customWidth="true" hidden="false" outlineLevel="0" max="5634" min="5634" style="101" width="3"/>
    <col collapsed="false" customWidth="true" hidden="false" outlineLevel="0" max="5635" min="5635" style="101" width="5.5"/>
    <col collapsed="false" customWidth="true" hidden="false" outlineLevel="0" max="5636" min="5636" style="101" width="21.37"/>
    <col collapsed="false" customWidth="true" hidden="false" outlineLevel="0" max="5637" min="5637" style="101" width="14.75"/>
    <col collapsed="false" customWidth="true" hidden="false" outlineLevel="0" max="5638" min="5638" style="101" width="3.12"/>
    <col collapsed="false" customWidth="true" hidden="false" outlineLevel="0" max="5639" min="5639" style="101" width="6"/>
    <col collapsed="false" customWidth="true" hidden="false" outlineLevel="0" max="5640" min="5640" style="101" width="23"/>
    <col collapsed="false" customWidth="true" hidden="false" outlineLevel="0" max="5641" min="5641" style="101" width="15.75"/>
    <col collapsed="false" customWidth="true" hidden="false" outlineLevel="0" max="5642" min="5642" style="101" width="11.38"/>
    <col collapsed="false" customWidth="true" hidden="false" outlineLevel="0" max="5643" min="5643" style="101" width="4.63"/>
    <col collapsed="false" customWidth="true" hidden="false" outlineLevel="0" max="5644" min="5644" style="101" width="5.5"/>
    <col collapsed="false" customWidth="true" hidden="false" outlineLevel="0" max="5645" min="5645" style="101" width="30.37"/>
    <col collapsed="false" customWidth="true" hidden="false" outlineLevel="0" max="5646" min="5646" style="101" width="10.5"/>
    <col collapsed="false" customWidth="true" hidden="false" outlineLevel="0" max="5647" min="5647" style="101" width="42.12"/>
    <col collapsed="false" customWidth="true" hidden="false" outlineLevel="0" max="5648" min="5648" style="101" width="3.75"/>
    <col collapsed="false" customWidth="true" hidden="false" outlineLevel="0" max="5649" min="5649" style="101" width="30.5"/>
    <col collapsed="false" customWidth="false" hidden="false" outlineLevel="0" max="5650" min="5650" style="101" width="9"/>
    <col collapsed="false" customWidth="true" hidden="false" outlineLevel="0" max="5651" min="5651" style="101" width="25"/>
    <col collapsed="false" customWidth="false" hidden="false" outlineLevel="0" max="5889" min="5652" style="101" width="9"/>
    <col collapsed="false" customWidth="true" hidden="false" outlineLevel="0" max="5890" min="5890" style="101" width="3"/>
    <col collapsed="false" customWidth="true" hidden="false" outlineLevel="0" max="5891" min="5891" style="101" width="5.5"/>
    <col collapsed="false" customWidth="true" hidden="false" outlineLevel="0" max="5892" min="5892" style="101" width="21.37"/>
    <col collapsed="false" customWidth="true" hidden="false" outlineLevel="0" max="5893" min="5893" style="101" width="14.75"/>
    <col collapsed="false" customWidth="true" hidden="false" outlineLevel="0" max="5894" min="5894" style="101" width="3.12"/>
    <col collapsed="false" customWidth="true" hidden="false" outlineLevel="0" max="5895" min="5895" style="101" width="6"/>
    <col collapsed="false" customWidth="true" hidden="false" outlineLevel="0" max="5896" min="5896" style="101" width="23"/>
    <col collapsed="false" customWidth="true" hidden="false" outlineLevel="0" max="5897" min="5897" style="101" width="15.75"/>
    <col collapsed="false" customWidth="true" hidden="false" outlineLevel="0" max="5898" min="5898" style="101" width="11.38"/>
    <col collapsed="false" customWidth="true" hidden="false" outlineLevel="0" max="5899" min="5899" style="101" width="4.63"/>
    <col collapsed="false" customWidth="true" hidden="false" outlineLevel="0" max="5900" min="5900" style="101" width="5.5"/>
    <col collapsed="false" customWidth="true" hidden="false" outlineLevel="0" max="5901" min="5901" style="101" width="30.37"/>
    <col collapsed="false" customWidth="true" hidden="false" outlineLevel="0" max="5902" min="5902" style="101" width="10.5"/>
    <col collapsed="false" customWidth="true" hidden="false" outlineLevel="0" max="5903" min="5903" style="101" width="42.12"/>
    <col collapsed="false" customWidth="true" hidden="false" outlineLevel="0" max="5904" min="5904" style="101" width="3.75"/>
    <col collapsed="false" customWidth="true" hidden="false" outlineLevel="0" max="5905" min="5905" style="101" width="30.5"/>
    <col collapsed="false" customWidth="false" hidden="false" outlineLevel="0" max="5906" min="5906" style="101" width="9"/>
    <col collapsed="false" customWidth="true" hidden="false" outlineLevel="0" max="5907" min="5907" style="101" width="25"/>
    <col collapsed="false" customWidth="false" hidden="false" outlineLevel="0" max="6145" min="5908" style="101" width="9"/>
    <col collapsed="false" customWidth="true" hidden="false" outlineLevel="0" max="6146" min="6146" style="101" width="3"/>
    <col collapsed="false" customWidth="true" hidden="false" outlineLevel="0" max="6147" min="6147" style="101" width="5.5"/>
    <col collapsed="false" customWidth="true" hidden="false" outlineLevel="0" max="6148" min="6148" style="101" width="21.37"/>
    <col collapsed="false" customWidth="true" hidden="false" outlineLevel="0" max="6149" min="6149" style="101" width="14.75"/>
    <col collapsed="false" customWidth="true" hidden="false" outlineLevel="0" max="6150" min="6150" style="101" width="3.12"/>
    <col collapsed="false" customWidth="true" hidden="false" outlineLevel="0" max="6151" min="6151" style="101" width="6"/>
    <col collapsed="false" customWidth="true" hidden="false" outlineLevel="0" max="6152" min="6152" style="101" width="23"/>
    <col collapsed="false" customWidth="true" hidden="false" outlineLevel="0" max="6153" min="6153" style="101" width="15.75"/>
    <col collapsed="false" customWidth="true" hidden="false" outlineLevel="0" max="6154" min="6154" style="101" width="11.38"/>
    <col collapsed="false" customWidth="true" hidden="false" outlineLevel="0" max="6155" min="6155" style="101" width="4.63"/>
    <col collapsed="false" customWidth="true" hidden="false" outlineLevel="0" max="6156" min="6156" style="101" width="5.5"/>
    <col collapsed="false" customWidth="true" hidden="false" outlineLevel="0" max="6157" min="6157" style="101" width="30.37"/>
    <col collapsed="false" customWidth="true" hidden="false" outlineLevel="0" max="6158" min="6158" style="101" width="10.5"/>
    <col collapsed="false" customWidth="true" hidden="false" outlineLevel="0" max="6159" min="6159" style="101" width="42.12"/>
    <col collapsed="false" customWidth="true" hidden="false" outlineLevel="0" max="6160" min="6160" style="101" width="3.75"/>
    <col collapsed="false" customWidth="true" hidden="false" outlineLevel="0" max="6161" min="6161" style="101" width="30.5"/>
    <col collapsed="false" customWidth="false" hidden="false" outlineLevel="0" max="6162" min="6162" style="101" width="9"/>
    <col collapsed="false" customWidth="true" hidden="false" outlineLevel="0" max="6163" min="6163" style="101" width="25"/>
    <col collapsed="false" customWidth="false" hidden="false" outlineLevel="0" max="6401" min="6164" style="101" width="9"/>
    <col collapsed="false" customWidth="true" hidden="false" outlineLevel="0" max="6402" min="6402" style="101" width="3"/>
    <col collapsed="false" customWidth="true" hidden="false" outlineLevel="0" max="6403" min="6403" style="101" width="5.5"/>
    <col collapsed="false" customWidth="true" hidden="false" outlineLevel="0" max="6404" min="6404" style="101" width="21.37"/>
    <col collapsed="false" customWidth="true" hidden="false" outlineLevel="0" max="6405" min="6405" style="101" width="14.75"/>
    <col collapsed="false" customWidth="true" hidden="false" outlineLevel="0" max="6406" min="6406" style="101" width="3.12"/>
    <col collapsed="false" customWidth="true" hidden="false" outlineLevel="0" max="6407" min="6407" style="101" width="6"/>
    <col collapsed="false" customWidth="true" hidden="false" outlineLevel="0" max="6408" min="6408" style="101" width="23"/>
    <col collapsed="false" customWidth="true" hidden="false" outlineLevel="0" max="6409" min="6409" style="101" width="15.75"/>
    <col collapsed="false" customWidth="true" hidden="false" outlineLevel="0" max="6410" min="6410" style="101" width="11.38"/>
    <col collapsed="false" customWidth="true" hidden="false" outlineLevel="0" max="6411" min="6411" style="101" width="4.63"/>
    <col collapsed="false" customWidth="true" hidden="false" outlineLevel="0" max="6412" min="6412" style="101" width="5.5"/>
    <col collapsed="false" customWidth="true" hidden="false" outlineLevel="0" max="6413" min="6413" style="101" width="30.37"/>
    <col collapsed="false" customWidth="true" hidden="false" outlineLevel="0" max="6414" min="6414" style="101" width="10.5"/>
    <col collapsed="false" customWidth="true" hidden="false" outlineLevel="0" max="6415" min="6415" style="101" width="42.12"/>
    <col collapsed="false" customWidth="true" hidden="false" outlineLevel="0" max="6416" min="6416" style="101" width="3.75"/>
    <col collapsed="false" customWidth="true" hidden="false" outlineLevel="0" max="6417" min="6417" style="101" width="30.5"/>
    <col collapsed="false" customWidth="false" hidden="false" outlineLevel="0" max="6418" min="6418" style="101" width="9"/>
    <col collapsed="false" customWidth="true" hidden="false" outlineLevel="0" max="6419" min="6419" style="101" width="25"/>
    <col collapsed="false" customWidth="false" hidden="false" outlineLevel="0" max="6657" min="6420" style="101" width="9"/>
    <col collapsed="false" customWidth="true" hidden="false" outlineLevel="0" max="6658" min="6658" style="101" width="3"/>
    <col collapsed="false" customWidth="true" hidden="false" outlineLevel="0" max="6659" min="6659" style="101" width="5.5"/>
    <col collapsed="false" customWidth="true" hidden="false" outlineLevel="0" max="6660" min="6660" style="101" width="21.37"/>
    <col collapsed="false" customWidth="true" hidden="false" outlineLevel="0" max="6661" min="6661" style="101" width="14.75"/>
    <col collapsed="false" customWidth="true" hidden="false" outlineLevel="0" max="6662" min="6662" style="101" width="3.12"/>
    <col collapsed="false" customWidth="true" hidden="false" outlineLevel="0" max="6663" min="6663" style="101" width="6"/>
    <col collapsed="false" customWidth="true" hidden="false" outlineLevel="0" max="6664" min="6664" style="101" width="23"/>
    <col collapsed="false" customWidth="true" hidden="false" outlineLevel="0" max="6665" min="6665" style="101" width="15.75"/>
    <col collapsed="false" customWidth="true" hidden="false" outlineLevel="0" max="6666" min="6666" style="101" width="11.38"/>
    <col collapsed="false" customWidth="true" hidden="false" outlineLevel="0" max="6667" min="6667" style="101" width="4.63"/>
    <col collapsed="false" customWidth="true" hidden="false" outlineLevel="0" max="6668" min="6668" style="101" width="5.5"/>
    <col collapsed="false" customWidth="true" hidden="false" outlineLevel="0" max="6669" min="6669" style="101" width="30.37"/>
    <col collapsed="false" customWidth="true" hidden="false" outlineLevel="0" max="6670" min="6670" style="101" width="10.5"/>
    <col collapsed="false" customWidth="true" hidden="false" outlineLevel="0" max="6671" min="6671" style="101" width="42.12"/>
    <col collapsed="false" customWidth="true" hidden="false" outlineLevel="0" max="6672" min="6672" style="101" width="3.75"/>
    <col collapsed="false" customWidth="true" hidden="false" outlineLevel="0" max="6673" min="6673" style="101" width="30.5"/>
    <col collapsed="false" customWidth="false" hidden="false" outlineLevel="0" max="6674" min="6674" style="101" width="9"/>
    <col collapsed="false" customWidth="true" hidden="false" outlineLevel="0" max="6675" min="6675" style="101" width="25"/>
    <col collapsed="false" customWidth="false" hidden="false" outlineLevel="0" max="6913" min="6676" style="101" width="9"/>
    <col collapsed="false" customWidth="true" hidden="false" outlineLevel="0" max="6914" min="6914" style="101" width="3"/>
    <col collapsed="false" customWidth="true" hidden="false" outlineLevel="0" max="6915" min="6915" style="101" width="5.5"/>
    <col collapsed="false" customWidth="true" hidden="false" outlineLevel="0" max="6916" min="6916" style="101" width="21.37"/>
    <col collapsed="false" customWidth="true" hidden="false" outlineLevel="0" max="6917" min="6917" style="101" width="14.75"/>
    <col collapsed="false" customWidth="true" hidden="false" outlineLevel="0" max="6918" min="6918" style="101" width="3.12"/>
    <col collapsed="false" customWidth="true" hidden="false" outlineLevel="0" max="6919" min="6919" style="101" width="6"/>
    <col collapsed="false" customWidth="true" hidden="false" outlineLevel="0" max="6920" min="6920" style="101" width="23"/>
    <col collapsed="false" customWidth="true" hidden="false" outlineLevel="0" max="6921" min="6921" style="101" width="15.75"/>
    <col collapsed="false" customWidth="true" hidden="false" outlineLevel="0" max="6922" min="6922" style="101" width="11.38"/>
    <col collapsed="false" customWidth="true" hidden="false" outlineLevel="0" max="6923" min="6923" style="101" width="4.63"/>
    <col collapsed="false" customWidth="true" hidden="false" outlineLevel="0" max="6924" min="6924" style="101" width="5.5"/>
    <col collapsed="false" customWidth="true" hidden="false" outlineLevel="0" max="6925" min="6925" style="101" width="30.37"/>
    <col collapsed="false" customWidth="true" hidden="false" outlineLevel="0" max="6926" min="6926" style="101" width="10.5"/>
    <col collapsed="false" customWidth="true" hidden="false" outlineLevel="0" max="6927" min="6927" style="101" width="42.12"/>
    <col collapsed="false" customWidth="true" hidden="false" outlineLevel="0" max="6928" min="6928" style="101" width="3.75"/>
    <col collapsed="false" customWidth="true" hidden="false" outlineLevel="0" max="6929" min="6929" style="101" width="30.5"/>
    <col collapsed="false" customWidth="false" hidden="false" outlineLevel="0" max="6930" min="6930" style="101" width="9"/>
    <col collapsed="false" customWidth="true" hidden="false" outlineLevel="0" max="6931" min="6931" style="101" width="25"/>
    <col collapsed="false" customWidth="false" hidden="false" outlineLevel="0" max="7169" min="6932" style="101" width="9"/>
    <col collapsed="false" customWidth="true" hidden="false" outlineLevel="0" max="7170" min="7170" style="101" width="3"/>
    <col collapsed="false" customWidth="true" hidden="false" outlineLevel="0" max="7171" min="7171" style="101" width="5.5"/>
    <col collapsed="false" customWidth="true" hidden="false" outlineLevel="0" max="7172" min="7172" style="101" width="21.37"/>
    <col collapsed="false" customWidth="true" hidden="false" outlineLevel="0" max="7173" min="7173" style="101" width="14.75"/>
    <col collapsed="false" customWidth="true" hidden="false" outlineLevel="0" max="7174" min="7174" style="101" width="3.12"/>
    <col collapsed="false" customWidth="true" hidden="false" outlineLevel="0" max="7175" min="7175" style="101" width="6"/>
    <col collapsed="false" customWidth="true" hidden="false" outlineLevel="0" max="7176" min="7176" style="101" width="23"/>
    <col collapsed="false" customWidth="true" hidden="false" outlineLevel="0" max="7177" min="7177" style="101" width="15.75"/>
    <col collapsed="false" customWidth="true" hidden="false" outlineLevel="0" max="7178" min="7178" style="101" width="11.38"/>
    <col collapsed="false" customWidth="true" hidden="false" outlineLevel="0" max="7179" min="7179" style="101" width="4.63"/>
    <col collapsed="false" customWidth="true" hidden="false" outlineLevel="0" max="7180" min="7180" style="101" width="5.5"/>
    <col collapsed="false" customWidth="true" hidden="false" outlineLevel="0" max="7181" min="7181" style="101" width="30.37"/>
    <col collapsed="false" customWidth="true" hidden="false" outlineLevel="0" max="7182" min="7182" style="101" width="10.5"/>
    <col collapsed="false" customWidth="true" hidden="false" outlineLevel="0" max="7183" min="7183" style="101" width="42.12"/>
    <col collapsed="false" customWidth="true" hidden="false" outlineLevel="0" max="7184" min="7184" style="101" width="3.75"/>
    <col collapsed="false" customWidth="true" hidden="false" outlineLevel="0" max="7185" min="7185" style="101" width="30.5"/>
    <col collapsed="false" customWidth="false" hidden="false" outlineLevel="0" max="7186" min="7186" style="101" width="9"/>
    <col collapsed="false" customWidth="true" hidden="false" outlineLevel="0" max="7187" min="7187" style="101" width="25"/>
    <col collapsed="false" customWidth="false" hidden="false" outlineLevel="0" max="7425" min="7188" style="101" width="9"/>
    <col collapsed="false" customWidth="true" hidden="false" outlineLevel="0" max="7426" min="7426" style="101" width="3"/>
    <col collapsed="false" customWidth="true" hidden="false" outlineLevel="0" max="7427" min="7427" style="101" width="5.5"/>
    <col collapsed="false" customWidth="true" hidden="false" outlineLevel="0" max="7428" min="7428" style="101" width="21.37"/>
    <col collapsed="false" customWidth="true" hidden="false" outlineLevel="0" max="7429" min="7429" style="101" width="14.75"/>
    <col collapsed="false" customWidth="true" hidden="false" outlineLevel="0" max="7430" min="7430" style="101" width="3.12"/>
    <col collapsed="false" customWidth="true" hidden="false" outlineLevel="0" max="7431" min="7431" style="101" width="6"/>
    <col collapsed="false" customWidth="true" hidden="false" outlineLevel="0" max="7432" min="7432" style="101" width="23"/>
    <col collapsed="false" customWidth="true" hidden="false" outlineLevel="0" max="7433" min="7433" style="101" width="15.75"/>
    <col collapsed="false" customWidth="true" hidden="false" outlineLevel="0" max="7434" min="7434" style="101" width="11.38"/>
    <col collapsed="false" customWidth="true" hidden="false" outlineLevel="0" max="7435" min="7435" style="101" width="4.63"/>
    <col collapsed="false" customWidth="true" hidden="false" outlineLevel="0" max="7436" min="7436" style="101" width="5.5"/>
    <col collapsed="false" customWidth="true" hidden="false" outlineLevel="0" max="7437" min="7437" style="101" width="30.37"/>
    <col collapsed="false" customWidth="true" hidden="false" outlineLevel="0" max="7438" min="7438" style="101" width="10.5"/>
    <col collapsed="false" customWidth="true" hidden="false" outlineLevel="0" max="7439" min="7439" style="101" width="42.12"/>
    <col collapsed="false" customWidth="true" hidden="false" outlineLevel="0" max="7440" min="7440" style="101" width="3.75"/>
    <col collapsed="false" customWidth="true" hidden="false" outlineLevel="0" max="7441" min="7441" style="101" width="30.5"/>
    <col collapsed="false" customWidth="false" hidden="false" outlineLevel="0" max="7442" min="7442" style="101" width="9"/>
    <col collapsed="false" customWidth="true" hidden="false" outlineLevel="0" max="7443" min="7443" style="101" width="25"/>
    <col collapsed="false" customWidth="false" hidden="false" outlineLevel="0" max="7681" min="7444" style="101" width="9"/>
    <col collapsed="false" customWidth="true" hidden="false" outlineLevel="0" max="7682" min="7682" style="101" width="3"/>
    <col collapsed="false" customWidth="true" hidden="false" outlineLevel="0" max="7683" min="7683" style="101" width="5.5"/>
    <col collapsed="false" customWidth="true" hidden="false" outlineLevel="0" max="7684" min="7684" style="101" width="21.37"/>
    <col collapsed="false" customWidth="true" hidden="false" outlineLevel="0" max="7685" min="7685" style="101" width="14.75"/>
    <col collapsed="false" customWidth="true" hidden="false" outlineLevel="0" max="7686" min="7686" style="101" width="3.12"/>
    <col collapsed="false" customWidth="true" hidden="false" outlineLevel="0" max="7687" min="7687" style="101" width="6"/>
    <col collapsed="false" customWidth="true" hidden="false" outlineLevel="0" max="7688" min="7688" style="101" width="23"/>
    <col collapsed="false" customWidth="true" hidden="false" outlineLevel="0" max="7689" min="7689" style="101" width="15.75"/>
    <col collapsed="false" customWidth="true" hidden="false" outlineLevel="0" max="7690" min="7690" style="101" width="11.38"/>
    <col collapsed="false" customWidth="true" hidden="false" outlineLevel="0" max="7691" min="7691" style="101" width="4.63"/>
    <col collapsed="false" customWidth="true" hidden="false" outlineLevel="0" max="7692" min="7692" style="101" width="5.5"/>
    <col collapsed="false" customWidth="true" hidden="false" outlineLevel="0" max="7693" min="7693" style="101" width="30.37"/>
    <col collapsed="false" customWidth="true" hidden="false" outlineLevel="0" max="7694" min="7694" style="101" width="10.5"/>
    <col collapsed="false" customWidth="true" hidden="false" outlineLevel="0" max="7695" min="7695" style="101" width="42.12"/>
    <col collapsed="false" customWidth="true" hidden="false" outlineLevel="0" max="7696" min="7696" style="101" width="3.75"/>
    <col collapsed="false" customWidth="true" hidden="false" outlineLevel="0" max="7697" min="7697" style="101" width="30.5"/>
    <col collapsed="false" customWidth="false" hidden="false" outlineLevel="0" max="7698" min="7698" style="101" width="9"/>
    <col collapsed="false" customWidth="true" hidden="false" outlineLevel="0" max="7699" min="7699" style="101" width="25"/>
    <col collapsed="false" customWidth="false" hidden="false" outlineLevel="0" max="7937" min="7700" style="101" width="9"/>
    <col collapsed="false" customWidth="true" hidden="false" outlineLevel="0" max="7938" min="7938" style="101" width="3"/>
    <col collapsed="false" customWidth="true" hidden="false" outlineLevel="0" max="7939" min="7939" style="101" width="5.5"/>
    <col collapsed="false" customWidth="true" hidden="false" outlineLevel="0" max="7940" min="7940" style="101" width="21.37"/>
    <col collapsed="false" customWidth="true" hidden="false" outlineLevel="0" max="7941" min="7941" style="101" width="14.75"/>
    <col collapsed="false" customWidth="true" hidden="false" outlineLevel="0" max="7942" min="7942" style="101" width="3.12"/>
    <col collapsed="false" customWidth="true" hidden="false" outlineLevel="0" max="7943" min="7943" style="101" width="6"/>
    <col collapsed="false" customWidth="true" hidden="false" outlineLevel="0" max="7944" min="7944" style="101" width="23"/>
    <col collapsed="false" customWidth="true" hidden="false" outlineLevel="0" max="7945" min="7945" style="101" width="15.75"/>
    <col collapsed="false" customWidth="true" hidden="false" outlineLevel="0" max="7946" min="7946" style="101" width="11.38"/>
    <col collapsed="false" customWidth="true" hidden="false" outlineLevel="0" max="7947" min="7947" style="101" width="4.63"/>
    <col collapsed="false" customWidth="true" hidden="false" outlineLevel="0" max="7948" min="7948" style="101" width="5.5"/>
    <col collapsed="false" customWidth="true" hidden="false" outlineLevel="0" max="7949" min="7949" style="101" width="30.37"/>
    <col collapsed="false" customWidth="true" hidden="false" outlineLevel="0" max="7950" min="7950" style="101" width="10.5"/>
    <col collapsed="false" customWidth="true" hidden="false" outlineLevel="0" max="7951" min="7951" style="101" width="42.12"/>
    <col collapsed="false" customWidth="true" hidden="false" outlineLevel="0" max="7952" min="7952" style="101" width="3.75"/>
    <col collapsed="false" customWidth="true" hidden="false" outlineLevel="0" max="7953" min="7953" style="101" width="30.5"/>
    <col collapsed="false" customWidth="false" hidden="false" outlineLevel="0" max="7954" min="7954" style="101" width="9"/>
    <col collapsed="false" customWidth="true" hidden="false" outlineLevel="0" max="7955" min="7955" style="101" width="25"/>
    <col collapsed="false" customWidth="false" hidden="false" outlineLevel="0" max="8193" min="7956" style="101" width="9"/>
    <col collapsed="false" customWidth="true" hidden="false" outlineLevel="0" max="8194" min="8194" style="101" width="3"/>
    <col collapsed="false" customWidth="true" hidden="false" outlineLevel="0" max="8195" min="8195" style="101" width="5.5"/>
    <col collapsed="false" customWidth="true" hidden="false" outlineLevel="0" max="8196" min="8196" style="101" width="21.37"/>
    <col collapsed="false" customWidth="true" hidden="false" outlineLevel="0" max="8197" min="8197" style="101" width="14.75"/>
    <col collapsed="false" customWidth="true" hidden="false" outlineLevel="0" max="8198" min="8198" style="101" width="3.12"/>
    <col collapsed="false" customWidth="true" hidden="false" outlineLevel="0" max="8199" min="8199" style="101" width="6"/>
    <col collapsed="false" customWidth="true" hidden="false" outlineLevel="0" max="8200" min="8200" style="101" width="23"/>
    <col collapsed="false" customWidth="true" hidden="false" outlineLevel="0" max="8201" min="8201" style="101" width="15.75"/>
    <col collapsed="false" customWidth="true" hidden="false" outlineLevel="0" max="8202" min="8202" style="101" width="11.38"/>
    <col collapsed="false" customWidth="true" hidden="false" outlineLevel="0" max="8203" min="8203" style="101" width="4.63"/>
    <col collapsed="false" customWidth="true" hidden="false" outlineLevel="0" max="8204" min="8204" style="101" width="5.5"/>
    <col collapsed="false" customWidth="true" hidden="false" outlineLevel="0" max="8205" min="8205" style="101" width="30.37"/>
    <col collapsed="false" customWidth="true" hidden="false" outlineLevel="0" max="8206" min="8206" style="101" width="10.5"/>
    <col collapsed="false" customWidth="true" hidden="false" outlineLevel="0" max="8207" min="8207" style="101" width="42.12"/>
    <col collapsed="false" customWidth="true" hidden="false" outlineLevel="0" max="8208" min="8208" style="101" width="3.75"/>
    <col collapsed="false" customWidth="true" hidden="false" outlineLevel="0" max="8209" min="8209" style="101" width="30.5"/>
    <col collapsed="false" customWidth="false" hidden="false" outlineLevel="0" max="8210" min="8210" style="101" width="9"/>
    <col collapsed="false" customWidth="true" hidden="false" outlineLevel="0" max="8211" min="8211" style="101" width="25"/>
    <col collapsed="false" customWidth="false" hidden="false" outlineLevel="0" max="8449" min="8212" style="101" width="9"/>
    <col collapsed="false" customWidth="true" hidden="false" outlineLevel="0" max="8450" min="8450" style="101" width="3"/>
    <col collapsed="false" customWidth="true" hidden="false" outlineLevel="0" max="8451" min="8451" style="101" width="5.5"/>
    <col collapsed="false" customWidth="true" hidden="false" outlineLevel="0" max="8452" min="8452" style="101" width="21.37"/>
    <col collapsed="false" customWidth="true" hidden="false" outlineLevel="0" max="8453" min="8453" style="101" width="14.75"/>
    <col collapsed="false" customWidth="true" hidden="false" outlineLevel="0" max="8454" min="8454" style="101" width="3.12"/>
    <col collapsed="false" customWidth="true" hidden="false" outlineLevel="0" max="8455" min="8455" style="101" width="6"/>
    <col collapsed="false" customWidth="true" hidden="false" outlineLevel="0" max="8456" min="8456" style="101" width="23"/>
    <col collapsed="false" customWidth="true" hidden="false" outlineLevel="0" max="8457" min="8457" style="101" width="15.75"/>
    <col collapsed="false" customWidth="true" hidden="false" outlineLevel="0" max="8458" min="8458" style="101" width="11.38"/>
    <col collapsed="false" customWidth="true" hidden="false" outlineLevel="0" max="8459" min="8459" style="101" width="4.63"/>
    <col collapsed="false" customWidth="true" hidden="false" outlineLevel="0" max="8460" min="8460" style="101" width="5.5"/>
    <col collapsed="false" customWidth="true" hidden="false" outlineLevel="0" max="8461" min="8461" style="101" width="30.37"/>
    <col collapsed="false" customWidth="true" hidden="false" outlineLevel="0" max="8462" min="8462" style="101" width="10.5"/>
    <col collapsed="false" customWidth="true" hidden="false" outlineLevel="0" max="8463" min="8463" style="101" width="42.12"/>
    <col collapsed="false" customWidth="true" hidden="false" outlineLevel="0" max="8464" min="8464" style="101" width="3.75"/>
    <col collapsed="false" customWidth="true" hidden="false" outlineLevel="0" max="8465" min="8465" style="101" width="30.5"/>
    <col collapsed="false" customWidth="false" hidden="false" outlineLevel="0" max="8466" min="8466" style="101" width="9"/>
    <col collapsed="false" customWidth="true" hidden="false" outlineLevel="0" max="8467" min="8467" style="101" width="25"/>
    <col collapsed="false" customWidth="false" hidden="false" outlineLevel="0" max="8705" min="8468" style="101" width="9"/>
    <col collapsed="false" customWidth="true" hidden="false" outlineLevel="0" max="8706" min="8706" style="101" width="3"/>
    <col collapsed="false" customWidth="true" hidden="false" outlineLevel="0" max="8707" min="8707" style="101" width="5.5"/>
    <col collapsed="false" customWidth="true" hidden="false" outlineLevel="0" max="8708" min="8708" style="101" width="21.37"/>
    <col collapsed="false" customWidth="true" hidden="false" outlineLevel="0" max="8709" min="8709" style="101" width="14.75"/>
    <col collapsed="false" customWidth="true" hidden="false" outlineLevel="0" max="8710" min="8710" style="101" width="3.12"/>
    <col collapsed="false" customWidth="true" hidden="false" outlineLevel="0" max="8711" min="8711" style="101" width="6"/>
    <col collapsed="false" customWidth="true" hidden="false" outlineLevel="0" max="8712" min="8712" style="101" width="23"/>
    <col collapsed="false" customWidth="true" hidden="false" outlineLevel="0" max="8713" min="8713" style="101" width="15.75"/>
    <col collapsed="false" customWidth="true" hidden="false" outlineLevel="0" max="8714" min="8714" style="101" width="11.38"/>
    <col collapsed="false" customWidth="true" hidden="false" outlineLevel="0" max="8715" min="8715" style="101" width="4.63"/>
    <col collapsed="false" customWidth="true" hidden="false" outlineLevel="0" max="8716" min="8716" style="101" width="5.5"/>
    <col collapsed="false" customWidth="true" hidden="false" outlineLevel="0" max="8717" min="8717" style="101" width="30.37"/>
    <col collapsed="false" customWidth="true" hidden="false" outlineLevel="0" max="8718" min="8718" style="101" width="10.5"/>
    <col collapsed="false" customWidth="true" hidden="false" outlineLevel="0" max="8719" min="8719" style="101" width="42.12"/>
    <col collapsed="false" customWidth="true" hidden="false" outlineLevel="0" max="8720" min="8720" style="101" width="3.75"/>
    <col collapsed="false" customWidth="true" hidden="false" outlineLevel="0" max="8721" min="8721" style="101" width="30.5"/>
    <col collapsed="false" customWidth="false" hidden="false" outlineLevel="0" max="8722" min="8722" style="101" width="9"/>
    <col collapsed="false" customWidth="true" hidden="false" outlineLevel="0" max="8723" min="8723" style="101" width="25"/>
    <col collapsed="false" customWidth="false" hidden="false" outlineLevel="0" max="8961" min="8724" style="101" width="9"/>
    <col collapsed="false" customWidth="true" hidden="false" outlineLevel="0" max="8962" min="8962" style="101" width="3"/>
    <col collapsed="false" customWidth="true" hidden="false" outlineLevel="0" max="8963" min="8963" style="101" width="5.5"/>
    <col collapsed="false" customWidth="true" hidden="false" outlineLevel="0" max="8964" min="8964" style="101" width="21.37"/>
    <col collapsed="false" customWidth="true" hidden="false" outlineLevel="0" max="8965" min="8965" style="101" width="14.75"/>
    <col collapsed="false" customWidth="true" hidden="false" outlineLevel="0" max="8966" min="8966" style="101" width="3.12"/>
    <col collapsed="false" customWidth="true" hidden="false" outlineLevel="0" max="8967" min="8967" style="101" width="6"/>
    <col collapsed="false" customWidth="true" hidden="false" outlineLevel="0" max="8968" min="8968" style="101" width="23"/>
    <col collapsed="false" customWidth="true" hidden="false" outlineLevel="0" max="8969" min="8969" style="101" width="15.75"/>
    <col collapsed="false" customWidth="true" hidden="false" outlineLevel="0" max="8970" min="8970" style="101" width="11.38"/>
    <col collapsed="false" customWidth="true" hidden="false" outlineLevel="0" max="8971" min="8971" style="101" width="4.63"/>
    <col collapsed="false" customWidth="true" hidden="false" outlineLevel="0" max="8972" min="8972" style="101" width="5.5"/>
    <col collapsed="false" customWidth="true" hidden="false" outlineLevel="0" max="8973" min="8973" style="101" width="30.37"/>
    <col collapsed="false" customWidth="true" hidden="false" outlineLevel="0" max="8974" min="8974" style="101" width="10.5"/>
    <col collapsed="false" customWidth="true" hidden="false" outlineLevel="0" max="8975" min="8975" style="101" width="42.12"/>
    <col collapsed="false" customWidth="true" hidden="false" outlineLevel="0" max="8976" min="8976" style="101" width="3.75"/>
    <col collapsed="false" customWidth="true" hidden="false" outlineLevel="0" max="8977" min="8977" style="101" width="30.5"/>
    <col collapsed="false" customWidth="false" hidden="false" outlineLevel="0" max="8978" min="8978" style="101" width="9"/>
    <col collapsed="false" customWidth="true" hidden="false" outlineLevel="0" max="8979" min="8979" style="101" width="25"/>
    <col collapsed="false" customWidth="false" hidden="false" outlineLevel="0" max="9217" min="8980" style="101" width="9"/>
    <col collapsed="false" customWidth="true" hidden="false" outlineLevel="0" max="9218" min="9218" style="101" width="3"/>
    <col collapsed="false" customWidth="true" hidden="false" outlineLevel="0" max="9219" min="9219" style="101" width="5.5"/>
    <col collapsed="false" customWidth="true" hidden="false" outlineLevel="0" max="9220" min="9220" style="101" width="21.37"/>
    <col collapsed="false" customWidth="true" hidden="false" outlineLevel="0" max="9221" min="9221" style="101" width="14.75"/>
    <col collapsed="false" customWidth="true" hidden="false" outlineLevel="0" max="9222" min="9222" style="101" width="3.12"/>
    <col collapsed="false" customWidth="true" hidden="false" outlineLevel="0" max="9223" min="9223" style="101" width="6"/>
    <col collapsed="false" customWidth="true" hidden="false" outlineLevel="0" max="9224" min="9224" style="101" width="23"/>
    <col collapsed="false" customWidth="true" hidden="false" outlineLevel="0" max="9225" min="9225" style="101" width="15.75"/>
    <col collapsed="false" customWidth="true" hidden="false" outlineLevel="0" max="9226" min="9226" style="101" width="11.38"/>
    <col collapsed="false" customWidth="true" hidden="false" outlineLevel="0" max="9227" min="9227" style="101" width="4.63"/>
    <col collapsed="false" customWidth="true" hidden="false" outlineLevel="0" max="9228" min="9228" style="101" width="5.5"/>
    <col collapsed="false" customWidth="true" hidden="false" outlineLevel="0" max="9229" min="9229" style="101" width="30.37"/>
    <col collapsed="false" customWidth="true" hidden="false" outlineLevel="0" max="9230" min="9230" style="101" width="10.5"/>
    <col collapsed="false" customWidth="true" hidden="false" outlineLevel="0" max="9231" min="9231" style="101" width="42.12"/>
    <col collapsed="false" customWidth="true" hidden="false" outlineLevel="0" max="9232" min="9232" style="101" width="3.75"/>
    <col collapsed="false" customWidth="true" hidden="false" outlineLevel="0" max="9233" min="9233" style="101" width="30.5"/>
    <col collapsed="false" customWidth="false" hidden="false" outlineLevel="0" max="9234" min="9234" style="101" width="9"/>
    <col collapsed="false" customWidth="true" hidden="false" outlineLevel="0" max="9235" min="9235" style="101" width="25"/>
    <col collapsed="false" customWidth="false" hidden="false" outlineLevel="0" max="9473" min="9236" style="101" width="9"/>
    <col collapsed="false" customWidth="true" hidden="false" outlineLevel="0" max="9474" min="9474" style="101" width="3"/>
    <col collapsed="false" customWidth="true" hidden="false" outlineLevel="0" max="9475" min="9475" style="101" width="5.5"/>
    <col collapsed="false" customWidth="true" hidden="false" outlineLevel="0" max="9476" min="9476" style="101" width="21.37"/>
    <col collapsed="false" customWidth="true" hidden="false" outlineLevel="0" max="9477" min="9477" style="101" width="14.75"/>
    <col collapsed="false" customWidth="true" hidden="false" outlineLevel="0" max="9478" min="9478" style="101" width="3.12"/>
    <col collapsed="false" customWidth="true" hidden="false" outlineLevel="0" max="9479" min="9479" style="101" width="6"/>
    <col collapsed="false" customWidth="true" hidden="false" outlineLevel="0" max="9480" min="9480" style="101" width="23"/>
    <col collapsed="false" customWidth="true" hidden="false" outlineLevel="0" max="9481" min="9481" style="101" width="15.75"/>
    <col collapsed="false" customWidth="true" hidden="false" outlineLevel="0" max="9482" min="9482" style="101" width="11.38"/>
    <col collapsed="false" customWidth="true" hidden="false" outlineLevel="0" max="9483" min="9483" style="101" width="4.63"/>
    <col collapsed="false" customWidth="true" hidden="false" outlineLevel="0" max="9484" min="9484" style="101" width="5.5"/>
    <col collapsed="false" customWidth="true" hidden="false" outlineLevel="0" max="9485" min="9485" style="101" width="30.37"/>
    <col collapsed="false" customWidth="true" hidden="false" outlineLevel="0" max="9486" min="9486" style="101" width="10.5"/>
    <col collapsed="false" customWidth="true" hidden="false" outlineLevel="0" max="9487" min="9487" style="101" width="42.12"/>
    <col collapsed="false" customWidth="true" hidden="false" outlineLevel="0" max="9488" min="9488" style="101" width="3.75"/>
    <col collapsed="false" customWidth="true" hidden="false" outlineLevel="0" max="9489" min="9489" style="101" width="30.5"/>
    <col collapsed="false" customWidth="false" hidden="false" outlineLevel="0" max="9490" min="9490" style="101" width="9"/>
    <col collapsed="false" customWidth="true" hidden="false" outlineLevel="0" max="9491" min="9491" style="101" width="25"/>
    <col collapsed="false" customWidth="false" hidden="false" outlineLevel="0" max="9729" min="9492" style="101" width="9"/>
    <col collapsed="false" customWidth="true" hidden="false" outlineLevel="0" max="9730" min="9730" style="101" width="3"/>
    <col collapsed="false" customWidth="true" hidden="false" outlineLevel="0" max="9731" min="9731" style="101" width="5.5"/>
    <col collapsed="false" customWidth="true" hidden="false" outlineLevel="0" max="9732" min="9732" style="101" width="21.37"/>
    <col collapsed="false" customWidth="true" hidden="false" outlineLevel="0" max="9733" min="9733" style="101" width="14.75"/>
    <col collapsed="false" customWidth="true" hidden="false" outlineLevel="0" max="9734" min="9734" style="101" width="3.12"/>
    <col collapsed="false" customWidth="true" hidden="false" outlineLevel="0" max="9735" min="9735" style="101" width="6"/>
    <col collapsed="false" customWidth="true" hidden="false" outlineLevel="0" max="9736" min="9736" style="101" width="23"/>
    <col collapsed="false" customWidth="true" hidden="false" outlineLevel="0" max="9737" min="9737" style="101" width="15.75"/>
    <col collapsed="false" customWidth="true" hidden="false" outlineLevel="0" max="9738" min="9738" style="101" width="11.38"/>
    <col collapsed="false" customWidth="true" hidden="false" outlineLevel="0" max="9739" min="9739" style="101" width="4.63"/>
    <col collapsed="false" customWidth="true" hidden="false" outlineLevel="0" max="9740" min="9740" style="101" width="5.5"/>
    <col collapsed="false" customWidth="true" hidden="false" outlineLevel="0" max="9741" min="9741" style="101" width="30.37"/>
    <col collapsed="false" customWidth="true" hidden="false" outlineLevel="0" max="9742" min="9742" style="101" width="10.5"/>
    <col collapsed="false" customWidth="true" hidden="false" outlineLevel="0" max="9743" min="9743" style="101" width="42.12"/>
    <col collapsed="false" customWidth="true" hidden="false" outlineLevel="0" max="9744" min="9744" style="101" width="3.75"/>
    <col collapsed="false" customWidth="true" hidden="false" outlineLevel="0" max="9745" min="9745" style="101" width="30.5"/>
    <col collapsed="false" customWidth="false" hidden="false" outlineLevel="0" max="9746" min="9746" style="101" width="9"/>
    <col collapsed="false" customWidth="true" hidden="false" outlineLevel="0" max="9747" min="9747" style="101" width="25"/>
    <col collapsed="false" customWidth="false" hidden="false" outlineLevel="0" max="9985" min="9748" style="101" width="9"/>
    <col collapsed="false" customWidth="true" hidden="false" outlineLevel="0" max="9986" min="9986" style="101" width="3"/>
    <col collapsed="false" customWidth="true" hidden="false" outlineLevel="0" max="9987" min="9987" style="101" width="5.5"/>
    <col collapsed="false" customWidth="true" hidden="false" outlineLevel="0" max="9988" min="9988" style="101" width="21.37"/>
    <col collapsed="false" customWidth="true" hidden="false" outlineLevel="0" max="9989" min="9989" style="101" width="14.75"/>
    <col collapsed="false" customWidth="true" hidden="false" outlineLevel="0" max="9990" min="9990" style="101" width="3.12"/>
    <col collapsed="false" customWidth="true" hidden="false" outlineLevel="0" max="9991" min="9991" style="101" width="6"/>
    <col collapsed="false" customWidth="true" hidden="false" outlineLevel="0" max="9992" min="9992" style="101" width="23"/>
    <col collapsed="false" customWidth="true" hidden="false" outlineLevel="0" max="9993" min="9993" style="101" width="15.75"/>
    <col collapsed="false" customWidth="true" hidden="false" outlineLevel="0" max="9994" min="9994" style="101" width="11.38"/>
    <col collapsed="false" customWidth="true" hidden="false" outlineLevel="0" max="9995" min="9995" style="101" width="4.63"/>
    <col collapsed="false" customWidth="true" hidden="false" outlineLevel="0" max="9996" min="9996" style="101" width="5.5"/>
    <col collapsed="false" customWidth="true" hidden="false" outlineLevel="0" max="9997" min="9997" style="101" width="30.37"/>
    <col collapsed="false" customWidth="true" hidden="false" outlineLevel="0" max="9998" min="9998" style="101" width="10.5"/>
    <col collapsed="false" customWidth="true" hidden="false" outlineLevel="0" max="9999" min="9999" style="101" width="42.12"/>
    <col collapsed="false" customWidth="true" hidden="false" outlineLevel="0" max="10000" min="10000" style="101" width="3.75"/>
    <col collapsed="false" customWidth="true" hidden="false" outlineLevel="0" max="10001" min="10001" style="101" width="30.5"/>
    <col collapsed="false" customWidth="false" hidden="false" outlineLevel="0" max="10002" min="10002" style="101" width="9"/>
    <col collapsed="false" customWidth="true" hidden="false" outlineLevel="0" max="10003" min="10003" style="101" width="25"/>
    <col collapsed="false" customWidth="false" hidden="false" outlineLevel="0" max="10241" min="10004" style="101" width="9"/>
    <col collapsed="false" customWidth="true" hidden="false" outlineLevel="0" max="10242" min="10242" style="101" width="3"/>
    <col collapsed="false" customWidth="true" hidden="false" outlineLevel="0" max="10243" min="10243" style="101" width="5.5"/>
    <col collapsed="false" customWidth="true" hidden="false" outlineLevel="0" max="10244" min="10244" style="101" width="21.37"/>
    <col collapsed="false" customWidth="true" hidden="false" outlineLevel="0" max="10245" min="10245" style="101" width="14.75"/>
    <col collapsed="false" customWidth="true" hidden="false" outlineLevel="0" max="10246" min="10246" style="101" width="3.12"/>
    <col collapsed="false" customWidth="true" hidden="false" outlineLevel="0" max="10247" min="10247" style="101" width="6"/>
    <col collapsed="false" customWidth="true" hidden="false" outlineLevel="0" max="10248" min="10248" style="101" width="23"/>
    <col collapsed="false" customWidth="true" hidden="false" outlineLevel="0" max="10249" min="10249" style="101" width="15.75"/>
    <col collapsed="false" customWidth="true" hidden="false" outlineLevel="0" max="10250" min="10250" style="101" width="11.38"/>
    <col collapsed="false" customWidth="true" hidden="false" outlineLevel="0" max="10251" min="10251" style="101" width="4.63"/>
    <col collapsed="false" customWidth="true" hidden="false" outlineLevel="0" max="10252" min="10252" style="101" width="5.5"/>
    <col collapsed="false" customWidth="true" hidden="false" outlineLevel="0" max="10253" min="10253" style="101" width="30.37"/>
    <col collapsed="false" customWidth="true" hidden="false" outlineLevel="0" max="10254" min="10254" style="101" width="10.5"/>
    <col collapsed="false" customWidth="true" hidden="false" outlineLevel="0" max="10255" min="10255" style="101" width="42.12"/>
    <col collapsed="false" customWidth="true" hidden="false" outlineLevel="0" max="10256" min="10256" style="101" width="3.75"/>
    <col collapsed="false" customWidth="true" hidden="false" outlineLevel="0" max="10257" min="10257" style="101" width="30.5"/>
    <col collapsed="false" customWidth="false" hidden="false" outlineLevel="0" max="10258" min="10258" style="101" width="9"/>
    <col collapsed="false" customWidth="true" hidden="false" outlineLevel="0" max="10259" min="10259" style="101" width="25"/>
    <col collapsed="false" customWidth="false" hidden="false" outlineLevel="0" max="10497" min="10260" style="101" width="9"/>
    <col collapsed="false" customWidth="true" hidden="false" outlineLevel="0" max="10498" min="10498" style="101" width="3"/>
    <col collapsed="false" customWidth="true" hidden="false" outlineLevel="0" max="10499" min="10499" style="101" width="5.5"/>
    <col collapsed="false" customWidth="true" hidden="false" outlineLevel="0" max="10500" min="10500" style="101" width="21.37"/>
    <col collapsed="false" customWidth="true" hidden="false" outlineLevel="0" max="10501" min="10501" style="101" width="14.75"/>
    <col collapsed="false" customWidth="true" hidden="false" outlineLevel="0" max="10502" min="10502" style="101" width="3.12"/>
    <col collapsed="false" customWidth="true" hidden="false" outlineLevel="0" max="10503" min="10503" style="101" width="6"/>
    <col collapsed="false" customWidth="true" hidden="false" outlineLevel="0" max="10504" min="10504" style="101" width="23"/>
    <col collapsed="false" customWidth="true" hidden="false" outlineLevel="0" max="10505" min="10505" style="101" width="15.75"/>
    <col collapsed="false" customWidth="true" hidden="false" outlineLevel="0" max="10506" min="10506" style="101" width="11.38"/>
    <col collapsed="false" customWidth="true" hidden="false" outlineLevel="0" max="10507" min="10507" style="101" width="4.63"/>
    <col collapsed="false" customWidth="true" hidden="false" outlineLevel="0" max="10508" min="10508" style="101" width="5.5"/>
    <col collapsed="false" customWidth="true" hidden="false" outlineLevel="0" max="10509" min="10509" style="101" width="30.37"/>
    <col collapsed="false" customWidth="true" hidden="false" outlineLevel="0" max="10510" min="10510" style="101" width="10.5"/>
    <col collapsed="false" customWidth="true" hidden="false" outlineLevel="0" max="10511" min="10511" style="101" width="42.12"/>
    <col collapsed="false" customWidth="true" hidden="false" outlineLevel="0" max="10512" min="10512" style="101" width="3.75"/>
    <col collapsed="false" customWidth="true" hidden="false" outlineLevel="0" max="10513" min="10513" style="101" width="30.5"/>
    <col collapsed="false" customWidth="false" hidden="false" outlineLevel="0" max="10514" min="10514" style="101" width="9"/>
    <col collapsed="false" customWidth="true" hidden="false" outlineLevel="0" max="10515" min="10515" style="101" width="25"/>
    <col collapsed="false" customWidth="false" hidden="false" outlineLevel="0" max="10753" min="10516" style="101" width="9"/>
    <col collapsed="false" customWidth="true" hidden="false" outlineLevel="0" max="10754" min="10754" style="101" width="3"/>
    <col collapsed="false" customWidth="true" hidden="false" outlineLevel="0" max="10755" min="10755" style="101" width="5.5"/>
    <col collapsed="false" customWidth="true" hidden="false" outlineLevel="0" max="10756" min="10756" style="101" width="21.37"/>
    <col collapsed="false" customWidth="true" hidden="false" outlineLevel="0" max="10757" min="10757" style="101" width="14.75"/>
    <col collapsed="false" customWidth="true" hidden="false" outlineLevel="0" max="10758" min="10758" style="101" width="3.12"/>
    <col collapsed="false" customWidth="true" hidden="false" outlineLevel="0" max="10759" min="10759" style="101" width="6"/>
    <col collapsed="false" customWidth="true" hidden="false" outlineLevel="0" max="10760" min="10760" style="101" width="23"/>
    <col collapsed="false" customWidth="true" hidden="false" outlineLevel="0" max="10761" min="10761" style="101" width="15.75"/>
    <col collapsed="false" customWidth="true" hidden="false" outlineLevel="0" max="10762" min="10762" style="101" width="11.38"/>
    <col collapsed="false" customWidth="true" hidden="false" outlineLevel="0" max="10763" min="10763" style="101" width="4.63"/>
    <col collapsed="false" customWidth="true" hidden="false" outlineLevel="0" max="10764" min="10764" style="101" width="5.5"/>
    <col collapsed="false" customWidth="true" hidden="false" outlineLevel="0" max="10765" min="10765" style="101" width="30.37"/>
    <col collapsed="false" customWidth="true" hidden="false" outlineLevel="0" max="10766" min="10766" style="101" width="10.5"/>
    <col collapsed="false" customWidth="true" hidden="false" outlineLevel="0" max="10767" min="10767" style="101" width="42.12"/>
    <col collapsed="false" customWidth="true" hidden="false" outlineLevel="0" max="10768" min="10768" style="101" width="3.75"/>
    <col collapsed="false" customWidth="true" hidden="false" outlineLevel="0" max="10769" min="10769" style="101" width="30.5"/>
    <col collapsed="false" customWidth="false" hidden="false" outlineLevel="0" max="10770" min="10770" style="101" width="9"/>
    <col collapsed="false" customWidth="true" hidden="false" outlineLevel="0" max="10771" min="10771" style="101" width="25"/>
    <col collapsed="false" customWidth="false" hidden="false" outlineLevel="0" max="11009" min="10772" style="101" width="9"/>
    <col collapsed="false" customWidth="true" hidden="false" outlineLevel="0" max="11010" min="11010" style="101" width="3"/>
    <col collapsed="false" customWidth="true" hidden="false" outlineLevel="0" max="11011" min="11011" style="101" width="5.5"/>
    <col collapsed="false" customWidth="true" hidden="false" outlineLevel="0" max="11012" min="11012" style="101" width="21.37"/>
    <col collapsed="false" customWidth="true" hidden="false" outlineLevel="0" max="11013" min="11013" style="101" width="14.75"/>
    <col collapsed="false" customWidth="true" hidden="false" outlineLevel="0" max="11014" min="11014" style="101" width="3.12"/>
    <col collapsed="false" customWidth="true" hidden="false" outlineLevel="0" max="11015" min="11015" style="101" width="6"/>
    <col collapsed="false" customWidth="true" hidden="false" outlineLevel="0" max="11016" min="11016" style="101" width="23"/>
    <col collapsed="false" customWidth="true" hidden="false" outlineLevel="0" max="11017" min="11017" style="101" width="15.75"/>
    <col collapsed="false" customWidth="true" hidden="false" outlineLevel="0" max="11018" min="11018" style="101" width="11.38"/>
    <col collapsed="false" customWidth="true" hidden="false" outlineLevel="0" max="11019" min="11019" style="101" width="4.63"/>
    <col collapsed="false" customWidth="true" hidden="false" outlineLevel="0" max="11020" min="11020" style="101" width="5.5"/>
    <col collapsed="false" customWidth="true" hidden="false" outlineLevel="0" max="11021" min="11021" style="101" width="30.37"/>
    <col collapsed="false" customWidth="true" hidden="false" outlineLevel="0" max="11022" min="11022" style="101" width="10.5"/>
    <col collapsed="false" customWidth="true" hidden="false" outlineLevel="0" max="11023" min="11023" style="101" width="42.12"/>
    <col collapsed="false" customWidth="true" hidden="false" outlineLevel="0" max="11024" min="11024" style="101" width="3.75"/>
    <col collapsed="false" customWidth="true" hidden="false" outlineLevel="0" max="11025" min="11025" style="101" width="30.5"/>
    <col collapsed="false" customWidth="false" hidden="false" outlineLevel="0" max="11026" min="11026" style="101" width="9"/>
    <col collapsed="false" customWidth="true" hidden="false" outlineLevel="0" max="11027" min="11027" style="101" width="25"/>
    <col collapsed="false" customWidth="false" hidden="false" outlineLevel="0" max="11265" min="11028" style="101" width="9"/>
    <col collapsed="false" customWidth="true" hidden="false" outlineLevel="0" max="11266" min="11266" style="101" width="3"/>
    <col collapsed="false" customWidth="true" hidden="false" outlineLevel="0" max="11267" min="11267" style="101" width="5.5"/>
    <col collapsed="false" customWidth="true" hidden="false" outlineLevel="0" max="11268" min="11268" style="101" width="21.37"/>
    <col collapsed="false" customWidth="true" hidden="false" outlineLevel="0" max="11269" min="11269" style="101" width="14.75"/>
    <col collapsed="false" customWidth="true" hidden="false" outlineLevel="0" max="11270" min="11270" style="101" width="3.12"/>
    <col collapsed="false" customWidth="true" hidden="false" outlineLevel="0" max="11271" min="11271" style="101" width="6"/>
    <col collapsed="false" customWidth="true" hidden="false" outlineLevel="0" max="11272" min="11272" style="101" width="23"/>
    <col collapsed="false" customWidth="true" hidden="false" outlineLevel="0" max="11273" min="11273" style="101" width="15.75"/>
    <col collapsed="false" customWidth="true" hidden="false" outlineLevel="0" max="11274" min="11274" style="101" width="11.38"/>
    <col collapsed="false" customWidth="true" hidden="false" outlineLevel="0" max="11275" min="11275" style="101" width="4.63"/>
    <col collapsed="false" customWidth="true" hidden="false" outlineLevel="0" max="11276" min="11276" style="101" width="5.5"/>
    <col collapsed="false" customWidth="true" hidden="false" outlineLevel="0" max="11277" min="11277" style="101" width="30.37"/>
    <col collapsed="false" customWidth="true" hidden="false" outlineLevel="0" max="11278" min="11278" style="101" width="10.5"/>
    <col collapsed="false" customWidth="true" hidden="false" outlineLevel="0" max="11279" min="11279" style="101" width="42.12"/>
    <col collapsed="false" customWidth="true" hidden="false" outlineLevel="0" max="11280" min="11280" style="101" width="3.75"/>
    <col collapsed="false" customWidth="true" hidden="false" outlineLevel="0" max="11281" min="11281" style="101" width="30.5"/>
    <col collapsed="false" customWidth="false" hidden="false" outlineLevel="0" max="11282" min="11282" style="101" width="9"/>
    <col collapsed="false" customWidth="true" hidden="false" outlineLevel="0" max="11283" min="11283" style="101" width="25"/>
    <col collapsed="false" customWidth="false" hidden="false" outlineLevel="0" max="11521" min="11284" style="101" width="9"/>
    <col collapsed="false" customWidth="true" hidden="false" outlineLevel="0" max="11522" min="11522" style="101" width="3"/>
    <col collapsed="false" customWidth="true" hidden="false" outlineLevel="0" max="11523" min="11523" style="101" width="5.5"/>
    <col collapsed="false" customWidth="true" hidden="false" outlineLevel="0" max="11524" min="11524" style="101" width="21.37"/>
    <col collapsed="false" customWidth="true" hidden="false" outlineLevel="0" max="11525" min="11525" style="101" width="14.75"/>
    <col collapsed="false" customWidth="true" hidden="false" outlineLevel="0" max="11526" min="11526" style="101" width="3.12"/>
    <col collapsed="false" customWidth="true" hidden="false" outlineLevel="0" max="11527" min="11527" style="101" width="6"/>
    <col collapsed="false" customWidth="true" hidden="false" outlineLevel="0" max="11528" min="11528" style="101" width="23"/>
    <col collapsed="false" customWidth="true" hidden="false" outlineLevel="0" max="11529" min="11529" style="101" width="15.75"/>
    <col collapsed="false" customWidth="true" hidden="false" outlineLevel="0" max="11530" min="11530" style="101" width="11.38"/>
    <col collapsed="false" customWidth="true" hidden="false" outlineLevel="0" max="11531" min="11531" style="101" width="4.63"/>
    <col collapsed="false" customWidth="true" hidden="false" outlineLevel="0" max="11532" min="11532" style="101" width="5.5"/>
    <col collapsed="false" customWidth="true" hidden="false" outlineLevel="0" max="11533" min="11533" style="101" width="30.37"/>
    <col collapsed="false" customWidth="true" hidden="false" outlineLevel="0" max="11534" min="11534" style="101" width="10.5"/>
    <col collapsed="false" customWidth="true" hidden="false" outlineLevel="0" max="11535" min="11535" style="101" width="42.12"/>
    <col collapsed="false" customWidth="true" hidden="false" outlineLevel="0" max="11536" min="11536" style="101" width="3.75"/>
    <col collapsed="false" customWidth="true" hidden="false" outlineLevel="0" max="11537" min="11537" style="101" width="30.5"/>
    <col collapsed="false" customWidth="false" hidden="false" outlineLevel="0" max="11538" min="11538" style="101" width="9"/>
    <col collapsed="false" customWidth="true" hidden="false" outlineLevel="0" max="11539" min="11539" style="101" width="25"/>
    <col collapsed="false" customWidth="false" hidden="false" outlineLevel="0" max="11777" min="11540" style="101" width="9"/>
    <col collapsed="false" customWidth="true" hidden="false" outlineLevel="0" max="11778" min="11778" style="101" width="3"/>
    <col collapsed="false" customWidth="true" hidden="false" outlineLevel="0" max="11779" min="11779" style="101" width="5.5"/>
    <col collapsed="false" customWidth="true" hidden="false" outlineLevel="0" max="11780" min="11780" style="101" width="21.37"/>
    <col collapsed="false" customWidth="true" hidden="false" outlineLevel="0" max="11781" min="11781" style="101" width="14.75"/>
    <col collapsed="false" customWidth="true" hidden="false" outlineLevel="0" max="11782" min="11782" style="101" width="3.12"/>
    <col collapsed="false" customWidth="true" hidden="false" outlineLevel="0" max="11783" min="11783" style="101" width="6"/>
    <col collapsed="false" customWidth="true" hidden="false" outlineLevel="0" max="11784" min="11784" style="101" width="23"/>
    <col collapsed="false" customWidth="true" hidden="false" outlineLevel="0" max="11785" min="11785" style="101" width="15.75"/>
    <col collapsed="false" customWidth="true" hidden="false" outlineLevel="0" max="11786" min="11786" style="101" width="11.38"/>
    <col collapsed="false" customWidth="true" hidden="false" outlineLevel="0" max="11787" min="11787" style="101" width="4.63"/>
    <col collapsed="false" customWidth="true" hidden="false" outlineLevel="0" max="11788" min="11788" style="101" width="5.5"/>
    <col collapsed="false" customWidth="true" hidden="false" outlineLevel="0" max="11789" min="11789" style="101" width="30.37"/>
    <col collapsed="false" customWidth="true" hidden="false" outlineLevel="0" max="11790" min="11790" style="101" width="10.5"/>
    <col collapsed="false" customWidth="true" hidden="false" outlineLevel="0" max="11791" min="11791" style="101" width="42.12"/>
    <col collapsed="false" customWidth="true" hidden="false" outlineLevel="0" max="11792" min="11792" style="101" width="3.75"/>
    <col collapsed="false" customWidth="true" hidden="false" outlineLevel="0" max="11793" min="11793" style="101" width="30.5"/>
    <col collapsed="false" customWidth="false" hidden="false" outlineLevel="0" max="11794" min="11794" style="101" width="9"/>
    <col collapsed="false" customWidth="true" hidden="false" outlineLevel="0" max="11795" min="11795" style="101" width="25"/>
    <col collapsed="false" customWidth="false" hidden="false" outlineLevel="0" max="12033" min="11796" style="101" width="9"/>
    <col collapsed="false" customWidth="true" hidden="false" outlineLevel="0" max="12034" min="12034" style="101" width="3"/>
    <col collapsed="false" customWidth="true" hidden="false" outlineLevel="0" max="12035" min="12035" style="101" width="5.5"/>
    <col collapsed="false" customWidth="true" hidden="false" outlineLevel="0" max="12036" min="12036" style="101" width="21.37"/>
    <col collapsed="false" customWidth="true" hidden="false" outlineLevel="0" max="12037" min="12037" style="101" width="14.75"/>
    <col collapsed="false" customWidth="true" hidden="false" outlineLevel="0" max="12038" min="12038" style="101" width="3.12"/>
    <col collapsed="false" customWidth="true" hidden="false" outlineLevel="0" max="12039" min="12039" style="101" width="6"/>
    <col collapsed="false" customWidth="true" hidden="false" outlineLevel="0" max="12040" min="12040" style="101" width="23"/>
    <col collapsed="false" customWidth="true" hidden="false" outlineLevel="0" max="12041" min="12041" style="101" width="15.75"/>
    <col collapsed="false" customWidth="true" hidden="false" outlineLevel="0" max="12042" min="12042" style="101" width="11.38"/>
    <col collapsed="false" customWidth="true" hidden="false" outlineLevel="0" max="12043" min="12043" style="101" width="4.63"/>
    <col collapsed="false" customWidth="true" hidden="false" outlineLevel="0" max="12044" min="12044" style="101" width="5.5"/>
    <col collapsed="false" customWidth="true" hidden="false" outlineLevel="0" max="12045" min="12045" style="101" width="30.37"/>
    <col collapsed="false" customWidth="true" hidden="false" outlineLevel="0" max="12046" min="12046" style="101" width="10.5"/>
    <col collapsed="false" customWidth="true" hidden="false" outlineLevel="0" max="12047" min="12047" style="101" width="42.12"/>
    <col collapsed="false" customWidth="true" hidden="false" outlineLevel="0" max="12048" min="12048" style="101" width="3.75"/>
    <col collapsed="false" customWidth="true" hidden="false" outlineLevel="0" max="12049" min="12049" style="101" width="30.5"/>
    <col collapsed="false" customWidth="false" hidden="false" outlineLevel="0" max="12050" min="12050" style="101" width="9"/>
    <col collapsed="false" customWidth="true" hidden="false" outlineLevel="0" max="12051" min="12051" style="101" width="25"/>
    <col collapsed="false" customWidth="false" hidden="false" outlineLevel="0" max="12289" min="12052" style="101" width="9"/>
    <col collapsed="false" customWidth="true" hidden="false" outlineLevel="0" max="12290" min="12290" style="101" width="3"/>
    <col collapsed="false" customWidth="true" hidden="false" outlineLevel="0" max="12291" min="12291" style="101" width="5.5"/>
    <col collapsed="false" customWidth="true" hidden="false" outlineLevel="0" max="12292" min="12292" style="101" width="21.37"/>
    <col collapsed="false" customWidth="true" hidden="false" outlineLevel="0" max="12293" min="12293" style="101" width="14.75"/>
    <col collapsed="false" customWidth="true" hidden="false" outlineLevel="0" max="12294" min="12294" style="101" width="3.12"/>
    <col collapsed="false" customWidth="true" hidden="false" outlineLevel="0" max="12295" min="12295" style="101" width="6"/>
    <col collapsed="false" customWidth="true" hidden="false" outlineLevel="0" max="12296" min="12296" style="101" width="23"/>
    <col collapsed="false" customWidth="true" hidden="false" outlineLevel="0" max="12297" min="12297" style="101" width="15.75"/>
    <col collapsed="false" customWidth="true" hidden="false" outlineLevel="0" max="12298" min="12298" style="101" width="11.38"/>
    <col collapsed="false" customWidth="true" hidden="false" outlineLevel="0" max="12299" min="12299" style="101" width="4.63"/>
    <col collapsed="false" customWidth="true" hidden="false" outlineLevel="0" max="12300" min="12300" style="101" width="5.5"/>
    <col collapsed="false" customWidth="true" hidden="false" outlineLevel="0" max="12301" min="12301" style="101" width="30.37"/>
    <col collapsed="false" customWidth="true" hidden="false" outlineLevel="0" max="12302" min="12302" style="101" width="10.5"/>
    <col collapsed="false" customWidth="true" hidden="false" outlineLevel="0" max="12303" min="12303" style="101" width="42.12"/>
    <col collapsed="false" customWidth="true" hidden="false" outlineLevel="0" max="12304" min="12304" style="101" width="3.75"/>
    <col collapsed="false" customWidth="true" hidden="false" outlineLevel="0" max="12305" min="12305" style="101" width="30.5"/>
    <col collapsed="false" customWidth="false" hidden="false" outlineLevel="0" max="12306" min="12306" style="101" width="9"/>
    <col collapsed="false" customWidth="true" hidden="false" outlineLevel="0" max="12307" min="12307" style="101" width="25"/>
    <col collapsed="false" customWidth="false" hidden="false" outlineLevel="0" max="12545" min="12308" style="101" width="9"/>
    <col collapsed="false" customWidth="true" hidden="false" outlineLevel="0" max="12546" min="12546" style="101" width="3"/>
    <col collapsed="false" customWidth="true" hidden="false" outlineLevel="0" max="12547" min="12547" style="101" width="5.5"/>
    <col collapsed="false" customWidth="true" hidden="false" outlineLevel="0" max="12548" min="12548" style="101" width="21.37"/>
    <col collapsed="false" customWidth="true" hidden="false" outlineLevel="0" max="12549" min="12549" style="101" width="14.75"/>
    <col collapsed="false" customWidth="true" hidden="false" outlineLevel="0" max="12550" min="12550" style="101" width="3.12"/>
    <col collapsed="false" customWidth="true" hidden="false" outlineLevel="0" max="12551" min="12551" style="101" width="6"/>
    <col collapsed="false" customWidth="true" hidden="false" outlineLevel="0" max="12552" min="12552" style="101" width="23"/>
    <col collapsed="false" customWidth="true" hidden="false" outlineLevel="0" max="12553" min="12553" style="101" width="15.75"/>
    <col collapsed="false" customWidth="true" hidden="false" outlineLevel="0" max="12554" min="12554" style="101" width="11.38"/>
    <col collapsed="false" customWidth="true" hidden="false" outlineLevel="0" max="12555" min="12555" style="101" width="4.63"/>
    <col collapsed="false" customWidth="true" hidden="false" outlineLevel="0" max="12556" min="12556" style="101" width="5.5"/>
    <col collapsed="false" customWidth="true" hidden="false" outlineLevel="0" max="12557" min="12557" style="101" width="30.37"/>
    <col collapsed="false" customWidth="true" hidden="false" outlineLevel="0" max="12558" min="12558" style="101" width="10.5"/>
    <col collapsed="false" customWidth="true" hidden="false" outlineLevel="0" max="12559" min="12559" style="101" width="42.12"/>
    <col collapsed="false" customWidth="true" hidden="false" outlineLevel="0" max="12560" min="12560" style="101" width="3.75"/>
    <col collapsed="false" customWidth="true" hidden="false" outlineLevel="0" max="12561" min="12561" style="101" width="30.5"/>
    <col collapsed="false" customWidth="false" hidden="false" outlineLevel="0" max="12562" min="12562" style="101" width="9"/>
    <col collapsed="false" customWidth="true" hidden="false" outlineLevel="0" max="12563" min="12563" style="101" width="25"/>
    <col collapsed="false" customWidth="false" hidden="false" outlineLevel="0" max="12801" min="12564" style="101" width="9"/>
    <col collapsed="false" customWidth="true" hidden="false" outlineLevel="0" max="12802" min="12802" style="101" width="3"/>
    <col collapsed="false" customWidth="true" hidden="false" outlineLevel="0" max="12803" min="12803" style="101" width="5.5"/>
    <col collapsed="false" customWidth="true" hidden="false" outlineLevel="0" max="12804" min="12804" style="101" width="21.37"/>
    <col collapsed="false" customWidth="true" hidden="false" outlineLevel="0" max="12805" min="12805" style="101" width="14.75"/>
    <col collapsed="false" customWidth="true" hidden="false" outlineLevel="0" max="12806" min="12806" style="101" width="3.12"/>
    <col collapsed="false" customWidth="true" hidden="false" outlineLevel="0" max="12807" min="12807" style="101" width="6"/>
    <col collapsed="false" customWidth="true" hidden="false" outlineLevel="0" max="12808" min="12808" style="101" width="23"/>
    <col collapsed="false" customWidth="true" hidden="false" outlineLevel="0" max="12809" min="12809" style="101" width="15.75"/>
    <col collapsed="false" customWidth="true" hidden="false" outlineLevel="0" max="12810" min="12810" style="101" width="11.38"/>
    <col collapsed="false" customWidth="true" hidden="false" outlineLevel="0" max="12811" min="12811" style="101" width="4.63"/>
    <col collapsed="false" customWidth="true" hidden="false" outlineLevel="0" max="12812" min="12812" style="101" width="5.5"/>
    <col collapsed="false" customWidth="true" hidden="false" outlineLevel="0" max="12813" min="12813" style="101" width="30.37"/>
    <col collapsed="false" customWidth="true" hidden="false" outlineLevel="0" max="12814" min="12814" style="101" width="10.5"/>
    <col collapsed="false" customWidth="true" hidden="false" outlineLevel="0" max="12815" min="12815" style="101" width="42.12"/>
    <col collapsed="false" customWidth="true" hidden="false" outlineLevel="0" max="12816" min="12816" style="101" width="3.75"/>
    <col collapsed="false" customWidth="true" hidden="false" outlineLevel="0" max="12817" min="12817" style="101" width="30.5"/>
    <col collapsed="false" customWidth="false" hidden="false" outlineLevel="0" max="12818" min="12818" style="101" width="9"/>
    <col collapsed="false" customWidth="true" hidden="false" outlineLevel="0" max="12819" min="12819" style="101" width="25"/>
    <col collapsed="false" customWidth="false" hidden="false" outlineLevel="0" max="13057" min="12820" style="101" width="9"/>
    <col collapsed="false" customWidth="true" hidden="false" outlineLevel="0" max="13058" min="13058" style="101" width="3"/>
    <col collapsed="false" customWidth="true" hidden="false" outlineLevel="0" max="13059" min="13059" style="101" width="5.5"/>
    <col collapsed="false" customWidth="true" hidden="false" outlineLevel="0" max="13060" min="13060" style="101" width="21.37"/>
    <col collapsed="false" customWidth="true" hidden="false" outlineLevel="0" max="13061" min="13061" style="101" width="14.75"/>
    <col collapsed="false" customWidth="true" hidden="false" outlineLevel="0" max="13062" min="13062" style="101" width="3.12"/>
    <col collapsed="false" customWidth="true" hidden="false" outlineLevel="0" max="13063" min="13063" style="101" width="6"/>
    <col collapsed="false" customWidth="true" hidden="false" outlineLevel="0" max="13064" min="13064" style="101" width="23"/>
    <col collapsed="false" customWidth="true" hidden="false" outlineLevel="0" max="13065" min="13065" style="101" width="15.75"/>
    <col collapsed="false" customWidth="true" hidden="false" outlineLevel="0" max="13066" min="13066" style="101" width="11.38"/>
    <col collapsed="false" customWidth="true" hidden="false" outlineLevel="0" max="13067" min="13067" style="101" width="4.63"/>
    <col collapsed="false" customWidth="true" hidden="false" outlineLevel="0" max="13068" min="13068" style="101" width="5.5"/>
    <col collapsed="false" customWidth="true" hidden="false" outlineLevel="0" max="13069" min="13069" style="101" width="30.37"/>
    <col collapsed="false" customWidth="true" hidden="false" outlineLevel="0" max="13070" min="13070" style="101" width="10.5"/>
    <col collapsed="false" customWidth="true" hidden="false" outlineLevel="0" max="13071" min="13071" style="101" width="42.12"/>
    <col collapsed="false" customWidth="true" hidden="false" outlineLevel="0" max="13072" min="13072" style="101" width="3.75"/>
    <col collapsed="false" customWidth="true" hidden="false" outlineLevel="0" max="13073" min="13073" style="101" width="30.5"/>
    <col collapsed="false" customWidth="false" hidden="false" outlineLevel="0" max="13074" min="13074" style="101" width="9"/>
    <col collapsed="false" customWidth="true" hidden="false" outlineLevel="0" max="13075" min="13075" style="101" width="25"/>
    <col collapsed="false" customWidth="false" hidden="false" outlineLevel="0" max="13313" min="13076" style="101" width="9"/>
    <col collapsed="false" customWidth="true" hidden="false" outlineLevel="0" max="13314" min="13314" style="101" width="3"/>
    <col collapsed="false" customWidth="true" hidden="false" outlineLevel="0" max="13315" min="13315" style="101" width="5.5"/>
    <col collapsed="false" customWidth="true" hidden="false" outlineLevel="0" max="13316" min="13316" style="101" width="21.37"/>
    <col collapsed="false" customWidth="true" hidden="false" outlineLevel="0" max="13317" min="13317" style="101" width="14.75"/>
    <col collapsed="false" customWidth="true" hidden="false" outlineLevel="0" max="13318" min="13318" style="101" width="3.12"/>
    <col collapsed="false" customWidth="true" hidden="false" outlineLevel="0" max="13319" min="13319" style="101" width="6"/>
    <col collapsed="false" customWidth="true" hidden="false" outlineLevel="0" max="13320" min="13320" style="101" width="23"/>
    <col collapsed="false" customWidth="true" hidden="false" outlineLevel="0" max="13321" min="13321" style="101" width="15.75"/>
    <col collapsed="false" customWidth="true" hidden="false" outlineLevel="0" max="13322" min="13322" style="101" width="11.38"/>
    <col collapsed="false" customWidth="true" hidden="false" outlineLevel="0" max="13323" min="13323" style="101" width="4.63"/>
    <col collapsed="false" customWidth="true" hidden="false" outlineLevel="0" max="13324" min="13324" style="101" width="5.5"/>
    <col collapsed="false" customWidth="true" hidden="false" outlineLevel="0" max="13325" min="13325" style="101" width="30.37"/>
    <col collapsed="false" customWidth="true" hidden="false" outlineLevel="0" max="13326" min="13326" style="101" width="10.5"/>
    <col collapsed="false" customWidth="true" hidden="false" outlineLevel="0" max="13327" min="13327" style="101" width="42.12"/>
    <col collapsed="false" customWidth="true" hidden="false" outlineLevel="0" max="13328" min="13328" style="101" width="3.75"/>
    <col collapsed="false" customWidth="true" hidden="false" outlineLevel="0" max="13329" min="13329" style="101" width="30.5"/>
    <col collapsed="false" customWidth="false" hidden="false" outlineLevel="0" max="13330" min="13330" style="101" width="9"/>
    <col collapsed="false" customWidth="true" hidden="false" outlineLevel="0" max="13331" min="13331" style="101" width="25"/>
    <col collapsed="false" customWidth="false" hidden="false" outlineLevel="0" max="13569" min="13332" style="101" width="9"/>
    <col collapsed="false" customWidth="true" hidden="false" outlineLevel="0" max="13570" min="13570" style="101" width="3"/>
    <col collapsed="false" customWidth="true" hidden="false" outlineLevel="0" max="13571" min="13571" style="101" width="5.5"/>
    <col collapsed="false" customWidth="true" hidden="false" outlineLevel="0" max="13572" min="13572" style="101" width="21.37"/>
    <col collapsed="false" customWidth="true" hidden="false" outlineLevel="0" max="13573" min="13573" style="101" width="14.75"/>
    <col collapsed="false" customWidth="true" hidden="false" outlineLevel="0" max="13574" min="13574" style="101" width="3.12"/>
    <col collapsed="false" customWidth="true" hidden="false" outlineLevel="0" max="13575" min="13575" style="101" width="6"/>
    <col collapsed="false" customWidth="true" hidden="false" outlineLevel="0" max="13576" min="13576" style="101" width="23"/>
    <col collapsed="false" customWidth="true" hidden="false" outlineLevel="0" max="13577" min="13577" style="101" width="15.75"/>
    <col collapsed="false" customWidth="true" hidden="false" outlineLevel="0" max="13578" min="13578" style="101" width="11.38"/>
    <col collapsed="false" customWidth="true" hidden="false" outlineLevel="0" max="13579" min="13579" style="101" width="4.63"/>
    <col collapsed="false" customWidth="true" hidden="false" outlineLevel="0" max="13580" min="13580" style="101" width="5.5"/>
    <col collapsed="false" customWidth="true" hidden="false" outlineLevel="0" max="13581" min="13581" style="101" width="30.37"/>
    <col collapsed="false" customWidth="true" hidden="false" outlineLevel="0" max="13582" min="13582" style="101" width="10.5"/>
    <col collapsed="false" customWidth="true" hidden="false" outlineLevel="0" max="13583" min="13583" style="101" width="42.12"/>
    <col collapsed="false" customWidth="true" hidden="false" outlineLevel="0" max="13584" min="13584" style="101" width="3.75"/>
    <col collapsed="false" customWidth="true" hidden="false" outlineLevel="0" max="13585" min="13585" style="101" width="30.5"/>
    <col collapsed="false" customWidth="false" hidden="false" outlineLevel="0" max="13586" min="13586" style="101" width="9"/>
    <col collapsed="false" customWidth="true" hidden="false" outlineLevel="0" max="13587" min="13587" style="101" width="25"/>
    <col collapsed="false" customWidth="false" hidden="false" outlineLevel="0" max="13825" min="13588" style="101" width="9"/>
    <col collapsed="false" customWidth="true" hidden="false" outlineLevel="0" max="13826" min="13826" style="101" width="3"/>
    <col collapsed="false" customWidth="true" hidden="false" outlineLevel="0" max="13827" min="13827" style="101" width="5.5"/>
    <col collapsed="false" customWidth="true" hidden="false" outlineLevel="0" max="13828" min="13828" style="101" width="21.37"/>
    <col collapsed="false" customWidth="true" hidden="false" outlineLevel="0" max="13829" min="13829" style="101" width="14.75"/>
    <col collapsed="false" customWidth="true" hidden="false" outlineLevel="0" max="13830" min="13830" style="101" width="3.12"/>
    <col collapsed="false" customWidth="true" hidden="false" outlineLevel="0" max="13831" min="13831" style="101" width="6"/>
    <col collapsed="false" customWidth="true" hidden="false" outlineLevel="0" max="13832" min="13832" style="101" width="23"/>
    <col collapsed="false" customWidth="true" hidden="false" outlineLevel="0" max="13833" min="13833" style="101" width="15.75"/>
    <col collapsed="false" customWidth="true" hidden="false" outlineLevel="0" max="13834" min="13834" style="101" width="11.38"/>
    <col collapsed="false" customWidth="true" hidden="false" outlineLevel="0" max="13835" min="13835" style="101" width="4.63"/>
    <col collapsed="false" customWidth="true" hidden="false" outlineLevel="0" max="13836" min="13836" style="101" width="5.5"/>
    <col collapsed="false" customWidth="true" hidden="false" outlineLevel="0" max="13837" min="13837" style="101" width="30.37"/>
    <col collapsed="false" customWidth="true" hidden="false" outlineLevel="0" max="13838" min="13838" style="101" width="10.5"/>
    <col collapsed="false" customWidth="true" hidden="false" outlineLevel="0" max="13839" min="13839" style="101" width="42.12"/>
    <col collapsed="false" customWidth="true" hidden="false" outlineLevel="0" max="13840" min="13840" style="101" width="3.75"/>
    <col collapsed="false" customWidth="true" hidden="false" outlineLevel="0" max="13841" min="13841" style="101" width="30.5"/>
    <col collapsed="false" customWidth="false" hidden="false" outlineLevel="0" max="13842" min="13842" style="101" width="9"/>
    <col collapsed="false" customWidth="true" hidden="false" outlineLevel="0" max="13843" min="13843" style="101" width="25"/>
    <col collapsed="false" customWidth="false" hidden="false" outlineLevel="0" max="14081" min="13844" style="101" width="9"/>
    <col collapsed="false" customWidth="true" hidden="false" outlineLevel="0" max="14082" min="14082" style="101" width="3"/>
    <col collapsed="false" customWidth="true" hidden="false" outlineLevel="0" max="14083" min="14083" style="101" width="5.5"/>
    <col collapsed="false" customWidth="true" hidden="false" outlineLevel="0" max="14084" min="14084" style="101" width="21.37"/>
    <col collapsed="false" customWidth="true" hidden="false" outlineLevel="0" max="14085" min="14085" style="101" width="14.75"/>
    <col collapsed="false" customWidth="true" hidden="false" outlineLevel="0" max="14086" min="14086" style="101" width="3.12"/>
    <col collapsed="false" customWidth="true" hidden="false" outlineLevel="0" max="14087" min="14087" style="101" width="6"/>
    <col collapsed="false" customWidth="true" hidden="false" outlineLevel="0" max="14088" min="14088" style="101" width="23"/>
    <col collapsed="false" customWidth="true" hidden="false" outlineLevel="0" max="14089" min="14089" style="101" width="15.75"/>
    <col collapsed="false" customWidth="true" hidden="false" outlineLevel="0" max="14090" min="14090" style="101" width="11.38"/>
    <col collapsed="false" customWidth="true" hidden="false" outlineLevel="0" max="14091" min="14091" style="101" width="4.63"/>
    <col collapsed="false" customWidth="true" hidden="false" outlineLevel="0" max="14092" min="14092" style="101" width="5.5"/>
    <col collapsed="false" customWidth="true" hidden="false" outlineLevel="0" max="14093" min="14093" style="101" width="30.37"/>
    <col collapsed="false" customWidth="true" hidden="false" outlineLevel="0" max="14094" min="14094" style="101" width="10.5"/>
    <col collapsed="false" customWidth="true" hidden="false" outlineLevel="0" max="14095" min="14095" style="101" width="42.12"/>
    <col collapsed="false" customWidth="true" hidden="false" outlineLevel="0" max="14096" min="14096" style="101" width="3.75"/>
    <col collapsed="false" customWidth="true" hidden="false" outlineLevel="0" max="14097" min="14097" style="101" width="30.5"/>
    <col collapsed="false" customWidth="false" hidden="false" outlineLevel="0" max="14098" min="14098" style="101" width="9"/>
    <col collapsed="false" customWidth="true" hidden="false" outlineLevel="0" max="14099" min="14099" style="101" width="25"/>
    <col collapsed="false" customWidth="false" hidden="false" outlineLevel="0" max="14337" min="14100" style="101" width="9"/>
    <col collapsed="false" customWidth="true" hidden="false" outlineLevel="0" max="14338" min="14338" style="101" width="3"/>
    <col collapsed="false" customWidth="true" hidden="false" outlineLevel="0" max="14339" min="14339" style="101" width="5.5"/>
    <col collapsed="false" customWidth="true" hidden="false" outlineLevel="0" max="14340" min="14340" style="101" width="21.37"/>
    <col collapsed="false" customWidth="true" hidden="false" outlineLevel="0" max="14341" min="14341" style="101" width="14.75"/>
    <col collapsed="false" customWidth="true" hidden="false" outlineLevel="0" max="14342" min="14342" style="101" width="3.12"/>
    <col collapsed="false" customWidth="true" hidden="false" outlineLevel="0" max="14343" min="14343" style="101" width="6"/>
    <col collapsed="false" customWidth="true" hidden="false" outlineLevel="0" max="14344" min="14344" style="101" width="23"/>
    <col collapsed="false" customWidth="true" hidden="false" outlineLevel="0" max="14345" min="14345" style="101" width="15.75"/>
    <col collapsed="false" customWidth="true" hidden="false" outlineLevel="0" max="14346" min="14346" style="101" width="11.38"/>
    <col collapsed="false" customWidth="true" hidden="false" outlineLevel="0" max="14347" min="14347" style="101" width="4.63"/>
    <col collapsed="false" customWidth="true" hidden="false" outlineLevel="0" max="14348" min="14348" style="101" width="5.5"/>
    <col collapsed="false" customWidth="true" hidden="false" outlineLevel="0" max="14349" min="14349" style="101" width="30.37"/>
    <col collapsed="false" customWidth="true" hidden="false" outlineLevel="0" max="14350" min="14350" style="101" width="10.5"/>
    <col collapsed="false" customWidth="true" hidden="false" outlineLevel="0" max="14351" min="14351" style="101" width="42.12"/>
    <col collapsed="false" customWidth="true" hidden="false" outlineLevel="0" max="14352" min="14352" style="101" width="3.75"/>
    <col collapsed="false" customWidth="true" hidden="false" outlineLevel="0" max="14353" min="14353" style="101" width="30.5"/>
    <col collapsed="false" customWidth="false" hidden="false" outlineLevel="0" max="14354" min="14354" style="101" width="9"/>
    <col collapsed="false" customWidth="true" hidden="false" outlineLevel="0" max="14355" min="14355" style="101" width="25"/>
    <col collapsed="false" customWidth="false" hidden="false" outlineLevel="0" max="14593" min="14356" style="101" width="9"/>
    <col collapsed="false" customWidth="true" hidden="false" outlineLevel="0" max="14594" min="14594" style="101" width="3"/>
    <col collapsed="false" customWidth="true" hidden="false" outlineLevel="0" max="14595" min="14595" style="101" width="5.5"/>
    <col collapsed="false" customWidth="true" hidden="false" outlineLevel="0" max="14596" min="14596" style="101" width="21.37"/>
    <col collapsed="false" customWidth="true" hidden="false" outlineLevel="0" max="14597" min="14597" style="101" width="14.75"/>
    <col collapsed="false" customWidth="true" hidden="false" outlineLevel="0" max="14598" min="14598" style="101" width="3.12"/>
    <col collapsed="false" customWidth="true" hidden="false" outlineLevel="0" max="14599" min="14599" style="101" width="6"/>
    <col collapsed="false" customWidth="true" hidden="false" outlineLevel="0" max="14600" min="14600" style="101" width="23"/>
    <col collapsed="false" customWidth="true" hidden="false" outlineLevel="0" max="14601" min="14601" style="101" width="15.75"/>
    <col collapsed="false" customWidth="true" hidden="false" outlineLevel="0" max="14602" min="14602" style="101" width="11.38"/>
    <col collapsed="false" customWidth="true" hidden="false" outlineLevel="0" max="14603" min="14603" style="101" width="4.63"/>
    <col collapsed="false" customWidth="true" hidden="false" outlineLevel="0" max="14604" min="14604" style="101" width="5.5"/>
    <col collapsed="false" customWidth="true" hidden="false" outlineLevel="0" max="14605" min="14605" style="101" width="30.37"/>
    <col collapsed="false" customWidth="true" hidden="false" outlineLevel="0" max="14606" min="14606" style="101" width="10.5"/>
    <col collapsed="false" customWidth="true" hidden="false" outlineLevel="0" max="14607" min="14607" style="101" width="42.12"/>
    <col collapsed="false" customWidth="true" hidden="false" outlineLevel="0" max="14608" min="14608" style="101" width="3.75"/>
    <col collapsed="false" customWidth="true" hidden="false" outlineLevel="0" max="14609" min="14609" style="101" width="30.5"/>
    <col collapsed="false" customWidth="false" hidden="false" outlineLevel="0" max="14610" min="14610" style="101" width="9"/>
    <col collapsed="false" customWidth="true" hidden="false" outlineLevel="0" max="14611" min="14611" style="101" width="25"/>
    <col collapsed="false" customWidth="false" hidden="false" outlineLevel="0" max="14849" min="14612" style="101" width="9"/>
    <col collapsed="false" customWidth="true" hidden="false" outlineLevel="0" max="14850" min="14850" style="101" width="3"/>
    <col collapsed="false" customWidth="true" hidden="false" outlineLevel="0" max="14851" min="14851" style="101" width="5.5"/>
    <col collapsed="false" customWidth="true" hidden="false" outlineLevel="0" max="14852" min="14852" style="101" width="21.37"/>
    <col collapsed="false" customWidth="true" hidden="false" outlineLevel="0" max="14853" min="14853" style="101" width="14.75"/>
    <col collapsed="false" customWidth="true" hidden="false" outlineLevel="0" max="14854" min="14854" style="101" width="3.12"/>
    <col collapsed="false" customWidth="true" hidden="false" outlineLevel="0" max="14855" min="14855" style="101" width="6"/>
    <col collapsed="false" customWidth="true" hidden="false" outlineLevel="0" max="14856" min="14856" style="101" width="23"/>
    <col collapsed="false" customWidth="true" hidden="false" outlineLevel="0" max="14857" min="14857" style="101" width="15.75"/>
    <col collapsed="false" customWidth="true" hidden="false" outlineLevel="0" max="14858" min="14858" style="101" width="11.38"/>
    <col collapsed="false" customWidth="true" hidden="false" outlineLevel="0" max="14859" min="14859" style="101" width="4.63"/>
    <col collapsed="false" customWidth="true" hidden="false" outlineLevel="0" max="14860" min="14860" style="101" width="5.5"/>
    <col collapsed="false" customWidth="true" hidden="false" outlineLevel="0" max="14861" min="14861" style="101" width="30.37"/>
    <col collapsed="false" customWidth="true" hidden="false" outlineLevel="0" max="14862" min="14862" style="101" width="10.5"/>
    <col collapsed="false" customWidth="true" hidden="false" outlineLevel="0" max="14863" min="14863" style="101" width="42.12"/>
    <col collapsed="false" customWidth="true" hidden="false" outlineLevel="0" max="14864" min="14864" style="101" width="3.75"/>
    <col collapsed="false" customWidth="true" hidden="false" outlineLevel="0" max="14865" min="14865" style="101" width="30.5"/>
    <col collapsed="false" customWidth="false" hidden="false" outlineLevel="0" max="14866" min="14866" style="101" width="9"/>
    <col collapsed="false" customWidth="true" hidden="false" outlineLevel="0" max="14867" min="14867" style="101" width="25"/>
    <col collapsed="false" customWidth="false" hidden="false" outlineLevel="0" max="15105" min="14868" style="101" width="9"/>
    <col collapsed="false" customWidth="true" hidden="false" outlineLevel="0" max="15106" min="15106" style="101" width="3"/>
    <col collapsed="false" customWidth="true" hidden="false" outlineLevel="0" max="15107" min="15107" style="101" width="5.5"/>
    <col collapsed="false" customWidth="true" hidden="false" outlineLevel="0" max="15108" min="15108" style="101" width="21.37"/>
    <col collapsed="false" customWidth="true" hidden="false" outlineLevel="0" max="15109" min="15109" style="101" width="14.75"/>
    <col collapsed="false" customWidth="true" hidden="false" outlineLevel="0" max="15110" min="15110" style="101" width="3.12"/>
    <col collapsed="false" customWidth="true" hidden="false" outlineLevel="0" max="15111" min="15111" style="101" width="6"/>
    <col collapsed="false" customWidth="true" hidden="false" outlineLevel="0" max="15112" min="15112" style="101" width="23"/>
    <col collapsed="false" customWidth="true" hidden="false" outlineLevel="0" max="15113" min="15113" style="101" width="15.75"/>
    <col collapsed="false" customWidth="true" hidden="false" outlineLevel="0" max="15114" min="15114" style="101" width="11.38"/>
    <col collapsed="false" customWidth="true" hidden="false" outlineLevel="0" max="15115" min="15115" style="101" width="4.63"/>
    <col collapsed="false" customWidth="true" hidden="false" outlineLevel="0" max="15116" min="15116" style="101" width="5.5"/>
    <col collapsed="false" customWidth="true" hidden="false" outlineLevel="0" max="15117" min="15117" style="101" width="30.37"/>
    <col collapsed="false" customWidth="true" hidden="false" outlineLevel="0" max="15118" min="15118" style="101" width="10.5"/>
    <col collapsed="false" customWidth="true" hidden="false" outlineLevel="0" max="15119" min="15119" style="101" width="42.12"/>
    <col collapsed="false" customWidth="true" hidden="false" outlineLevel="0" max="15120" min="15120" style="101" width="3.75"/>
    <col collapsed="false" customWidth="true" hidden="false" outlineLevel="0" max="15121" min="15121" style="101" width="30.5"/>
    <col collapsed="false" customWidth="false" hidden="false" outlineLevel="0" max="15122" min="15122" style="101" width="9"/>
    <col collapsed="false" customWidth="true" hidden="false" outlineLevel="0" max="15123" min="15123" style="101" width="25"/>
    <col collapsed="false" customWidth="false" hidden="false" outlineLevel="0" max="15361" min="15124" style="101" width="9"/>
    <col collapsed="false" customWidth="true" hidden="false" outlineLevel="0" max="15362" min="15362" style="101" width="3"/>
    <col collapsed="false" customWidth="true" hidden="false" outlineLevel="0" max="15363" min="15363" style="101" width="5.5"/>
    <col collapsed="false" customWidth="true" hidden="false" outlineLevel="0" max="15364" min="15364" style="101" width="21.37"/>
    <col collapsed="false" customWidth="true" hidden="false" outlineLevel="0" max="15365" min="15365" style="101" width="14.75"/>
    <col collapsed="false" customWidth="true" hidden="false" outlineLevel="0" max="15366" min="15366" style="101" width="3.12"/>
    <col collapsed="false" customWidth="true" hidden="false" outlineLevel="0" max="15367" min="15367" style="101" width="6"/>
    <col collapsed="false" customWidth="true" hidden="false" outlineLevel="0" max="15368" min="15368" style="101" width="23"/>
    <col collapsed="false" customWidth="true" hidden="false" outlineLevel="0" max="15369" min="15369" style="101" width="15.75"/>
    <col collapsed="false" customWidth="true" hidden="false" outlineLevel="0" max="15370" min="15370" style="101" width="11.38"/>
    <col collapsed="false" customWidth="true" hidden="false" outlineLevel="0" max="15371" min="15371" style="101" width="4.63"/>
    <col collapsed="false" customWidth="true" hidden="false" outlineLevel="0" max="15372" min="15372" style="101" width="5.5"/>
    <col collapsed="false" customWidth="true" hidden="false" outlineLevel="0" max="15373" min="15373" style="101" width="30.37"/>
    <col collapsed="false" customWidth="true" hidden="false" outlineLevel="0" max="15374" min="15374" style="101" width="10.5"/>
    <col collapsed="false" customWidth="true" hidden="false" outlineLevel="0" max="15375" min="15375" style="101" width="42.12"/>
    <col collapsed="false" customWidth="true" hidden="false" outlineLevel="0" max="15376" min="15376" style="101" width="3.75"/>
    <col collapsed="false" customWidth="true" hidden="false" outlineLevel="0" max="15377" min="15377" style="101" width="30.5"/>
    <col collapsed="false" customWidth="false" hidden="false" outlineLevel="0" max="15378" min="15378" style="101" width="9"/>
    <col collapsed="false" customWidth="true" hidden="false" outlineLevel="0" max="15379" min="15379" style="101" width="25"/>
    <col collapsed="false" customWidth="false" hidden="false" outlineLevel="0" max="15617" min="15380" style="101" width="9"/>
    <col collapsed="false" customWidth="true" hidden="false" outlineLevel="0" max="15618" min="15618" style="101" width="3"/>
    <col collapsed="false" customWidth="true" hidden="false" outlineLevel="0" max="15619" min="15619" style="101" width="5.5"/>
    <col collapsed="false" customWidth="true" hidden="false" outlineLevel="0" max="15620" min="15620" style="101" width="21.37"/>
    <col collapsed="false" customWidth="true" hidden="false" outlineLevel="0" max="15621" min="15621" style="101" width="14.75"/>
    <col collapsed="false" customWidth="true" hidden="false" outlineLevel="0" max="15622" min="15622" style="101" width="3.12"/>
    <col collapsed="false" customWidth="true" hidden="false" outlineLevel="0" max="15623" min="15623" style="101" width="6"/>
    <col collapsed="false" customWidth="true" hidden="false" outlineLevel="0" max="15624" min="15624" style="101" width="23"/>
    <col collapsed="false" customWidth="true" hidden="false" outlineLevel="0" max="15625" min="15625" style="101" width="15.75"/>
    <col collapsed="false" customWidth="true" hidden="false" outlineLevel="0" max="15626" min="15626" style="101" width="11.38"/>
    <col collapsed="false" customWidth="true" hidden="false" outlineLevel="0" max="15627" min="15627" style="101" width="4.63"/>
    <col collapsed="false" customWidth="true" hidden="false" outlineLevel="0" max="15628" min="15628" style="101" width="5.5"/>
    <col collapsed="false" customWidth="true" hidden="false" outlineLevel="0" max="15629" min="15629" style="101" width="30.37"/>
    <col collapsed="false" customWidth="true" hidden="false" outlineLevel="0" max="15630" min="15630" style="101" width="10.5"/>
    <col collapsed="false" customWidth="true" hidden="false" outlineLevel="0" max="15631" min="15631" style="101" width="42.12"/>
    <col collapsed="false" customWidth="true" hidden="false" outlineLevel="0" max="15632" min="15632" style="101" width="3.75"/>
    <col collapsed="false" customWidth="true" hidden="false" outlineLevel="0" max="15633" min="15633" style="101" width="30.5"/>
    <col collapsed="false" customWidth="false" hidden="false" outlineLevel="0" max="15634" min="15634" style="101" width="9"/>
    <col collapsed="false" customWidth="true" hidden="false" outlineLevel="0" max="15635" min="15635" style="101" width="25"/>
    <col collapsed="false" customWidth="false" hidden="false" outlineLevel="0" max="15873" min="15636" style="101" width="9"/>
    <col collapsed="false" customWidth="true" hidden="false" outlineLevel="0" max="15874" min="15874" style="101" width="3"/>
    <col collapsed="false" customWidth="true" hidden="false" outlineLevel="0" max="15875" min="15875" style="101" width="5.5"/>
    <col collapsed="false" customWidth="true" hidden="false" outlineLevel="0" max="15876" min="15876" style="101" width="21.37"/>
    <col collapsed="false" customWidth="true" hidden="false" outlineLevel="0" max="15877" min="15877" style="101" width="14.75"/>
    <col collapsed="false" customWidth="true" hidden="false" outlineLevel="0" max="15878" min="15878" style="101" width="3.12"/>
    <col collapsed="false" customWidth="true" hidden="false" outlineLevel="0" max="15879" min="15879" style="101" width="6"/>
    <col collapsed="false" customWidth="true" hidden="false" outlineLevel="0" max="15880" min="15880" style="101" width="23"/>
    <col collapsed="false" customWidth="true" hidden="false" outlineLevel="0" max="15881" min="15881" style="101" width="15.75"/>
    <col collapsed="false" customWidth="true" hidden="false" outlineLevel="0" max="15882" min="15882" style="101" width="11.38"/>
    <col collapsed="false" customWidth="true" hidden="false" outlineLevel="0" max="15883" min="15883" style="101" width="4.63"/>
    <col collapsed="false" customWidth="true" hidden="false" outlineLevel="0" max="15884" min="15884" style="101" width="5.5"/>
    <col collapsed="false" customWidth="true" hidden="false" outlineLevel="0" max="15885" min="15885" style="101" width="30.37"/>
    <col collapsed="false" customWidth="true" hidden="false" outlineLevel="0" max="15886" min="15886" style="101" width="10.5"/>
    <col collapsed="false" customWidth="true" hidden="false" outlineLevel="0" max="15887" min="15887" style="101" width="42.12"/>
    <col collapsed="false" customWidth="true" hidden="false" outlineLevel="0" max="15888" min="15888" style="101" width="3.75"/>
    <col collapsed="false" customWidth="true" hidden="false" outlineLevel="0" max="15889" min="15889" style="101" width="30.5"/>
    <col collapsed="false" customWidth="false" hidden="false" outlineLevel="0" max="15890" min="15890" style="101" width="9"/>
    <col collapsed="false" customWidth="true" hidden="false" outlineLevel="0" max="15891" min="15891" style="101" width="25"/>
    <col collapsed="false" customWidth="false" hidden="false" outlineLevel="0" max="16129" min="15892" style="101" width="9"/>
    <col collapsed="false" customWidth="true" hidden="false" outlineLevel="0" max="16130" min="16130" style="101" width="3"/>
    <col collapsed="false" customWidth="true" hidden="false" outlineLevel="0" max="16131" min="16131" style="101" width="5.5"/>
    <col collapsed="false" customWidth="true" hidden="false" outlineLevel="0" max="16132" min="16132" style="101" width="21.37"/>
    <col collapsed="false" customWidth="true" hidden="false" outlineLevel="0" max="16133" min="16133" style="101" width="14.75"/>
    <col collapsed="false" customWidth="true" hidden="false" outlineLevel="0" max="16134" min="16134" style="101" width="3.12"/>
    <col collapsed="false" customWidth="true" hidden="false" outlineLevel="0" max="16135" min="16135" style="101" width="6"/>
    <col collapsed="false" customWidth="true" hidden="false" outlineLevel="0" max="16136" min="16136" style="101" width="23"/>
    <col collapsed="false" customWidth="true" hidden="false" outlineLevel="0" max="16137" min="16137" style="101" width="15.75"/>
    <col collapsed="false" customWidth="true" hidden="false" outlineLevel="0" max="16138" min="16138" style="101" width="11.38"/>
    <col collapsed="false" customWidth="true" hidden="false" outlineLevel="0" max="16139" min="16139" style="101" width="4.63"/>
    <col collapsed="false" customWidth="true" hidden="false" outlineLevel="0" max="16140" min="16140" style="101" width="5.5"/>
    <col collapsed="false" customWidth="true" hidden="false" outlineLevel="0" max="16141" min="16141" style="101" width="30.37"/>
    <col collapsed="false" customWidth="true" hidden="false" outlineLevel="0" max="16142" min="16142" style="101" width="10.5"/>
    <col collapsed="false" customWidth="true" hidden="false" outlineLevel="0" max="16143" min="16143" style="101" width="42.12"/>
    <col collapsed="false" customWidth="true" hidden="false" outlineLevel="0" max="16144" min="16144" style="101" width="3.75"/>
    <col collapsed="false" customWidth="true" hidden="false" outlineLevel="0" max="16145" min="16145" style="101" width="30.5"/>
    <col collapsed="false" customWidth="false" hidden="false" outlineLevel="0" max="16146" min="16146" style="101" width="9"/>
    <col collapsed="false" customWidth="true" hidden="false" outlineLevel="0" max="16147" min="16147" style="101" width="25"/>
    <col collapsed="false" customWidth="false" hidden="false" outlineLevel="0" max="16384" min="16148" style="101" width="9"/>
  </cols>
  <sheetData>
    <row r="1" customFormat="false" ht="15" hidden="false" customHeight="false" outlineLevel="0" collapsed="false">
      <c r="G1" s="101" t="s">
        <v>265</v>
      </c>
      <c r="H1" s="103" t="n">
        <v>260</v>
      </c>
      <c r="I1" s="101" t="s">
        <v>152</v>
      </c>
    </row>
    <row r="2" customFormat="false" ht="15" hidden="false" customHeight="false" outlineLevel="0" collapsed="false">
      <c r="G2" s="101" t="s">
        <v>266</v>
      </c>
      <c r="H2" s="103" t="n">
        <v>8400</v>
      </c>
      <c r="I2" s="101" t="s">
        <v>267</v>
      </c>
    </row>
    <row r="3" customFormat="false" ht="15" hidden="false" customHeight="false" outlineLevel="0" collapsed="false">
      <c r="B3" s="104" t="s">
        <v>268</v>
      </c>
      <c r="C3" s="104"/>
      <c r="D3" s="104"/>
      <c r="F3" s="105" t="s">
        <v>269</v>
      </c>
      <c r="G3" s="105"/>
      <c r="H3" s="105"/>
      <c r="I3" s="105"/>
      <c r="J3" s="105"/>
      <c r="K3" s="105"/>
      <c r="M3" s="106" t="s">
        <v>270</v>
      </c>
      <c r="Q3" s="106" t="s">
        <v>271</v>
      </c>
    </row>
    <row r="4" customFormat="false" ht="15" hidden="false" customHeight="true" outlineLevel="0" collapsed="false">
      <c r="B4" s="107" t="s">
        <v>167</v>
      </c>
      <c r="C4" s="108" t="s">
        <v>272</v>
      </c>
      <c r="D4" s="107" t="s">
        <v>273</v>
      </c>
      <c r="F4" s="107" t="s">
        <v>167</v>
      </c>
      <c r="G4" s="108" t="s">
        <v>272</v>
      </c>
      <c r="H4" s="107" t="s">
        <v>273</v>
      </c>
      <c r="I4" s="107" t="s">
        <v>274</v>
      </c>
      <c r="J4" s="107" t="s">
        <v>275</v>
      </c>
      <c r="K4" s="109" t="s">
        <v>152</v>
      </c>
      <c r="M4" s="101" t="s">
        <v>250</v>
      </c>
      <c r="N4" s="101" t="s">
        <v>276</v>
      </c>
      <c r="O4" s="101" t="s">
        <v>277</v>
      </c>
      <c r="Q4" s="101" t="s">
        <v>250</v>
      </c>
      <c r="R4" s="101" t="s">
        <v>276</v>
      </c>
      <c r="S4" s="101" t="s">
        <v>277</v>
      </c>
    </row>
    <row r="5" customFormat="false" ht="15" hidden="false" customHeight="false" outlineLevel="0" collapsed="false">
      <c r="B5" s="107"/>
      <c r="C5" s="108" t="s">
        <v>168</v>
      </c>
      <c r="D5" s="110" t="n">
        <v>97.8</v>
      </c>
      <c r="F5" s="107"/>
      <c r="G5" s="108" t="s">
        <v>168</v>
      </c>
      <c r="H5" s="111" t="e">
        <f aca="false">I5/$I$8*100</f>
        <v>#REF!</v>
      </c>
      <c r="I5" s="111" t="n">
        <f aca="false">H1/H2*10000*1000</f>
        <v>309523.80952381</v>
      </c>
      <c r="J5" s="111" t="s">
        <v>166</v>
      </c>
      <c r="K5" s="112" t="n">
        <f aca="false">I5*$H$2/1000/10000</f>
        <v>260</v>
      </c>
      <c r="M5" s="101" t="s">
        <v>278</v>
      </c>
      <c r="N5" s="113" t="n">
        <v>2.84</v>
      </c>
      <c r="O5" s="101" t="s">
        <v>279</v>
      </c>
      <c r="Q5" s="101" t="s">
        <v>280</v>
      </c>
      <c r="R5" s="113" t="n">
        <v>0.5</v>
      </c>
      <c r="S5" s="101" t="s">
        <v>281</v>
      </c>
    </row>
    <row r="6" customFormat="false" ht="15" hidden="false" customHeight="false" outlineLevel="0" collapsed="false">
      <c r="B6" s="107"/>
      <c r="C6" s="108" t="s">
        <v>169</v>
      </c>
      <c r="D6" s="110" t="n">
        <v>0.3</v>
      </c>
      <c r="F6" s="107"/>
      <c r="G6" s="108" t="s">
        <v>169</v>
      </c>
      <c r="H6" s="111" t="e">
        <f aca="false">I6/$I$8*100</f>
        <v>#REF!</v>
      </c>
      <c r="I6" s="111" t="e">
        <f aca="false">#REF!</f>
        <v>#REF!</v>
      </c>
      <c r="J6" s="111" t="s">
        <v>166</v>
      </c>
      <c r="K6" s="112" t="e">
        <f aca="false">I6*$H$2/1000/10000</f>
        <v>#REF!</v>
      </c>
      <c r="M6" s="101" t="s">
        <v>282</v>
      </c>
      <c r="N6" s="114" t="e">
        <f aca="false">N5*H5/100</f>
        <v>#REF!</v>
      </c>
      <c r="Q6" s="101" t="s">
        <v>283</v>
      </c>
      <c r="R6" s="114" t="e">
        <f aca="false">R5*H5/100</f>
        <v>#REF!</v>
      </c>
    </row>
    <row r="7" customFormat="false" ht="15" hidden="false" customHeight="false" outlineLevel="0" collapsed="false">
      <c r="B7" s="107"/>
      <c r="C7" s="108" t="s">
        <v>170</v>
      </c>
      <c r="D7" s="115" t="n">
        <v>1.9</v>
      </c>
      <c r="F7" s="107"/>
      <c r="G7" s="108" t="s">
        <v>170</v>
      </c>
      <c r="H7" s="111" t="e">
        <f aca="false">I7/$I$8*100</f>
        <v>#REF!</v>
      </c>
      <c r="I7" s="116" t="n">
        <v>3750</v>
      </c>
      <c r="J7" s="111" t="s">
        <v>166</v>
      </c>
      <c r="K7" s="112" t="n">
        <f aca="false">I7*$H$2/1000/10000</f>
        <v>3.15</v>
      </c>
      <c r="M7" s="101" t="s">
        <v>284</v>
      </c>
      <c r="N7" s="113" t="n">
        <v>3.89</v>
      </c>
      <c r="O7" s="101" t="s">
        <v>285</v>
      </c>
      <c r="Q7" s="101" t="s">
        <v>286</v>
      </c>
      <c r="R7" s="113" t="n">
        <v>1.53</v>
      </c>
      <c r="S7" s="101" t="s">
        <v>287</v>
      </c>
    </row>
    <row r="8" customFormat="false" ht="15" hidden="false" customHeight="false" outlineLevel="0" collapsed="false">
      <c r="B8" s="107"/>
      <c r="C8" s="108" t="s">
        <v>288</v>
      </c>
      <c r="D8" s="110" t="n">
        <v>100</v>
      </c>
      <c r="F8" s="107"/>
      <c r="G8" s="108" t="s">
        <v>288</v>
      </c>
      <c r="H8" s="111" t="e">
        <f aca="false">SUM(H5:H7)</f>
        <v>#REF!</v>
      </c>
      <c r="I8" s="111" t="e">
        <f aca="false">SUM(I5:I7)</f>
        <v>#REF!</v>
      </c>
      <c r="J8" s="111" t="s">
        <v>166</v>
      </c>
      <c r="K8" s="112" t="e">
        <f aca="false">I8*$H$2/1000/10000</f>
        <v>#REF!</v>
      </c>
      <c r="M8" s="101" t="s">
        <v>289</v>
      </c>
      <c r="N8" s="114" t="e">
        <f aca="false">N7*H16/100</f>
        <v>#REF!</v>
      </c>
      <c r="O8" s="101" t="s">
        <v>290</v>
      </c>
      <c r="Q8" s="101" t="s">
        <v>291</v>
      </c>
      <c r="R8" s="114" t="e">
        <f aca="false">R7*H16/100</f>
        <v>#REF!</v>
      </c>
      <c r="S8" s="101" t="s">
        <v>290</v>
      </c>
    </row>
    <row r="9" customFormat="false" ht="15" hidden="false" customHeight="true" outlineLevel="0" collapsed="false">
      <c r="B9" s="107" t="s">
        <v>172</v>
      </c>
      <c r="C9" s="117" t="s">
        <v>173</v>
      </c>
      <c r="D9" s="110" t="n">
        <v>0.03</v>
      </c>
      <c r="F9" s="107" t="s">
        <v>172</v>
      </c>
      <c r="G9" s="117" t="s">
        <v>173</v>
      </c>
      <c r="H9" s="111" t="e">
        <f aca="false">I9/$I$17*100</f>
        <v>#REF!</v>
      </c>
      <c r="I9" s="111" t="e">
        <f aca="false">#REF!</f>
        <v>#REF!</v>
      </c>
      <c r="J9" s="111" t="s">
        <v>166</v>
      </c>
      <c r="K9" s="112" t="e">
        <f aca="false">I9*$H$2/1000/10000</f>
        <v>#REF!</v>
      </c>
      <c r="M9" s="101" t="s">
        <v>292</v>
      </c>
      <c r="N9" s="113" t="n">
        <v>20</v>
      </c>
      <c r="Q9" s="101" t="s">
        <v>293</v>
      </c>
      <c r="R9" s="113" t="n">
        <v>0</v>
      </c>
    </row>
    <row r="10" customFormat="false" ht="15" hidden="false" customHeight="false" outlineLevel="0" collapsed="false">
      <c r="B10" s="107"/>
      <c r="C10" s="117" t="s">
        <v>174</v>
      </c>
      <c r="D10" s="110" t="n">
        <v>1.1</v>
      </c>
      <c r="F10" s="107"/>
      <c r="G10" s="117" t="s">
        <v>174</v>
      </c>
      <c r="H10" s="111" t="e">
        <f aca="false">I10/$I$17*100</f>
        <v>#REF!</v>
      </c>
      <c r="I10" s="111" t="e">
        <f aca="false">#REF!</f>
        <v>#REF!</v>
      </c>
      <c r="J10" s="111" t="s">
        <v>166</v>
      </c>
      <c r="K10" s="112" t="e">
        <f aca="false">I10*$H$2/1000/10000</f>
        <v>#REF!</v>
      </c>
      <c r="M10" s="101" t="s">
        <v>294</v>
      </c>
      <c r="N10" s="118" t="e">
        <f aca="false">N9/1000000*H12</f>
        <v>#REF!</v>
      </c>
      <c r="Q10" s="101" t="s">
        <v>295</v>
      </c>
      <c r="R10" s="118" t="e">
        <f aca="false">R9/1000000*H12</f>
        <v>#REF!</v>
      </c>
    </row>
    <row r="11" customFormat="false" ht="15" hidden="false" customHeight="false" outlineLevel="0" collapsed="false">
      <c r="B11" s="107"/>
      <c r="C11" s="108" t="s">
        <v>175</v>
      </c>
      <c r="D11" s="119" t="n">
        <v>1.74</v>
      </c>
      <c r="F11" s="107"/>
      <c r="G11" s="108" t="s">
        <v>175</v>
      </c>
      <c r="H11" s="111" t="e">
        <f aca="false">I11/$I$17*100</f>
        <v>#REF!</v>
      </c>
      <c r="I11" s="120" t="e">
        <f aca="false">#REF!+I7-#REF!</f>
        <v>#REF!</v>
      </c>
      <c r="J11" s="111" t="s">
        <v>166</v>
      </c>
      <c r="K11" s="112" t="e">
        <f aca="false">I11*$H$2/1000/10000</f>
        <v>#REF!</v>
      </c>
      <c r="M11" s="101" t="s">
        <v>296</v>
      </c>
      <c r="N11" s="113" t="n">
        <v>0.005</v>
      </c>
      <c r="O11" s="101" t="s">
        <v>297</v>
      </c>
      <c r="Q11" s="101" t="s">
        <v>298</v>
      </c>
      <c r="R11" s="113" t="n">
        <v>0.0017</v>
      </c>
      <c r="S11" s="101" t="s">
        <v>299</v>
      </c>
    </row>
    <row r="12" customFormat="false" ht="15" hidden="false" customHeight="false" outlineLevel="0" collapsed="false">
      <c r="B12" s="107"/>
      <c r="C12" s="108" t="s">
        <v>176</v>
      </c>
      <c r="D12" s="119" t="n">
        <v>1.74</v>
      </c>
      <c r="F12" s="107"/>
      <c r="G12" s="108" t="s">
        <v>176</v>
      </c>
      <c r="H12" s="111" t="e">
        <f aca="false">I12/$I$17*100</f>
        <v>#REF!</v>
      </c>
      <c r="I12" s="111" t="e">
        <f aca="false">#REF!</f>
        <v>#REF!</v>
      </c>
      <c r="J12" s="111" t="s">
        <v>166</v>
      </c>
      <c r="K12" s="112" t="e">
        <f aca="false">I12*$H$2/1000/10000</f>
        <v>#REF!</v>
      </c>
      <c r="M12" s="101" t="s">
        <v>300</v>
      </c>
      <c r="N12" s="118" t="e">
        <f aca="false">N11*H13/100</f>
        <v>#REF!</v>
      </c>
      <c r="Q12" s="101" t="s">
        <v>301</v>
      </c>
      <c r="R12" s="118" t="e">
        <f aca="false">R11*H13/100</f>
        <v>#REF!</v>
      </c>
    </row>
    <row r="13" customFormat="false" ht="15" hidden="false" customHeight="false" outlineLevel="0" collapsed="false">
      <c r="B13" s="107"/>
      <c r="C13" s="108" t="s">
        <v>302</v>
      </c>
      <c r="D13" s="119" t="n">
        <v>11.54</v>
      </c>
      <c r="F13" s="107"/>
      <c r="G13" s="108" t="s">
        <v>302</v>
      </c>
      <c r="H13" s="111" t="e">
        <f aca="false">I13/$I$17*100</f>
        <v>#REF!</v>
      </c>
      <c r="I13" s="111" t="e">
        <f aca="false">#REF!</f>
        <v>#REF!</v>
      </c>
      <c r="J13" s="111" t="s">
        <v>166</v>
      </c>
      <c r="K13" s="112" t="e">
        <f aca="false">I13*$H$2/1000/10000</f>
        <v>#REF!</v>
      </c>
      <c r="M13" s="101" t="s">
        <v>303</v>
      </c>
      <c r="N13" s="113" t="n">
        <v>0.004</v>
      </c>
      <c r="O13" s="101" t="s">
        <v>304</v>
      </c>
      <c r="Q13" s="101" t="s">
        <v>305</v>
      </c>
      <c r="R13" s="113" t="n">
        <v>0.0019</v>
      </c>
      <c r="S13" s="101" t="s">
        <v>299</v>
      </c>
    </row>
    <row r="14" customFormat="false" ht="15" hidden="false" customHeight="false" outlineLevel="0" collapsed="false">
      <c r="B14" s="107"/>
      <c r="C14" s="108" t="s">
        <v>306</v>
      </c>
      <c r="D14" s="119" t="n">
        <v>43.28</v>
      </c>
      <c r="F14" s="107"/>
      <c r="G14" s="108" t="s">
        <v>306</v>
      </c>
      <c r="H14" s="111" t="e">
        <f aca="false">I14/$I$17*100</f>
        <v>#REF!</v>
      </c>
      <c r="I14" s="111" t="e">
        <f aca="false">#REF!</f>
        <v>#REF!</v>
      </c>
      <c r="J14" s="111" t="s">
        <v>166</v>
      </c>
      <c r="K14" s="112" t="e">
        <f aca="false">I14*$H$2/1000/10000</f>
        <v>#REF!</v>
      </c>
      <c r="M14" s="101" t="s">
        <v>307</v>
      </c>
      <c r="N14" s="118" t="e">
        <f aca="false">N13*H14/100</f>
        <v>#REF!</v>
      </c>
      <c r="Q14" s="101" t="s">
        <v>308</v>
      </c>
      <c r="R14" s="118" t="e">
        <f aca="false">R13*H14/100</f>
        <v>#REF!</v>
      </c>
    </row>
    <row r="15" customFormat="false" ht="15" hidden="false" customHeight="false" outlineLevel="0" collapsed="false">
      <c r="B15" s="107"/>
      <c r="C15" s="108" t="s">
        <v>179</v>
      </c>
      <c r="D15" s="119" t="n">
        <v>26.53</v>
      </c>
      <c r="F15" s="107"/>
      <c r="G15" s="108" t="s">
        <v>179</v>
      </c>
      <c r="H15" s="111" t="e">
        <f aca="false">I15/$I$17*100</f>
        <v>#REF!</v>
      </c>
      <c r="I15" s="111" t="e">
        <f aca="false">#REF!</f>
        <v>#REF!</v>
      </c>
      <c r="J15" s="111" t="s">
        <v>166</v>
      </c>
      <c r="K15" s="112" t="e">
        <f aca="false">I15*$H$2/1000/10000</f>
        <v>#REF!</v>
      </c>
      <c r="M15" s="101" t="s">
        <v>309</v>
      </c>
      <c r="N15" s="113" t="n">
        <v>0.023</v>
      </c>
      <c r="O15" s="101" t="s">
        <v>299</v>
      </c>
      <c r="Q15" s="101" t="s">
        <v>310</v>
      </c>
      <c r="R15" s="113" t="n">
        <v>0.0053</v>
      </c>
      <c r="S15" s="101" t="s">
        <v>299</v>
      </c>
    </row>
    <row r="16" customFormat="false" ht="15" hidden="false" customHeight="false" outlineLevel="0" collapsed="false">
      <c r="B16" s="107"/>
      <c r="C16" s="108" t="s">
        <v>180</v>
      </c>
      <c r="D16" s="119" t="n">
        <v>14.04</v>
      </c>
      <c r="F16" s="107"/>
      <c r="G16" s="108" t="s">
        <v>180</v>
      </c>
      <c r="H16" s="111" t="e">
        <f aca="false">I16/$I$17*100</f>
        <v>#REF!</v>
      </c>
      <c r="I16" s="111" t="e">
        <f aca="false">#REF!</f>
        <v>#REF!</v>
      </c>
      <c r="J16" s="111" t="s">
        <v>166</v>
      </c>
      <c r="K16" s="112" t="e">
        <f aca="false">I16*$H$2/1000/10000</f>
        <v>#REF!</v>
      </c>
      <c r="M16" s="101" t="s">
        <v>311</v>
      </c>
      <c r="N16" s="118" t="e">
        <f aca="false">N15*H15/100</f>
        <v>#REF!</v>
      </c>
      <c r="Q16" s="101" t="s">
        <v>312</v>
      </c>
      <c r="R16" s="118" t="e">
        <f aca="false">R15*H15/100</f>
        <v>#REF!</v>
      </c>
    </row>
    <row r="17" customFormat="false" ht="15" hidden="false" customHeight="false" outlineLevel="0" collapsed="false">
      <c r="B17" s="107"/>
      <c r="C17" s="108" t="s">
        <v>171</v>
      </c>
      <c r="D17" s="110" t="n">
        <v>100</v>
      </c>
      <c r="F17" s="107"/>
      <c r="G17" s="108" t="s">
        <v>171</v>
      </c>
      <c r="H17" s="111" t="e">
        <f aca="false">SUM(H9:H16)</f>
        <v>#REF!</v>
      </c>
      <c r="I17" s="111" t="e">
        <f aca="false">SUM(I9:I16)</f>
        <v>#REF!</v>
      </c>
      <c r="J17" s="111" t="s">
        <v>166</v>
      </c>
      <c r="K17" s="112" t="e">
        <f aca="false">I17*$H$2/1000/10000</f>
        <v>#REF!</v>
      </c>
      <c r="M17" s="101" t="s">
        <v>313</v>
      </c>
      <c r="N17" s="101" t="e">
        <f aca="false">N6-N8-N10-N12-N14-N16</f>
        <v>#REF!</v>
      </c>
      <c r="Q17" s="101" t="s">
        <v>314</v>
      </c>
      <c r="R17" s="101" t="e">
        <f aca="false">R6-R8-R10-R12-R14-R16</f>
        <v>#REF!</v>
      </c>
    </row>
    <row r="18" customFormat="false" ht="15" hidden="false" customHeight="false" outlineLevel="0" collapsed="false">
      <c r="B18" s="107"/>
      <c r="C18" s="108" t="s">
        <v>315</v>
      </c>
      <c r="D18" s="110" t="n">
        <v>0.31</v>
      </c>
      <c r="F18" s="107"/>
      <c r="G18" s="108"/>
      <c r="H18" s="110"/>
      <c r="I18" s="110"/>
      <c r="J18" s="110"/>
      <c r="K18" s="121"/>
      <c r="M18" s="101" t="s">
        <v>316</v>
      </c>
      <c r="N18" s="101" t="e">
        <f aca="false">N17*34/32</f>
        <v>#REF!</v>
      </c>
      <c r="Q18" s="101" t="s">
        <v>317</v>
      </c>
      <c r="R18" s="101" t="e">
        <f aca="false">R17*17/14</f>
        <v>#REF!</v>
      </c>
    </row>
    <row r="19" customFormat="false" ht="15" hidden="false" customHeight="false" outlineLevel="0" collapsed="false">
      <c r="B19" s="122" t="s">
        <v>318</v>
      </c>
      <c r="C19" s="122"/>
      <c r="D19" s="122"/>
      <c r="F19" s="122" t="s">
        <v>319</v>
      </c>
      <c r="G19" s="122"/>
      <c r="H19" s="122"/>
      <c r="I19" s="123"/>
      <c r="J19" s="123"/>
      <c r="K19" s="123"/>
    </row>
    <row r="20" customFormat="false" ht="15" hidden="false" customHeight="false" outlineLevel="0" collapsed="false">
      <c r="B20" s="123"/>
      <c r="C20" s="123"/>
      <c r="D20" s="123"/>
      <c r="F20" s="123"/>
      <c r="G20" s="123"/>
      <c r="H20" s="123"/>
      <c r="I20" s="123"/>
      <c r="J20" s="123"/>
      <c r="K20" s="123"/>
    </row>
    <row r="21" customFormat="false" ht="15" hidden="false" customHeight="false" outlineLevel="0" collapsed="false"/>
    <row r="22" customFormat="false" ht="15" hidden="false" customHeight="false" outlineLevel="0" collapsed="false">
      <c r="F22" s="101" t="s">
        <v>320</v>
      </c>
      <c r="P22" s="124"/>
    </row>
    <row r="23" customFormat="false" ht="15" hidden="false" customHeight="false" outlineLevel="0" collapsed="false">
      <c r="F23" s="125"/>
      <c r="G23" s="125"/>
      <c r="H23" s="125"/>
      <c r="I23" s="125"/>
      <c r="J23" s="125"/>
      <c r="P23" s="124"/>
    </row>
    <row r="24" customFormat="false" ht="15" hidden="false" customHeight="true" outlineLevel="0" collapsed="false">
      <c r="F24" s="107" t="s">
        <v>167</v>
      </c>
      <c r="G24" s="108" t="s">
        <v>272</v>
      </c>
      <c r="H24" s="107" t="s">
        <v>273</v>
      </c>
      <c r="I24" s="107" t="s">
        <v>274</v>
      </c>
      <c r="J24" s="107" t="s">
        <v>275</v>
      </c>
      <c r="L24" s="126" t="s">
        <v>321</v>
      </c>
      <c r="M24" s="126" t="s">
        <v>322</v>
      </c>
      <c r="N24" s="126" t="s">
        <v>323</v>
      </c>
      <c r="O24" s="126"/>
      <c r="P24" s="127" t="s">
        <v>324</v>
      </c>
      <c r="Q24" s="126" t="s">
        <v>325</v>
      </c>
      <c r="R24" s="101" t="s">
        <v>323</v>
      </c>
    </row>
    <row r="25" customFormat="false" ht="15" hidden="false" customHeight="false" outlineLevel="0" collapsed="false">
      <c r="F25" s="107"/>
      <c r="G25" s="108" t="s">
        <v>168</v>
      </c>
      <c r="H25" s="116" t="n">
        <f aca="false">I25/1293.75</f>
        <v>96.6183574879227</v>
      </c>
      <c r="I25" s="111" t="n">
        <v>125000</v>
      </c>
      <c r="J25" s="111" t="s">
        <v>166</v>
      </c>
      <c r="L25" s="128" t="n">
        <v>2.84</v>
      </c>
      <c r="M25" s="101" t="n">
        <f aca="false">L25*I25/100</f>
        <v>3550</v>
      </c>
      <c r="N25" s="101" t="n">
        <f aca="false">M25/35.5</f>
        <v>100</v>
      </c>
      <c r="P25" s="124" t="n">
        <v>0.5</v>
      </c>
      <c r="Q25" s="101" t="n">
        <f aca="false">P25*I25/100</f>
        <v>625</v>
      </c>
      <c r="R25" s="101" t="n">
        <f aca="false">Q25/6.25</f>
        <v>100</v>
      </c>
    </row>
    <row r="26" customFormat="false" ht="15" hidden="false" customHeight="false" outlineLevel="0" collapsed="false">
      <c r="F26" s="107"/>
      <c r="G26" s="108" t="s">
        <v>169</v>
      </c>
      <c r="H26" s="116" t="n">
        <f aca="false">I26/1293.75</f>
        <v>0.483091787439614</v>
      </c>
      <c r="I26" s="111" t="n">
        <v>625</v>
      </c>
      <c r="J26" s="111" t="s">
        <v>166</v>
      </c>
      <c r="L26" s="128"/>
      <c r="P26" s="124"/>
      <c r="R26" s="101" t="n">
        <f aca="false">Q26/6.25</f>
        <v>0</v>
      </c>
    </row>
    <row r="27" customFormat="false" ht="15" hidden="false" customHeight="false" outlineLevel="0" collapsed="false">
      <c r="F27" s="107"/>
      <c r="G27" s="108" t="s">
        <v>170</v>
      </c>
      <c r="H27" s="116" t="n">
        <f aca="false">I27/1293.75</f>
        <v>2.89855072463768</v>
      </c>
      <c r="I27" s="111" t="n">
        <v>3750</v>
      </c>
      <c r="J27" s="111" t="s">
        <v>166</v>
      </c>
      <c r="L27" s="128"/>
      <c r="P27" s="124"/>
      <c r="R27" s="101" t="n">
        <f aca="false">Q27/6.25</f>
        <v>0</v>
      </c>
    </row>
    <row r="28" customFormat="false" ht="15" hidden="false" customHeight="false" outlineLevel="0" collapsed="false">
      <c r="F28" s="107"/>
      <c r="G28" s="108" t="s">
        <v>288</v>
      </c>
      <c r="H28" s="111" t="n">
        <f aca="false">SUM(H25:H27)</f>
        <v>100</v>
      </c>
      <c r="I28" s="111" t="n">
        <f aca="false">SUM(I25:I27)</f>
        <v>129375</v>
      </c>
      <c r="J28" s="111" t="s">
        <v>166</v>
      </c>
      <c r="L28" s="128"/>
      <c r="M28" s="101" t="n">
        <v>3550</v>
      </c>
      <c r="N28" s="101" t="n">
        <f aca="false">M28/35.5</f>
        <v>100</v>
      </c>
      <c r="P28" s="124"/>
      <c r="Q28" s="101" t="n">
        <v>625</v>
      </c>
      <c r="R28" s="101" t="n">
        <f aca="false">Q28/6.25</f>
        <v>100</v>
      </c>
    </row>
    <row r="29" customFormat="false" ht="15" hidden="false" customHeight="true" outlineLevel="0" collapsed="false">
      <c r="F29" s="107" t="s">
        <v>172</v>
      </c>
      <c r="G29" s="117" t="s">
        <v>173</v>
      </c>
      <c r="H29" s="111" t="n">
        <f aca="false">I29/$I$37*100</f>
        <v>0.28224154589372</v>
      </c>
      <c r="I29" s="111" t="n">
        <v>365.15</v>
      </c>
      <c r="J29" s="111" t="s">
        <v>166</v>
      </c>
      <c r="L29" s="128"/>
      <c r="M29" s="101" t="n">
        <f aca="false">L29*I29/100</f>
        <v>0</v>
      </c>
      <c r="N29" s="129" t="n">
        <f aca="false">M29/35.5</f>
        <v>0</v>
      </c>
      <c r="P29" s="124" t="n">
        <v>82.35</v>
      </c>
      <c r="Q29" s="101" t="n">
        <f aca="false">P29*I29/100</f>
        <v>300.701025</v>
      </c>
      <c r="R29" s="130" t="n">
        <f aca="false">Q29/6.25</f>
        <v>48.112164</v>
      </c>
    </row>
    <row r="30" customFormat="false" ht="15" hidden="false" customHeight="false" outlineLevel="0" collapsed="false">
      <c r="F30" s="107"/>
      <c r="G30" s="117" t="s">
        <v>174</v>
      </c>
      <c r="H30" s="111" t="n">
        <f aca="false">I30/$I$37*100</f>
        <v>2.2360193236715</v>
      </c>
      <c r="I30" s="111" t="n">
        <v>2892.85</v>
      </c>
      <c r="J30" s="111" t="s">
        <v>166</v>
      </c>
      <c r="L30" s="131" t="n">
        <v>94.12</v>
      </c>
      <c r="M30" s="101" t="n">
        <f aca="false">L30*I30/100</f>
        <v>2722.75042</v>
      </c>
      <c r="N30" s="129" t="n">
        <f aca="false">M30/35.5</f>
        <v>76.6971949295775</v>
      </c>
      <c r="P30" s="124"/>
      <c r="Q30" s="101" t="n">
        <f aca="false">P30*I30/100</f>
        <v>0</v>
      </c>
      <c r="R30" s="130" t="n">
        <f aca="false">Q30/6.25</f>
        <v>0</v>
      </c>
    </row>
    <row r="31" customFormat="false" ht="15" hidden="false" customHeight="false" outlineLevel="0" collapsed="false">
      <c r="F31" s="107"/>
      <c r="G31" s="108" t="s">
        <v>175</v>
      </c>
      <c r="H31" s="111" t="n">
        <f aca="false">I31/$I$37*100</f>
        <v>2.02280193236715</v>
      </c>
      <c r="I31" s="111" t="n">
        <v>2617</v>
      </c>
      <c r="J31" s="111" t="s">
        <v>166</v>
      </c>
      <c r="L31" s="128"/>
      <c r="M31" s="101" t="n">
        <f aca="false">L31*I31/100</f>
        <v>0</v>
      </c>
      <c r="N31" s="129" t="n">
        <f aca="false">M31/35.5</f>
        <v>0</v>
      </c>
      <c r="P31" s="124"/>
      <c r="Q31" s="101" t="n">
        <f aca="false">P31*I31/100</f>
        <v>0</v>
      </c>
      <c r="R31" s="130" t="n">
        <f aca="false">Q31/6.25</f>
        <v>0</v>
      </c>
    </row>
    <row r="32" customFormat="false" ht="15" hidden="false" customHeight="false" outlineLevel="0" collapsed="false">
      <c r="F32" s="107"/>
      <c r="G32" s="108" t="s">
        <v>176</v>
      </c>
      <c r="H32" s="111" t="n">
        <f aca="false">I32/$I$37*100</f>
        <v>1.73913043478261</v>
      </c>
      <c r="I32" s="111" t="n">
        <v>2250</v>
      </c>
      <c r="J32" s="111" t="s">
        <v>166</v>
      </c>
      <c r="L32" s="128" t="n">
        <v>0.002</v>
      </c>
      <c r="M32" s="101" t="n">
        <f aca="false">L32*I32/100</f>
        <v>0.045</v>
      </c>
      <c r="N32" s="129" t="n">
        <f aca="false">M32/35.5</f>
        <v>0.00126760563380282</v>
      </c>
      <c r="P32" s="124"/>
      <c r="Q32" s="101" t="n">
        <f aca="false">P32*I32/100</f>
        <v>0</v>
      </c>
      <c r="R32" s="130" t="n">
        <f aca="false">Q32/6.25</f>
        <v>0</v>
      </c>
    </row>
    <row r="33" customFormat="false" ht="15" hidden="false" customHeight="false" outlineLevel="0" collapsed="false">
      <c r="F33" s="107"/>
      <c r="G33" s="108" t="s">
        <v>302</v>
      </c>
      <c r="H33" s="111" t="n">
        <f aca="false">I33/$I$37*100</f>
        <v>10.743961352657</v>
      </c>
      <c r="I33" s="111" t="n">
        <v>13900</v>
      </c>
      <c r="J33" s="111" t="s">
        <v>166</v>
      </c>
      <c r="L33" s="128" t="n">
        <v>0.005</v>
      </c>
      <c r="M33" s="101" t="n">
        <f aca="false">L33*I33/100</f>
        <v>0.695</v>
      </c>
      <c r="N33" s="129" t="n">
        <f aca="false">M33/35.5</f>
        <v>0.0195774647887324</v>
      </c>
      <c r="P33" s="124" t="n">
        <v>0.0017</v>
      </c>
      <c r="Q33" s="101" t="n">
        <f aca="false">P33*I33/100</f>
        <v>0.2363</v>
      </c>
      <c r="R33" s="130" t="n">
        <f aca="false">Q33/6.25</f>
        <v>0.037808</v>
      </c>
    </row>
    <row r="34" customFormat="false" ht="15" hidden="false" customHeight="false" outlineLevel="0" collapsed="false">
      <c r="F34" s="107"/>
      <c r="G34" s="108" t="s">
        <v>306</v>
      </c>
      <c r="H34" s="111" t="n">
        <f aca="false">I34/$I$37*100</f>
        <v>41.7391304347826</v>
      </c>
      <c r="I34" s="111" t="n">
        <v>54000</v>
      </c>
      <c r="J34" s="111" t="s">
        <v>166</v>
      </c>
      <c r="L34" s="128" t="n">
        <v>0.004</v>
      </c>
      <c r="M34" s="101" t="n">
        <f aca="false">L34*I34/100</f>
        <v>2.16</v>
      </c>
      <c r="N34" s="129" t="n">
        <f aca="false">M34/35.5</f>
        <v>0.0608450704225352</v>
      </c>
      <c r="P34" s="124" t="n">
        <v>0.0019</v>
      </c>
      <c r="Q34" s="101" t="n">
        <f aca="false">P34*I34/100</f>
        <v>1.026</v>
      </c>
      <c r="R34" s="130" t="n">
        <f aca="false">Q34/6.25</f>
        <v>0.16416</v>
      </c>
    </row>
    <row r="35" customFormat="false" ht="15" hidden="false" customHeight="false" outlineLevel="0" collapsed="false">
      <c r="F35" s="107"/>
      <c r="G35" s="108" t="s">
        <v>179</v>
      </c>
      <c r="H35" s="111" t="n">
        <f aca="false">I35/$I$37*100</f>
        <v>25.0048309178744</v>
      </c>
      <c r="I35" s="111" t="n">
        <v>32350</v>
      </c>
      <c r="J35" s="111" t="s">
        <v>166</v>
      </c>
      <c r="L35" s="128" t="n">
        <v>0.023</v>
      </c>
      <c r="M35" s="101" t="n">
        <f aca="false">L35*I35/100</f>
        <v>7.4405</v>
      </c>
      <c r="N35" s="129" t="n">
        <f aca="false">M35/35.5</f>
        <v>0.209591549295775</v>
      </c>
      <c r="P35" s="124" t="n">
        <v>0.0053</v>
      </c>
      <c r="Q35" s="101" t="n">
        <f aca="false">P35*I35/100</f>
        <v>1.71455</v>
      </c>
      <c r="R35" s="130" t="n">
        <f aca="false">Q35/6.25</f>
        <v>0.274328</v>
      </c>
    </row>
    <row r="36" customFormat="false" ht="15" hidden="false" customHeight="false" outlineLevel="0" collapsed="false">
      <c r="F36" s="107"/>
      <c r="G36" s="108" t="s">
        <v>180</v>
      </c>
      <c r="H36" s="111" t="n">
        <f aca="false">I36/$I$37*100</f>
        <v>16.231884057971</v>
      </c>
      <c r="I36" s="111" t="n">
        <v>21000</v>
      </c>
      <c r="J36" s="111" t="s">
        <v>166</v>
      </c>
      <c r="L36" s="128" t="n">
        <v>3.89</v>
      </c>
      <c r="M36" s="101" t="n">
        <f aca="false">L36*I36/100</f>
        <v>816.9</v>
      </c>
      <c r="N36" s="129" t="n">
        <f aca="false">M36/35.5</f>
        <v>23.0112676056338</v>
      </c>
      <c r="P36" s="124" t="n">
        <v>1.53</v>
      </c>
      <c r="Q36" s="101" t="n">
        <f aca="false">P36*I36/100</f>
        <v>321.3</v>
      </c>
      <c r="R36" s="130" t="n">
        <f aca="false">Q36/6.25</f>
        <v>51.408</v>
      </c>
    </row>
    <row r="37" customFormat="false" ht="15" hidden="false" customHeight="false" outlineLevel="0" collapsed="false">
      <c r="F37" s="107"/>
      <c r="G37" s="108" t="s">
        <v>171</v>
      </c>
      <c r="H37" s="111" t="n">
        <f aca="false">SUM(H29:H36)</f>
        <v>100</v>
      </c>
      <c r="I37" s="111" t="n">
        <f aca="false">SUM(I29:I36)</f>
        <v>129375</v>
      </c>
      <c r="J37" s="111" t="s">
        <v>166</v>
      </c>
      <c r="L37" s="132"/>
      <c r="M37" s="101" t="n">
        <f aca="false">SUM(M30:M36)</f>
        <v>3549.99092</v>
      </c>
      <c r="N37" s="129" t="n">
        <f aca="false">M37/35.5</f>
        <v>99.9997442253521</v>
      </c>
      <c r="Q37" s="101" t="n">
        <f aca="false">SUM(Q29:Q36)</f>
        <v>624.977875</v>
      </c>
      <c r="R37" s="130" t="n">
        <f aca="false">Q37/6.25</f>
        <v>99.99646</v>
      </c>
    </row>
    <row r="38" customFormat="false" ht="15" hidden="false" customHeight="false" outlineLevel="0" collapsed="false">
      <c r="F38" s="107"/>
      <c r="G38" s="108"/>
      <c r="H38" s="110"/>
      <c r="I38" s="110"/>
      <c r="J38" s="110"/>
      <c r="L38" s="132"/>
      <c r="P38" s="124"/>
    </row>
  </sheetData>
  <mergeCells count="11">
    <mergeCell ref="B3:D3"/>
    <mergeCell ref="F3:J3"/>
    <mergeCell ref="B4:B8"/>
    <mergeCell ref="F4:F8"/>
    <mergeCell ref="B9:B18"/>
    <mergeCell ref="F9:F18"/>
    <mergeCell ref="B19:D19"/>
    <mergeCell ref="F19:H19"/>
    <mergeCell ref="F23:J23"/>
    <mergeCell ref="F24:F28"/>
    <mergeCell ref="F29:F3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01" r:id="rId4" name="Button 2">
              <controlPr defaultSize="0" print="false" autoFill="0" autoPict="0" macro="模块3.返回主页">
                <anchor moveWithCells="true" sizeWithCells="false">
                  <from>
                    <xdr:col>10</xdr:col>
                    <xdr:colOff>7560</xdr:colOff>
                    <xdr:row>0</xdr:row>
                    <xdr:rowOff>7560</xdr:rowOff>
                  </from>
                  <to>
                    <xdr:col>11</xdr:col>
                    <xdr:colOff>7560</xdr:colOff>
                    <xdr:row>1</xdr:row>
                    <xdr:rowOff>-76320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A17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AT2" activePane="bottomRight" state="frozen"/>
      <selection pane="topLeft" activeCell="A1" activeCellId="0" sqref="A1"/>
      <selection pane="topRight" activeCell="AT1" activeCellId="0" sqref="AT1"/>
      <selection pane="bottomLeft" activeCell="A2" activeCellId="0" sqref="A2"/>
      <selection pane="bottomRight" activeCell="AT8" activeCellId="0" sqref="1:1048576"/>
    </sheetView>
  </sheetViews>
  <sheetFormatPr defaultColWidth="9.00390625" defaultRowHeight="15" zeroHeight="false" outlineLevelRow="0" outlineLevelCol="0"/>
  <cols>
    <col collapsed="false" customWidth="true" hidden="false" outlineLevel="0" max="1" min="1" style="133" width="23.13"/>
    <col collapsed="false" customWidth="true" hidden="false" outlineLevel="0" max="2" min="2" style="133" width="10"/>
    <col collapsed="false" customWidth="true" hidden="false" outlineLevel="0" max="3" min="3" style="134" width="14.5"/>
    <col collapsed="false" customWidth="true" hidden="false" outlineLevel="0" max="6" min="4" style="134" width="11.63"/>
    <col collapsed="false" customWidth="true" hidden="false" outlineLevel="0" max="8" min="7" style="134" width="10.5"/>
    <col collapsed="false" customWidth="true" hidden="false" outlineLevel="0" max="9" min="9" style="134" width="11.63"/>
    <col collapsed="false" customWidth="true" hidden="false" outlineLevel="0" max="10" min="10" style="134" width="11.75"/>
    <col collapsed="false" customWidth="true" hidden="false" outlineLevel="0" max="14" min="11" style="134" width="10.5"/>
    <col collapsed="false" customWidth="true" hidden="false" outlineLevel="0" max="15" min="15" style="134" width="11.63"/>
    <col collapsed="false" customWidth="true" hidden="false" outlineLevel="0" max="21" min="16" style="134" width="10.5"/>
    <col collapsed="false" customWidth="true" hidden="false" outlineLevel="0" max="24" min="22" style="134" width="14.38"/>
    <col collapsed="false" customWidth="true" hidden="false" outlineLevel="0" max="25" min="25" style="134" width="10.5"/>
    <col collapsed="false" customWidth="true" hidden="false" outlineLevel="0" max="26" min="26" style="134" width="14.25"/>
    <col collapsed="false" customWidth="true" hidden="false" outlineLevel="0" max="27" min="27" style="134" width="11.88"/>
    <col collapsed="false" customWidth="true" hidden="false" outlineLevel="0" max="28" min="28" style="134" width="10.5"/>
    <col collapsed="false" customWidth="true" hidden="false" outlineLevel="0" max="31" min="29" style="134" width="9.5"/>
    <col collapsed="false" customWidth="true" hidden="false" outlineLevel="0" max="32" min="32" style="134" width="12.87"/>
    <col collapsed="false" customWidth="true" hidden="false" outlineLevel="0" max="33" min="33" style="134" width="10.5"/>
    <col collapsed="false" customWidth="true" hidden="false" outlineLevel="0" max="37" min="34" style="134" width="11.63"/>
    <col collapsed="false" customWidth="true" hidden="false" outlineLevel="0" max="38" min="38" style="134" width="10.5"/>
    <col collapsed="false" customWidth="true" hidden="false" outlineLevel="0" max="39" min="39" style="134" width="14"/>
    <col collapsed="false" customWidth="true" hidden="false" outlineLevel="0" max="40" min="40" style="134" width="9.5"/>
    <col collapsed="false" customWidth="true" hidden="false" outlineLevel="0" max="47" min="41" style="134" width="10.5"/>
    <col collapsed="false" customWidth="true" hidden="false" outlineLevel="0" max="49" min="48" style="134" width="9.62"/>
    <col collapsed="false" customWidth="true" hidden="false" outlineLevel="0" max="50" min="50" style="134" width="10.5"/>
    <col collapsed="false" customWidth="true" hidden="false" outlineLevel="0" max="52" min="51" style="134" width="12"/>
    <col collapsed="false" customWidth="true" hidden="false" outlineLevel="0" max="58" min="53" style="134" width="14.5"/>
    <col collapsed="false" customWidth="true" hidden="false" outlineLevel="0" max="59" min="59" style="134" width="12.62"/>
    <col collapsed="false" customWidth="true" hidden="false" outlineLevel="0" max="60" min="60" style="134" width="13.75"/>
    <col collapsed="false" customWidth="true" hidden="false" outlineLevel="0" max="61" min="61" style="134" width="12.37"/>
    <col collapsed="false" customWidth="true" hidden="false" outlineLevel="0" max="62" min="62" style="134" width="11.38"/>
    <col collapsed="false" customWidth="true" hidden="false" outlineLevel="0" max="63" min="63" style="134" width="11.5"/>
    <col collapsed="false" customWidth="true" hidden="false" outlineLevel="0" max="64" min="64" style="134" width="15.75"/>
    <col collapsed="false" customWidth="true" hidden="false" outlineLevel="0" max="65" min="65" style="134" width="13.37"/>
    <col collapsed="false" customWidth="true" hidden="false" outlineLevel="0" max="67" min="66" style="134" width="18.25"/>
    <col collapsed="false" customWidth="true" hidden="false" outlineLevel="0" max="68" min="68" style="134" width="20.75"/>
    <col collapsed="false" customWidth="true" hidden="false" outlineLevel="0" max="69" min="69" style="134" width="10.37"/>
    <col collapsed="false" customWidth="true" hidden="false" outlineLevel="0" max="70" min="70" style="134" width="7.37"/>
    <col collapsed="false" customWidth="true" hidden="false" outlineLevel="0" max="71" min="71" style="134" width="10.25"/>
    <col collapsed="false" customWidth="true" hidden="false" outlineLevel="0" max="72" min="72" style="134" width="7.5"/>
    <col collapsed="false" customWidth="true" hidden="false" outlineLevel="0" max="73" min="73" style="134" width="10.37"/>
    <col collapsed="false" customWidth="true" hidden="false" outlineLevel="0" max="74" min="74" style="134" width="11.75"/>
    <col collapsed="false" customWidth="true" hidden="false" outlineLevel="0" max="75" min="75" style="134" width="9.87"/>
    <col collapsed="false" customWidth="true" hidden="false" outlineLevel="0" max="76" min="76" style="134" width="9.75"/>
    <col collapsed="false" customWidth="true" hidden="false" outlineLevel="0" max="77" min="77" style="134" width="10.63"/>
    <col collapsed="false" customWidth="true" hidden="false" outlineLevel="0" max="78" min="78" style="134" width="13.25"/>
    <col collapsed="false" customWidth="true" hidden="false" outlineLevel="0" max="86" min="79" style="134" width="10.5"/>
    <col collapsed="false" customWidth="true" hidden="false" outlineLevel="0" max="88" min="87" style="134" width="9.5"/>
    <col collapsed="false" customWidth="true" hidden="false" outlineLevel="0" max="91" min="89" style="134" width="10.5"/>
    <col collapsed="false" customWidth="true" hidden="false" outlineLevel="0" max="92" min="92" style="134" width="9.5"/>
    <col collapsed="false" customWidth="true" hidden="false" outlineLevel="0" max="97" min="93" style="134" width="11.63"/>
    <col collapsed="false" customWidth="true" hidden="false" outlineLevel="0" max="99" min="98" style="134" width="14.5"/>
    <col collapsed="false" customWidth="true" hidden="false" outlineLevel="0" max="101" min="100" style="134" width="12"/>
    <col collapsed="false" customWidth="true" hidden="false" outlineLevel="0" max="106" min="102" style="134" width="10.5"/>
    <col collapsed="false" customWidth="true" hidden="false" outlineLevel="0" max="108" min="107" style="134" width="9.5"/>
    <col collapsed="false" customWidth="true" hidden="false" outlineLevel="0" max="112" min="109" style="134" width="11.63"/>
    <col collapsed="false" customWidth="true" hidden="false" outlineLevel="0" max="113" min="113" style="134" width="13.75"/>
    <col collapsed="false" customWidth="true" hidden="false" outlineLevel="0" max="114" min="114" style="134" width="11.88"/>
    <col collapsed="false" customWidth="true" hidden="false" outlineLevel="0" max="115" min="115" style="134" width="14"/>
    <col collapsed="false" customWidth="true" hidden="false" outlineLevel="0" max="119" min="116" style="134" width="10.5"/>
    <col collapsed="false" customWidth="true" hidden="false" outlineLevel="0" max="120" min="120" style="134" width="13.12"/>
    <col collapsed="false" customWidth="true" hidden="false" outlineLevel="0" max="121" min="121" style="134" width="12.5"/>
    <col collapsed="false" customWidth="true" hidden="false" outlineLevel="0" max="122" min="122" style="134" width="14"/>
    <col collapsed="false" customWidth="true" hidden="false" outlineLevel="0" max="124" min="123" style="134" width="11.63"/>
    <col collapsed="false" customWidth="true" hidden="false" outlineLevel="0" max="130" min="125" style="134" width="10.5"/>
    <col collapsed="false" customWidth="true" hidden="false" outlineLevel="0" max="131" min="131" style="134" width="14"/>
    <col collapsed="false" customWidth="true" hidden="false" outlineLevel="0" max="132" min="132" style="134" width="12"/>
    <col collapsed="false" customWidth="true" hidden="false" outlineLevel="0" max="134" min="133" style="134" width="11.63"/>
    <col collapsed="false" customWidth="true" hidden="false" outlineLevel="0" max="135" min="135" style="134" width="10.5"/>
    <col collapsed="false" customWidth="true" hidden="false" outlineLevel="0" max="136" min="136" style="134" width="20.75"/>
    <col collapsed="false" customWidth="true" hidden="false" outlineLevel="0" max="137" min="137" style="134" width="10.5"/>
    <col collapsed="false" customWidth="true" hidden="false" outlineLevel="0" max="138" min="138" style="134" width="22"/>
    <col collapsed="false" customWidth="true" hidden="false" outlineLevel="0" max="139" min="139" style="134" width="10.5"/>
    <col collapsed="false" customWidth="true" hidden="false" outlineLevel="0" max="140" min="140" style="134" width="14.5"/>
    <col collapsed="false" customWidth="true" hidden="false" outlineLevel="0" max="145" min="141" style="134" width="10.5"/>
    <col collapsed="false" customWidth="true" hidden="false" outlineLevel="0" max="146" min="146" style="134" width="8.63"/>
    <col collapsed="false" customWidth="true" hidden="false" outlineLevel="0" max="147" min="147" style="134" width="9.12"/>
    <col collapsed="false" customWidth="true" hidden="false" outlineLevel="0" max="148" min="148" style="134" width="8.25"/>
    <col collapsed="false" customWidth="true" hidden="false" outlineLevel="0" max="149" min="149" style="134" width="9.5"/>
    <col collapsed="false" customWidth="true" hidden="false" outlineLevel="0" max="150" min="150" style="134" width="14.5"/>
    <col collapsed="false" customWidth="true" hidden="false" outlineLevel="0" max="151" min="151" style="134" width="9.87"/>
    <col collapsed="false" customWidth="true" hidden="false" outlineLevel="0" max="153" min="152" style="134" width="14.5"/>
    <col collapsed="false" customWidth="true" hidden="false" outlineLevel="0" max="155" min="154" style="134" width="14.38"/>
    <col collapsed="false" customWidth="true" hidden="false" outlineLevel="0" max="158" min="156" style="134" width="10.5"/>
    <col collapsed="false" customWidth="true" hidden="false" outlineLevel="0" max="160" min="159" style="134" width="11.63"/>
    <col collapsed="false" customWidth="true" hidden="false" outlineLevel="0" max="161" min="161" style="134" width="9.5"/>
    <col collapsed="false" customWidth="true" hidden="false" outlineLevel="0" max="162" min="162" style="134" width="11.63"/>
    <col collapsed="false" customWidth="true" hidden="false" outlineLevel="0" max="167" min="163" style="134" width="10.75"/>
    <col collapsed="false" customWidth="true" hidden="false" outlineLevel="0" max="169" min="168" style="134" width="11.63"/>
    <col collapsed="false" customWidth="true" hidden="false" outlineLevel="0" max="175" min="170" style="134" width="12"/>
    <col collapsed="false" customWidth="true" hidden="false" outlineLevel="0" max="176" min="176" style="134" width="17"/>
    <col collapsed="false" customWidth="true" hidden="false" outlineLevel="0" max="177" min="177" style="134" width="19.5"/>
    <col collapsed="false" customWidth="true" hidden="false" outlineLevel="0" max="178" min="178" style="134" width="17"/>
    <col collapsed="false" customWidth="true" hidden="false" outlineLevel="0" max="179" min="179" style="134" width="19.5"/>
    <col collapsed="false" customWidth="true" hidden="false" outlineLevel="0" max="180" min="180" style="134" width="18.25"/>
    <col collapsed="false" customWidth="true" hidden="false" outlineLevel="0" max="181" min="181" style="135" width="5.13"/>
    <col collapsed="false" customWidth="true" hidden="false" outlineLevel="0" max="183" min="182" style="134" width="10.63"/>
    <col collapsed="false" customWidth="true" hidden="false" outlineLevel="0" max="192" min="184" style="134" width="10.5"/>
    <col collapsed="false" customWidth="true" hidden="false" outlineLevel="0" max="200" min="193" style="134" width="13.88"/>
    <col collapsed="false" customWidth="true" hidden="false" outlineLevel="0" max="201" min="201" style="134" width="10.5"/>
    <col collapsed="false" customWidth="true" hidden="false" outlineLevel="0" max="202" min="202" style="134" width="12.75"/>
    <col collapsed="false" customWidth="true" hidden="false" outlineLevel="0" max="203" min="203" style="134" width="10.5"/>
    <col collapsed="false" customWidth="true" hidden="false" outlineLevel="0" max="204" min="204" style="134" width="12.75"/>
    <col collapsed="false" customWidth="true" hidden="false" outlineLevel="0" max="208" min="205" style="134" width="10.5"/>
    <col collapsed="false" customWidth="true" hidden="false" outlineLevel="0" max="211" min="209" style="134" width="9.5"/>
    <col collapsed="false" customWidth="true" hidden="false" outlineLevel="0" max="213" min="212" style="134" width="10.5"/>
    <col collapsed="false" customWidth="true" hidden="false" outlineLevel="0" max="214" min="214" style="134" width="9.5"/>
    <col collapsed="false" customWidth="true" hidden="false" outlineLevel="0" max="225" min="215" style="134" width="10.5"/>
    <col collapsed="false" customWidth="true" hidden="false" outlineLevel="0" max="226" min="226" style="134" width="9.5"/>
    <col collapsed="false" customWidth="true" hidden="false" outlineLevel="0" max="227" min="227" style="134" width="13.88"/>
    <col collapsed="false" customWidth="true" hidden="false" outlineLevel="0" max="228" min="228" style="134" width="14"/>
    <col collapsed="false" customWidth="true" hidden="false" outlineLevel="0" max="229" min="229" style="134" width="13.88"/>
    <col collapsed="false" customWidth="true" hidden="false" outlineLevel="0" max="230" min="230" style="134" width="10.5"/>
    <col collapsed="false" customWidth="true" hidden="false" outlineLevel="0" max="231" min="231" style="134" width="9.5"/>
    <col collapsed="false" customWidth="true" hidden="false" outlineLevel="0" max="232" min="232" style="134" width="10.5"/>
    <col collapsed="false" customWidth="true" hidden="false" outlineLevel="0" max="233" min="233" style="134" width="9.5"/>
    <col collapsed="false" customWidth="true" hidden="false" outlineLevel="0" max="234" min="234" style="134" width="11.88"/>
    <col collapsed="false" customWidth="true" hidden="false" outlineLevel="0" max="235" min="235" style="134" width="9.5"/>
    <col collapsed="false" customWidth="false" hidden="false" outlineLevel="0" max="16384" min="236" style="134" width="9"/>
  </cols>
  <sheetData>
    <row r="1" customFormat="false" ht="15" hidden="false" customHeight="false" outlineLevel="0" collapsed="false">
      <c r="B1" s="136" t="s">
        <v>326</v>
      </c>
      <c r="C1" s="137" t="n">
        <v>100</v>
      </c>
      <c r="D1" s="137" t="n">
        <v>101</v>
      </c>
      <c r="E1" s="137" t="n">
        <v>102</v>
      </c>
      <c r="F1" s="137" t="n">
        <v>103</v>
      </c>
      <c r="G1" s="137" t="n">
        <v>104</v>
      </c>
      <c r="H1" s="137" t="n">
        <v>105</v>
      </c>
      <c r="I1" s="137" t="n">
        <v>106</v>
      </c>
      <c r="J1" s="137" t="n">
        <v>107</v>
      </c>
      <c r="K1" s="137" t="n">
        <v>108</v>
      </c>
      <c r="L1" s="137" t="n">
        <v>109</v>
      </c>
      <c r="M1" s="137" t="n">
        <v>110</v>
      </c>
      <c r="N1" s="137" t="n">
        <v>111</v>
      </c>
      <c r="O1" s="137" t="n">
        <v>112</v>
      </c>
      <c r="P1" s="137" t="n">
        <v>113</v>
      </c>
      <c r="Q1" s="137" t="n">
        <v>114</v>
      </c>
      <c r="R1" s="137" t="n">
        <v>115</v>
      </c>
      <c r="S1" s="137" t="n">
        <v>116</v>
      </c>
      <c r="T1" s="137" t="n">
        <v>117</v>
      </c>
      <c r="U1" s="137" t="n">
        <v>118</v>
      </c>
      <c r="V1" s="137" t="n">
        <v>119</v>
      </c>
      <c r="W1" s="137" t="n">
        <v>120</v>
      </c>
      <c r="X1" s="137" t="n">
        <v>121</v>
      </c>
      <c r="Y1" s="137" t="n">
        <v>200</v>
      </c>
      <c r="Z1" s="137" t="n">
        <v>201</v>
      </c>
      <c r="AA1" s="137" t="n">
        <v>202</v>
      </c>
      <c r="AB1" s="137" t="n">
        <v>203</v>
      </c>
      <c r="AC1" s="137" t="n">
        <v>204</v>
      </c>
      <c r="AD1" s="137" t="n">
        <v>205</v>
      </c>
      <c r="AE1" s="137" t="n">
        <v>206</v>
      </c>
      <c r="AF1" s="137" t="n">
        <v>207</v>
      </c>
      <c r="AG1" s="137" t="n">
        <v>208</v>
      </c>
      <c r="AH1" s="137" t="n">
        <v>209</v>
      </c>
      <c r="AI1" s="137" t="n">
        <v>210</v>
      </c>
      <c r="AJ1" s="137" t="n">
        <v>211</v>
      </c>
      <c r="AK1" s="137" t="n">
        <v>212</v>
      </c>
      <c r="AL1" s="137" t="n">
        <v>213</v>
      </c>
      <c r="AM1" s="137" t="n">
        <v>214</v>
      </c>
      <c r="AN1" s="137" t="n">
        <v>215</v>
      </c>
      <c r="AO1" s="137" t="n">
        <v>216</v>
      </c>
      <c r="AP1" s="137" t="n">
        <v>217</v>
      </c>
      <c r="AQ1" s="137" t="n">
        <v>218</v>
      </c>
      <c r="AR1" s="137" t="n">
        <v>219</v>
      </c>
      <c r="AS1" s="137" t="n">
        <v>220</v>
      </c>
      <c r="AT1" s="137" t="n">
        <v>221</v>
      </c>
      <c r="AU1" s="137" t="n">
        <v>222</v>
      </c>
      <c r="AV1" s="137" t="n">
        <v>223</v>
      </c>
      <c r="AW1" s="137" t="n">
        <v>224</v>
      </c>
      <c r="AX1" s="137" t="n">
        <v>225</v>
      </c>
      <c r="AY1" s="137" t="n">
        <v>300</v>
      </c>
      <c r="AZ1" s="137" t="n">
        <v>301</v>
      </c>
      <c r="BA1" s="137" t="n">
        <v>302</v>
      </c>
      <c r="BB1" s="137" t="n">
        <v>303</v>
      </c>
      <c r="BC1" s="137" t="n">
        <v>304</v>
      </c>
      <c r="BD1" s="137" t="n">
        <v>305</v>
      </c>
      <c r="BE1" s="137" t="n">
        <v>306</v>
      </c>
      <c r="BF1" s="137" t="n">
        <v>307</v>
      </c>
      <c r="BG1" s="137" t="n">
        <v>308</v>
      </c>
      <c r="BH1" s="137" t="n">
        <v>309</v>
      </c>
      <c r="BI1" s="137" t="n">
        <v>310</v>
      </c>
      <c r="BJ1" s="137" t="n">
        <v>311</v>
      </c>
      <c r="BK1" s="137" t="n">
        <v>312</v>
      </c>
      <c r="BL1" s="137" t="n">
        <v>313</v>
      </c>
      <c r="BM1" s="137" t="n">
        <v>314</v>
      </c>
      <c r="BN1" s="137" t="n">
        <v>315</v>
      </c>
      <c r="BO1" s="137" t="n">
        <v>316</v>
      </c>
      <c r="BP1" s="137" t="n">
        <v>317</v>
      </c>
      <c r="BQ1" s="137" t="n">
        <v>318</v>
      </c>
      <c r="BR1" s="137" t="n">
        <v>319</v>
      </c>
      <c r="BS1" s="137" t="n">
        <v>320</v>
      </c>
      <c r="BT1" s="137" t="n">
        <v>321</v>
      </c>
      <c r="BU1" s="137" t="n">
        <v>322</v>
      </c>
      <c r="BV1" s="137" t="n">
        <v>400</v>
      </c>
      <c r="BW1" s="137" t="n">
        <v>401</v>
      </c>
      <c r="BX1" s="137" t="n">
        <v>402</v>
      </c>
      <c r="BY1" s="137" t="n">
        <v>403</v>
      </c>
      <c r="BZ1" s="137" t="n">
        <v>404</v>
      </c>
      <c r="CA1" s="137" t="n">
        <v>405</v>
      </c>
      <c r="CB1" s="137" t="n">
        <v>406</v>
      </c>
      <c r="CC1" s="137" t="n">
        <v>407</v>
      </c>
      <c r="CD1" s="137" t="n">
        <v>408</v>
      </c>
      <c r="CE1" s="137" t="n">
        <v>409</v>
      </c>
      <c r="CF1" s="137" t="n">
        <v>410</v>
      </c>
      <c r="CG1" s="137" t="n">
        <v>411</v>
      </c>
      <c r="CH1" s="137" t="n">
        <v>412</v>
      </c>
      <c r="CI1" s="137" t="n">
        <v>413</v>
      </c>
      <c r="CJ1" s="137" t="n">
        <v>414</v>
      </c>
      <c r="CK1" s="137" t="n">
        <v>415</v>
      </c>
      <c r="CL1" s="137" t="n">
        <v>416</v>
      </c>
      <c r="CM1" s="137" t="n">
        <v>417</v>
      </c>
      <c r="CN1" s="137" t="n">
        <v>418</v>
      </c>
      <c r="CO1" s="137" t="n">
        <v>419</v>
      </c>
      <c r="CP1" s="137" t="n">
        <v>420</v>
      </c>
      <c r="CQ1" s="137" t="n">
        <v>421</v>
      </c>
      <c r="CR1" s="137" t="n">
        <v>422</v>
      </c>
      <c r="CS1" s="137" t="n">
        <v>423</v>
      </c>
      <c r="CT1" s="137" t="n">
        <v>424</v>
      </c>
      <c r="CU1" s="137" t="n">
        <v>425</v>
      </c>
      <c r="CV1" s="137" t="n">
        <v>426</v>
      </c>
      <c r="CW1" s="137" t="n">
        <v>427</v>
      </c>
      <c r="CX1" s="137" t="n">
        <v>428</v>
      </c>
      <c r="CY1" s="137" t="n">
        <v>429</v>
      </c>
      <c r="CZ1" s="137" t="n">
        <v>500</v>
      </c>
      <c r="DA1" s="137" t="n">
        <v>501</v>
      </c>
      <c r="DB1" s="137" t="n">
        <v>502</v>
      </c>
      <c r="DC1" s="137" t="n">
        <v>503</v>
      </c>
      <c r="DD1" s="137" t="n">
        <v>504</v>
      </c>
      <c r="DE1" s="137" t="n">
        <v>505</v>
      </c>
      <c r="DF1" s="137" t="n">
        <v>506</v>
      </c>
      <c r="DG1" s="137" t="n">
        <v>507</v>
      </c>
      <c r="DH1" s="137" t="n">
        <v>508</v>
      </c>
      <c r="DI1" s="137" t="n">
        <v>509</v>
      </c>
      <c r="DJ1" s="137" t="n">
        <v>510</v>
      </c>
      <c r="DK1" s="137" t="n">
        <v>511</v>
      </c>
      <c r="DL1" s="137" t="n">
        <v>512</v>
      </c>
      <c r="DM1" s="137" t="n">
        <v>513</v>
      </c>
      <c r="DN1" s="137" t="n">
        <v>514</v>
      </c>
      <c r="DO1" s="137" t="n">
        <v>515</v>
      </c>
      <c r="DP1" s="137" t="n">
        <v>516</v>
      </c>
      <c r="DQ1" s="137" t="n">
        <v>517</v>
      </c>
      <c r="DR1" s="137" t="n">
        <v>518</v>
      </c>
      <c r="DS1" s="137" t="n">
        <v>519</v>
      </c>
      <c r="DT1" s="137" t="n">
        <v>520</v>
      </c>
      <c r="DU1" s="137" t="n">
        <v>521</v>
      </c>
      <c r="DV1" s="137" t="n">
        <v>522</v>
      </c>
      <c r="DW1" s="137" t="n">
        <v>523</v>
      </c>
      <c r="DX1" s="137" t="n">
        <v>524</v>
      </c>
      <c r="DY1" s="137" t="n">
        <v>525</v>
      </c>
      <c r="DZ1" s="137" t="n">
        <v>526</v>
      </c>
      <c r="EA1" s="137" t="n">
        <v>527</v>
      </c>
      <c r="EB1" s="137" t="n">
        <v>528</v>
      </c>
      <c r="EC1" s="137" t="n">
        <v>529</v>
      </c>
      <c r="ED1" s="137" t="n">
        <v>530</v>
      </c>
      <c r="EE1" s="137" t="n">
        <v>531</v>
      </c>
      <c r="EF1" s="137" t="n">
        <v>532</v>
      </c>
      <c r="EG1" s="137" t="n">
        <v>533</v>
      </c>
      <c r="EH1" s="137" t="n">
        <v>600</v>
      </c>
      <c r="EI1" s="137" t="n">
        <v>601</v>
      </c>
      <c r="EJ1" s="137" t="n">
        <v>602</v>
      </c>
      <c r="EK1" s="137" t="n">
        <v>603</v>
      </c>
      <c r="EL1" s="137" t="n">
        <v>604</v>
      </c>
      <c r="EM1" s="137" t="n">
        <v>605</v>
      </c>
      <c r="EN1" s="137" t="n">
        <v>606</v>
      </c>
      <c r="EO1" s="137" t="n">
        <v>607</v>
      </c>
      <c r="EP1" s="137" t="n">
        <v>608</v>
      </c>
      <c r="EQ1" s="137" t="n">
        <v>609</v>
      </c>
      <c r="ER1" s="137" t="n">
        <v>610</v>
      </c>
      <c r="ES1" s="137" t="n">
        <v>611</v>
      </c>
      <c r="ET1" s="137" t="n">
        <v>612</v>
      </c>
      <c r="EU1" s="137" t="n">
        <v>613</v>
      </c>
      <c r="EV1" s="137" t="n">
        <v>614</v>
      </c>
      <c r="EW1" s="137" t="n">
        <v>700</v>
      </c>
      <c r="EX1" s="137" t="n">
        <v>701</v>
      </c>
      <c r="EY1" s="137" t="n">
        <v>702</v>
      </c>
      <c r="EZ1" s="137" t="n">
        <v>703</v>
      </c>
      <c r="FA1" s="137" t="n">
        <v>704</v>
      </c>
      <c r="FB1" s="137" t="n">
        <v>705</v>
      </c>
      <c r="FC1" s="137" t="n">
        <v>706</v>
      </c>
      <c r="FD1" s="137" t="n">
        <v>707</v>
      </c>
      <c r="FE1" s="137" t="n">
        <v>708</v>
      </c>
      <c r="FF1" s="137" t="n">
        <v>709</v>
      </c>
      <c r="FG1" s="137" t="n">
        <v>710</v>
      </c>
      <c r="FH1" s="137" t="n">
        <v>711</v>
      </c>
      <c r="FI1" s="137" t="n">
        <v>712</v>
      </c>
      <c r="FJ1" s="137"/>
      <c r="FK1" s="137"/>
      <c r="FL1" s="137"/>
      <c r="FM1" s="137"/>
      <c r="FN1" s="137"/>
      <c r="FO1" s="137"/>
      <c r="FP1" s="137"/>
      <c r="FQ1" s="137"/>
      <c r="FR1" s="137"/>
      <c r="FS1" s="137"/>
      <c r="FT1" s="138"/>
      <c r="FU1" s="137"/>
      <c r="FV1" s="138"/>
      <c r="FW1" s="137"/>
      <c r="FX1" s="137"/>
    </row>
    <row r="2" customFormat="false" ht="10.5" hidden="false" customHeight="true" outlineLevel="0" collapsed="false"/>
    <row r="3" s="141" customFormat="true" ht="15" hidden="false" customHeight="false" outlineLevel="0" collapsed="false">
      <c r="A3" s="139" t="s">
        <v>327</v>
      </c>
      <c r="B3" s="140" t="s">
        <v>166</v>
      </c>
      <c r="C3" s="140" t="n">
        <v>26676.4</v>
      </c>
      <c r="D3" s="140" t="n">
        <v>236419</v>
      </c>
      <c r="E3" s="140" t="n">
        <v>46428.6</v>
      </c>
      <c r="F3" s="140" t="n">
        <v>263095.4</v>
      </c>
      <c r="G3" s="140" t="n">
        <v>46428.6</v>
      </c>
      <c r="H3" s="140" t="n">
        <v>309524</v>
      </c>
      <c r="I3" s="140" t="n">
        <v>309524</v>
      </c>
      <c r="J3" s="140" t="n">
        <v>309524</v>
      </c>
      <c r="K3" s="140" t="n">
        <v>309524</v>
      </c>
      <c r="L3" s="140" t="n">
        <v>309524</v>
      </c>
      <c r="M3" s="140" t="n">
        <v>309524</v>
      </c>
      <c r="N3" s="140" t="n">
        <v>446</v>
      </c>
      <c r="O3" s="140" t="n">
        <v>309970</v>
      </c>
      <c r="P3" s="140" t="n">
        <v>268934.3</v>
      </c>
      <c r="Q3" s="140" t="n">
        <v>309970</v>
      </c>
      <c r="R3" s="140" t="n">
        <v>268934.3</v>
      </c>
      <c r="S3" s="140" t="n">
        <v>40340.14</v>
      </c>
      <c r="T3" s="140" t="n">
        <v>40340.14</v>
      </c>
      <c r="U3" s="140" t="n">
        <v>40340.14</v>
      </c>
      <c r="V3" s="140" t="n">
        <v>228594.15</v>
      </c>
      <c r="W3" s="140" t="n">
        <v>309524</v>
      </c>
      <c r="X3" s="140" t="n">
        <v>309524</v>
      </c>
      <c r="Y3" s="140" t="n">
        <v>309970</v>
      </c>
      <c r="Z3" s="140" t="n">
        <v>309970</v>
      </c>
      <c r="AA3" s="140" t="n">
        <v>741526.97</v>
      </c>
      <c r="AB3" s="140" t="n">
        <v>428894.98</v>
      </c>
      <c r="AC3" s="140" t="n">
        <v>428894.98</v>
      </c>
      <c r="AD3" s="140" t="n">
        <v>738864.98</v>
      </c>
      <c r="AE3" s="140" t="n">
        <v>739147.94</v>
      </c>
      <c r="AF3" s="140" t="n">
        <v>282.96</v>
      </c>
      <c r="AG3" s="140" t="n">
        <v>605.14</v>
      </c>
      <c r="AH3" s="140" t="n">
        <v>736.13</v>
      </c>
      <c r="AI3" s="140" t="n">
        <v>667.64</v>
      </c>
      <c r="AJ3" s="140" t="n">
        <v>479.56</v>
      </c>
      <c r="AK3" s="140" t="n">
        <v>16.66</v>
      </c>
      <c r="AL3" s="140" t="n">
        <v>19.15</v>
      </c>
      <c r="AM3" s="140" t="n">
        <v>19.15</v>
      </c>
      <c r="AN3" s="140" t="n">
        <v>24.85</v>
      </c>
      <c r="AO3" s="140" t="n">
        <v>26.92</v>
      </c>
      <c r="AP3" s="140" t="n">
        <v>109.44</v>
      </c>
      <c r="AQ3" s="140" t="n">
        <v>312631.98</v>
      </c>
      <c r="AR3" s="140" t="n">
        <v>312631.98</v>
      </c>
      <c r="AS3" s="140" t="n">
        <v>312631.98</v>
      </c>
      <c r="AT3" s="140" t="n">
        <v>312631.98</v>
      </c>
      <c r="AU3" s="140" t="n">
        <v>6702.76</v>
      </c>
      <c r="AV3" s="140" t="n">
        <v>5215.35</v>
      </c>
      <c r="AW3" s="140" t="n">
        <v>5238.27</v>
      </c>
      <c r="AX3" s="140" t="n">
        <v>22.9</v>
      </c>
      <c r="AY3" s="140" t="n">
        <v>12588.46</v>
      </c>
      <c r="AZ3" s="140" t="n">
        <v>12697.9</v>
      </c>
      <c r="BA3" s="140" t="n">
        <v>12697.9</v>
      </c>
      <c r="BB3" s="140" t="n">
        <v>23397.9</v>
      </c>
      <c r="BC3" s="140" t="n">
        <v>23397.9</v>
      </c>
      <c r="BD3" s="140" t="n">
        <v>27715.9</v>
      </c>
      <c r="BE3" s="140" t="n">
        <v>27715.9</v>
      </c>
      <c r="BF3" s="140" t="n">
        <v>11306.67</v>
      </c>
      <c r="BG3" s="140" t="n">
        <v>16068.71</v>
      </c>
      <c r="BH3" s="140" t="n">
        <v>4604.55</v>
      </c>
      <c r="BI3" s="140" t="n">
        <v>4604.55</v>
      </c>
      <c r="BJ3" s="140" t="n">
        <v>11804.68</v>
      </c>
      <c r="BK3" s="140" t="n">
        <v>11804.68</v>
      </c>
      <c r="BL3" s="140" t="n">
        <v>300043.52</v>
      </c>
      <c r="BM3" s="140" t="n">
        <v>300043.52</v>
      </c>
      <c r="BN3" s="140" t="n">
        <v>32429.87</v>
      </c>
      <c r="BO3" s="140" t="n">
        <v>3189.14</v>
      </c>
      <c r="BP3" s="140" t="n">
        <v>13100</v>
      </c>
      <c r="BQ3" s="140" t="n">
        <v>13100</v>
      </c>
      <c r="BR3" s="140" t="n">
        <v>13100</v>
      </c>
      <c r="BS3" s="140" t="n">
        <v>2400</v>
      </c>
      <c r="BT3" s="140" t="n">
        <v>10700</v>
      </c>
      <c r="BU3" s="140" t="n">
        <v>4318</v>
      </c>
      <c r="BV3" s="140" t="n">
        <v>6542.55</v>
      </c>
      <c r="BW3" s="140" t="n">
        <v>300816.72</v>
      </c>
      <c r="BX3" s="140" t="n">
        <v>300816.72</v>
      </c>
      <c r="BY3" s="140" t="n">
        <v>300816.72</v>
      </c>
      <c r="BZ3" s="140" t="n">
        <v>300816.72</v>
      </c>
      <c r="CA3" s="140" t="n">
        <v>7799.01</v>
      </c>
      <c r="CB3" s="140" t="n">
        <v>7799.01</v>
      </c>
      <c r="CC3" s="140" t="n">
        <v>293017.71</v>
      </c>
      <c r="CD3" s="140" t="n">
        <v>293017.71</v>
      </c>
      <c r="CE3" s="140" t="n">
        <v>293017.71</v>
      </c>
      <c r="CF3" s="140" t="n">
        <v>268934.3</v>
      </c>
      <c r="CG3" s="140" t="n">
        <v>312631.98</v>
      </c>
      <c r="CH3" s="140" t="n">
        <v>20673.98</v>
      </c>
      <c r="CI3" s="140" t="n">
        <v>23073.98</v>
      </c>
      <c r="CJ3" s="140" t="n">
        <v>23073.98</v>
      </c>
      <c r="CK3" s="141" t="n">
        <v>23073.98</v>
      </c>
      <c r="CL3" s="141" t="n">
        <v>15182.02</v>
      </c>
      <c r="CM3" s="141" t="n">
        <v>15182.02</v>
      </c>
      <c r="CN3" s="141" t="n">
        <v>7350.08</v>
      </c>
      <c r="CO3" s="140" t="n">
        <v>7831.94</v>
      </c>
      <c r="CP3" s="140" t="n">
        <v>4762.04</v>
      </c>
      <c r="CQ3" s="140" t="n">
        <v>3129.924249227</v>
      </c>
      <c r="CR3" s="140" t="n">
        <v>3129.924249227</v>
      </c>
      <c r="CS3" s="140" t="n">
        <v>2950</v>
      </c>
      <c r="CT3" s="140" t="n">
        <v>2950</v>
      </c>
      <c r="CU3" s="140" t="n">
        <v>26811.03</v>
      </c>
      <c r="CV3" s="140" t="n">
        <v>27191.6</v>
      </c>
      <c r="CW3" s="140" t="n">
        <v>6702.76</v>
      </c>
      <c r="CX3" s="140" t="n">
        <v>20108.27</v>
      </c>
      <c r="CY3" s="140" t="n">
        <v>380.58</v>
      </c>
      <c r="CZ3" s="140" t="n">
        <v>268934.3</v>
      </c>
      <c r="DA3" s="140" t="n">
        <v>268934.3</v>
      </c>
      <c r="DB3" s="140" t="n">
        <v>64817.89</v>
      </c>
      <c r="DC3" s="140" t="n">
        <v>64817.89</v>
      </c>
      <c r="DD3" s="140" t="n">
        <v>54907.02</v>
      </c>
      <c r="DE3" s="140" t="n">
        <v>54907.02</v>
      </c>
      <c r="DF3" s="140" t="n">
        <v>50827.5</v>
      </c>
      <c r="DG3" s="140" t="n">
        <v>4079.53</v>
      </c>
      <c r="DH3" s="140" t="n">
        <v>4079.53</v>
      </c>
      <c r="DI3" s="140" t="n">
        <v>4079.53</v>
      </c>
      <c r="DJ3" s="140" t="n">
        <v>9910.86</v>
      </c>
      <c r="DK3" s="140" t="n">
        <v>125000</v>
      </c>
      <c r="DL3" s="140" t="n">
        <v>125000</v>
      </c>
      <c r="DM3" s="140" t="n">
        <v>125000</v>
      </c>
      <c r="DN3" s="140" t="n">
        <v>125000</v>
      </c>
      <c r="DO3" s="140" t="n">
        <v>125000</v>
      </c>
      <c r="DP3" s="140" t="n">
        <v>30583.42</v>
      </c>
      <c r="DQ3" s="140" t="n">
        <v>30583.42</v>
      </c>
      <c r="DR3" s="140" t="n">
        <v>3941.42</v>
      </c>
      <c r="DS3" s="140" t="n">
        <v>27112</v>
      </c>
      <c r="DT3" s="140" t="n">
        <v>27112</v>
      </c>
      <c r="DU3" s="140" t="n">
        <v>27112</v>
      </c>
      <c r="DV3" s="140" t="n">
        <v>4066.8</v>
      </c>
      <c r="DW3" s="140" t="n">
        <v>4066.8</v>
      </c>
      <c r="DX3" s="140" t="n">
        <v>23045.2</v>
      </c>
      <c r="DY3" s="140" t="n">
        <v>32429.87</v>
      </c>
      <c r="DZ3" s="140" t="n">
        <v>3337.47</v>
      </c>
      <c r="EA3" s="140" t="n">
        <v>5215.35</v>
      </c>
      <c r="EB3" s="140" t="n">
        <v>5215.35</v>
      </c>
      <c r="EC3" s="141" t="n">
        <v>268934.3</v>
      </c>
      <c r="ED3" s="141" t="n">
        <v>470</v>
      </c>
      <c r="EE3" s="140" t="n">
        <v>8750</v>
      </c>
      <c r="EF3" s="140" t="n">
        <v>23473.55</v>
      </c>
      <c r="EG3" s="140" t="n">
        <v>3981.73</v>
      </c>
      <c r="EH3" s="140" t="n">
        <v>3217.43</v>
      </c>
      <c r="EI3" s="140" t="n">
        <v>4044.54</v>
      </c>
      <c r="EJ3" s="140" t="n">
        <v>4044.54</v>
      </c>
      <c r="EK3" s="140" t="n">
        <v>4044.54</v>
      </c>
      <c r="EL3" s="140" t="n">
        <v>4044.54</v>
      </c>
      <c r="EM3" s="140" t="n">
        <v>4044.54</v>
      </c>
      <c r="EN3" s="140" t="n">
        <v>4044.54</v>
      </c>
      <c r="EO3" s="140" t="n">
        <v>4044.54</v>
      </c>
      <c r="EP3" s="140" t="n">
        <v>4044.54</v>
      </c>
      <c r="EQ3" s="140" t="n">
        <v>4044.54</v>
      </c>
      <c r="ER3" s="140" t="n">
        <v>3217.43</v>
      </c>
      <c r="ES3" s="140" t="n">
        <v>827.11</v>
      </c>
      <c r="ET3" s="140" t="n">
        <v>827.11</v>
      </c>
      <c r="EU3" s="140" t="n">
        <v>827.11</v>
      </c>
      <c r="EV3" s="140" t="n">
        <v>446</v>
      </c>
      <c r="EW3" s="140" t="n">
        <v>164000</v>
      </c>
      <c r="EX3" s="140" t="n">
        <v>164000</v>
      </c>
      <c r="EY3" s="140" t="n">
        <v>164000</v>
      </c>
      <c r="EZ3" s="140" t="n">
        <v>164000</v>
      </c>
      <c r="FA3" s="140" t="n">
        <v>164000</v>
      </c>
      <c r="FB3" s="140" t="n">
        <v>6070.86</v>
      </c>
      <c r="FC3" s="140" t="n">
        <v>6068.37</v>
      </c>
      <c r="FD3" s="140" t="n">
        <v>6068.37</v>
      </c>
      <c r="FE3" s="140" t="n">
        <v>2.49</v>
      </c>
      <c r="FF3" s="140" t="n">
        <v>2.49</v>
      </c>
      <c r="FG3" s="140" t="n">
        <v>169484.76</v>
      </c>
      <c r="FH3" s="140" t="n">
        <v>169484.76</v>
      </c>
      <c r="FI3" s="140" t="n">
        <v>169487.26</v>
      </c>
      <c r="FJ3" s="140"/>
      <c r="FK3" s="140"/>
      <c r="FL3" s="140"/>
      <c r="FM3" s="140"/>
      <c r="FN3" s="140"/>
      <c r="FO3" s="140"/>
      <c r="FP3" s="140"/>
      <c r="FQ3" s="140"/>
      <c r="FR3" s="140"/>
      <c r="FS3" s="140"/>
      <c r="FT3" s="140"/>
      <c r="FU3" s="140"/>
      <c r="FV3" s="140"/>
      <c r="FW3" s="140"/>
      <c r="FX3" s="140"/>
    </row>
    <row r="4" s="144" customFormat="true" ht="15" hidden="false" customHeight="false" outlineLevel="0" collapsed="false">
      <c r="A4" s="142" t="s">
        <v>328</v>
      </c>
      <c r="B4" s="143" t="s">
        <v>329</v>
      </c>
      <c r="C4" s="143" t="n">
        <v>62.66</v>
      </c>
      <c r="D4" s="143" t="n">
        <v>577.2</v>
      </c>
      <c r="E4" s="143" t="n">
        <v>112.92</v>
      </c>
      <c r="F4" s="143" t="n">
        <v>639.86</v>
      </c>
      <c r="G4" s="143" t="n">
        <v>112.92</v>
      </c>
      <c r="H4" s="143" t="n">
        <v>752.77</v>
      </c>
      <c r="I4" s="143" t="n">
        <v>752.77</v>
      </c>
      <c r="J4" s="143" t="n">
        <v>752.77</v>
      </c>
      <c r="K4" s="143" t="n">
        <v>752.77</v>
      </c>
      <c r="L4" s="143" t="n">
        <v>752.77</v>
      </c>
      <c r="M4" s="143" t="n">
        <v>752.77</v>
      </c>
      <c r="N4" s="143" t="n">
        <v>219.7</v>
      </c>
      <c r="O4" s="143" t="n">
        <v>972.47</v>
      </c>
      <c r="P4" s="143" t="n">
        <v>704.12</v>
      </c>
      <c r="Q4" s="143" t="n">
        <v>972.47</v>
      </c>
      <c r="R4" s="143" t="n">
        <v>704.12</v>
      </c>
      <c r="S4" s="143" t="n">
        <v>105.62</v>
      </c>
      <c r="T4" s="143" t="n">
        <v>105.62</v>
      </c>
      <c r="U4" s="143" t="n">
        <v>105.62</v>
      </c>
      <c r="V4" s="143" t="n">
        <v>598.5</v>
      </c>
      <c r="W4" s="143"/>
      <c r="X4" s="143"/>
      <c r="Y4" s="143" t="n">
        <v>972.47</v>
      </c>
      <c r="Z4" s="143" t="n">
        <v>972.47</v>
      </c>
      <c r="AA4" s="143" t="n">
        <v>3460.4</v>
      </c>
      <c r="AB4" s="143" t="n">
        <v>2001.47</v>
      </c>
      <c r="AC4" s="143" t="n">
        <v>2001.47</v>
      </c>
      <c r="AD4" s="143" t="n">
        <v>2973.95</v>
      </c>
      <c r="AE4" s="143" t="n">
        <v>3113.34</v>
      </c>
      <c r="AF4" s="143" t="n">
        <v>139.39</v>
      </c>
      <c r="AG4" s="143" t="n">
        <v>298.09</v>
      </c>
      <c r="AH4" s="143" t="n">
        <v>362.62</v>
      </c>
      <c r="AI4" s="143" t="n">
        <v>328.88</v>
      </c>
      <c r="AJ4" s="143" t="n">
        <v>236.23</v>
      </c>
      <c r="AK4" s="143" t="n">
        <v>1</v>
      </c>
      <c r="AL4" s="143" t="n">
        <v>1</v>
      </c>
      <c r="AM4" s="143" t="n">
        <v>1</v>
      </c>
      <c r="AN4" s="143" t="n">
        <v>1</v>
      </c>
      <c r="AO4" s="143" t="n">
        <v>1</v>
      </c>
      <c r="AP4" s="143" t="n">
        <v>5.01</v>
      </c>
      <c r="AQ4" s="143" t="n">
        <v>1458.92</v>
      </c>
      <c r="AR4" s="143" t="n">
        <v>1458.92</v>
      </c>
      <c r="AS4" s="143" t="n">
        <v>1458.92</v>
      </c>
      <c r="AT4" s="143" t="n">
        <v>1458.92</v>
      </c>
      <c r="AU4" s="143" t="n">
        <v>372.1</v>
      </c>
      <c r="AV4" s="143" t="n">
        <v>289.5</v>
      </c>
      <c r="AW4" s="143" t="n">
        <v>290.770842724</v>
      </c>
      <c r="AX4" s="143" t="n">
        <v>1.27</v>
      </c>
      <c r="AY4" s="143" t="n">
        <v>486.49</v>
      </c>
      <c r="AZ4" s="143" t="n">
        <v>491.5</v>
      </c>
      <c r="BA4" s="143" t="n">
        <v>491.5</v>
      </c>
      <c r="BB4" s="143" t="n">
        <v>1085.45</v>
      </c>
      <c r="BC4" s="143" t="n">
        <v>1085.45</v>
      </c>
      <c r="BD4" s="143" t="n">
        <v>1524.93</v>
      </c>
      <c r="BE4" s="143" t="n">
        <v>1524.93</v>
      </c>
      <c r="BF4" s="143" t="n">
        <v>616.19</v>
      </c>
      <c r="BG4" s="143" t="n">
        <v>875.82</v>
      </c>
      <c r="BH4" s="143" t="n">
        <v>47.11</v>
      </c>
      <c r="BI4" s="143" t="n">
        <v>47.11</v>
      </c>
      <c r="BJ4" s="143" t="n">
        <v>861.62</v>
      </c>
      <c r="BK4" s="143" t="n">
        <v>861.62</v>
      </c>
      <c r="BL4" s="143" t="n">
        <v>972.43</v>
      </c>
      <c r="BM4" s="143" t="n">
        <v>972.43</v>
      </c>
      <c r="BN4" s="143" t="n">
        <v>1800.15</v>
      </c>
      <c r="BO4" s="143" t="n">
        <v>177.03</v>
      </c>
      <c r="BP4" s="143" t="n">
        <v>727.17</v>
      </c>
      <c r="BQ4" s="143" t="n">
        <v>727.17</v>
      </c>
      <c r="BR4" s="143" t="n">
        <v>727.17</v>
      </c>
      <c r="BS4" s="143" t="n">
        <v>133.22</v>
      </c>
      <c r="BT4" s="143" t="n">
        <v>593.95</v>
      </c>
      <c r="BU4" s="143" t="n">
        <v>439.48</v>
      </c>
      <c r="BV4" s="143" t="n">
        <v>50.93</v>
      </c>
      <c r="BW4" s="143" t="n">
        <v>902.93</v>
      </c>
      <c r="BX4" s="143" t="n">
        <v>902.93</v>
      </c>
      <c r="BY4" s="143" t="n">
        <v>902.93</v>
      </c>
      <c r="BZ4" s="143" t="n">
        <v>902.93</v>
      </c>
      <c r="CA4" s="143" t="n">
        <v>77.42</v>
      </c>
      <c r="CB4" s="143" t="n">
        <v>77.42</v>
      </c>
      <c r="CC4" s="143" t="n">
        <v>825.51</v>
      </c>
      <c r="CD4" s="143" t="n">
        <v>825.51</v>
      </c>
      <c r="CE4" s="143" t="n">
        <v>825.51</v>
      </c>
      <c r="CF4" s="143" t="n">
        <v>704.12</v>
      </c>
      <c r="CG4" s="143" t="n">
        <v>1458.92</v>
      </c>
      <c r="CH4" s="143" t="n">
        <v>423.1</v>
      </c>
      <c r="CI4" s="143" t="n">
        <v>556.32</v>
      </c>
      <c r="CJ4" s="143" t="n">
        <v>556.32</v>
      </c>
      <c r="CK4" s="144" t="n">
        <v>556.32</v>
      </c>
      <c r="CL4" s="144" t="n">
        <v>183.76</v>
      </c>
      <c r="CM4" s="144" t="n">
        <v>183.76</v>
      </c>
      <c r="CN4" s="144" t="n">
        <v>88.97</v>
      </c>
      <c r="CO4" s="143" t="n">
        <v>94.8</v>
      </c>
      <c r="CP4" s="143" t="n">
        <v>259.63</v>
      </c>
      <c r="CQ4" s="143" t="n">
        <v>112.92</v>
      </c>
      <c r="CR4" s="143" t="n">
        <v>112.92</v>
      </c>
      <c r="CS4" s="143" t="n">
        <v>163.75</v>
      </c>
      <c r="CT4" s="143" t="n">
        <v>163.75</v>
      </c>
      <c r="CU4" s="143" t="n">
        <v>1488.25</v>
      </c>
      <c r="CV4" s="143" t="n">
        <v>1509.38</v>
      </c>
      <c r="CW4" s="143" t="n">
        <v>372.06</v>
      </c>
      <c r="CX4" s="143" t="n">
        <v>1116.19</v>
      </c>
      <c r="CY4" s="143" t="n">
        <v>21.13</v>
      </c>
      <c r="CZ4" s="143" t="n">
        <v>704.12</v>
      </c>
      <c r="DA4" s="143" t="n">
        <v>704.12</v>
      </c>
      <c r="DB4" s="143" t="n">
        <v>1034.58</v>
      </c>
      <c r="DC4" s="143" t="n">
        <v>1034.58</v>
      </c>
      <c r="DD4" s="143" t="n">
        <v>484.44</v>
      </c>
      <c r="DE4" s="143" t="n">
        <v>484.44</v>
      </c>
      <c r="DF4" s="143" t="n">
        <v>448.45</v>
      </c>
      <c r="DG4" s="143" t="n">
        <v>35.99</v>
      </c>
      <c r="DH4" s="143" t="n">
        <v>35.99</v>
      </c>
      <c r="DI4" s="143" t="n">
        <v>35.99</v>
      </c>
      <c r="DJ4" s="143" t="n">
        <v>550.14</v>
      </c>
      <c r="DK4" s="143" t="n">
        <v>588.69</v>
      </c>
      <c r="DL4" s="143" t="n">
        <v>588.69</v>
      </c>
      <c r="DM4" s="143" t="n">
        <v>588.69</v>
      </c>
      <c r="DN4" s="143" t="n">
        <v>588.69</v>
      </c>
      <c r="DO4" s="143" t="n">
        <v>588.69</v>
      </c>
      <c r="DP4" s="143" t="n">
        <v>144.03</v>
      </c>
      <c r="DQ4" s="143" t="n">
        <v>144.03</v>
      </c>
      <c r="DR4" s="143" t="n">
        <v>45.65</v>
      </c>
      <c r="DS4" s="143" t="n">
        <v>124.47</v>
      </c>
      <c r="DT4" s="143" t="n">
        <v>124.47</v>
      </c>
      <c r="DU4" s="143" t="n">
        <v>124.47</v>
      </c>
      <c r="DV4" s="143" t="n">
        <v>18.67</v>
      </c>
      <c r="DW4" s="143" t="n">
        <v>18.67</v>
      </c>
      <c r="DX4" s="143" t="n">
        <v>105.8</v>
      </c>
      <c r="DY4" s="143" t="n">
        <v>1800.15</v>
      </c>
      <c r="DZ4" s="143" t="n">
        <v>185.26</v>
      </c>
      <c r="EA4" s="143" t="n">
        <v>289.5</v>
      </c>
      <c r="EB4" s="143" t="n">
        <v>289.5</v>
      </c>
      <c r="EC4" s="144" t="n">
        <v>704.12</v>
      </c>
      <c r="ED4" s="144" t="n">
        <v>26.09</v>
      </c>
      <c r="EE4" s="143" t="n">
        <v>485.7</v>
      </c>
      <c r="EF4" s="143" t="n">
        <v>1302.99</v>
      </c>
      <c r="EG4" s="143" t="n">
        <v>221.02</v>
      </c>
      <c r="EH4" s="143" t="n">
        <v>1584.92</v>
      </c>
      <c r="EI4" s="143" t="n">
        <v>1992.36</v>
      </c>
      <c r="EJ4" s="143" t="n">
        <v>1992.36</v>
      </c>
      <c r="EK4" s="143" t="n">
        <v>1992.36</v>
      </c>
      <c r="EL4" s="143" t="n">
        <v>1992.36</v>
      </c>
      <c r="EM4" s="143" t="n">
        <v>1992.36</v>
      </c>
      <c r="EN4" s="143" t="n">
        <v>1992.36</v>
      </c>
      <c r="EO4" s="143" t="n">
        <v>1992.36</v>
      </c>
      <c r="EP4" s="143" t="n">
        <v>1992.36</v>
      </c>
      <c r="EQ4" s="143" t="n">
        <v>1992.36</v>
      </c>
      <c r="ER4" s="143" t="n">
        <v>1584.92</v>
      </c>
      <c r="ES4" s="143" t="n">
        <v>407.44</v>
      </c>
      <c r="ET4" s="143" t="n">
        <v>407.44</v>
      </c>
      <c r="EU4" s="143" t="n">
        <v>407.44</v>
      </c>
      <c r="EV4" s="143" t="n">
        <v>219.7</v>
      </c>
      <c r="EW4" s="143" t="n">
        <v>6781.83</v>
      </c>
      <c r="EX4" s="143" t="n">
        <v>6781.83</v>
      </c>
      <c r="EY4" s="143" t="n">
        <v>6781.83</v>
      </c>
      <c r="EZ4" s="143" t="n">
        <v>6781.83</v>
      </c>
      <c r="FA4" s="143" t="n">
        <v>6781.83</v>
      </c>
      <c r="FB4" s="143" t="n">
        <v>697.04</v>
      </c>
      <c r="FC4" s="143" t="n">
        <v>696.9</v>
      </c>
      <c r="FD4" s="143" t="n">
        <v>696.9</v>
      </c>
      <c r="FE4" s="143" t="n">
        <v>0.14</v>
      </c>
      <c r="FF4" s="143" t="n">
        <v>0.14</v>
      </c>
      <c r="FG4" s="143" t="n">
        <v>6943.87</v>
      </c>
      <c r="FH4" s="143" t="n">
        <v>6943.87</v>
      </c>
      <c r="FI4" s="143" t="n">
        <v>6944.01</v>
      </c>
      <c r="FJ4" s="143"/>
      <c r="FK4" s="143"/>
      <c r="FL4" s="143"/>
      <c r="FM4" s="143"/>
      <c r="FN4" s="143"/>
      <c r="FO4" s="143"/>
      <c r="FP4" s="143"/>
      <c r="FQ4" s="143"/>
      <c r="FR4" s="143"/>
      <c r="FS4" s="143"/>
      <c r="FT4" s="143"/>
      <c r="FU4" s="143"/>
      <c r="FV4" s="143"/>
      <c r="FW4" s="143"/>
      <c r="FX4" s="143"/>
    </row>
    <row r="5" s="141" customFormat="true" ht="15" hidden="false" customHeight="false" outlineLevel="0" collapsed="false">
      <c r="A5" s="139" t="s">
        <v>330</v>
      </c>
      <c r="B5" s="140" t="s">
        <v>331</v>
      </c>
      <c r="C5" s="140" t="n">
        <v>115</v>
      </c>
      <c r="D5" s="140" t="n">
        <v>115</v>
      </c>
      <c r="E5" s="140" t="n">
        <v>90</v>
      </c>
      <c r="F5" s="140" t="n">
        <v>120.18</v>
      </c>
      <c r="G5" s="140" t="n">
        <v>90.21</v>
      </c>
      <c r="H5" s="140" t="n">
        <v>115.79</v>
      </c>
      <c r="I5" s="140" t="n">
        <v>184.97</v>
      </c>
      <c r="J5" s="140" t="n">
        <v>185</v>
      </c>
      <c r="K5" s="140" t="n">
        <v>184.99</v>
      </c>
      <c r="L5" s="140" t="n">
        <v>187.05</v>
      </c>
      <c r="M5" s="140" t="n">
        <v>187.47</v>
      </c>
      <c r="N5" s="140" t="n">
        <v>109.24</v>
      </c>
      <c r="O5" s="140" t="n">
        <v>186.03</v>
      </c>
      <c r="P5" s="140" t="n">
        <v>281.11</v>
      </c>
      <c r="Q5" s="140" t="n">
        <v>204</v>
      </c>
      <c r="R5" s="140" t="n">
        <v>139.76</v>
      </c>
      <c r="S5" s="140" t="n">
        <v>139.76</v>
      </c>
      <c r="T5" s="140" t="n">
        <v>120</v>
      </c>
      <c r="U5" s="140" t="n">
        <v>120.06</v>
      </c>
      <c r="V5" s="140" t="n">
        <v>139.76</v>
      </c>
      <c r="W5" s="140"/>
      <c r="X5" s="140"/>
      <c r="Y5" s="140" t="n">
        <v>326.78</v>
      </c>
      <c r="Z5" s="140" t="n">
        <v>344.3</v>
      </c>
      <c r="AA5" s="140" t="n">
        <v>417.67</v>
      </c>
      <c r="AB5" s="140" t="n">
        <v>417.67</v>
      </c>
      <c r="AC5" s="140" t="n">
        <v>418.15</v>
      </c>
      <c r="AD5" s="140" t="n">
        <v>388.36</v>
      </c>
      <c r="AE5" s="140" t="n">
        <v>387.28</v>
      </c>
      <c r="AF5" s="140" t="n">
        <v>109.37</v>
      </c>
      <c r="AG5" s="140" t="n">
        <v>109.41</v>
      </c>
      <c r="AH5" s="140" t="n">
        <v>109.42</v>
      </c>
      <c r="AI5" s="140" t="n">
        <v>109.45</v>
      </c>
      <c r="AJ5" s="140" t="n">
        <v>109.46</v>
      </c>
      <c r="AK5" s="140" t="n">
        <v>387.28</v>
      </c>
      <c r="AL5" s="140" t="n">
        <v>393.83</v>
      </c>
      <c r="AM5" s="140" t="n">
        <v>393.83</v>
      </c>
      <c r="AN5" s="140" t="n">
        <v>406.73</v>
      </c>
      <c r="AO5" s="140" t="n">
        <v>410.9</v>
      </c>
      <c r="AP5" s="140" t="n">
        <v>396.73</v>
      </c>
      <c r="AQ5" s="140" t="n">
        <v>417.67</v>
      </c>
      <c r="AR5" s="140" t="n">
        <v>287</v>
      </c>
      <c r="AS5" s="140" t="n">
        <v>287.04</v>
      </c>
      <c r="AT5" s="140" t="n">
        <v>285.17</v>
      </c>
      <c r="AU5" s="140" t="n">
        <v>275.13</v>
      </c>
      <c r="AV5" s="140" t="n">
        <v>205.43</v>
      </c>
      <c r="AW5" s="140" t="n">
        <v>200</v>
      </c>
      <c r="AX5" s="140" t="n">
        <v>152</v>
      </c>
      <c r="AY5" s="140" t="n">
        <v>285.17</v>
      </c>
      <c r="AZ5" s="140" t="n">
        <v>286.43</v>
      </c>
      <c r="BA5" s="140" t="n">
        <v>189</v>
      </c>
      <c r="BB5" s="140" t="n">
        <v>120.79</v>
      </c>
      <c r="BC5" s="140" t="n">
        <v>55</v>
      </c>
      <c r="BD5" s="140" t="n">
        <v>51.97</v>
      </c>
      <c r="BE5" s="140" t="n">
        <v>40</v>
      </c>
      <c r="BF5" s="140" t="n">
        <v>40.41</v>
      </c>
      <c r="BG5" s="140" t="n">
        <v>40.3</v>
      </c>
      <c r="BH5" s="140" t="n">
        <v>39.7</v>
      </c>
      <c r="BI5" s="140" t="n">
        <v>255.99</v>
      </c>
      <c r="BJ5" s="140" t="n">
        <v>40</v>
      </c>
      <c r="BK5" s="140" t="n">
        <v>39.96</v>
      </c>
      <c r="BL5" s="140" t="n">
        <v>285.17</v>
      </c>
      <c r="BM5" s="140" t="n">
        <v>285.41</v>
      </c>
      <c r="BN5" s="140" t="n">
        <v>104</v>
      </c>
      <c r="BO5" s="140" t="n">
        <v>104</v>
      </c>
      <c r="BP5" s="140" t="n">
        <v>95.46</v>
      </c>
      <c r="BQ5" s="140" t="n">
        <v>95.46</v>
      </c>
      <c r="BR5" s="140" t="n">
        <v>96.13</v>
      </c>
      <c r="BS5" s="140" t="n">
        <v>96.51</v>
      </c>
      <c r="BT5" s="140" t="n">
        <v>96.16</v>
      </c>
      <c r="BU5" s="140" t="n">
        <v>48</v>
      </c>
      <c r="BV5" s="140" t="n">
        <v>222.94</v>
      </c>
      <c r="BW5" s="140" t="n">
        <v>282.47</v>
      </c>
      <c r="BX5" s="140" t="n">
        <v>282.3</v>
      </c>
      <c r="BY5" s="140" t="n">
        <v>311</v>
      </c>
      <c r="BZ5" s="140" t="n">
        <v>335</v>
      </c>
      <c r="CA5" s="140" t="n">
        <v>335</v>
      </c>
      <c r="CB5" s="140" t="n">
        <v>334.31</v>
      </c>
      <c r="CC5" s="140" t="n">
        <v>335</v>
      </c>
      <c r="CD5" s="140" t="n">
        <v>335.25</v>
      </c>
      <c r="CE5" s="140" t="n">
        <v>357</v>
      </c>
      <c r="CF5" s="140" t="n">
        <v>298.96</v>
      </c>
      <c r="CG5" s="140" t="n">
        <v>395.66</v>
      </c>
      <c r="CH5" s="140" t="n">
        <v>159.23</v>
      </c>
      <c r="CI5" s="140" t="n">
        <v>143.33</v>
      </c>
      <c r="CJ5" s="140" t="n">
        <v>55</v>
      </c>
      <c r="CK5" s="141" t="n">
        <v>40</v>
      </c>
      <c r="CL5" s="141" t="n">
        <v>39.99</v>
      </c>
      <c r="CM5" s="141" t="n">
        <v>40.28</v>
      </c>
      <c r="CN5" s="141" t="n">
        <v>40.41</v>
      </c>
      <c r="CO5" s="140" t="n">
        <v>40.43</v>
      </c>
      <c r="CP5" s="140" t="n">
        <v>40.02</v>
      </c>
      <c r="CQ5" s="140" t="n">
        <v>39.97</v>
      </c>
      <c r="CR5" s="140" t="n">
        <v>39.31</v>
      </c>
      <c r="CS5" s="140" t="n">
        <v>260</v>
      </c>
      <c r="CT5" s="140" t="n">
        <v>258.67</v>
      </c>
      <c r="CU5" s="140" t="n">
        <v>275.13</v>
      </c>
      <c r="CV5" s="140" t="n">
        <v>260</v>
      </c>
      <c r="CW5" s="140" t="n">
        <v>198.9</v>
      </c>
      <c r="CX5" s="140" t="n">
        <v>198.9</v>
      </c>
      <c r="CY5" s="140" t="n">
        <v>152</v>
      </c>
      <c r="CZ5" s="140" t="n">
        <v>330.49</v>
      </c>
      <c r="DA5" s="140" t="n">
        <v>331</v>
      </c>
      <c r="DB5" s="140" t="n">
        <v>129.2</v>
      </c>
      <c r="DC5" s="140" t="n">
        <v>92.4</v>
      </c>
      <c r="DD5" s="140" t="n">
        <v>92.39</v>
      </c>
      <c r="DE5" s="140" t="n">
        <v>92.95</v>
      </c>
      <c r="DF5" s="140" t="n">
        <v>92.95</v>
      </c>
      <c r="DG5" s="140" t="n">
        <v>92.95</v>
      </c>
      <c r="DH5" s="140" t="n">
        <v>39.94</v>
      </c>
      <c r="DI5" s="140" t="n">
        <v>40</v>
      </c>
      <c r="DJ5" s="140" t="n">
        <v>92.58</v>
      </c>
      <c r="DK5" s="140" t="n">
        <v>234.36</v>
      </c>
      <c r="DL5" s="140" t="n">
        <v>234.5</v>
      </c>
      <c r="DM5" s="140" t="n">
        <v>214</v>
      </c>
      <c r="DN5" s="140" t="n">
        <v>181</v>
      </c>
      <c r="DO5" s="140" t="n">
        <v>181</v>
      </c>
      <c r="DP5" s="140" t="n">
        <v>234.39</v>
      </c>
      <c r="DQ5" s="140" t="n">
        <v>234.39</v>
      </c>
      <c r="DR5" s="140" t="n">
        <v>231.78</v>
      </c>
      <c r="DS5" s="140" t="n">
        <v>223.17</v>
      </c>
      <c r="DT5" s="140" t="n">
        <v>223.81</v>
      </c>
      <c r="DU5" s="140" t="n">
        <v>129.34</v>
      </c>
      <c r="DV5" s="140" t="n">
        <v>50</v>
      </c>
      <c r="DW5" s="140" t="n">
        <v>50.04</v>
      </c>
      <c r="DX5" s="140" t="n">
        <v>129.35</v>
      </c>
      <c r="DY5" s="140" t="n">
        <v>152</v>
      </c>
      <c r="DZ5" s="140" t="n">
        <v>199.23</v>
      </c>
      <c r="EA5" s="140" t="n">
        <v>166.94</v>
      </c>
      <c r="EB5" s="140" t="n">
        <v>158.41</v>
      </c>
      <c r="EC5" s="141" t="n">
        <v>214</v>
      </c>
      <c r="ED5" s="141" t="n">
        <v>221.39</v>
      </c>
      <c r="EE5" s="140" t="n">
        <v>221.39</v>
      </c>
      <c r="EF5" s="140" t="n">
        <v>199.23</v>
      </c>
      <c r="EG5" s="140" t="n">
        <v>260</v>
      </c>
      <c r="EH5" s="140" t="n">
        <v>40</v>
      </c>
      <c r="EI5" s="140" t="n">
        <v>40</v>
      </c>
      <c r="EJ5" s="140" t="n">
        <v>40</v>
      </c>
      <c r="EK5" s="140" t="n">
        <v>108.03</v>
      </c>
      <c r="EL5" s="140" t="n">
        <v>40</v>
      </c>
      <c r="EM5" s="140" t="n">
        <v>40</v>
      </c>
      <c r="EN5" s="140" t="n">
        <v>107.73</v>
      </c>
      <c r="EO5" s="140" t="n">
        <v>40</v>
      </c>
      <c r="EP5" s="140" t="n">
        <v>40</v>
      </c>
      <c r="EQ5" s="140" t="n">
        <v>109.17</v>
      </c>
      <c r="ER5" s="140" t="n">
        <v>109.18</v>
      </c>
      <c r="ES5" s="140" t="n">
        <v>109.18</v>
      </c>
      <c r="ET5" s="140" t="n">
        <v>38.84</v>
      </c>
      <c r="EU5" s="140" t="n">
        <v>40</v>
      </c>
      <c r="EV5" s="140" t="n">
        <v>109.18</v>
      </c>
      <c r="EW5" s="140" t="n">
        <v>40</v>
      </c>
      <c r="EX5" s="140" t="n">
        <v>40</v>
      </c>
      <c r="EY5" s="140" t="n">
        <v>40</v>
      </c>
      <c r="EZ5" s="140" t="n">
        <v>50</v>
      </c>
      <c r="FA5" s="140" t="n">
        <v>50</v>
      </c>
      <c r="FB5" s="140" t="n">
        <v>50</v>
      </c>
      <c r="FC5" s="140" t="n">
        <v>50</v>
      </c>
      <c r="FD5" s="140" t="n">
        <v>50</v>
      </c>
      <c r="FE5" s="140" t="n">
        <v>50</v>
      </c>
      <c r="FF5" s="140" t="n">
        <v>50</v>
      </c>
      <c r="FG5" s="140" t="n">
        <v>50</v>
      </c>
      <c r="FH5" s="140" t="n">
        <v>50</v>
      </c>
      <c r="FI5" s="140" t="n">
        <v>50</v>
      </c>
      <c r="FJ5" s="140"/>
      <c r="FK5" s="140"/>
      <c r="FL5" s="140"/>
      <c r="FM5" s="140"/>
      <c r="FN5" s="140"/>
      <c r="FO5" s="140"/>
      <c r="FP5" s="140"/>
      <c r="FQ5" s="140"/>
      <c r="FR5" s="140"/>
      <c r="FS5" s="140"/>
      <c r="FT5" s="140"/>
      <c r="FU5" s="140"/>
      <c r="FV5" s="140"/>
      <c r="FW5" s="140"/>
      <c r="FX5" s="140"/>
    </row>
    <row r="6" s="147" customFormat="true" ht="15" hidden="false" customHeight="false" outlineLevel="0" collapsed="false">
      <c r="A6" s="145" t="s">
        <v>332</v>
      </c>
      <c r="B6" s="146" t="s">
        <v>333</v>
      </c>
      <c r="C6" s="146" t="n">
        <v>0.4</v>
      </c>
      <c r="D6" s="146" t="n">
        <v>0.4</v>
      </c>
      <c r="E6" s="146" t="n">
        <v>0.4</v>
      </c>
      <c r="F6" s="146" t="n">
        <v>0.2</v>
      </c>
      <c r="G6" s="146" t="n">
        <v>0.2</v>
      </c>
      <c r="H6" s="146" t="n">
        <v>0.2</v>
      </c>
      <c r="I6" s="146" t="n">
        <v>0.9</v>
      </c>
      <c r="J6" s="146" t="n">
        <v>0.6</v>
      </c>
      <c r="K6" s="146" t="n">
        <v>0.42</v>
      </c>
      <c r="L6" s="146" t="n">
        <v>16.06</v>
      </c>
      <c r="M6" s="146" t="n">
        <v>15.1</v>
      </c>
      <c r="N6" s="146" t="n">
        <v>15.1</v>
      </c>
      <c r="O6" s="146" t="n">
        <v>15.1</v>
      </c>
      <c r="P6" s="146" t="n">
        <v>1.32</v>
      </c>
      <c r="Q6" s="146" t="n">
        <v>15.03</v>
      </c>
      <c r="R6" s="146" t="n">
        <v>1.15</v>
      </c>
      <c r="S6" s="146" t="n">
        <v>1.15</v>
      </c>
      <c r="T6" s="146" t="n">
        <v>1.12</v>
      </c>
      <c r="U6" s="146" t="n">
        <v>1</v>
      </c>
      <c r="V6" s="146" t="n">
        <v>1.15</v>
      </c>
      <c r="W6" s="146"/>
      <c r="X6" s="146"/>
      <c r="Y6" s="146" t="n">
        <v>14.7</v>
      </c>
      <c r="Z6" s="146" t="n">
        <v>14.36</v>
      </c>
      <c r="AA6" s="146" t="n">
        <v>13.83</v>
      </c>
      <c r="AB6" s="146" t="n">
        <v>13.86</v>
      </c>
      <c r="AC6" s="146" t="n">
        <v>14.4</v>
      </c>
      <c r="AD6" s="146" t="n">
        <v>14.21</v>
      </c>
      <c r="AE6" s="146" t="n">
        <v>14.21</v>
      </c>
      <c r="AF6" s="146" t="n">
        <v>14.21</v>
      </c>
      <c r="AG6" s="146" t="n">
        <v>14.01</v>
      </c>
      <c r="AH6" s="146" t="n">
        <v>13.99</v>
      </c>
      <c r="AI6" s="146" t="n">
        <v>13.83</v>
      </c>
      <c r="AJ6" s="146" t="n">
        <v>13.82</v>
      </c>
      <c r="AK6" s="146" t="n">
        <v>14.18</v>
      </c>
      <c r="AL6" s="146" t="n">
        <v>13.98</v>
      </c>
      <c r="AM6" s="146" t="n">
        <v>13.98</v>
      </c>
      <c r="AN6" s="146" t="n">
        <v>13.8</v>
      </c>
      <c r="AO6" s="146" t="n">
        <v>13.79</v>
      </c>
      <c r="AP6" s="146" t="n">
        <v>2.99</v>
      </c>
      <c r="AQ6" s="146" t="n">
        <v>13.85</v>
      </c>
      <c r="AR6" s="146" t="n">
        <v>13.47</v>
      </c>
      <c r="AS6" s="146" t="n">
        <v>13.37</v>
      </c>
      <c r="AT6" s="146" t="n">
        <v>2.99</v>
      </c>
      <c r="AU6" s="146" t="n">
        <v>1.25</v>
      </c>
      <c r="AV6" s="146" t="n">
        <v>0.33</v>
      </c>
      <c r="AW6" s="146" t="n">
        <v>0.3</v>
      </c>
      <c r="AX6" s="146" t="n">
        <v>2.38</v>
      </c>
      <c r="AY6" s="146" t="n">
        <v>2.99</v>
      </c>
      <c r="AZ6" s="146" t="n">
        <v>2.99</v>
      </c>
      <c r="BA6" s="146" t="n">
        <v>2.88</v>
      </c>
      <c r="BB6" s="146" t="n">
        <v>2.88</v>
      </c>
      <c r="BC6" s="146" t="n">
        <v>2.85</v>
      </c>
      <c r="BD6" s="146" t="n">
        <v>2.85</v>
      </c>
      <c r="BE6" s="146" t="n">
        <v>2.81</v>
      </c>
      <c r="BF6" s="146" t="n">
        <v>0.91</v>
      </c>
      <c r="BG6" s="146" t="n">
        <v>0.9</v>
      </c>
      <c r="BH6" s="146" t="n">
        <v>1.28</v>
      </c>
      <c r="BI6" s="146" t="n">
        <v>1.21</v>
      </c>
      <c r="BJ6" s="146" t="n">
        <v>2.81</v>
      </c>
      <c r="BK6" s="146" t="n">
        <v>2.8</v>
      </c>
      <c r="BL6" s="146" t="n">
        <v>2.99</v>
      </c>
      <c r="BM6" s="146" t="n">
        <v>1.22</v>
      </c>
      <c r="BN6" s="146" t="n">
        <v>2.49</v>
      </c>
      <c r="BO6" s="146" t="n">
        <v>2.5</v>
      </c>
      <c r="BP6" s="146" t="n">
        <v>0.4</v>
      </c>
      <c r="BQ6" s="146" t="n">
        <v>0.4</v>
      </c>
      <c r="BR6" s="146" t="n">
        <v>3.01</v>
      </c>
      <c r="BS6" s="146" t="n">
        <v>1.06</v>
      </c>
      <c r="BT6" s="146" t="n">
        <v>2.9</v>
      </c>
      <c r="BU6" s="146" t="n">
        <v>2.86</v>
      </c>
      <c r="BV6" s="146" t="n">
        <v>1.07</v>
      </c>
      <c r="BW6" s="146" t="n">
        <v>1.09</v>
      </c>
      <c r="BX6" s="146" t="n">
        <v>0.3</v>
      </c>
      <c r="BY6" s="146" t="n">
        <v>0.23</v>
      </c>
      <c r="BZ6" s="146" t="n">
        <v>0.2</v>
      </c>
      <c r="CA6" s="146" t="n">
        <v>0.2</v>
      </c>
      <c r="CB6" s="146" t="n">
        <v>0.08</v>
      </c>
      <c r="CC6" s="146" t="n">
        <v>0.2</v>
      </c>
      <c r="CD6" s="146" t="n">
        <v>0.54</v>
      </c>
      <c r="CE6" s="146" t="n">
        <v>0.2</v>
      </c>
      <c r="CF6" s="146" t="n">
        <v>1.36</v>
      </c>
      <c r="CG6" s="146" t="n">
        <v>13.78</v>
      </c>
      <c r="CH6" s="146" t="n">
        <v>1.06</v>
      </c>
      <c r="CI6" s="146" t="n">
        <v>1.06</v>
      </c>
      <c r="CJ6" s="146" t="n">
        <v>1.02</v>
      </c>
      <c r="CK6" s="147" t="n">
        <v>0.99</v>
      </c>
      <c r="CL6" s="147" t="n">
        <v>1</v>
      </c>
      <c r="CM6" s="147" t="n">
        <v>1.38</v>
      </c>
      <c r="CN6" s="147" t="n">
        <v>1.06</v>
      </c>
      <c r="CO6" s="146" t="n">
        <v>1</v>
      </c>
      <c r="CP6" s="146" t="n">
        <v>0.91</v>
      </c>
      <c r="CQ6" s="146" t="n">
        <v>0.98</v>
      </c>
      <c r="CR6" s="146" t="n">
        <v>0.9</v>
      </c>
      <c r="CS6" s="146" t="n">
        <v>1.2</v>
      </c>
      <c r="CT6" s="146" t="n">
        <v>1.09</v>
      </c>
      <c r="CU6" s="146" t="n">
        <v>1.25</v>
      </c>
      <c r="CV6" s="146" t="n">
        <v>1.2</v>
      </c>
      <c r="CW6" s="146" t="n">
        <v>1.42</v>
      </c>
      <c r="CX6" s="146" t="n">
        <v>1.42</v>
      </c>
      <c r="CY6" s="146" t="n">
        <v>2.38</v>
      </c>
      <c r="CZ6" s="146" t="n">
        <v>0.14</v>
      </c>
      <c r="DA6" s="146" t="n">
        <v>1.48</v>
      </c>
      <c r="DB6" s="146" t="n">
        <v>0.08</v>
      </c>
      <c r="DC6" s="146" t="n">
        <v>0.04</v>
      </c>
      <c r="DD6" s="146" t="n">
        <v>0.06</v>
      </c>
      <c r="DE6" s="146" t="n">
        <v>1.16</v>
      </c>
      <c r="DF6" s="146" t="n">
        <v>1.15</v>
      </c>
      <c r="DG6" s="146" t="n">
        <v>1.16</v>
      </c>
      <c r="DH6" s="146" t="n">
        <v>1.12</v>
      </c>
      <c r="DI6" s="146" t="n">
        <v>1</v>
      </c>
      <c r="DJ6" s="146" t="n">
        <v>0.4</v>
      </c>
      <c r="DK6" s="146" t="n">
        <v>0.24</v>
      </c>
      <c r="DL6" s="146" t="n">
        <v>0.53</v>
      </c>
      <c r="DM6" s="146" t="n">
        <v>0.46</v>
      </c>
      <c r="DN6" s="146" t="n">
        <v>0.39</v>
      </c>
      <c r="DO6" s="146" t="n">
        <v>0.09</v>
      </c>
      <c r="DP6" s="146" t="n">
        <v>0.09</v>
      </c>
      <c r="DQ6" s="146" t="n">
        <v>0.09</v>
      </c>
      <c r="DR6" s="146" t="n">
        <v>0.09</v>
      </c>
      <c r="DS6" s="146" t="n">
        <v>0.11</v>
      </c>
      <c r="DT6" s="146" t="n">
        <v>1.22</v>
      </c>
      <c r="DU6" s="146" t="n">
        <v>1.13</v>
      </c>
      <c r="DV6" s="146" t="n">
        <v>1.08</v>
      </c>
      <c r="DW6" s="146" t="n">
        <v>1</v>
      </c>
      <c r="DX6" s="146" t="n">
        <v>1.1</v>
      </c>
      <c r="DY6" s="146" t="n">
        <v>2.38</v>
      </c>
      <c r="DZ6" s="146" t="n">
        <v>1.43</v>
      </c>
      <c r="EA6" s="146" t="n">
        <v>0.63</v>
      </c>
      <c r="EB6" s="146" t="n">
        <v>0.38</v>
      </c>
      <c r="EC6" s="147" t="n">
        <v>1.26</v>
      </c>
      <c r="ED6" s="147" t="n">
        <v>0.3</v>
      </c>
      <c r="EE6" s="146" t="n">
        <v>0.3</v>
      </c>
      <c r="EF6" s="146" t="n">
        <v>1.43</v>
      </c>
      <c r="EG6" s="146" t="n">
        <v>1.2</v>
      </c>
      <c r="EH6" s="146" t="n">
        <v>2.4</v>
      </c>
      <c r="EI6" s="146" t="n">
        <v>2.39</v>
      </c>
      <c r="EJ6" s="146" t="n">
        <v>2.38</v>
      </c>
      <c r="EK6" s="146" t="n">
        <v>4.48</v>
      </c>
      <c r="EL6" s="146" t="n">
        <v>4.41</v>
      </c>
      <c r="EM6" s="146" t="n">
        <v>4.4</v>
      </c>
      <c r="EN6" s="146" t="n">
        <v>8.17</v>
      </c>
      <c r="EO6" s="146" t="n">
        <v>8.1</v>
      </c>
      <c r="EP6" s="146" t="n">
        <v>8.1</v>
      </c>
      <c r="EQ6" s="146" t="n">
        <v>15.12</v>
      </c>
      <c r="ER6" s="146" t="n">
        <v>15.07</v>
      </c>
      <c r="ES6" s="146" t="n">
        <v>15.08</v>
      </c>
      <c r="ET6" s="146" t="n">
        <v>15.05</v>
      </c>
      <c r="EU6" s="146" t="n">
        <v>2.39</v>
      </c>
      <c r="EV6" s="146" t="n">
        <v>15.07</v>
      </c>
      <c r="EW6" s="146" t="n">
        <v>0.7</v>
      </c>
      <c r="EX6" s="146" t="n">
        <v>0.4</v>
      </c>
      <c r="EY6" s="146" t="n">
        <v>0.4</v>
      </c>
      <c r="EZ6" s="146" t="n">
        <v>3.09</v>
      </c>
      <c r="FA6" s="146" t="n">
        <v>2.98</v>
      </c>
      <c r="FB6" s="146" t="n">
        <v>2.78</v>
      </c>
      <c r="FC6" s="146" t="n">
        <v>2.78</v>
      </c>
      <c r="FD6" s="146" t="n">
        <v>2.7</v>
      </c>
      <c r="FE6" s="146" t="n">
        <v>2.7</v>
      </c>
      <c r="FF6" s="146" t="n">
        <v>0.7</v>
      </c>
      <c r="FG6" s="146" t="n">
        <v>2.8</v>
      </c>
      <c r="FH6" s="146" t="n">
        <v>0.7</v>
      </c>
      <c r="FI6" s="146" t="n">
        <v>0.7</v>
      </c>
      <c r="FJ6" s="146"/>
      <c r="FK6" s="146"/>
      <c r="FL6" s="146"/>
      <c r="FM6" s="146"/>
      <c r="FN6" s="146"/>
      <c r="FO6" s="146"/>
      <c r="FP6" s="146"/>
      <c r="FQ6" s="146"/>
      <c r="FR6" s="146"/>
      <c r="FS6" s="146"/>
      <c r="FT6" s="146"/>
      <c r="FU6" s="146"/>
      <c r="FV6" s="146"/>
      <c r="FW6" s="146"/>
      <c r="FX6" s="146"/>
    </row>
    <row r="7" s="151" customFormat="true" ht="15" hidden="false" customHeight="false" outlineLevel="0" collapsed="false">
      <c r="A7" s="148" t="s">
        <v>334</v>
      </c>
      <c r="B7" s="149" t="s">
        <v>335</v>
      </c>
      <c r="C7" s="149" t="n">
        <v>-1954.7</v>
      </c>
      <c r="D7" s="149" t="n">
        <v>-1938.69</v>
      </c>
      <c r="E7" s="149" t="n">
        <v>-2005.69</v>
      </c>
      <c r="F7" s="149" t="n">
        <v>-1940.31</v>
      </c>
      <c r="G7" s="149" t="n">
        <v>-2005.69</v>
      </c>
      <c r="H7" s="149" t="n">
        <v>-1950.12</v>
      </c>
      <c r="I7" s="149" t="n">
        <v>-1787.08</v>
      </c>
      <c r="J7" s="149" t="n">
        <v>-1787.08</v>
      </c>
      <c r="K7" s="149" t="n">
        <v>-1787.08</v>
      </c>
      <c r="L7" s="149" t="n">
        <v>-1763.91</v>
      </c>
      <c r="M7" s="149" t="n">
        <v>-1763.91</v>
      </c>
      <c r="N7" s="149" t="n">
        <v>1184.49</v>
      </c>
      <c r="O7" s="149" t="n">
        <v>-1759.67</v>
      </c>
      <c r="P7" s="149" t="n">
        <v>-1515.95</v>
      </c>
      <c r="Q7" s="149" t="n">
        <v>-1713.95</v>
      </c>
      <c r="R7" s="149" t="n">
        <v>-1891.17</v>
      </c>
      <c r="S7" s="149" t="n">
        <v>-1891.17</v>
      </c>
      <c r="T7" s="149" t="n">
        <v>-1937.47</v>
      </c>
      <c r="U7" s="149" t="n">
        <v>-1937.47</v>
      </c>
      <c r="V7" s="149" t="n">
        <v>-1891.17</v>
      </c>
      <c r="W7" s="149"/>
      <c r="X7" s="149"/>
      <c r="Y7" s="149" t="n">
        <v>-1369.63</v>
      </c>
      <c r="Z7" s="149" t="n">
        <v>-1316.91</v>
      </c>
      <c r="AA7" s="149" t="n">
        <v>-1039.9</v>
      </c>
      <c r="AB7" s="149" t="n">
        <v>-1039.9</v>
      </c>
      <c r="AC7" s="149" t="n">
        <v>-1038.25</v>
      </c>
      <c r="AD7" s="149" t="n">
        <v>-1155.15</v>
      </c>
      <c r="AE7" s="149" t="n">
        <v>-1154.26</v>
      </c>
      <c r="AF7" s="149" t="n">
        <v>1184.49</v>
      </c>
      <c r="AG7" s="149" t="n">
        <v>1184.49</v>
      </c>
      <c r="AH7" s="149" t="n">
        <v>1184.49</v>
      </c>
      <c r="AI7" s="149" t="n">
        <v>1184.49</v>
      </c>
      <c r="AJ7" s="149" t="n">
        <v>1184.49</v>
      </c>
      <c r="AK7" s="149" t="n">
        <v>-383.73</v>
      </c>
      <c r="AL7" s="149" t="n">
        <v>-457.06</v>
      </c>
      <c r="AM7" s="149" t="n">
        <v>-457.06</v>
      </c>
      <c r="AN7" s="150" t="n">
        <v>-555.85</v>
      </c>
      <c r="AO7" s="149" t="n">
        <v>-585.74</v>
      </c>
      <c r="AP7" s="149" t="n">
        <v>-510.54</v>
      </c>
      <c r="AQ7" s="149" t="n">
        <v>-1039.9</v>
      </c>
      <c r="AR7" s="149" t="n">
        <v>-1454.64</v>
      </c>
      <c r="AS7" s="149" t="n">
        <v>-1454.64</v>
      </c>
      <c r="AT7" s="149" t="n">
        <v>-1467.97</v>
      </c>
      <c r="AU7" s="149" t="n">
        <v>-12937.4</v>
      </c>
      <c r="AV7" s="149" t="n">
        <v>-13054.8</v>
      </c>
      <c r="AW7" s="149" t="n">
        <v>-13064.55</v>
      </c>
      <c r="AX7" s="149" t="n">
        <v>-15283.46</v>
      </c>
      <c r="AY7" s="149" t="n">
        <v>-913.34</v>
      </c>
      <c r="AZ7" s="150" t="n">
        <v>-909.86</v>
      </c>
      <c r="BA7" s="150" t="n">
        <v>-1163.94</v>
      </c>
      <c r="BB7" s="149" t="n">
        <v>-7755.02</v>
      </c>
      <c r="BC7" s="149" t="n">
        <v>-8045.51</v>
      </c>
      <c r="BD7" s="149" t="n">
        <v>-7137.58</v>
      </c>
      <c r="BE7" s="149" t="n">
        <v>-7184.24</v>
      </c>
      <c r="BF7" s="149" t="n">
        <v>-15038.04</v>
      </c>
      <c r="BG7" s="149" t="n">
        <v>-15046.91</v>
      </c>
      <c r="BH7" s="149" t="n">
        <v>-2159.8</v>
      </c>
      <c r="BI7" s="149" t="n">
        <v>-1459.16</v>
      </c>
      <c r="BJ7" s="149" t="n">
        <v>-1621.61</v>
      </c>
      <c r="BK7" s="149" t="n">
        <v>-1621.61</v>
      </c>
      <c r="BL7" s="149" t="n">
        <v>-1491.24</v>
      </c>
      <c r="BM7" s="149" t="n">
        <v>-1491.24</v>
      </c>
      <c r="BN7" s="149" t="n">
        <v>-15487.73</v>
      </c>
      <c r="BO7" s="149" t="n">
        <v>-15542.66</v>
      </c>
      <c r="BP7" s="149" t="n">
        <v>-15581.92</v>
      </c>
      <c r="BQ7" s="149" t="n">
        <v>-15581.92</v>
      </c>
      <c r="BR7" s="149" t="n">
        <v>-15576.78</v>
      </c>
      <c r="BS7" s="149" t="n">
        <v>-15576.78</v>
      </c>
      <c r="BT7" s="149" t="n">
        <v>-15576.78</v>
      </c>
      <c r="BU7" s="149" t="n">
        <v>-2217.78</v>
      </c>
      <c r="BV7" s="149" t="n">
        <v>-1661.64</v>
      </c>
      <c r="BW7" s="149" t="n">
        <v>-1539.27</v>
      </c>
      <c r="BX7" s="149" t="n">
        <v>-1539.27</v>
      </c>
      <c r="BY7" s="149" t="n">
        <v>-1452.16</v>
      </c>
      <c r="BZ7" s="149" t="n">
        <v>-1375.93</v>
      </c>
      <c r="CA7" s="149" t="n">
        <v>-2217.41</v>
      </c>
      <c r="CB7" s="149" t="n">
        <v>-2217.41</v>
      </c>
      <c r="CC7" s="149" t="n">
        <v>-1353.54</v>
      </c>
      <c r="CD7" s="149" t="n">
        <v>-1352.58</v>
      </c>
      <c r="CE7" s="149" t="n">
        <v>-1283.44</v>
      </c>
      <c r="CF7" s="149" t="n">
        <v>-1463.26</v>
      </c>
      <c r="CG7" s="149" t="n">
        <v>-1113.24</v>
      </c>
      <c r="CH7" s="149" t="n">
        <v>-2706.75</v>
      </c>
      <c r="CI7" s="149" t="n">
        <v>-4045.41</v>
      </c>
      <c r="CJ7" s="149" t="n">
        <v>-4659.97</v>
      </c>
      <c r="CK7" s="151" t="n">
        <v>-4709.53</v>
      </c>
      <c r="CL7" s="151" t="n">
        <v>-2165.93</v>
      </c>
      <c r="CM7" s="151" t="n">
        <v>-2164.99</v>
      </c>
      <c r="CN7" s="151" t="n">
        <v>-2164.99</v>
      </c>
      <c r="CO7" s="149" t="n">
        <v>-2164.99</v>
      </c>
      <c r="CP7" s="149" t="n">
        <v>-15067.97</v>
      </c>
      <c r="CQ7" s="149" t="n">
        <v>-1287.6</v>
      </c>
      <c r="CR7" s="149" t="n">
        <v>-1287.6</v>
      </c>
      <c r="CS7" s="149" t="n">
        <v>-13003.06</v>
      </c>
      <c r="CT7" s="149" t="n">
        <v>-13003.06</v>
      </c>
      <c r="CU7" s="149" t="n">
        <v>-12937.39</v>
      </c>
      <c r="CV7" s="150" t="n">
        <v>-12970.23</v>
      </c>
      <c r="CW7" s="150" t="n">
        <v>-13134.41</v>
      </c>
      <c r="CX7" s="149" t="n">
        <v>-13134.41</v>
      </c>
      <c r="CY7" s="149" t="n">
        <v>-15283.46</v>
      </c>
      <c r="CZ7" s="149" t="n">
        <v>-1368.33</v>
      </c>
      <c r="DA7" s="149" t="n">
        <v>-1365.82</v>
      </c>
      <c r="DB7" s="149" t="n">
        <v>-3448.21</v>
      </c>
      <c r="DC7" s="149" t="n">
        <v>-4141.4</v>
      </c>
      <c r="DD7" s="149" t="n">
        <v>-2073.88</v>
      </c>
      <c r="DE7" s="149" t="n">
        <v>-2071.65</v>
      </c>
      <c r="DF7" s="149" t="n">
        <v>-2071.65</v>
      </c>
      <c r="DG7" s="149" t="n">
        <v>-2071.65</v>
      </c>
      <c r="DH7" s="149" t="n">
        <v>-2192.73</v>
      </c>
      <c r="DI7" s="149" t="n">
        <v>-2192.73</v>
      </c>
      <c r="DJ7" s="149" t="n">
        <v>-15594.55</v>
      </c>
      <c r="DK7" s="149" t="n">
        <v>-1659.23</v>
      </c>
      <c r="DL7" s="149" t="n">
        <v>-1658.66</v>
      </c>
      <c r="DM7" s="149" t="n">
        <v>-1716.04</v>
      </c>
      <c r="DN7" s="149" t="n">
        <v>-1804.6</v>
      </c>
      <c r="DO7" s="149" t="n">
        <v>-1804.86</v>
      </c>
      <c r="DP7" s="149" t="n">
        <v>-1659.23</v>
      </c>
      <c r="DQ7" s="149" t="n">
        <v>-1659.23</v>
      </c>
      <c r="DR7" s="149" t="n">
        <v>-2790.33</v>
      </c>
      <c r="DS7" s="149" t="n">
        <v>-1692.41</v>
      </c>
      <c r="DT7" s="149" t="n">
        <v>-1689.87</v>
      </c>
      <c r="DU7" s="149" t="n">
        <v>-1934.21</v>
      </c>
      <c r="DV7" s="149" t="n">
        <v>-2110.94</v>
      </c>
      <c r="DW7" s="149" t="n">
        <v>-2110.94</v>
      </c>
      <c r="DX7" s="149" t="n">
        <v>-1934.21</v>
      </c>
      <c r="DY7" s="149" t="n">
        <v>-15283.46</v>
      </c>
      <c r="DZ7" s="149" t="n">
        <v>-13134.41</v>
      </c>
      <c r="EA7" s="149" t="n">
        <v>-13160.88</v>
      </c>
      <c r="EB7" s="149" t="n">
        <v>-13160.88</v>
      </c>
      <c r="EC7" s="151" t="n">
        <v>-1703.53</v>
      </c>
      <c r="ED7" s="151" t="n">
        <v>-13058.92</v>
      </c>
      <c r="EE7" s="149" t="n">
        <v>-13058.92</v>
      </c>
      <c r="EF7" s="149" t="n">
        <v>-13134.41</v>
      </c>
      <c r="EG7" s="149" t="n">
        <v>-13003.06</v>
      </c>
      <c r="EH7" s="149" t="n">
        <v>173.76</v>
      </c>
      <c r="EI7" s="149" t="n">
        <v>173.76</v>
      </c>
      <c r="EJ7" s="149" t="n">
        <v>173.76</v>
      </c>
      <c r="EK7" s="149" t="n">
        <v>1139.12</v>
      </c>
      <c r="EL7" s="149" t="n">
        <v>174.89</v>
      </c>
      <c r="EM7" s="149" t="n">
        <v>174.89</v>
      </c>
      <c r="EN7" s="149" t="n">
        <v>1143.82</v>
      </c>
      <c r="EO7" s="149" t="n">
        <v>178.59</v>
      </c>
      <c r="EP7" s="149" t="n">
        <v>178.59</v>
      </c>
      <c r="EQ7" s="149" t="n">
        <v>1184.49</v>
      </c>
      <c r="ER7" s="149" t="n">
        <v>1184.49</v>
      </c>
      <c r="ES7" s="149" t="n">
        <v>1184.5</v>
      </c>
      <c r="ET7" s="150" t="n">
        <v>173.75</v>
      </c>
      <c r="EU7" s="149" t="n">
        <v>173.75</v>
      </c>
      <c r="EV7" s="149" t="n">
        <v>1184.49</v>
      </c>
      <c r="EW7" s="149" t="n">
        <v>-1042.59</v>
      </c>
      <c r="EX7" s="149" t="n">
        <v>-1042.59</v>
      </c>
      <c r="EY7" s="150" t="n">
        <v>-1042.59</v>
      </c>
      <c r="EZ7" s="149" t="n">
        <v>-1039.2</v>
      </c>
      <c r="FA7" s="149" t="n">
        <v>-1039.2</v>
      </c>
      <c r="FB7" s="149" t="n">
        <v>-2539.36</v>
      </c>
      <c r="FC7" s="149" t="n">
        <v>-2533.94</v>
      </c>
      <c r="FD7" s="150" t="n">
        <v>-2533.94</v>
      </c>
      <c r="FE7" s="149" t="n">
        <v>-15749.02</v>
      </c>
      <c r="FF7" s="149" t="n">
        <v>-15749.02</v>
      </c>
      <c r="FG7" s="149" t="n">
        <v>-997.97</v>
      </c>
      <c r="FH7" s="149" t="n">
        <v>-997.97</v>
      </c>
      <c r="FI7" s="149" t="n">
        <v>-11762.43</v>
      </c>
      <c r="FJ7" s="149"/>
      <c r="FK7" s="149"/>
      <c r="FL7" s="149"/>
      <c r="FM7" s="149"/>
      <c r="FN7" s="149"/>
      <c r="FO7" s="149"/>
      <c r="FP7" s="149"/>
      <c r="FQ7" s="149"/>
      <c r="FR7" s="149"/>
      <c r="FS7" s="149"/>
      <c r="FT7" s="149"/>
      <c r="FU7" s="149"/>
      <c r="FV7" s="149"/>
      <c r="FW7" s="149"/>
      <c r="FX7" s="149"/>
      <c r="FY7" s="152"/>
    </row>
    <row r="8" s="141" customFormat="true" ht="15" hidden="false" customHeight="false" outlineLevel="0" collapsed="false">
      <c r="A8" s="139" t="s">
        <v>336</v>
      </c>
      <c r="B8" s="140" t="s">
        <v>337</v>
      </c>
      <c r="C8" s="140" t="n">
        <v>-14.48</v>
      </c>
      <c r="D8" s="140" t="n">
        <v>-127.32</v>
      </c>
      <c r="E8" s="140" t="n">
        <v>-25.87</v>
      </c>
      <c r="F8" s="140" t="n">
        <v>-141.8</v>
      </c>
      <c r="G8" s="140" t="n">
        <v>-25.87</v>
      </c>
      <c r="H8" s="140" t="n">
        <v>-167.67</v>
      </c>
      <c r="I8" s="140" t="n">
        <v>-153.65</v>
      </c>
      <c r="J8" s="140" t="n">
        <v>-153.65</v>
      </c>
      <c r="K8" s="140" t="n">
        <v>-153.65</v>
      </c>
      <c r="L8" s="140" t="n">
        <v>-151.66</v>
      </c>
      <c r="M8" s="140" t="n">
        <v>-151.66</v>
      </c>
      <c r="N8" s="140" t="n">
        <v>0.15</v>
      </c>
      <c r="O8" s="140" t="n">
        <v>-151.51</v>
      </c>
      <c r="P8" s="140" t="n">
        <v>-113.25</v>
      </c>
      <c r="Q8" s="140" t="n">
        <v>-147.58</v>
      </c>
      <c r="R8" s="140" t="n">
        <v>-141.28</v>
      </c>
      <c r="S8" s="140" t="n">
        <v>-21.19</v>
      </c>
      <c r="T8" s="140" t="n">
        <v>-21.71</v>
      </c>
      <c r="U8" s="140" t="n">
        <v>-21.71</v>
      </c>
      <c r="V8" s="140" t="n">
        <v>-120.09</v>
      </c>
      <c r="W8" s="140"/>
      <c r="X8" s="140"/>
      <c r="Y8" s="140" t="n">
        <v>-117.93</v>
      </c>
      <c r="Z8" s="140" t="n">
        <v>-113.39</v>
      </c>
      <c r="AA8" s="140" t="n">
        <v>-214.2</v>
      </c>
      <c r="AB8" s="140" t="n">
        <v>-123.89</v>
      </c>
      <c r="AC8" s="140" t="n">
        <v>-123.69</v>
      </c>
      <c r="AD8" s="140" t="n">
        <v>-237.08</v>
      </c>
      <c r="AE8" s="140" t="n">
        <v>-236.99</v>
      </c>
      <c r="AF8" s="140" t="n">
        <v>0.09</v>
      </c>
      <c r="AG8" s="140" t="n">
        <v>0.2</v>
      </c>
      <c r="AH8" s="140" t="n">
        <v>0.24</v>
      </c>
      <c r="AI8" s="140" t="n">
        <v>0.22</v>
      </c>
      <c r="AJ8" s="140" t="n">
        <v>0.16</v>
      </c>
      <c r="AK8" s="140" t="n">
        <v>0</v>
      </c>
      <c r="AL8" s="140" t="n">
        <v>0</v>
      </c>
      <c r="AM8" s="140" t="n">
        <v>0</v>
      </c>
      <c r="AN8" s="140" t="n">
        <v>0</v>
      </c>
      <c r="AO8" s="140" t="n">
        <v>0</v>
      </c>
      <c r="AP8" s="140" t="n">
        <v>-0.02</v>
      </c>
      <c r="AQ8" s="140" t="n">
        <v>-90.31</v>
      </c>
      <c r="AR8" s="140" t="n">
        <v>-126.32</v>
      </c>
      <c r="AS8" s="140" t="n">
        <v>-126.32</v>
      </c>
      <c r="AT8" s="140" t="n">
        <v>-127.48</v>
      </c>
      <c r="AU8" s="140" t="n">
        <v>-24.09</v>
      </c>
      <c r="AV8" s="140" t="n">
        <v>-18.91</v>
      </c>
      <c r="AW8" s="140" t="n">
        <v>-19.009889957</v>
      </c>
      <c r="AX8" s="140" t="n">
        <v>-0.1</v>
      </c>
      <c r="AY8" s="140" t="n">
        <v>-3.19</v>
      </c>
      <c r="AZ8" s="140" t="n">
        <v>-3.21</v>
      </c>
      <c r="BA8" s="140" t="n">
        <v>-4.11</v>
      </c>
      <c r="BB8" s="140" t="n">
        <v>-50.4</v>
      </c>
      <c r="BC8" s="140" t="n">
        <v>-52.29</v>
      </c>
      <c r="BD8" s="140" t="n">
        <v>-54.95</v>
      </c>
      <c r="BE8" s="140" t="n">
        <v>-55.31</v>
      </c>
      <c r="BF8" s="140" t="n">
        <v>-47.23</v>
      </c>
      <c r="BG8" s="140" t="n">
        <v>-67.16</v>
      </c>
      <c r="BH8" s="140" t="n">
        <v>-2.76</v>
      </c>
      <c r="BI8" s="140" t="n">
        <v>-1.87</v>
      </c>
      <c r="BJ8" s="140" t="n">
        <v>-5.32</v>
      </c>
      <c r="BK8" s="140" t="n">
        <v>-5.32</v>
      </c>
      <c r="BL8" s="140" t="n">
        <v>-124.29</v>
      </c>
      <c r="BM8" s="140" t="n">
        <v>-124.29</v>
      </c>
      <c r="BN8" s="140" t="n">
        <v>-139.52</v>
      </c>
      <c r="BO8" s="140" t="n">
        <v>-13.77</v>
      </c>
      <c r="BP8" s="140" t="n">
        <v>-56.7</v>
      </c>
      <c r="BQ8" s="140" t="n">
        <v>-56.7</v>
      </c>
      <c r="BR8" s="140" t="n">
        <v>-56.68</v>
      </c>
      <c r="BS8" s="140" t="n">
        <v>-10.38</v>
      </c>
      <c r="BT8" s="140" t="n">
        <v>-46.3</v>
      </c>
      <c r="BU8" s="140" t="n">
        <v>-2.66</v>
      </c>
      <c r="BV8" s="140" t="n">
        <v>-3.02</v>
      </c>
      <c r="BW8" s="140" t="n">
        <v>-128.62</v>
      </c>
      <c r="BX8" s="140" t="n">
        <v>-128.62</v>
      </c>
      <c r="BY8" s="140" t="n">
        <v>-121.34</v>
      </c>
      <c r="BZ8" s="140" t="n">
        <v>-114.97</v>
      </c>
      <c r="CA8" s="140" t="n">
        <v>-4.8</v>
      </c>
      <c r="CB8" s="140" t="n">
        <v>-4.8</v>
      </c>
      <c r="CC8" s="140" t="n">
        <v>-110.17</v>
      </c>
      <c r="CD8" s="140" t="n">
        <v>-110.09</v>
      </c>
      <c r="CE8" s="140" t="n">
        <v>-104.46</v>
      </c>
      <c r="CF8" s="140" t="n">
        <v>-109.31</v>
      </c>
      <c r="CG8" s="140" t="n">
        <v>-96.68</v>
      </c>
      <c r="CH8" s="140" t="n">
        <v>-15.54</v>
      </c>
      <c r="CI8" s="140" t="n">
        <v>-25.93</v>
      </c>
      <c r="CJ8" s="140" t="n">
        <v>-29.87</v>
      </c>
      <c r="CK8" s="141" t="n">
        <v>-30.19</v>
      </c>
      <c r="CL8" s="141" t="n">
        <v>-9.13</v>
      </c>
      <c r="CM8" s="141" t="n">
        <v>-9.13</v>
      </c>
      <c r="CN8" s="141" t="n">
        <v>-4.42</v>
      </c>
      <c r="CO8" s="140" t="n">
        <v>-4.71</v>
      </c>
      <c r="CP8" s="140" t="n">
        <v>-19.93</v>
      </c>
      <c r="CQ8" s="140" t="n">
        <v>-1.12</v>
      </c>
      <c r="CR8" s="140" t="n">
        <v>-1.12</v>
      </c>
      <c r="CS8" s="140" t="n">
        <v>-10.66</v>
      </c>
      <c r="CT8" s="140" t="n">
        <v>-10.66</v>
      </c>
      <c r="CU8" s="140" t="n">
        <v>-96.35</v>
      </c>
      <c r="CV8" s="140" t="n">
        <v>-97.97</v>
      </c>
      <c r="CW8" s="140" t="n">
        <v>-24.45</v>
      </c>
      <c r="CX8" s="140" t="n">
        <v>-73.36</v>
      </c>
      <c r="CY8" s="140" t="n">
        <v>-1.62</v>
      </c>
      <c r="CZ8" s="140" t="n">
        <v>-102.22</v>
      </c>
      <c r="DA8" s="140" t="n">
        <v>-102.03</v>
      </c>
      <c r="DB8" s="140" t="n">
        <v>-62.08</v>
      </c>
      <c r="DC8" s="140" t="n">
        <v>-74.57</v>
      </c>
      <c r="DD8" s="140" t="n">
        <v>-31.63</v>
      </c>
      <c r="DE8" s="140" t="n">
        <v>-31.6</v>
      </c>
      <c r="DF8" s="140" t="n">
        <v>-29.25</v>
      </c>
      <c r="DG8" s="140" t="n">
        <v>-2.35</v>
      </c>
      <c r="DH8" s="140" t="n">
        <v>-2.48</v>
      </c>
      <c r="DI8" s="140" t="n">
        <v>-2.48</v>
      </c>
      <c r="DJ8" s="140" t="n">
        <v>-42.93</v>
      </c>
      <c r="DK8" s="140" t="n">
        <v>-57.61</v>
      </c>
      <c r="DL8" s="140" t="n">
        <v>-57.59</v>
      </c>
      <c r="DM8" s="140" t="n">
        <v>-59.58</v>
      </c>
      <c r="DN8" s="140" t="n">
        <v>-62.66</v>
      </c>
      <c r="DO8" s="140" t="n">
        <v>-62.67</v>
      </c>
      <c r="DP8" s="140" t="n">
        <v>-14.1</v>
      </c>
      <c r="DQ8" s="140" t="n">
        <v>-14.1</v>
      </c>
      <c r="DR8" s="140" t="n">
        <v>-3.05</v>
      </c>
      <c r="DS8" s="140" t="n">
        <v>-12.75</v>
      </c>
      <c r="DT8" s="140" t="n">
        <v>-12.73</v>
      </c>
      <c r="DU8" s="140" t="n">
        <v>-14.57</v>
      </c>
      <c r="DV8" s="140" t="n">
        <v>-2.38</v>
      </c>
      <c r="DW8" s="140" t="n">
        <v>-2.38</v>
      </c>
      <c r="DX8" s="140" t="n">
        <v>-12.38</v>
      </c>
      <c r="DY8" s="140" t="n">
        <v>-137.68</v>
      </c>
      <c r="DZ8" s="140" t="n">
        <v>-12.18</v>
      </c>
      <c r="EA8" s="140" t="n">
        <v>-19.07</v>
      </c>
      <c r="EB8" s="140" t="n">
        <v>-19.07</v>
      </c>
      <c r="EC8" s="141" t="n">
        <v>-127.26</v>
      </c>
      <c r="ED8" s="141" t="n">
        <v>-1.7</v>
      </c>
      <c r="EE8" s="140" t="n">
        <v>-31.74</v>
      </c>
      <c r="EF8" s="140" t="n">
        <v>-85.64</v>
      </c>
      <c r="EG8" s="140" t="n">
        <v>-14.38</v>
      </c>
      <c r="EH8" s="140" t="n">
        <v>0.16</v>
      </c>
      <c r="EI8" s="140" t="n">
        <v>0.2</v>
      </c>
      <c r="EJ8" s="140" t="n">
        <v>0.2</v>
      </c>
      <c r="EK8" s="140" t="n">
        <v>1.28</v>
      </c>
      <c r="EL8" s="140" t="n">
        <v>0.2</v>
      </c>
      <c r="EM8" s="140" t="n">
        <v>0.2</v>
      </c>
      <c r="EN8" s="140" t="n">
        <v>1.29</v>
      </c>
      <c r="EO8" s="140" t="n">
        <v>0.2</v>
      </c>
      <c r="EP8" s="140" t="n">
        <v>0.2</v>
      </c>
      <c r="EQ8" s="140" t="n">
        <v>1.33</v>
      </c>
      <c r="ER8" s="140" t="n">
        <v>1.06</v>
      </c>
      <c r="ES8" s="140" t="n">
        <v>0.27</v>
      </c>
      <c r="ET8" s="140" t="n">
        <v>0.04</v>
      </c>
      <c r="EU8" s="140" t="n">
        <v>0.04</v>
      </c>
      <c r="EV8" s="140" t="n">
        <v>0.15</v>
      </c>
      <c r="EW8" s="140" t="n">
        <v>-47.5</v>
      </c>
      <c r="EX8" s="140" t="n">
        <v>-47.5</v>
      </c>
      <c r="EY8" s="140" t="n">
        <v>-47.5</v>
      </c>
      <c r="EZ8" s="140" t="n">
        <v>-47.34</v>
      </c>
      <c r="FA8" s="140" t="n">
        <v>-47.34</v>
      </c>
      <c r="FB8" s="140" t="n">
        <v>-4.28</v>
      </c>
      <c r="FC8" s="140" t="n">
        <v>-4.27</v>
      </c>
      <c r="FD8" s="140" t="n">
        <v>-4.27</v>
      </c>
      <c r="FE8" s="140" t="n">
        <v>-0.01</v>
      </c>
      <c r="FF8" s="140" t="n">
        <v>-0.01</v>
      </c>
      <c r="FG8" s="140" t="n">
        <v>-46.98</v>
      </c>
      <c r="FH8" s="140" t="n">
        <v>-46.98</v>
      </c>
      <c r="FI8" s="140" t="n">
        <v>-553.77</v>
      </c>
      <c r="FJ8" s="140"/>
      <c r="FK8" s="140"/>
      <c r="FL8" s="140"/>
      <c r="FM8" s="140"/>
      <c r="FN8" s="140"/>
      <c r="FO8" s="140"/>
      <c r="FP8" s="140"/>
      <c r="FQ8" s="140"/>
      <c r="FR8" s="140"/>
      <c r="FS8" s="140"/>
      <c r="FT8" s="140"/>
      <c r="FU8" s="140"/>
      <c r="FV8" s="140"/>
      <c r="FW8" s="140"/>
      <c r="FX8" s="140"/>
    </row>
    <row r="9" s="147" customFormat="true" ht="15" hidden="false" customHeight="false" outlineLevel="0" collapsed="false">
      <c r="A9" s="145" t="s">
        <v>338</v>
      </c>
      <c r="B9" s="146" t="s">
        <v>339</v>
      </c>
      <c r="C9" s="146" t="n">
        <v>2.17</v>
      </c>
      <c r="D9" s="146" t="n">
        <v>2.25</v>
      </c>
      <c r="E9" s="146" t="n">
        <v>2.12</v>
      </c>
      <c r="F9" s="146" t="n">
        <v>2.24</v>
      </c>
      <c r="G9" s="146" t="n">
        <v>2.12</v>
      </c>
      <c r="H9" s="146" t="n">
        <v>2.22</v>
      </c>
      <c r="I9" s="146" t="n">
        <v>2.49</v>
      </c>
      <c r="J9" s="146" t="n">
        <v>2.49</v>
      </c>
      <c r="K9" s="146" t="n">
        <v>2.49</v>
      </c>
      <c r="L9" s="146" t="n">
        <v>2.49</v>
      </c>
      <c r="M9" s="146" t="n">
        <v>2.49</v>
      </c>
      <c r="N9" s="146" t="n">
        <v>14.36</v>
      </c>
      <c r="O9" s="146" t="n">
        <v>2.51</v>
      </c>
      <c r="P9" s="146" t="n">
        <v>2.92</v>
      </c>
      <c r="Q9" s="146" t="n">
        <v>2.58</v>
      </c>
      <c r="R9" s="146" t="n">
        <v>2.38</v>
      </c>
      <c r="S9" s="146" t="n">
        <v>2.38</v>
      </c>
      <c r="T9" s="146" t="n">
        <v>2.3</v>
      </c>
      <c r="U9" s="146" t="n">
        <v>2.3</v>
      </c>
      <c r="V9" s="146" t="n">
        <v>2.38</v>
      </c>
      <c r="W9" s="146"/>
      <c r="X9" s="146"/>
      <c r="Y9" s="146" t="n">
        <v>3</v>
      </c>
      <c r="Z9" s="146" t="n">
        <v>3.06</v>
      </c>
      <c r="AA9" s="146" t="n">
        <v>3.36</v>
      </c>
      <c r="AB9" s="146" t="n">
        <v>3.36</v>
      </c>
      <c r="AC9" s="146" t="n">
        <v>3.36</v>
      </c>
      <c r="AD9" s="146" t="n">
        <v>3.24</v>
      </c>
      <c r="AE9" s="146" t="n">
        <v>3.25</v>
      </c>
      <c r="AF9" s="146" t="n">
        <v>14.35</v>
      </c>
      <c r="AG9" s="146" t="n">
        <v>14.35</v>
      </c>
      <c r="AH9" s="146" t="n">
        <v>14.35</v>
      </c>
      <c r="AI9" s="146" t="n">
        <v>14.35</v>
      </c>
      <c r="AJ9" s="146" t="n">
        <v>14.35</v>
      </c>
      <c r="AK9" s="146" t="n">
        <v>3.55</v>
      </c>
      <c r="AL9" s="146" t="n">
        <v>3.42</v>
      </c>
      <c r="AM9" s="146" t="n">
        <v>3.42</v>
      </c>
      <c r="AN9" s="146" t="n">
        <v>3.24</v>
      </c>
      <c r="AO9" s="146" t="n">
        <v>3.22</v>
      </c>
      <c r="AP9" s="146" t="n">
        <v>3.25</v>
      </c>
      <c r="AQ9" s="146" t="n">
        <v>3.36</v>
      </c>
      <c r="AR9" s="146" t="n">
        <v>2.95</v>
      </c>
      <c r="AS9" s="146" t="n">
        <v>2.95</v>
      </c>
      <c r="AT9" s="146" t="n">
        <v>2.93</v>
      </c>
      <c r="AU9" s="146" t="n">
        <v>2.26</v>
      </c>
      <c r="AV9" s="146" t="n">
        <v>2.12</v>
      </c>
      <c r="AW9" s="146" t="n">
        <v>2.11</v>
      </c>
      <c r="AX9" s="146" t="n">
        <v>4.31</v>
      </c>
      <c r="AY9" s="146" t="n">
        <v>2.49</v>
      </c>
      <c r="AZ9" s="146" t="n">
        <v>2.49</v>
      </c>
      <c r="BA9" s="146" t="n">
        <v>2.32</v>
      </c>
      <c r="BB9" s="146" t="n">
        <v>3.21</v>
      </c>
      <c r="BC9" s="146" t="n">
        <v>3.17</v>
      </c>
      <c r="BD9" s="146" t="n">
        <v>3.22</v>
      </c>
      <c r="BE9" s="146" t="n">
        <v>3.21</v>
      </c>
      <c r="BF9" s="146" t="n">
        <v>4.22</v>
      </c>
      <c r="BG9" s="146" t="n">
        <v>4.22</v>
      </c>
      <c r="BH9" s="146" t="n">
        <v>2.13</v>
      </c>
      <c r="BI9" s="146" t="n">
        <v>2.71</v>
      </c>
      <c r="BJ9" s="146" t="n">
        <v>2.68</v>
      </c>
      <c r="BK9" s="146" t="n">
        <v>2.68</v>
      </c>
      <c r="BL9" s="146" t="n">
        <v>2.95</v>
      </c>
      <c r="BM9" s="146" t="n">
        <v>2.94</v>
      </c>
      <c r="BN9" s="146" t="n">
        <v>4.22</v>
      </c>
      <c r="BO9" s="146" t="n">
        <v>4.4</v>
      </c>
      <c r="BP9" s="146" t="n">
        <v>4.39</v>
      </c>
      <c r="BQ9" s="146" t="n">
        <v>4.39</v>
      </c>
      <c r="BR9" s="146" t="n">
        <v>4.38</v>
      </c>
      <c r="BS9" s="146" t="n">
        <v>4.39</v>
      </c>
      <c r="BT9" s="146" t="n">
        <v>4.38</v>
      </c>
      <c r="BU9" s="146" t="n">
        <v>3.63</v>
      </c>
      <c r="BV9" s="146" t="n">
        <v>2.75</v>
      </c>
      <c r="BW9" s="146" t="n">
        <v>2.94</v>
      </c>
      <c r="BX9" s="146" t="n">
        <v>2.94</v>
      </c>
      <c r="BY9" s="146" t="n">
        <v>3.04</v>
      </c>
      <c r="BZ9" s="146" t="n">
        <v>3.12</v>
      </c>
      <c r="CA9" s="146" t="n">
        <v>2.76</v>
      </c>
      <c r="CB9" s="146" t="n">
        <v>2.75</v>
      </c>
      <c r="CC9" s="146" t="n">
        <v>3.13</v>
      </c>
      <c r="CD9" s="146" t="n">
        <v>3.13</v>
      </c>
      <c r="CE9" s="146" t="n">
        <v>3.21</v>
      </c>
      <c r="CF9" s="146" t="n">
        <v>2.98</v>
      </c>
      <c r="CG9" s="146" t="n">
        <v>3.3</v>
      </c>
      <c r="CH9" s="146" t="n">
        <v>2.12</v>
      </c>
      <c r="CI9" s="146" t="n">
        <v>2.34</v>
      </c>
      <c r="CJ9" s="146" t="n">
        <v>2.55</v>
      </c>
      <c r="CK9" s="147" t="n">
        <v>2.52</v>
      </c>
      <c r="CL9" s="147" t="n">
        <v>2.18</v>
      </c>
      <c r="CM9" s="147" t="n">
        <v>2.18</v>
      </c>
      <c r="CN9" s="147" t="n">
        <v>2.18</v>
      </c>
      <c r="CO9" s="146" t="n">
        <v>2.18</v>
      </c>
      <c r="CP9" s="146" t="n">
        <v>4.22</v>
      </c>
      <c r="CQ9" s="146" t="n">
        <v>1.58</v>
      </c>
      <c r="CR9" s="146" t="n">
        <v>1.57</v>
      </c>
      <c r="CS9" s="146" t="n">
        <v>2.08</v>
      </c>
      <c r="CT9" s="146" t="n">
        <v>2.07</v>
      </c>
      <c r="CU9" s="146" t="n">
        <v>2.26</v>
      </c>
      <c r="CV9" s="146" t="n">
        <v>2.3</v>
      </c>
      <c r="CW9" s="146" t="n">
        <v>2.83</v>
      </c>
      <c r="CX9" s="146" t="n">
        <v>2.83</v>
      </c>
      <c r="CY9" s="146" t="n">
        <v>4.31</v>
      </c>
      <c r="CZ9" s="146" t="n">
        <v>3.1</v>
      </c>
      <c r="DA9" s="146" t="n">
        <v>3.09</v>
      </c>
      <c r="DB9" s="146" t="n">
        <v>2.06</v>
      </c>
      <c r="DC9" s="146" t="n">
        <v>2.69</v>
      </c>
      <c r="DD9" s="146" t="n">
        <v>2.39</v>
      </c>
      <c r="DE9" s="146" t="n">
        <v>2.38</v>
      </c>
      <c r="DF9" s="146" t="n">
        <v>2.38</v>
      </c>
      <c r="DG9" s="146" t="n">
        <v>2.38</v>
      </c>
      <c r="DH9" s="146" t="n">
        <v>2.12</v>
      </c>
      <c r="DI9" s="146" t="n">
        <v>2.12</v>
      </c>
      <c r="DJ9" s="146" t="n">
        <v>4.38</v>
      </c>
      <c r="DK9" s="146" t="n">
        <v>2.84</v>
      </c>
      <c r="DL9" s="146" t="n">
        <v>2.84</v>
      </c>
      <c r="DM9" s="146" t="n">
        <v>2.75</v>
      </c>
      <c r="DN9" s="146" t="n">
        <v>2.61</v>
      </c>
      <c r="DO9" s="146" t="n">
        <v>2.61</v>
      </c>
      <c r="DP9" s="146" t="n">
        <v>2.84</v>
      </c>
      <c r="DQ9" s="146" t="n">
        <v>2.84</v>
      </c>
      <c r="DR9" s="146" t="n">
        <v>2.39</v>
      </c>
      <c r="DS9" s="146" t="n">
        <v>2.79</v>
      </c>
      <c r="DT9" s="146" t="n">
        <v>2.78</v>
      </c>
      <c r="DU9" s="146" t="n">
        <v>2.39</v>
      </c>
      <c r="DV9" s="146" t="n">
        <v>2.04</v>
      </c>
      <c r="DW9" s="146" t="n">
        <v>2.04</v>
      </c>
      <c r="DX9" s="146" t="n">
        <v>2.39</v>
      </c>
      <c r="DY9" s="146" t="n">
        <v>4.31</v>
      </c>
      <c r="DZ9" s="146" t="n">
        <v>2.83</v>
      </c>
      <c r="EA9" s="146" t="n">
        <v>2.46</v>
      </c>
      <c r="EB9" s="146" t="n">
        <v>2.28</v>
      </c>
      <c r="EC9" s="147" t="n">
        <v>2.67</v>
      </c>
      <c r="ED9" s="147" t="n">
        <v>1.99</v>
      </c>
      <c r="EE9" s="146" t="n">
        <v>1.99</v>
      </c>
      <c r="EF9" s="146" t="n">
        <v>2.83</v>
      </c>
      <c r="EG9" s="146" t="n">
        <v>2.08</v>
      </c>
      <c r="EH9" s="146" t="n">
        <v>14.1</v>
      </c>
      <c r="EI9" s="146" t="n">
        <v>14.1</v>
      </c>
      <c r="EJ9" s="146" t="n">
        <v>14.1</v>
      </c>
      <c r="EK9" s="146" t="n">
        <v>14.2</v>
      </c>
      <c r="EL9" s="146" t="n">
        <v>14.16</v>
      </c>
      <c r="EM9" s="146" t="n">
        <v>14.16</v>
      </c>
      <c r="EN9" s="146" t="n">
        <v>14.26</v>
      </c>
      <c r="EO9" s="146" t="n">
        <v>14.26</v>
      </c>
      <c r="EP9" s="146" t="n">
        <v>14.26</v>
      </c>
      <c r="EQ9" s="146" t="n">
        <v>14.37</v>
      </c>
      <c r="ER9" s="146" t="n">
        <v>14.36</v>
      </c>
      <c r="ES9" s="146" t="n">
        <v>14.36</v>
      </c>
      <c r="ET9" s="146" t="n">
        <v>14.41</v>
      </c>
      <c r="EU9" s="146" t="n">
        <v>14.1</v>
      </c>
      <c r="EV9" s="146" t="n">
        <v>14.36</v>
      </c>
      <c r="EW9" s="146" t="n">
        <v>3.8</v>
      </c>
      <c r="EX9" s="146" t="n">
        <v>3.8</v>
      </c>
      <c r="EY9" s="146" t="n">
        <v>3.8</v>
      </c>
      <c r="EZ9" s="146" t="n">
        <v>3.81</v>
      </c>
      <c r="FA9" s="146" t="n">
        <v>3.81</v>
      </c>
      <c r="FB9" s="146" t="n">
        <v>4.16</v>
      </c>
      <c r="FC9" s="146" t="n">
        <v>4.16</v>
      </c>
      <c r="FD9" s="146" t="n">
        <v>4.16</v>
      </c>
      <c r="FE9" s="146" t="n">
        <v>4.32</v>
      </c>
      <c r="FF9" s="146" t="n">
        <v>4.32</v>
      </c>
      <c r="FG9" s="146" t="n">
        <v>3.77</v>
      </c>
      <c r="FH9" s="146" t="n">
        <v>3.77</v>
      </c>
      <c r="FI9" s="146" t="n">
        <v>3.78</v>
      </c>
      <c r="FJ9" s="146"/>
      <c r="FK9" s="146"/>
      <c r="FL9" s="146"/>
      <c r="FM9" s="146"/>
      <c r="FN9" s="146"/>
      <c r="FO9" s="146"/>
      <c r="FP9" s="146"/>
      <c r="FQ9" s="146"/>
      <c r="FR9" s="146"/>
      <c r="FS9" s="146"/>
      <c r="FT9" s="146"/>
      <c r="FU9" s="146"/>
      <c r="FV9" s="146"/>
      <c r="FW9" s="146"/>
      <c r="FX9" s="146"/>
    </row>
    <row r="10" s="151" customFormat="true" ht="15" hidden="false" customHeight="false" outlineLevel="0" collapsed="false">
      <c r="A10" s="148" t="s">
        <v>340</v>
      </c>
      <c r="B10" s="149" t="s">
        <v>331</v>
      </c>
      <c r="C10" s="149" t="n">
        <v>629.92</v>
      </c>
      <c r="D10" s="149" t="n">
        <v>593.23</v>
      </c>
      <c r="E10" s="149" t="n">
        <v>596.82</v>
      </c>
      <c r="F10" s="149" t="n">
        <v>596.82</v>
      </c>
      <c r="G10" s="149" t="n">
        <v>596.82</v>
      </c>
      <c r="H10" s="149" t="n">
        <v>596.82</v>
      </c>
      <c r="I10" s="149" t="n">
        <v>596.82</v>
      </c>
      <c r="J10" s="149" t="n">
        <v>596.82</v>
      </c>
      <c r="K10" s="149" t="n">
        <v>596.82</v>
      </c>
      <c r="L10" s="149" t="n">
        <v>596.82</v>
      </c>
      <c r="M10" s="149" t="n">
        <v>596.82</v>
      </c>
      <c r="N10" s="149" t="n">
        <v>-239.55</v>
      </c>
      <c r="O10" s="149" t="n">
        <v>407.87</v>
      </c>
      <c r="P10" s="149" t="n">
        <v>563.4</v>
      </c>
      <c r="Q10" s="149" t="n">
        <v>407.87</v>
      </c>
      <c r="R10" s="149" t="n">
        <v>563.4</v>
      </c>
      <c r="S10" s="149" t="n">
        <v>563.4</v>
      </c>
      <c r="T10" s="149" t="n">
        <v>563.4</v>
      </c>
      <c r="U10" s="149" t="n">
        <v>563.4</v>
      </c>
      <c r="V10" s="149" t="n">
        <v>563.4</v>
      </c>
      <c r="W10" s="149"/>
      <c r="X10" s="149"/>
      <c r="Y10" s="149" t="n">
        <v>407.87</v>
      </c>
      <c r="Z10" s="149" t="n">
        <v>407.87</v>
      </c>
      <c r="AA10" s="149" t="n">
        <v>297.26</v>
      </c>
      <c r="AB10" s="149" t="n">
        <v>297.26</v>
      </c>
      <c r="AC10" s="149" t="n">
        <v>297.26</v>
      </c>
      <c r="AD10" s="149" t="n">
        <v>333.43</v>
      </c>
      <c r="AE10" s="149" t="n">
        <v>307.78</v>
      </c>
      <c r="AF10" s="149" t="n">
        <v>-239.55</v>
      </c>
      <c r="AG10" s="149" t="n">
        <v>-239.55</v>
      </c>
      <c r="AH10" s="149" t="n">
        <v>-239.55</v>
      </c>
      <c r="AI10" s="149" t="n">
        <v>-239.55</v>
      </c>
      <c r="AJ10" s="149" t="n">
        <v>-239.55</v>
      </c>
      <c r="AK10" s="149" t="n">
        <v>-141.74</v>
      </c>
      <c r="AL10" s="149" t="n">
        <v>-128.88</v>
      </c>
      <c r="AM10" s="149" t="n">
        <v>-128.88</v>
      </c>
      <c r="AN10" s="149" t="n">
        <v>-101.52</v>
      </c>
      <c r="AO10" s="149" t="n">
        <v>-92.68</v>
      </c>
      <c r="AP10" s="149" t="n">
        <v>-116.2</v>
      </c>
      <c r="AQ10" s="149" t="n">
        <v>297.26</v>
      </c>
      <c r="AR10" s="149" t="n">
        <v>297.26</v>
      </c>
      <c r="AS10" s="149" t="n">
        <v>297.26</v>
      </c>
      <c r="AT10" s="149" t="n">
        <v>297.26</v>
      </c>
      <c r="AU10" s="149" t="n">
        <v>374.15</v>
      </c>
      <c r="AV10" s="149" t="n">
        <v>374.15</v>
      </c>
      <c r="AW10" s="149" t="n">
        <v>374.15</v>
      </c>
      <c r="AX10" s="149" t="n">
        <v>374.15</v>
      </c>
      <c r="AY10" s="149" t="n">
        <v>-45.67</v>
      </c>
      <c r="AZ10" s="149" t="n">
        <v>-46.39</v>
      </c>
      <c r="BA10" s="149" t="n">
        <v>-46.39</v>
      </c>
      <c r="BB10" s="149" t="n">
        <v>183.72</v>
      </c>
      <c r="BC10" s="149" t="n">
        <v>183.72</v>
      </c>
      <c r="BD10" s="149" t="n">
        <v>83.33</v>
      </c>
      <c r="BE10" s="149" t="n">
        <v>83.33</v>
      </c>
      <c r="BF10" s="149" t="n">
        <v>364.28</v>
      </c>
      <c r="BG10" s="149" t="n">
        <v>364.42</v>
      </c>
      <c r="BH10" s="149" t="n">
        <v>226.74</v>
      </c>
      <c r="BI10" s="149" t="n">
        <v>226.74</v>
      </c>
      <c r="BJ10" s="149" t="n">
        <v>-125.44</v>
      </c>
      <c r="BK10" s="149" t="n">
        <v>-125.44</v>
      </c>
      <c r="BL10" s="149" t="n">
        <v>468.83</v>
      </c>
      <c r="BM10" s="149" t="n">
        <v>468.83</v>
      </c>
      <c r="BN10" s="149" t="n">
        <v>374.15</v>
      </c>
      <c r="BO10" s="149" t="n">
        <v>374.15</v>
      </c>
      <c r="BP10" s="149" t="n">
        <v>374.15</v>
      </c>
      <c r="BQ10" s="149" t="n">
        <v>374.15</v>
      </c>
      <c r="BR10" s="149" t="n">
        <v>374.15</v>
      </c>
      <c r="BS10" s="149" t="n">
        <v>374.15</v>
      </c>
      <c r="BT10" s="149" t="n">
        <v>374.15</v>
      </c>
      <c r="BU10" s="149" t="n">
        <v>-164.64</v>
      </c>
      <c r="BV10" s="149" t="n">
        <v>294.24</v>
      </c>
      <c r="BW10" s="149" t="n">
        <v>527.36</v>
      </c>
      <c r="BX10" s="149" t="n">
        <v>527.36</v>
      </c>
      <c r="BY10" s="149" t="n">
        <v>527.36</v>
      </c>
      <c r="BZ10" s="149" t="n">
        <v>527.36</v>
      </c>
      <c r="CA10" s="149" t="n">
        <v>379.4</v>
      </c>
      <c r="CB10" s="149" t="n">
        <v>379.4</v>
      </c>
      <c r="CC10" s="149" t="n">
        <v>541.24</v>
      </c>
      <c r="CD10" s="149" t="n">
        <v>541.24</v>
      </c>
      <c r="CE10" s="149" t="n">
        <v>541.24</v>
      </c>
      <c r="CF10" s="149" t="n">
        <v>563.4</v>
      </c>
      <c r="CG10" s="149" t="n">
        <v>297.26</v>
      </c>
      <c r="CH10" s="149" t="n">
        <v>203.06</v>
      </c>
      <c r="CI10" s="149" t="n">
        <v>244.03</v>
      </c>
      <c r="CJ10" s="149" t="n">
        <v>244.03</v>
      </c>
      <c r="CK10" s="151" t="n">
        <v>244.03</v>
      </c>
      <c r="CL10" s="151" t="n">
        <v>216.51</v>
      </c>
      <c r="CM10" s="151" t="n">
        <v>216.51</v>
      </c>
      <c r="CN10" s="151" t="n">
        <v>216.51</v>
      </c>
      <c r="CO10" s="149" t="n">
        <v>216.51</v>
      </c>
      <c r="CP10" s="149" t="n">
        <v>364.74</v>
      </c>
      <c r="CQ10" s="149" t="n">
        <v>11.29</v>
      </c>
      <c r="CR10" s="149" t="n">
        <v>11.29</v>
      </c>
      <c r="CS10" s="149" t="n">
        <v>374.15</v>
      </c>
      <c r="CT10" s="149" t="n">
        <v>374.15</v>
      </c>
      <c r="CU10" s="149" t="n">
        <v>374.15</v>
      </c>
      <c r="CV10" s="149" t="n">
        <v>374.15</v>
      </c>
      <c r="CW10" s="149" t="n">
        <v>374.15</v>
      </c>
      <c r="CX10" s="149" t="n">
        <v>374.15</v>
      </c>
      <c r="CY10" s="149" t="n">
        <v>374.15</v>
      </c>
      <c r="CZ10" s="149" t="n">
        <v>563.4</v>
      </c>
      <c r="DA10" s="149" t="n">
        <v>563.4</v>
      </c>
      <c r="DB10" s="149" t="n">
        <v>337.68</v>
      </c>
      <c r="DC10" s="149" t="n">
        <v>337.68</v>
      </c>
      <c r="DD10" s="149" t="n">
        <v>296.27</v>
      </c>
      <c r="DE10" s="149" t="n">
        <v>296.27</v>
      </c>
      <c r="DF10" s="149" t="n">
        <v>296.27</v>
      </c>
      <c r="DG10" s="149" t="n">
        <v>296.27</v>
      </c>
      <c r="DH10" s="149" t="n">
        <v>296.27</v>
      </c>
      <c r="DI10" s="149" t="n">
        <v>296.27</v>
      </c>
      <c r="DJ10" s="149" t="n">
        <v>374.15</v>
      </c>
      <c r="DK10" s="149" t="n">
        <v>431.41</v>
      </c>
      <c r="DL10" s="149" t="n">
        <v>431.41</v>
      </c>
      <c r="DM10" s="149" t="n">
        <v>431.41</v>
      </c>
      <c r="DN10" s="149" t="n">
        <v>431.41</v>
      </c>
      <c r="DO10" s="149" t="n">
        <v>431.41</v>
      </c>
      <c r="DP10" s="149" t="n">
        <v>431.41</v>
      </c>
      <c r="DQ10" s="149" t="n">
        <v>431.41</v>
      </c>
      <c r="DR10" s="149" t="n">
        <v>382.05</v>
      </c>
      <c r="DS10" s="149" t="n">
        <v>437.51</v>
      </c>
      <c r="DT10" s="149" t="n">
        <v>437.51</v>
      </c>
      <c r="DU10" s="149" t="n">
        <v>437.51</v>
      </c>
      <c r="DV10" s="149" t="n">
        <v>437.51</v>
      </c>
      <c r="DW10" s="149" t="n">
        <v>437.51</v>
      </c>
      <c r="DX10" s="149" t="n">
        <v>437.51</v>
      </c>
      <c r="DY10" s="149" t="n">
        <v>374.15</v>
      </c>
      <c r="DZ10" s="149" t="n">
        <v>374.15</v>
      </c>
      <c r="EA10" s="149" t="n">
        <v>374.15</v>
      </c>
      <c r="EB10" s="149" t="n">
        <v>374.15</v>
      </c>
      <c r="EC10" s="151" t="n">
        <v>563.4</v>
      </c>
      <c r="ED10" s="151" t="n">
        <v>374.15</v>
      </c>
      <c r="EE10" s="149" t="n">
        <v>374.15</v>
      </c>
      <c r="EF10" s="149" t="n">
        <v>374.15</v>
      </c>
      <c r="EG10" s="149" t="n">
        <v>374.15</v>
      </c>
      <c r="EH10" s="149" t="n">
        <v>-239.55</v>
      </c>
      <c r="EI10" s="149" t="n">
        <v>-239.55</v>
      </c>
      <c r="EJ10" s="149" t="n">
        <v>-239.55</v>
      </c>
      <c r="EK10" s="149" t="n">
        <v>-239.55</v>
      </c>
      <c r="EL10" s="149" t="n">
        <v>-239.55</v>
      </c>
      <c r="EM10" s="149" t="n">
        <v>-239.55</v>
      </c>
      <c r="EN10" s="149" t="n">
        <v>-239.55</v>
      </c>
      <c r="EO10" s="149" t="n">
        <v>-239.55</v>
      </c>
      <c r="EP10" s="149" t="n">
        <v>-239.55</v>
      </c>
      <c r="EQ10" s="149" t="n">
        <v>-239.55</v>
      </c>
      <c r="ER10" s="149" t="n">
        <v>-239.55</v>
      </c>
      <c r="ES10" s="149" t="n">
        <v>-239.55</v>
      </c>
      <c r="ET10" s="149" t="n">
        <v>-239.55</v>
      </c>
      <c r="EU10" s="149" t="n">
        <v>-239.55</v>
      </c>
      <c r="EV10" s="149" t="n">
        <v>-239.55</v>
      </c>
      <c r="EW10" s="149" t="n">
        <v>375.82</v>
      </c>
      <c r="EX10" s="149" t="n">
        <v>375.82</v>
      </c>
      <c r="EY10" s="149" t="n">
        <v>375.82</v>
      </c>
      <c r="EZ10" s="149" t="n">
        <v>375.82</v>
      </c>
      <c r="FA10" s="149" t="n">
        <v>375.82</v>
      </c>
      <c r="FB10" s="149" t="n">
        <v>-177.48</v>
      </c>
      <c r="FC10" s="149" t="n">
        <v>-177.59</v>
      </c>
      <c r="FD10" s="149" t="n">
        <v>-177.59</v>
      </c>
      <c r="FE10" s="149" t="n">
        <v>374.07</v>
      </c>
      <c r="FF10" s="149" t="n">
        <v>374.07</v>
      </c>
      <c r="FG10" s="149" t="n">
        <v>369.21</v>
      </c>
      <c r="FH10" s="149" t="n">
        <v>369.21</v>
      </c>
      <c r="FI10" s="149" t="n">
        <v>369.21</v>
      </c>
      <c r="FJ10" s="149"/>
      <c r="FK10" s="149"/>
      <c r="FL10" s="149"/>
      <c r="FM10" s="149"/>
      <c r="FN10" s="149"/>
      <c r="FO10" s="149"/>
      <c r="FP10" s="149"/>
      <c r="FQ10" s="149"/>
      <c r="FR10" s="149"/>
      <c r="FS10" s="149"/>
      <c r="FT10" s="149"/>
      <c r="FU10" s="149"/>
      <c r="FV10" s="149"/>
      <c r="FW10" s="149"/>
      <c r="FX10" s="149"/>
      <c r="FY10" s="152"/>
    </row>
    <row r="11" s="147" customFormat="true" ht="15" hidden="false" customHeight="false" outlineLevel="0" collapsed="false">
      <c r="A11" s="145" t="s">
        <v>341</v>
      </c>
      <c r="B11" s="146" t="s">
        <v>333</v>
      </c>
      <c r="C11" s="146" t="n">
        <v>1</v>
      </c>
      <c r="D11" s="146" t="n">
        <v>0.98</v>
      </c>
      <c r="E11" s="146" t="n">
        <v>0.98</v>
      </c>
      <c r="F11" s="146" t="n">
        <v>0.98</v>
      </c>
      <c r="G11" s="146" t="n">
        <v>0.98</v>
      </c>
      <c r="H11" s="146" t="n">
        <v>0.98</v>
      </c>
      <c r="I11" s="146" t="n">
        <v>0.98</v>
      </c>
      <c r="J11" s="146" t="n">
        <v>0.98</v>
      </c>
      <c r="K11" s="146" t="n">
        <v>0.98</v>
      </c>
      <c r="L11" s="146" t="n">
        <v>0.98</v>
      </c>
      <c r="M11" s="146" t="n">
        <v>0.98</v>
      </c>
      <c r="N11" s="146" t="n">
        <v>1.22</v>
      </c>
      <c r="O11" s="146" t="n">
        <v>1.04</v>
      </c>
      <c r="P11" s="146" t="n">
        <v>1.18</v>
      </c>
      <c r="Q11" s="146" t="n">
        <v>1.04</v>
      </c>
      <c r="R11" s="146" t="n">
        <v>1.18</v>
      </c>
      <c r="S11" s="146" t="n">
        <v>1.18</v>
      </c>
      <c r="T11" s="146" t="n">
        <v>1.18</v>
      </c>
      <c r="U11" s="146" t="n">
        <v>1.18</v>
      </c>
      <c r="V11" s="146" t="n">
        <v>1.18</v>
      </c>
      <c r="W11" s="146"/>
      <c r="X11" s="146"/>
      <c r="Y11" s="146" t="n">
        <v>1.04</v>
      </c>
      <c r="Z11" s="146" t="n">
        <v>1.04</v>
      </c>
      <c r="AA11" s="146" t="n">
        <v>2.68</v>
      </c>
      <c r="AB11" s="146" t="n">
        <v>2.68</v>
      </c>
      <c r="AC11" s="146" t="n">
        <v>2.68</v>
      </c>
      <c r="AD11" s="146" t="n">
        <v>2.14</v>
      </c>
      <c r="AE11" s="146" t="n">
        <v>2.1</v>
      </c>
      <c r="AF11" s="146" t="n">
        <v>1.22</v>
      </c>
      <c r="AG11" s="146" t="n">
        <v>1.22</v>
      </c>
      <c r="AH11" s="146" t="n">
        <v>1.22</v>
      </c>
      <c r="AI11" s="146" t="n">
        <v>1.22</v>
      </c>
      <c r="AJ11" s="146" t="n">
        <v>1.22</v>
      </c>
      <c r="AK11" s="146" t="n">
        <v>2.75</v>
      </c>
      <c r="AL11" s="146" t="n">
        <v>2.9</v>
      </c>
      <c r="AM11" s="146" t="n">
        <v>2.9</v>
      </c>
      <c r="AN11" s="146" t="n">
        <v>3.22</v>
      </c>
      <c r="AO11" s="146" t="n">
        <v>3.3</v>
      </c>
      <c r="AP11" s="146" t="n">
        <v>3.04</v>
      </c>
      <c r="AQ11" s="146" t="n">
        <v>2.68</v>
      </c>
      <c r="AR11" s="146" t="n">
        <v>2.68</v>
      </c>
      <c r="AS11" s="146" t="n">
        <v>2.68</v>
      </c>
      <c r="AT11" s="146" t="n">
        <v>2.68</v>
      </c>
      <c r="AU11" s="146" t="n">
        <v>22.02</v>
      </c>
      <c r="AV11" s="146" t="n">
        <v>22.02</v>
      </c>
      <c r="AW11" s="146" t="n">
        <v>22.02</v>
      </c>
      <c r="AX11" s="146" t="n">
        <v>22.02</v>
      </c>
      <c r="AY11" s="146" t="n">
        <v>4.47</v>
      </c>
      <c r="AZ11" s="146" t="n">
        <v>4.45</v>
      </c>
      <c r="BA11" s="146" t="n">
        <v>4.45</v>
      </c>
      <c r="BB11" s="146" t="n">
        <v>14.07</v>
      </c>
      <c r="BC11" s="146" t="n">
        <v>14.07</v>
      </c>
      <c r="BD11" s="146" t="n">
        <v>10.72</v>
      </c>
      <c r="BE11" s="146" t="n">
        <v>10.72</v>
      </c>
      <c r="BF11" s="146" t="n">
        <v>21.56</v>
      </c>
      <c r="BG11" s="146" t="n">
        <v>21.56</v>
      </c>
      <c r="BH11" s="146" t="n">
        <v>3.73</v>
      </c>
      <c r="BI11" s="146" t="n">
        <v>3.73</v>
      </c>
      <c r="BJ11" s="146" t="n">
        <v>3.35</v>
      </c>
      <c r="BK11" s="146" t="n">
        <v>3.35</v>
      </c>
      <c r="BL11" s="146" t="n">
        <v>1.79</v>
      </c>
      <c r="BM11" s="146" t="n">
        <v>1.79</v>
      </c>
      <c r="BN11" s="146" t="n">
        <v>22.02</v>
      </c>
      <c r="BO11" s="146" t="n">
        <v>22.02</v>
      </c>
      <c r="BP11" s="146" t="n">
        <v>22.02</v>
      </c>
      <c r="BQ11" s="146" t="n">
        <v>22.02</v>
      </c>
      <c r="BR11" s="146" t="n">
        <v>22.02</v>
      </c>
      <c r="BS11" s="146" t="n">
        <v>22.02</v>
      </c>
      <c r="BT11" s="146" t="n">
        <v>22.02</v>
      </c>
      <c r="BU11" s="146" t="n">
        <v>2.46</v>
      </c>
      <c r="BV11" s="146" t="n">
        <v>3.23</v>
      </c>
      <c r="BW11" s="146" t="n">
        <v>2.21</v>
      </c>
      <c r="BX11" s="146" t="n">
        <v>2.21</v>
      </c>
      <c r="BY11" s="146" t="n">
        <v>2.21</v>
      </c>
      <c r="BZ11" s="146" t="n">
        <v>2.21</v>
      </c>
      <c r="CA11" s="146" t="n">
        <v>12.21</v>
      </c>
      <c r="CB11" s="146" t="n">
        <v>12.21</v>
      </c>
      <c r="CC11" s="146" t="n">
        <v>1.27</v>
      </c>
      <c r="CD11" s="146" t="n">
        <v>1.27</v>
      </c>
      <c r="CE11" s="146" t="n">
        <v>1.27</v>
      </c>
      <c r="CF11" s="146" t="n">
        <v>1.18</v>
      </c>
      <c r="CG11" s="146" t="n">
        <v>2.68</v>
      </c>
      <c r="CH11" s="146" t="n">
        <v>9.66</v>
      </c>
      <c r="CI11" s="146" t="n">
        <v>12.62</v>
      </c>
      <c r="CJ11" s="146" t="n">
        <v>12.62</v>
      </c>
      <c r="CK11" s="147" t="n">
        <v>12.62</v>
      </c>
      <c r="CL11" s="147" t="n">
        <v>3.98</v>
      </c>
      <c r="CM11" s="147" t="n">
        <v>3.98</v>
      </c>
      <c r="CN11" s="147" t="n">
        <v>3.98</v>
      </c>
      <c r="CO11" s="146" t="n">
        <v>3.98</v>
      </c>
      <c r="CP11" s="146" t="n">
        <v>21.58</v>
      </c>
      <c r="CQ11" s="146" t="n">
        <v>6.08</v>
      </c>
      <c r="CR11" s="146" t="n">
        <v>6.08</v>
      </c>
      <c r="CS11" s="146" t="n">
        <v>22.02</v>
      </c>
      <c r="CT11" s="146" t="n">
        <v>22.02</v>
      </c>
      <c r="CU11" s="146" t="n">
        <v>22.02</v>
      </c>
      <c r="CV11" s="146" t="n">
        <v>22.02</v>
      </c>
      <c r="CW11" s="146" t="n">
        <v>22.02</v>
      </c>
      <c r="CX11" s="146" t="n">
        <v>22.02</v>
      </c>
      <c r="CY11" s="146" t="n">
        <v>22.02</v>
      </c>
      <c r="CZ11" s="146" t="n">
        <v>1.18</v>
      </c>
      <c r="DA11" s="146" t="n">
        <v>1.18</v>
      </c>
      <c r="DB11" s="146" t="n">
        <v>12.94</v>
      </c>
      <c r="DC11" s="146" t="n">
        <v>12.94</v>
      </c>
      <c r="DD11" s="146" t="n">
        <v>2.63</v>
      </c>
      <c r="DE11" s="146" t="n">
        <v>2.63</v>
      </c>
      <c r="DF11" s="146" t="n">
        <v>2.63</v>
      </c>
      <c r="DG11" s="146" t="n">
        <v>2.63</v>
      </c>
      <c r="DH11" s="146" t="n">
        <v>2.63</v>
      </c>
      <c r="DI11" s="146" t="n">
        <v>2.63</v>
      </c>
      <c r="DJ11" s="146" t="n">
        <v>22.02</v>
      </c>
      <c r="DK11" s="146" t="n">
        <v>1.76</v>
      </c>
      <c r="DL11" s="146" t="n">
        <v>1.76</v>
      </c>
      <c r="DM11" s="146" t="n">
        <v>1.76</v>
      </c>
      <c r="DN11" s="146" t="n">
        <v>1.76</v>
      </c>
      <c r="DO11" s="146" t="n">
        <v>1.76</v>
      </c>
      <c r="DP11" s="146" t="n">
        <v>1.76</v>
      </c>
      <c r="DQ11" s="146" t="n">
        <v>1.76</v>
      </c>
      <c r="DR11" s="146" t="n">
        <v>13.32</v>
      </c>
      <c r="DS11" s="146" t="n">
        <v>1.77</v>
      </c>
      <c r="DT11" s="146" t="n">
        <v>1.77</v>
      </c>
      <c r="DU11" s="146" t="n">
        <v>1.77</v>
      </c>
      <c r="DV11" s="146" t="n">
        <v>1.77</v>
      </c>
      <c r="DW11" s="146" t="n">
        <v>1.77</v>
      </c>
      <c r="DX11" s="146" t="n">
        <v>1.77</v>
      </c>
      <c r="DY11" s="146" t="n">
        <v>22.02</v>
      </c>
      <c r="DZ11" s="146" t="n">
        <v>22.02</v>
      </c>
      <c r="EA11" s="146" t="n">
        <v>22.02</v>
      </c>
      <c r="EB11" s="146" t="n">
        <v>22.02</v>
      </c>
      <c r="EC11" s="147" t="n">
        <v>1.18</v>
      </c>
      <c r="ED11" s="147" t="n">
        <v>22.02</v>
      </c>
      <c r="EE11" s="146" t="n">
        <v>22.02</v>
      </c>
      <c r="EF11" s="146" t="n">
        <v>22.02</v>
      </c>
      <c r="EG11" s="146" t="n">
        <v>22.02</v>
      </c>
      <c r="EH11" s="146" t="n">
        <v>1.22</v>
      </c>
      <c r="EI11" s="146" t="n">
        <v>1.22</v>
      </c>
      <c r="EJ11" s="146" t="n">
        <v>1.22</v>
      </c>
      <c r="EK11" s="146" t="n">
        <v>1.22</v>
      </c>
      <c r="EL11" s="146" t="n">
        <v>1.22</v>
      </c>
      <c r="EM11" s="146" t="n">
        <v>1.22</v>
      </c>
      <c r="EN11" s="146" t="n">
        <v>1.22</v>
      </c>
      <c r="EO11" s="146" t="n">
        <v>1.22</v>
      </c>
      <c r="EP11" s="146" t="n">
        <v>1.22</v>
      </c>
      <c r="EQ11" s="146" t="n">
        <v>1.22</v>
      </c>
      <c r="ER11" s="146" t="n">
        <v>1.22</v>
      </c>
      <c r="ES11" s="146" t="n">
        <v>1.22</v>
      </c>
      <c r="ET11" s="146" t="n">
        <v>1.22</v>
      </c>
      <c r="EU11" s="146" t="n">
        <v>1.22</v>
      </c>
      <c r="EV11" s="146" t="n">
        <v>1.22</v>
      </c>
      <c r="EW11" s="146" t="n">
        <v>20.89</v>
      </c>
      <c r="EX11" s="146" t="n">
        <v>20.89</v>
      </c>
      <c r="EY11" s="146" t="n">
        <v>20.89</v>
      </c>
      <c r="EZ11" s="146" t="n">
        <v>20.89</v>
      </c>
      <c r="FA11" s="146" t="n">
        <v>20.89</v>
      </c>
      <c r="FB11" s="146" t="n">
        <v>2.13</v>
      </c>
      <c r="FC11" s="146" t="n">
        <v>2.12</v>
      </c>
      <c r="FD11" s="146" t="n">
        <v>2.12</v>
      </c>
      <c r="FE11" s="146" t="n">
        <v>22.02</v>
      </c>
      <c r="FF11" s="146" t="n">
        <v>22.02</v>
      </c>
      <c r="FG11" s="146" t="n">
        <v>20.6</v>
      </c>
      <c r="FH11" s="146" t="n">
        <v>20.6</v>
      </c>
      <c r="FI11" s="146" t="n">
        <v>20.6</v>
      </c>
      <c r="FJ11" s="146"/>
      <c r="FK11" s="146"/>
      <c r="FL11" s="146"/>
      <c r="FM11" s="146"/>
      <c r="FN11" s="146"/>
      <c r="FO11" s="146"/>
      <c r="FP11" s="146"/>
      <c r="FQ11" s="146"/>
      <c r="FR11" s="146"/>
      <c r="FS11" s="146"/>
      <c r="FT11" s="146"/>
      <c r="FU11" s="146"/>
      <c r="FV11" s="146"/>
      <c r="FW11" s="146"/>
      <c r="FX11" s="146"/>
    </row>
    <row r="12" s="141" customFormat="true" ht="15" hidden="false" customHeight="false" outlineLevel="0" collapsed="false">
      <c r="A12" s="139" t="s">
        <v>342</v>
      </c>
      <c r="B12" s="140"/>
      <c r="C12" s="140" t="s">
        <v>343</v>
      </c>
      <c r="D12" s="140" t="s">
        <v>343</v>
      </c>
      <c r="E12" s="140" t="s">
        <v>343</v>
      </c>
      <c r="F12" s="140" t="s">
        <v>343</v>
      </c>
      <c r="G12" s="140" t="s">
        <v>343</v>
      </c>
      <c r="H12" s="140" t="s">
        <v>343</v>
      </c>
      <c r="I12" s="140" t="s">
        <v>343</v>
      </c>
      <c r="J12" s="140" t="s">
        <v>343</v>
      </c>
      <c r="K12" s="140" t="s">
        <v>343</v>
      </c>
      <c r="L12" s="140" t="s">
        <v>343</v>
      </c>
      <c r="M12" s="140" t="s">
        <v>343</v>
      </c>
      <c r="N12" s="140" t="s">
        <v>344</v>
      </c>
      <c r="O12" s="140" t="s">
        <v>345</v>
      </c>
      <c r="P12" s="140" t="s">
        <v>343</v>
      </c>
      <c r="Q12" s="140" t="s">
        <v>345</v>
      </c>
      <c r="R12" s="140" t="s">
        <v>343</v>
      </c>
      <c r="S12" s="140" t="s">
        <v>343</v>
      </c>
      <c r="T12" s="140" t="s">
        <v>343</v>
      </c>
      <c r="U12" s="140" t="s">
        <v>343</v>
      </c>
      <c r="V12" s="140" t="s">
        <v>343</v>
      </c>
      <c r="W12" s="140"/>
      <c r="X12" s="140"/>
      <c r="Y12" s="140" t="s">
        <v>343</v>
      </c>
      <c r="Z12" s="140" t="s">
        <v>343</v>
      </c>
      <c r="AA12" s="140" t="s">
        <v>343</v>
      </c>
      <c r="AB12" s="140" t="s">
        <v>343</v>
      </c>
      <c r="AC12" s="140" t="s">
        <v>343</v>
      </c>
      <c r="AD12" s="140" t="s">
        <v>343</v>
      </c>
      <c r="AE12" s="140" t="s">
        <v>343</v>
      </c>
      <c r="AF12" s="140" t="s">
        <v>344</v>
      </c>
      <c r="AG12" s="140" t="s">
        <v>344</v>
      </c>
      <c r="AH12" s="140" t="s">
        <v>344</v>
      </c>
      <c r="AI12" s="140" t="s">
        <v>344</v>
      </c>
      <c r="AJ12" s="140" t="s">
        <v>344</v>
      </c>
      <c r="AK12" s="140" t="s">
        <v>344</v>
      </c>
      <c r="AL12" s="140" t="s">
        <v>344</v>
      </c>
      <c r="AM12" s="140" t="s">
        <v>344</v>
      </c>
      <c r="AN12" s="140" t="s">
        <v>344</v>
      </c>
      <c r="AO12" s="140" t="s">
        <v>344</v>
      </c>
      <c r="AP12" s="140" t="s">
        <v>344</v>
      </c>
      <c r="AQ12" s="140" t="s">
        <v>343</v>
      </c>
      <c r="AR12" s="140" t="s">
        <v>345</v>
      </c>
      <c r="AS12" s="140" t="s">
        <v>345</v>
      </c>
      <c r="AT12" s="140" t="s">
        <v>345</v>
      </c>
      <c r="AU12" s="140" t="s">
        <v>344</v>
      </c>
      <c r="AV12" s="140" t="s">
        <v>344</v>
      </c>
      <c r="AW12" s="140" t="s">
        <v>344</v>
      </c>
      <c r="AX12" s="140" t="s">
        <v>343</v>
      </c>
      <c r="AY12" s="140" t="s">
        <v>344</v>
      </c>
      <c r="AZ12" s="140" t="s">
        <v>345</v>
      </c>
      <c r="BA12" s="140" t="s">
        <v>345</v>
      </c>
      <c r="BB12" s="140" t="s">
        <v>345</v>
      </c>
      <c r="BC12" s="140" t="s">
        <v>345</v>
      </c>
      <c r="BD12" s="140" t="s">
        <v>345</v>
      </c>
      <c r="BE12" s="140" t="s">
        <v>345</v>
      </c>
      <c r="BF12" s="140" t="s">
        <v>345</v>
      </c>
      <c r="BG12" s="140" t="s">
        <v>345</v>
      </c>
      <c r="BH12" s="140" t="s">
        <v>345</v>
      </c>
      <c r="BI12" s="140" t="s">
        <v>345</v>
      </c>
      <c r="BJ12" s="140" t="s">
        <v>344</v>
      </c>
      <c r="BK12" s="140" t="s">
        <v>344</v>
      </c>
      <c r="BL12" s="140" t="s">
        <v>343</v>
      </c>
      <c r="BM12" s="140" t="s">
        <v>345</v>
      </c>
      <c r="BN12" s="140" t="s">
        <v>343</v>
      </c>
      <c r="BO12" s="140" t="s">
        <v>343</v>
      </c>
      <c r="BP12" s="140" t="s">
        <v>343</v>
      </c>
      <c r="BQ12" s="140" t="s">
        <v>343</v>
      </c>
      <c r="BR12" s="140" t="s">
        <v>343</v>
      </c>
      <c r="BS12" s="140" t="s">
        <v>343</v>
      </c>
      <c r="BT12" s="140" t="s">
        <v>343</v>
      </c>
      <c r="BU12" s="140" t="s">
        <v>344</v>
      </c>
      <c r="BV12" s="140" t="s">
        <v>345</v>
      </c>
      <c r="BW12" s="140" t="s">
        <v>343</v>
      </c>
      <c r="BX12" s="140" t="s">
        <v>345</v>
      </c>
      <c r="BY12" s="140" t="s">
        <v>345</v>
      </c>
      <c r="BZ12" s="140" t="s">
        <v>345</v>
      </c>
      <c r="CA12" s="140" t="s">
        <v>344</v>
      </c>
      <c r="CB12" s="140" t="s">
        <v>344</v>
      </c>
      <c r="CC12" s="140" t="s">
        <v>343</v>
      </c>
      <c r="CD12" s="140" t="s">
        <v>343</v>
      </c>
      <c r="CE12" s="140" t="s">
        <v>345</v>
      </c>
      <c r="CF12" s="140" t="s">
        <v>343</v>
      </c>
      <c r="CG12" s="140" t="s">
        <v>343</v>
      </c>
      <c r="CH12" s="140" t="s">
        <v>345</v>
      </c>
      <c r="CI12" s="140" t="s">
        <v>345</v>
      </c>
      <c r="CJ12" s="140" t="s">
        <v>345</v>
      </c>
      <c r="CK12" s="141" t="s">
        <v>345</v>
      </c>
      <c r="CL12" s="141" t="s">
        <v>343</v>
      </c>
      <c r="CM12" s="141" t="s">
        <v>343</v>
      </c>
      <c r="CN12" s="141" t="s">
        <v>343</v>
      </c>
      <c r="CO12" s="140" t="s">
        <v>343</v>
      </c>
      <c r="CP12" s="140" t="s">
        <v>343</v>
      </c>
      <c r="CQ12" s="140" t="s">
        <v>344</v>
      </c>
      <c r="CR12" s="140" t="s">
        <v>344</v>
      </c>
      <c r="CS12" s="140" t="s">
        <v>344</v>
      </c>
      <c r="CT12" s="140" t="s">
        <v>344</v>
      </c>
      <c r="CU12" s="140" t="s">
        <v>344</v>
      </c>
      <c r="CV12" s="140" t="s">
        <v>344</v>
      </c>
      <c r="CW12" s="140" t="s">
        <v>344</v>
      </c>
      <c r="CX12" s="140" t="s">
        <v>344</v>
      </c>
      <c r="CY12" s="140" t="s">
        <v>343</v>
      </c>
      <c r="CZ12" s="140" t="s">
        <v>343</v>
      </c>
      <c r="DA12" s="140" t="s">
        <v>343</v>
      </c>
      <c r="DB12" s="140" t="s">
        <v>344</v>
      </c>
      <c r="DC12" s="140" t="s">
        <v>343</v>
      </c>
      <c r="DD12" s="140" t="s">
        <v>343</v>
      </c>
      <c r="DE12" s="140" t="s">
        <v>343</v>
      </c>
      <c r="DF12" s="140" t="s">
        <v>343</v>
      </c>
      <c r="DG12" s="140" t="s">
        <v>343</v>
      </c>
      <c r="DH12" s="140" t="s">
        <v>343</v>
      </c>
      <c r="DI12" s="140" t="s">
        <v>343</v>
      </c>
      <c r="DJ12" s="140" t="s">
        <v>343</v>
      </c>
      <c r="DK12" s="140" t="s">
        <v>343</v>
      </c>
      <c r="DL12" s="140" t="s">
        <v>343</v>
      </c>
      <c r="DM12" s="140" t="s">
        <v>343</v>
      </c>
      <c r="DN12" s="140" t="s">
        <v>343</v>
      </c>
      <c r="DO12" s="140" t="s">
        <v>343</v>
      </c>
      <c r="DP12" s="140" t="s">
        <v>343</v>
      </c>
      <c r="DQ12" s="140" t="s">
        <v>343</v>
      </c>
      <c r="DR12" s="140" t="s">
        <v>344</v>
      </c>
      <c r="DS12" s="140" t="s">
        <v>343</v>
      </c>
      <c r="DT12" s="140" t="s">
        <v>343</v>
      </c>
      <c r="DU12" s="140" t="s">
        <v>343</v>
      </c>
      <c r="DV12" s="140" t="s">
        <v>343</v>
      </c>
      <c r="DW12" s="140" t="s">
        <v>343</v>
      </c>
      <c r="DX12" s="140" t="s">
        <v>343</v>
      </c>
      <c r="DY12" s="140" t="s">
        <v>343</v>
      </c>
      <c r="DZ12" s="140" t="s">
        <v>344</v>
      </c>
      <c r="EA12" s="140" t="s">
        <v>344</v>
      </c>
      <c r="EB12" s="140" t="s">
        <v>344</v>
      </c>
      <c r="EC12" s="141" t="s">
        <v>343</v>
      </c>
      <c r="ED12" s="141" t="s">
        <v>344</v>
      </c>
      <c r="EE12" s="140" t="s">
        <v>344</v>
      </c>
      <c r="EF12" s="140" t="s">
        <v>344</v>
      </c>
      <c r="EG12" s="140" t="s">
        <v>344</v>
      </c>
      <c r="EH12" s="140" t="s">
        <v>344</v>
      </c>
      <c r="EI12" s="140" t="s">
        <v>344</v>
      </c>
      <c r="EJ12" s="140" t="s">
        <v>344</v>
      </c>
      <c r="EK12" s="140" t="s">
        <v>344</v>
      </c>
      <c r="EL12" s="140" t="s">
        <v>344</v>
      </c>
      <c r="EM12" s="140" t="s">
        <v>344</v>
      </c>
      <c r="EN12" s="140" t="s">
        <v>344</v>
      </c>
      <c r="EO12" s="140" t="s">
        <v>344</v>
      </c>
      <c r="EP12" s="140" t="s">
        <v>344</v>
      </c>
      <c r="EQ12" s="140" t="s">
        <v>344</v>
      </c>
      <c r="ER12" s="140" t="s">
        <v>344</v>
      </c>
      <c r="ES12" s="140" t="s">
        <v>344</v>
      </c>
      <c r="ET12" s="140" t="s">
        <v>344</v>
      </c>
      <c r="EU12" s="140" t="s">
        <v>344</v>
      </c>
      <c r="EV12" s="140" t="s">
        <v>344</v>
      </c>
      <c r="EW12" s="140" t="s">
        <v>343</v>
      </c>
      <c r="EX12" s="140" t="s">
        <v>343</v>
      </c>
      <c r="EY12" s="140" t="s">
        <v>343</v>
      </c>
      <c r="EZ12" s="140" t="s">
        <v>343</v>
      </c>
      <c r="FA12" s="140" t="s">
        <v>343</v>
      </c>
      <c r="FB12" s="140" t="s">
        <v>345</v>
      </c>
      <c r="FC12" s="140" t="s">
        <v>344</v>
      </c>
      <c r="FD12" s="140" t="s">
        <v>344</v>
      </c>
      <c r="FE12" s="140" t="s">
        <v>343</v>
      </c>
      <c r="FF12" s="140" t="s">
        <v>345</v>
      </c>
      <c r="FG12" s="140" t="s">
        <v>343</v>
      </c>
      <c r="FH12" s="140" t="s">
        <v>345</v>
      </c>
      <c r="FI12" s="140" t="s">
        <v>345</v>
      </c>
      <c r="FJ12" s="140"/>
      <c r="FK12" s="140"/>
      <c r="FL12" s="140"/>
      <c r="FM12" s="140"/>
      <c r="FN12" s="140"/>
      <c r="FO12" s="140"/>
      <c r="FP12" s="140"/>
      <c r="FQ12" s="140"/>
      <c r="FR12" s="140"/>
      <c r="FS12" s="140"/>
      <c r="FT12" s="140"/>
      <c r="FU12" s="140"/>
      <c r="FV12" s="140"/>
      <c r="FW12" s="140"/>
      <c r="FX12" s="140"/>
    </row>
    <row r="13" s="156" customFormat="true" ht="15" hidden="false" customHeight="false" outlineLevel="0" collapsed="false">
      <c r="A13" s="153" t="s">
        <v>346</v>
      </c>
      <c r="B13" s="153"/>
      <c r="C13" s="154" t="n">
        <v>0</v>
      </c>
      <c r="D13" s="154" t="n">
        <v>0</v>
      </c>
      <c r="E13" s="154" t="n">
        <v>0</v>
      </c>
      <c r="F13" s="154" t="n">
        <v>0</v>
      </c>
      <c r="G13" s="154" t="n">
        <v>0</v>
      </c>
      <c r="H13" s="154" t="n">
        <v>0</v>
      </c>
      <c r="I13" s="154" t="n">
        <v>0</v>
      </c>
      <c r="J13" s="154" t="n">
        <v>0</v>
      </c>
      <c r="K13" s="154" t="n">
        <v>0</v>
      </c>
      <c r="L13" s="154" t="n">
        <v>0</v>
      </c>
      <c r="M13" s="154" t="n">
        <v>0</v>
      </c>
      <c r="N13" s="154" t="n">
        <v>1</v>
      </c>
      <c r="O13" s="154" t="n">
        <v>0</v>
      </c>
      <c r="P13" s="154" t="n">
        <v>0</v>
      </c>
      <c r="Q13" s="154" t="n">
        <v>0</v>
      </c>
      <c r="R13" s="154" t="n">
        <v>0</v>
      </c>
      <c r="S13" s="154" t="n">
        <v>0</v>
      </c>
      <c r="T13" s="154" t="n">
        <v>0</v>
      </c>
      <c r="U13" s="154" t="n">
        <v>0</v>
      </c>
      <c r="V13" s="154" t="n">
        <v>0</v>
      </c>
      <c r="W13" s="154"/>
      <c r="X13" s="154"/>
      <c r="Y13" s="154" t="n">
        <v>0</v>
      </c>
      <c r="Z13" s="154" t="n">
        <v>0</v>
      </c>
      <c r="AA13" s="154" t="n">
        <v>0</v>
      </c>
      <c r="AB13" s="154" t="n">
        <v>0</v>
      </c>
      <c r="AC13" s="154" t="n">
        <v>0</v>
      </c>
      <c r="AD13" s="154" t="n">
        <v>0</v>
      </c>
      <c r="AE13" s="154" t="n">
        <v>0</v>
      </c>
      <c r="AF13" s="154" t="n">
        <v>1</v>
      </c>
      <c r="AG13" s="154" t="n">
        <v>1</v>
      </c>
      <c r="AH13" s="154" t="n">
        <v>1</v>
      </c>
      <c r="AI13" s="154" t="n">
        <v>1</v>
      </c>
      <c r="AJ13" s="154" t="n">
        <v>1</v>
      </c>
      <c r="AK13" s="154" t="n">
        <v>1</v>
      </c>
      <c r="AL13" s="154" t="n">
        <v>1</v>
      </c>
      <c r="AM13" s="154" t="n">
        <v>1</v>
      </c>
      <c r="AN13" s="154" t="n">
        <v>1</v>
      </c>
      <c r="AO13" s="154" t="n">
        <v>1</v>
      </c>
      <c r="AP13" s="154" t="n">
        <v>1</v>
      </c>
      <c r="AQ13" s="154" t="n">
        <v>0</v>
      </c>
      <c r="AR13" s="154" t="n">
        <v>0</v>
      </c>
      <c r="AS13" s="154" t="n">
        <v>0</v>
      </c>
      <c r="AT13" s="154" t="n">
        <v>0.04</v>
      </c>
      <c r="AU13" s="154" t="n">
        <v>1</v>
      </c>
      <c r="AV13" s="154" t="n">
        <v>1</v>
      </c>
      <c r="AW13" s="154" t="n">
        <v>1</v>
      </c>
      <c r="AX13" s="154" t="n">
        <v>0</v>
      </c>
      <c r="AY13" s="154" t="n">
        <v>1</v>
      </c>
      <c r="AZ13" s="154" t="n">
        <v>1</v>
      </c>
      <c r="BA13" s="154" t="n">
        <v>0.91</v>
      </c>
      <c r="BB13" s="154" t="n">
        <v>0.45</v>
      </c>
      <c r="BC13" s="154" t="n">
        <v>0.32</v>
      </c>
      <c r="BD13" s="154" t="n">
        <v>0.44</v>
      </c>
      <c r="BE13" s="154" t="n">
        <v>0.43</v>
      </c>
      <c r="BF13" s="155" t="n">
        <v>0</v>
      </c>
      <c r="BG13" s="155" t="n">
        <v>0</v>
      </c>
      <c r="BH13" s="154" t="n">
        <v>0.01</v>
      </c>
      <c r="BI13" s="154" t="n">
        <v>0.7</v>
      </c>
      <c r="BJ13" s="154" t="n">
        <v>1</v>
      </c>
      <c r="BK13" s="154" t="n">
        <v>1</v>
      </c>
      <c r="BL13" s="154" t="n">
        <v>0</v>
      </c>
      <c r="BM13" s="154" t="n">
        <v>0.01</v>
      </c>
      <c r="BN13" s="154" t="n">
        <v>0</v>
      </c>
      <c r="BO13" s="154" t="n">
        <v>0</v>
      </c>
      <c r="BP13" s="154" t="n">
        <v>0</v>
      </c>
      <c r="BQ13" s="154" t="n">
        <v>0</v>
      </c>
      <c r="BR13" s="154" t="n">
        <v>0</v>
      </c>
      <c r="BS13" s="154" t="n">
        <v>0</v>
      </c>
      <c r="BT13" s="154" t="n">
        <v>0</v>
      </c>
      <c r="BU13" s="154" t="n">
        <v>1</v>
      </c>
      <c r="BV13" s="154" t="n">
        <v>0.15</v>
      </c>
      <c r="BW13" s="154" t="n">
        <v>0</v>
      </c>
      <c r="BX13" s="154" t="n">
        <v>0.01</v>
      </c>
      <c r="BY13" s="154" t="n">
        <v>0.01</v>
      </c>
      <c r="BZ13" s="154" t="n">
        <v>0.03</v>
      </c>
      <c r="CA13" s="154" t="n">
        <v>1</v>
      </c>
      <c r="CB13" s="154" t="n">
        <v>1</v>
      </c>
      <c r="CC13" s="154" t="n">
        <v>0</v>
      </c>
      <c r="CD13" s="154" t="n">
        <v>0</v>
      </c>
      <c r="CE13" s="154" t="n">
        <v>0</v>
      </c>
      <c r="CF13" s="154" t="n">
        <v>0</v>
      </c>
      <c r="CG13" s="154" t="n">
        <v>0</v>
      </c>
      <c r="CH13" s="154" t="n">
        <v>1</v>
      </c>
      <c r="CI13" s="154" t="n">
        <v>0.79</v>
      </c>
      <c r="CJ13" s="154" t="n">
        <v>0.17</v>
      </c>
      <c r="CK13" s="156" t="n">
        <v>0.14</v>
      </c>
      <c r="CL13" s="156" t="n">
        <v>0</v>
      </c>
      <c r="CM13" s="156" t="n">
        <v>0</v>
      </c>
      <c r="CN13" s="156" t="n">
        <v>0</v>
      </c>
      <c r="CO13" s="154" t="n">
        <v>0</v>
      </c>
      <c r="CP13" s="154" t="n">
        <v>0</v>
      </c>
      <c r="CQ13" s="154" t="n">
        <v>1</v>
      </c>
      <c r="CR13" s="154" t="n">
        <v>1</v>
      </c>
      <c r="CS13" s="154" t="n">
        <v>1</v>
      </c>
      <c r="CT13" s="154" t="n">
        <v>1</v>
      </c>
      <c r="CU13" s="154" t="n">
        <v>1</v>
      </c>
      <c r="CV13" s="154" t="n">
        <v>1</v>
      </c>
      <c r="CW13" s="154" t="n">
        <v>1</v>
      </c>
      <c r="CX13" s="154" t="n">
        <v>1</v>
      </c>
      <c r="CY13" s="156" t="n">
        <v>0</v>
      </c>
      <c r="CZ13" s="154" t="n">
        <v>0</v>
      </c>
      <c r="DA13" s="154" t="n">
        <v>0</v>
      </c>
      <c r="DB13" s="154" t="n">
        <v>1</v>
      </c>
      <c r="DC13" s="154" t="n">
        <v>0</v>
      </c>
      <c r="DD13" s="154" t="n">
        <v>0</v>
      </c>
      <c r="DE13" s="154" t="n">
        <v>0</v>
      </c>
      <c r="DF13" s="154" t="n">
        <v>0</v>
      </c>
      <c r="DG13" s="154" t="n">
        <v>0</v>
      </c>
      <c r="DH13" s="154" t="n">
        <v>0</v>
      </c>
      <c r="DI13" s="154" t="n">
        <v>0</v>
      </c>
      <c r="DJ13" s="154" t="n">
        <v>0</v>
      </c>
      <c r="DK13" s="154" t="n">
        <v>0</v>
      </c>
      <c r="DL13" s="154" t="n">
        <v>0</v>
      </c>
      <c r="DM13" s="154" t="n">
        <v>0</v>
      </c>
      <c r="DN13" s="154" t="n">
        <v>0</v>
      </c>
      <c r="DO13" s="154" t="n">
        <v>0</v>
      </c>
      <c r="DP13" s="154" t="n">
        <v>0</v>
      </c>
      <c r="DQ13" s="154" t="n">
        <v>0</v>
      </c>
      <c r="DR13" s="154" t="n">
        <v>1</v>
      </c>
      <c r="DS13" s="154" t="n">
        <v>0</v>
      </c>
      <c r="DT13" s="154" t="n">
        <v>0</v>
      </c>
      <c r="DU13" s="154" t="n">
        <v>0</v>
      </c>
      <c r="DV13" s="154" t="n">
        <v>0</v>
      </c>
      <c r="DW13" s="154" t="n">
        <v>0</v>
      </c>
      <c r="DX13" s="154" t="n">
        <v>0</v>
      </c>
      <c r="DY13" s="154" t="n">
        <v>0</v>
      </c>
      <c r="DZ13" s="154" t="n">
        <v>1</v>
      </c>
      <c r="EA13" s="154" t="n">
        <v>1</v>
      </c>
      <c r="EB13" s="154" t="n">
        <v>1</v>
      </c>
      <c r="EC13" s="156" t="n">
        <v>0</v>
      </c>
      <c r="ED13" s="156" t="n">
        <v>1</v>
      </c>
      <c r="EE13" s="154" t="n">
        <v>1</v>
      </c>
      <c r="EF13" s="154" t="n">
        <v>1</v>
      </c>
      <c r="EG13" s="154" t="n">
        <v>1</v>
      </c>
      <c r="EH13" s="154" t="n">
        <v>1</v>
      </c>
      <c r="EI13" s="154" t="n">
        <v>1</v>
      </c>
      <c r="EJ13" s="154" t="n">
        <v>1</v>
      </c>
      <c r="EK13" s="154" t="n">
        <v>1</v>
      </c>
      <c r="EL13" s="154" t="n">
        <v>1</v>
      </c>
      <c r="EM13" s="154" t="n">
        <v>1</v>
      </c>
      <c r="EN13" s="154" t="n">
        <v>1</v>
      </c>
      <c r="EO13" s="154" t="n">
        <v>1</v>
      </c>
      <c r="EP13" s="154" t="n">
        <v>1</v>
      </c>
      <c r="EQ13" s="154" t="n">
        <v>1</v>
      </c>
      <c r="ER13" s="154" t="n">
        <v>1</v>
      </c>
      <c r="ES13" s="154" t="n">
        <v>1</v>
      </c>
      <c r="ET13" s="154" t="n">
        <v>1</v>
      </c>
      <c r="EU13" s="154" t="n">
        <v>1</v>
      </c>
      <c r="EV13" s="154" t="n">
        <v>1</v>
      </c>
      <c r="EW13" s="154" t="n">
        <v>0</v>
      </c>
      <c r="EX13" s="154" t="n">
        <v>0</v>
      </c>
      <c r="EY13" s="154" t="n">
        <v>0</v>
      </c>
      <c r="EZ13" s="154" t="n">
        <v>0</v>
      </c>
      <c r="FA13" s="154" t="n">
        <v>0</v>
      </c>
      <c r="FB13" s="154" t="n">
        <v>1</v>
      </c>
      <c r="FC13" s="154" t="n">
        <v>1</v>
      </c>
      <c r="FD13" s="154" t="n">
        <v>1</v>
      </c>
      <c r="FE13" s="154" t="n">
        <v>0</v>
      </c>
      <c r="FF13" s="154" t="n">
        <v>3.6E-006</v>
      </c>
      <c r="FG13" s="154" t="n">
        <v>0</v>
      </c>
      <c r="FH13" s="154" t="n">
        <v>8.79E-005</v>
      </c>
      <c r="FI13" s="154" t="n">
        <v>0</v>
      </c>
      <c r="FJ13" s="154"/>
      <c r="FK13" s="154"/>
      <c r="FL13" s="154"/>
      <c r="FM13" s="154"/>
      <c r="FN13" s="154"/>
      <c r="FO13" s="154"/>
      <c r="FP13" s="154"/>
      <c r="FQ13" s="154"/>
      <c r="FR13" s="154"/>
      <c r="FS13" s="154"/>
      <c r="FT13" s="154"/>
      <c r="FU13" s="154"/>
      <c r="FV13" s="154"/>
      <c r="FW13" s="154"/>
      <c r="FX13" s="154"/>
      <c r="FY13" s="157"/>
    </row>
    <row r="14" s="147" customFormat="true" ht="15" hidden="false" customHeight="false" outlineLevel="0" collapsed="false">
      <c r="A14" s="145" t="s">
        <v>347</v>
      </c>
      <c r="B14" s="146" t="s">
        <v>348</v>
      </c>
      <c r="C14" s="146" t="n">
        <v>30.28</v>
      </c>
      <c r="D14" s="146" t="n">
        <v>282.25</v>
      </c>
      <c r="E14" s="146" t="n">
        <v>53.84</v>
      </c>
      <c r="F14" s="146" t="n">
        <v>312.69</v>
      </c>
      <c r="G14" s="146" t="n">
        <v>53.87</v>
      </c>
      <c r="H14" s="146" t="n">
        <v>366.55</v>
      </c>
      <c r="I14" s="146" t="n">
        <v>388.76</v>
      </c>
      <c r="J14" s="146" t="n">
        <v>388.8</v>
      </c>
      <c r="K14" s="146" t="n">
        <v>388.79</v>
      </c>
      <c r="L14" s="146" t="n">
        <v>383.59</v>
      </c>
      <c r="M14" s="146" t="n">
        <v>384.04</v>
      </c>
      <c r="N14" s="146"/>
      <c r="O14" s="146" t="n">
        <v>390.2</v>
      </c>
      <c r="P14" s="146" t="n">
        <v>389.28</v>
      </c>
      <c r="Q14" s="146" t="n">
        <v>396.81</v>
      </c>
      <c r="R14" s="146" t="n">
        <v>337.65</v>
      </c>
      <c r="S14" s="146" t="n">
        <v>50.65</v>
      </c>
      <c r="T14" s="146" t="n">
        <v>49.76</v>
      </c>
      <c r="U14" s="146" t="n">
        <v>49.77</v>
      </c>
      <c r="V14" s="146" t="n">
        <v>287</v>
      </c>
      <c r="W14" s="146"/>
      <c r="X14" s="146"/>
      <c r="Y14" s="146" t="n">
        <v>452.85</v>
      </c>
      <c r="Z14" s="146" t="n">
        <v>461.92</v>
      </c>
      <c r="AA14" s="146" t="n">
        <v>1470.82</v>
      </c>
      <c r="AB14" s="146" t="n">
        <v>850.28</v>
      </c>
      <c r="AC14" s="146" t="n">
        <v>845.04</v>
      </c>
      <c r="AD14" s="146" t="n">
        <v>1338.07</v>
      </c>
      <c r="AE14" s="146" t="n">
        <v>1343.3</v>
      </c>
      <c r="AF14" s="146"/>
      <c r="AG14" s="146"/>
      <c r="AH14" s="146"/>
      <c r="AI14" s="146"/>
      <c r="AJ14" s="146"/>
      <c r="AK14" s="146"/>
      <c r="AL14" s="146"/>
      <c r="AM14" s="146"/>
      <c r="AN14" s="146"/>
      <c r="AO14" s="146"/>
      <c r="AP14" s="146"/>
      <c r="AQ14" s="146" t="n">
        <v>619.9</v>
      </c>
      <c r="AR14" s="146" t="n">
        <v>509.28</v>
      </c>
      <c r="AS14" s="146" t="n">
        <v>509.1</v>
      </c>
      <c r="AT14" s="146" t="n">
        <v>455.8</v>
      </c>
      <c r="AU14" s="146"/>
      <c r="AV14" s="146"/>
      <c r="AW14" s="146"/>
      <c r="AX14" s="146" t="n">
        <v>0.03</v>
      </c>
      <c r="AY14" s="146"/>
      <c r="AZ14" s="146" t="n">
        <v>0.01</v>
      </c>
      <c r="BA14" s="146" t="n">
        <v>1.73</v>
      </c>
      <c r="BB14" s="146" t="n">
        <v>14.95</v>
      </c>
      <c r="BC14" s="146" t="n">
        <v>18.13</v>
      </c>
      <c r="BD14" s="146" t="n">
        <v>17.4</v>
      </c>
      <c r="BE14" s="146" t="n">
        <v>17.98</v>
      </c>
      <c r="BF14" s="146" t="n">
        <v>11.52</v>
      </c>
      <c r="BG14" s="146" t="n">
        <v>16.36</v>
      </c>
      <c r="BH14" s="146" t="n">
        <v>6.4</v>
      </c>
      <c r="BI14" s="146" t="n">
        <v>2.31</v>
      </c>
      <c r="BJ14" s="146"/>
      <c r="BK14" s="146"/>
      <c r="BL14" s="146" t="n">
        <v>455.8</v>
      </c>
      <c r="BM14" s="146" t="n">
        <v>446.09</v>
      </c>
      <c r="BN14" s="146" t="n">
        <v>33.92</v>
      </c>
      <c r="BO14" s="146" t="n">
        <v>3.37</v>
      </c>
      <c r="BP14" s="146" t="n">
        <v>13.76</v>
      </c>
      <c r="BQ14" s="146" t="n">
        <v>13.76</v>
      </c>
      <c r="BR14" s="146" t="n">
        <v>13.75</v>
      </c>
      <c r="BS14" s="146" t="n">
        <v>2.52</v>
      </c>
      <c r="BT14" s="146" t="n">
        <v>11.24</v>
      </c>
      <c r="BU14" s="146"/>
      <c r="BV14" s="146" t="n">
        <v>8.85</v>
      </c>
      <c r="BW14" s="146" t="n">
        <v>447.55</v>
      </c>
      <c r="BX14" s="146" t="n">
        <v>442.83</v>
      </c>
      <c r="BY14" s="146" t="n">
        <v>454.91</v>
      </c>
      <c r="BZ14" s="146" t="n">
        <v>463.08</v>
      </c>
      <c r="CA14" s="146"/>
      <c r="CB14" s="146"/>
      <c r="CC14" s="146" t="n">
        <v>463.08</v>
      </c>
      <c r="CD14" s="146" t="n">
        <v>462.76</v>
      </c>
      <c r="CE14" s="146" t="n">
        <v>476.54</v>
      </c>
      <c r="CF14" s="146" t="n">
        <v>397.4</v>
      </c>
      <c r="CG14" s="146" t="n">
        <v>601.23</v>
      </c>
      <c r="CH14" s="146" t="n">
        <v>0</v>
      </c>
      <c r="CI14" s="146" t="n">
        <v>6.95</v>
      </c>
      <c r="CJ14" s="146" t="n">
        <v>26.58</v>
      </c>
      <c r="CK14" s="147" t="n">
        <v>27.05</v>
      </c>
      <c r="CL14" s="147" t="n">
        <v>22.2</v>
      </c>
      <c r="CM14" s="147" t="n">
        <v>22.19</v>
      </c>
      <c r="CN14" s="147" t="n">
        <v>10.75</v>
      </c>
      <c r="CO14" s="146" t="n">
        <v>11.46</v>
      </c>
      <c r="CP14" s="146" t="n">
        <v>4.85</v>
      </c>
      <c r="CQ14" s="146"/>
      <c r="CR14" s="146"/>
      <c r="CS14" s="146"/>
      <c r="CT14" s="146"/>
      <c r="CU14" s="146"/>
      <c r="CV14" s="146"/>
      <c r="CW14" s="146"/>
      <c r="CX14" s="146"/>
      <c r="CY14" s="146" t="n">
        <v>0.42</v>
      </c>
      <c r="CZ14" s="146" t="n">
        <v>414.21</v>
      </c>
      <c r="DA14" s="146" t="n">
        <v>413.21</v>
      </c>
      <c r="DB14" s="146"/>
      <c r="DC14" s="146" t="n">
        <v>93.22</v>
      </c>
      <c r="DD14" s="146" t="n">
        <v>82.83</v>
      </c>
      <c r="DE14" s="146" t="n">
        <v>82.65</v>
      </c>
      <c r="DF14" s="146" t="n">
        <v>76.51</v>
      </c>
      <c r="DG14" s="146" t="n">
        <v>6.14</v>
      </c>
      <c r="DH14" s="146" t="n">
        <v>5.75</v>
      </c>
      <c r="DI14" s="146" t="n">
        <v>5.75</v>
      </c>
      <c r="DJ14" s="146" t="n">
        <v>10.39</v>
      </c>
      <c r="DK14" s="146" t="n">
        <v>194.25</v>
      </c>
      <c r="DL14" s="146" t="n">
        <v>194.08</v>
      </c>
      <c r="DM14" s="146" t="n">
        <v>188.82</v>
      </c>
      <c r="DN14" s="146" t="n">
        <v>181.22</v>
      </c>
      <c r="DO14" s="146" t="n">
        <v>181.36</v>
      </c>
      <c r="DP14" s="146" t="n">
        <v>47.56</v>
      </c>
      <c r="DQ14" s="146" t="n">
        <v>47.55</v>
      </c>
      <c r="DR14" s="146"/>
      <c r="DS14" s="146" t="n">
        <v>41.25</v>
      </c>
      <c r="DT14" s="146" t="n">
        <v>41.14</v>
      </c>
      <c r="DU14" s="146" t="n">
        <v>36.87</v>
      </c>
      <c r="DV14" s="146" t="n">
        <v>5.12</v>
      </c>
      <c r="DW14" s="146" t="n">
        <v>5.12</v>
      </c>
      <c r="DX14" s="146" t="n">
        <v>31.34</v>
      </c>
      <c r="DY14" s="146" t="n">
        <v>35.41</v>
      </c>
      <c r="DZ14" s="146"/>
      <c r="EA14" s="146"/>
      <c r="EB14" s="146"/>
      <c r="EC14" s="147" t="n">
        <v>362.38</v>
      </c>
      <c r="EE14" s="146"/>
      <c r="EF14" s="146"/>
      <c r="EG14" s="146"/>
      <c r="EH14" s="146"/>
      <c r="EI14" s="146"/>
      <c r="EJ14" s="146"/>
      <c r="EK14" s="146"/>
      <c r="EL14" s="146"/>
      <c r="EM14" s="146"/>
      <c r="EN14" s="146"/>
      <c r="EO14" s="146"/>
      <c r="EP14" s="146"/>
      <c r="EQ14" s="146"/>
      <c r="ER14" s="146"/>
      <c r="ES14" s="146"/>
      <c r="ET14" s="146"/>
      <c r="EU14" s="146"/>
      <c r="EV14" s="146"/>
      <c r="EW14" s="146" t="n">
        <v>162.41</v>
      </c>
      <c r="EX14" s="146" t="n">
        <v>162.41</v>
      </c>
      <c r="EY14" s="146" t="n">
        <v>162.41</v>
      </c>
      <c r="EZ14" s="146" t="n">
        <v>162.5</v>
      </c>
      <c r="FA14" s="146" t="n">
        <v>162.5</v>
      </c>
      <c r="FB14" s="146" t="n">
        <v>0</v>
      </c>
      <c r="FC14" s="146"/>
      <c r="FD14" s="146"/>
      <c r="FE14" s="146" t="n">
        <v>0</v>
      </c>
      <c r="FF14" s="146" t="n">
        <v>0</v>
      </c>
      <c r="FG14" s="146" t="n">
        <v>161.93</v>
      </c>
      <c r="FH14" s="146" t="n">
        <v>161.92</v>
      </c>
      <c r="FI14" s="146" t="n">
        <v>176.57</v>
      </c>
      <c r="FJ14" s="146"/>
      <c r="FK14" s="146"/>
      <c r="FL14" s="146"/>
      <c r="FM14" s="146"/>
      <c r="FN14" s="146"/>
      <c r="FO14" s="146"/>
      <c r="FP14" s="146"/>
      <c r="FQ14" s="146"/>
      <c r="FR14" s="146"/>
      <c r="FS14" s="146"/>
      <c r="FT14" s="146"/>
      <c r="FU14" s="146"/>
      <c r="FV14" s="146"/>
      <c r="FW14" s="146"/>
      <c r="FX14" s="146"/>
    </row>
    <row r="15" s="147" customFormat="true" ht="15" hidden="false" customHeight="false" outlineLevel="0" collapsed="false">
      <c r="A15" s="145" t="s">
        <v>349</v>
      </c>
      <c r="B15" s="146" t="s">
        <v>348</v>
      </c>
      <c r="C15" s="146" t="n">
        <v>28.16</v>
      </c>
      <c r="D15" s="146" t="n">
        <v>260.38</v>
      </c>
      <c r="E15" s="146" t="n">
        <v>50.92</v>
      </c>
      <c r="F15" s="146" t="n">
        <v>288.57</v>
      </c>
      <c r="G15" s="146" t="n">
        <v>50.92</v>
      </c>
      <c r="H15" s="146" t="n">
        <v>339.49</v>
      </c>
      <c r="I15" s="146" t="n">
        <v>339.49</v>
      </c>
      <c r="J15" s="146" t="n">
        <v>339.49</v>
      </c>
      <c r="K15" s="146" t="n">
        <v>339.49</v>
      </c>
      <c r="L15" s="146" t="n">
        <v>339.49</v>
      </c>
      <c r="M15" s="146" t="n">
        <v>339.49</v>
      </c>
      <c r="N15" s="146"/>
      <c r="O15" s="146" t="n">
        <v>344.24</v>
      </c>
      <c r="P15" s="146" t="n">
        <v>304.3</v>
      </c>
      <c r="Q15" s="146" t="n">
        <v>344.46</v>
      </c>
      <c r="R15" s="146" t="n">
        <v>304.3</v>
      </c>
      <c r="S15" s="146" t="n">
        <v>45.65</v>
      </c>
      <c r="T15" s="146" t="n">
        <v>45.65</v>
      </c>
      <c r="U15" s="146" t="n">
        <v>45.65</v>
      </c>
      <c r="V15" s="146" t="n">
        <v>258.66</v>
      </c>
      <c r="W15" s="146"/>
      <c r="X15" s="146"/>
      <c r="Y15" s="146" t="n">
        <v>346.52</v>
      </c>
      <c r="Z15" s="146" t="n">
        <v>346.52</v>
      </c>
      <c r="AA15" s="146" t="n">
        <v>869.32</v>
      </c>
      <c r="AB15" s="146" t="n">
        <v>502.81</v>
      </c>
      <c r="AC15" s="146" t="n">
        <v>502.81</v>
      </c>
      <c r="AD15" s="146" t="n">
        <v>846.45</v>
      </c>
      <c r="AE15" s="146" t="n">
        <v>851.69</v>
      </c>
      <c r="AF15" s="146"/>
      <c r="AG15" s="146"/>
      <c r="AH15" s="146"/>
      <c r="AI15" s="146"/>
      <c r="AJ15" s="146"/>
      <c r="AK15" s="146"/>
      <c r="AL15" s="146"/>
      <c r="AM15" s="146"/>
      <c r="AN15" s="146"/>
      <c r="AO15" s="146"/>
      <c r="AP15" s="146"/>
      <c r="AQ15" s="146" t="n">
        <v>366.51</v>
      </c>
      <c r="AR15" s="146" t="n">
        <v>363.48</v>
      </c>
      <c r="AS15" s="146" t="n">
        <v>363.33</v>
      </c>
      <c r="AT15" s="146" t="n">
        <v>344.71</v>
      </c>
      <c r="AU15" s="146"/>
      <c r="AV15" s="146"/>
      <c r="AW15" s="146"/>
      <c r="AX15" s="146" t="n">
        <v>0.02</v>
      </c>
      <c r="AY15" s="146"/>
      <c r="AZ15" s="146" t="n">
        <v>0.01</v>
      </c>
      <c r="BA15" s="146" t="n">
        <v>1.43</v>
      </c>
      <c r="BB15" s="146" t="n">
        <v>13.2</v>
      </c>
      <c r="BC15" s="146" t="n">
        <v>16.79</v>
      </c>
      <c r="BD15" s="146" t="n">
        <v>16.19</v>
      </c>
      <c r="BE15" s="146" t="n">
        <v>16.88</v>
      </c>
      <c r="BF15" s="146" t="n">
        <v>11.3</v>
      </c>
      <c r="BG15" s="146" t="n">
        <v>16.05</v>
      </c>
      <c r="BH15" s="146" t="n">
        <v>6.2</v>
      </c>
      <c r="BI15" s="146" t="n">
        <v>1.71</v>
      </c>
      <c r="BJ15" s="146"/>
      <c r="BK15" s="146"/>
      <c r="BL15" s="146" t="n">
        <v>344.71</v>
      </c>
      <c r="BM15" s="146" t="n">
        <v>340.85</v>
      </c>
      <c r="BN15" s="146" t="n">
        <v>32.47</v>
      </c>
      <c r="BO15" s="146" t="n">
        <v>3.14</v>
      </c>
      <c r="BP15" s="146" t="n">
        <v>12.91</v>
      </c>
      <c r="BQ15" s="146" t="n">
        <v>12.91</v>
      </c>
      <c r="BR15" s="146" t="n">
        <v>12.91</v>
      </c>
      <c r="BS15" s="146" t="n">
        <v>2.37</v>
      </c>
      <c r="BT15" s="146" t="n">
        <v>10.55</v>
      </c>
      <c r="BU15" s="146"/>
      <c r="BV15" s="146" t="n">
        <v>6.89</v>
      </c>
      <c r="BW15" s="146" t="n">
        <v>346.51</v>
      </c>
      <c r="BX15" s="146" t="n">
        <v>342.71</v>
      </c>
      <c r="BY15" s="146" t="n">
        <v>339.78</v>
      </c>
      <c r="BZ15" s="146" t="n">
        <v>335.25</v>
      </c>
      <c r="CA15" s="146"/>
      <c r="CB15" s="146"/>
      <c r="CC15" s="146" t="n">
        <v>335.25</v>
      </c>
      <c r="CD15" s="146" t="n">
        <v>335.25</v>
      </c>
      <c r="CE15" s="146" t="n">
        <v>334.45</v>
      </c>
      <c r="CF15" s="146" t="n">
        <v>304.3</v>
      </c>
      <c r="CG15" s="146" t="n">
        <v>366.51</v>
      </c>
      <c r="CH15" s="146" t="n">
        <v>0</v>
      </c>
      <c r="CI15" s="146" t="n">
        <v>5.54</v>
      </c>
      <c r="CJ15" s="146" t="n">
        <v>24.04</v>
      </c>
      <c r="CK15" s="147" t="n">
        <v>25.03</v>
      </c>
      <c r="CL15" s="147" t="n">
        <v>21.44</v>
      </c>
      <c r="CM15" s="147" t="n">
        <v>21.44</v>
      </c>
      <c r="CN15" s="147" t="n">
        <v>10.38</v>
      </c>
      <c r="CO15" s="146" t="n">
        <v>11.06</v>
      </c>
      <c r="CP15" s="146" t="n">
        <v>4.75</v>
      </c>
      <c r="CQ15" s="146"/>
      <c r="CR15" s="146"/>
      <c r="CS15" s="146"/>
      <c r="CT15" s="146"/>
      <c r="CU15" s="146"/>
      <c r="CV15" s="146"/>
      <c r="CW15" s="146"/>
      <c r="CX15" s="146"/>
      <c r="CY15" s="146" t="n">
        <v>0.38</v>
      </c>
      <c r="CZ15" s="146" t="n">
        <v>304.3</v>
      </c>
      <c r="DA15" s="146" t="n">
        <v>304.3</v>
      </c>
      <c r="DB15" s="146"/>
      <c r="DC15" s="146" t="n">
        <v>80.79</v>
      </c>
      <c r="DD15" s="146" t="n">
        <v>75.38</v>
      </c>
      <c r="DE15" s="146" t="n">
        <v>75.38</v>
      </c>
      <c r="DF15" s="146" t="n">
        <v>69.78</v>
      </c>
      <c r="DG15" s="146" t="n">
        <v>5.6</v>
      </c>
      <c r="DH15" s="146" t="n">
        <v>5.6</v>
      </c>
      <c r="DI15" s="146" t="n">
        <v>5.6</v>
      </c>
      <c r="DJ15" s="146" t="n">
        <v>9.77</v>
      </c>
      <c r="DK15" s="146" t="n">
        <v>153.3</v>
      </c>
      <c r="DL15" s="146" t="n">
        <v>153.3</v>
      </c>
      <c r="DM15" s="146" t="n">
        <v>153.3</v>
      </c>
      <c r="DN15" s="146" t="n">
        <v>153.3</v>
      </c>
      <c r="DO15" s="146" t="n">
        <v>153.29</v>
      </c>
      <c r="DP15" s="146" t="n">
        <v>37.51</v>
      </c>
      <c r="DQ15" s="146" t="n">
        <v>37.51</v>
      </c>
      <c r="DR15" s="146"/>
      <c r="DS15" s="146" t="n">
        <v>33.12</v>
      </c>
      <c r="DT15" s="146" t="n">
        <v>33.12</v>
      </c>
      <c r="DU15" s="146" t="n">
        <v>33.12</v>
      </c>
      <c r="DV15" s="146" t="n">
        <v>4.97</v>
      </c>
      <c r="DW15" s="146" t="n">
        <v>4.97</v>
      </c>
      <c r="DX15" s="146" t="n">
        <v>28.15</v>
      </c>
      <c r="DY15" s="146" t="n">
        <v>32.47</v>
      </c>
      <c r="DZ15" s="146"/>
      <c r="EA15" s="146"/>
      <c r="EB15" s="146"/>
      <c r="EC15" s="147" t="n">
        <v>304.3</v>
      </c>
      <c r="EE15" s="146"/>
      <c r="EF15" s="146"/>
      <c r="EG15" s="146"/>
      <c r="EH15" s="146"/>
      <c r="EI15" s="146"/>
      <c r="EJ15" s="146"/>
      <c r="EK15" s="146"/>
      <c r="EL15" s="146"/>
      <c r="EM15" s="146"/>
      <c r="EN15" s="146"/>
      <c r="EO15" s="146"/>
      <c r="EP15" s="146"/>
      <c r="EQ15" s="146"/>
      <c r="ER15" s="146"/>
      <c r="ES15" s="146"/>
      <c r="ET15" s="146"/>
      <c r="EU15" s="146"/>
      <c r="EV15" s="146"/>
      <c r="EW15" s="146" t="n">
        <v>159.44</v>
      </c>
      <c r="EX15" s="146" t="n">
        <v>159.44</v>
      </c>
      <c r="EY15" s="146" t="n">
        <v>159.44</v>
      </c>
      <c r="EZ15" s="146" t="n">
        <v>159.44</v>
      </c>
      <c r="FA15" s="146" t="n">
        <v>159.44</v>
      </c>
      <c r="FB15" s="146" t="n">
        <v>0</v>
      </c>
      <c r="FC15" s="146"/>
      <c r="FD15" s="146"/>
      <c r="FE15" s="146" t="n">
        <v>0</v>
      </c>
      <c r="FF15" s="146" t="n">
        <v>0</v>
      </c>
      <c r="FG15" s="146" t="n">
        <v>158.04</v>
      </c>
      <c r="FH15" s="146" t="n">
        <v>158.03</v>
      </c>
      <c r="FI15" s="146" t="n">
        <v>169.71</v>
      </c>
      <c r="FJ15" s="146"/>
      <c r="FK15" s="146"/>
      <c r="FL15" s="146"/>
      <c r="FM15" s="146"/>
      <c r="FN15" s="146"/>
      <c r="FO15" s="146"/>
      <c r="FP15" s="146"/>
      <c r="FQ15" s="146"/>
      <c r="FR15" s="146"/>
      <c r="FS15" s="146"/>
      <c r="FT15" s="146"/>
      <c r="FU15" s="146"/>
      <c r="FV15" s="146"/>
      <c r="FW15" s="146"/>
      <c r="FX15" s="146"/>
    </row>
    <row r="16" s="144" customFormat="true" ht="15" hidden="false" customHeight="false" outlineLevel="0" collapsed="false">
      <c r="A16" s="142" t="s">
        <v>350</v>
      </c>
      <c r="B16" s="143" t="s">
        <v>351</v>
      </c>
      <c r="C16" s="143" t="n">
        <v>880.95</v>
      </c>
      <c r="D16" s="143" t="n">
        <v>837.63</v>
      </c>
      <c r="E16" s="143" t="n">
        <v>862.28</v>
      </c>
      <c r="F16" s="143" t="n">
        <v>841.4</v>
      </c>
      <c r="G16" s="143" t="n">
        <v>861.9</v>
      </c>
      <c r="H16" s="143" t="n">
        <v>844.42</v>
      </c>
      <c r="I16" s="143" t="n">
        <v>796.18</v>
      </c>
      <c r="J16" s="143" t="n">
        <v>796.1</v>
      </c>
      <c r="K16" s="143" t="n">
        <v>796.12</v>
      </c>
      <c r="L16" s="143" t="n">
        <v>806.91</v>
      </c>
      <c r="M16" s="143" t="n">
        <v>805.96</v>
      </c>
      <c r="N16" s="143"/>
      <c r="O16" s="143" t="n">
        <v>793.98</v>
      </c>
      <c r="P16" s="143" t="n">
        <v>690.85</v>
      </c>
      <c r="Q16" s="143" t="n">
        <v>780.79</v>
      </c>
      <c r="R16" s="143" t="n">
        <v>796.5</v>
      </c>
      <c r="S16" s="143" t="n">
        <v>796.5</v>
      </c>
      <c r="T16" s="143" t="n">
        <v>810.68</v>
      </c>
      <c r="U16" s="143" t="n">
        <v>810.57</v>
      </c>
      <c r="V16" s="143" t="n">
        <v>796.5</v>
      </c>
      <c r="W16" s="143"/>
      <c r="X16" s="143"/>
      <c r="Y16" s="143" t="n">
        <v>684.49</v>
      </c>
      <c r="Z16" s="143" t="n">
        <v>671.05</v>
      </c>
      <c r="AA16" s="143" t="n">
        <v>504.16</v>
      </c>
      <c r="AB16" s="143" t="n">
        <v>504.42</v>
      </c>
      <c r="AC16" s="143" t="n">
        <v>507.54</v>
      </c>
      <c r="AD16" s="143" t="n">
        <v>552.19</v>
      </c>
      <c r="AE16" s="143" t="n">
        <v>550.25</v>
      </c>
      <c r="AF16" s="143"/>
      <c r="AG16" s="143"/>
      <c r="AH16" s="143"/>
      <c r="AI16" s="143"/>
      <c r="AJ16" s="143"/>
      <c r="AK16" s="143"/>
      <c r="AL16" s="143"/>
      <c r="AM16" s="143"/>
      <c r="AN16" s="143"/>
      <c r="AO16" s="143"/>
      <c r="AP16" s="143"/>
      <c r="AQ16" s="143" t="n">
        <v>504.32</v>
      </c>
      <c r="AR16" s="143" t="n">
        <v>611.62</v>
      </c>
      <c r="AS16" s="143" t="n">
        <v>611.71</v>
      </c>
      <c r="AT16" s="143" t="n">
        <v>658.27</v>
      </c>
      <c r="AU16" s="143"/>
      <c r="AV16" s="143"/>
      <c r="AW16" s="143"/>
      <c r="AX16" s="143" t="n">
        <v>915.82</v>
      </c>
      <c r="AY16" s="143"/>
      <c r="AZ16" s="143" t="n">
        <v>658.2</v>
      </c>
      <c r="BA16" s="143" t="n">
        <v>684.78</v>
      </c>
      <c r="BB16" s="143" t="n">
        <v>866.02</v>
      </c>
      <c r="BC16" s="143" t="n">
        <v>876.08</v>
      </c>
      <c r="BD16" s="143" t="n">
        <v>884.36</v>
      </c>
      <c r="BE16" s="143" t="n">
        <v>885.03</v>
      </c>
      <c r="BF16" s="143" t="n">
        <v>981.69</v>
      </c>
      <c r="BG16" s="143" t="n">
        <v>982.03</v>
      </c>
      <c r="BH16" s="143" t="n">
        <v>713.58</v>
      </c>
      <c r="BI16" s="143" t="n">
        <v>597.33</v>
      </c>
      <c r="BJ16" s="143"/>
      <c r="BK16" s="143"/>
      <c r="BL16" s="143" t="n">
        <v>658.27</v>
      </c>
      <c r="BM16" s="143" t="n">
        <v>666.44</v>
      </c>
      <c r="BN16" s="143" t="n">
        <v>956.14</v>
      </c>
      <c r="BO16" s="143" t="n">
        <v>945.65</v>
      </c>
      <c r="BP16" s="143" t="n">
        <v>951.87</v>
      </c>
      <c r="BQ16" s="143" t="n">
        <v>951.87</v>
      </c>
      <c r="BR16" s="143" t="n">
        <v>952.44</v>
      </c>
      <c r="BS16" s="143" t="n">
        <v>951.28</v>
      </c>
      <c r="BT16" s="143" t="n">
        <v>952.37</v>
      </c>
      <c r="BU16" s="143"/>
      <c r="BV16" s="143" t="n">
        <v>625.81</v>
      </c>
      <c r="BW16" s="143" t="n">
        <v>672.14</v>
      </c>
      <c r="BX16" s="143" t="n">
        <v>674.5</v>
      </c>
      <c r="BY16" s="143" t="n">
        <v>651.88</v>
      </c>
      <c r="BZ16" s="143" t="n">
        <v>632.75</v>
      </c>
      <c r="CA16" s="143"/>
      <c r="CB16" s="143"/>
      <c r="CC16" s="143" t="n">
        <v>632.75</v>
      </c>
      <c r="CD16" s="143" t="n">
        <v>633.2</v>
      </c>
      <c r="CE16" s="143" t="n">
        <v>613.66</v>
      </c>
      <c r="CF16" s="143" t="n">
        <v>676.74</v>
      </c>
      <c r="CG16" s="143" t="n">
        <v>519.37</v>
      </c>
      <c r="CH16" s="143" t="n">
        <v>604.68</v>
      </c>
      <c r="CI16" s="143" t="n">
        <v>704.93</v>
      </c>
      <c r="CJ16" s="143" t="n">
        <v>724.67</v>
      </c>
      <c r="CK16" s="144" t="n">
        <v>737.51</v>
      </c>
      <c r="CL16" s="144" t="n">
        <v>683.77</v>
      </c>
      <c r="CM16" s="144" t="n">
        <v>684.03</v>
      </c>
      <c r="CN16" s="144" t="n">
        <v>683.42</v>
      </c>
      <c r="CO16" s="143" t="n">
        <v>683.31</v>
      </c>
      <c r="CP16" s="143" t="n">
        <v>982.78</v>
      </c>
      <c r="CQ16" s="143"/>
      <c r="CR16" s="143"/>
      <c r="CS16" s="143"/>
      <c r="CT16" s="143"/>
      <c r="CU16" s="143"/>
      <c r="CV16" s="143"/>
      <c r="CW16" s="143"/>
      <c r="CX16" s="143"/>
      <c r="CY16" s="143" t="n">
        <v>915.82</v>
      </c>
      <c r="CZ16" s="143" t="n">
        <v>649.28</v>
      </c>
      <c r="DA16" s="143" t="n">
        <v>650.85</v>
      </c>
      <c r="DB16" s="143"/>
      <c r="DC16" s="143" t="n">
        <v>695.34</v>
      </c>
      <c r="DD16" s="143" t="n">
        <v>662.92</v>
      </c>
      <c r="DE16" s="143" t="n">
        <v>664.36</v>
      </c>
      <c r="DF16" s="143" t="n">
        <v>664.35</v>
      </c>
      <c r="DG16" s="143" t="n">
        <v>664.36</v>
      </c>
      <c r="DH16" s="143" t="n">
        <v>709.47</v>
      </c>
      <c r="DI16" s="143" t="n">
        <v>709.28</v>
      </c>
      <c r="DJ16" s="143" t="n">
        <v>954.26</v>
      </c>
      <c r="DK16" s="143" t="n">
        <v>643.5</v>
      </c>
      <c r="DL16" s="143" t="n">
        <v>644.06</v>
      </c>
      <c r="DM16" s="143" t="n">
        <v>662</v>
      </c>
      <c r="DN16" s="143" t="n">
        <v>689.76</v>
      </c>
      <c r="DO16" s="143" t="n">
        <v>689.25</v>
      </c>
      <c r="DP16" s="143" t="n">
        <v>643.12</v>
      </c>
      <c r="DQ16" s="143" t="n">
        <v>643.13</v>
      </c>
      <c r="DR16" s="143"/>
      <c r="DS16" s="143" t="n">
        <v>657.22</v>
      </c>
      <c r="DT16" s="143" t="n">
        <v>658.97</v>
      </c>
      <c r="DU16" s="143" t="n">
        <v>735.34</v>
      </c>
      <c r="DV16" s="143" t="n">
        <v>794.55</v>
      </c>
      <c r="DW16" s="143" t="n">
        <v>794.45</v>
      </c>
      <c r="DX16" s="143" t="n">
        <v>735.3</v>
      </c>
      <c r="DY16" s="143" t="n">
        <v>915.82</v>
      </c>
      <c r="DZ16" s="143"/>
      <c r="EA16" s="143"/>
      <c r="EB16" s="143"/>
      <c r="EC16" s="144" t="n">
        <v>742.13</v>
      </c>
      <c r="EE16" s="143"/>
      <c r="EF16" s="143"/>
      <c r="EG16" s="143"/>
      <c r="EH16" s="143"/>
      <c r="EI16" s="143"/>
      <c r="EJ16" s="143"/>
      <c r="EK16" s="143"/>
      <c r="EL16" s="143"/>
      <c r="EM16" s="143"/>
      <c r="EN16" s="143"/>
      <c r="EO16" s="143"/>
      <c r="EP16" s="143"/>
      <c r="EQ16" s="143"/>
      <c r="ER16" s="143"/>
      <c r="ES16" s="143"/>
      <c r="ET16" s="143"/>
      <c r="EU16" s="143"/>
      <c r="EV16" s="143"/>
      <c r="EW16" s="143" t="n">
        <v>1009.82</v>
      </c>
      <c r="EX16" s="143" t="n">
        <v>1009.82</v>
      </c>
      <c r="EY16" s="143" t="n">
        <v>1009.82</v>
      </c>
      <c r="EZ16" s="143" t="n">
        <v>1009.26</v>
      </c>
      <c r="FA16" s="143" t="n">
        <v>1009.26</v>
      </c>
      <c r="FB16" s="143" t="n">
        <v>984.43</v>
      </c>
      <c r="FC16" s="143"/>
      <c r="FD16" s="143"/>
      <c r="FE16" s="143" t="n">
        <v>984.45</v>
      </c>
      <c r="FF16" s="143" t="n">
        <v>983.57</v>
      </c>
      <c r="FG16" s="143" t="n">
        <v>1046.65</v>
      </c>
      <c r="FH16" s="143" t="n">
        <v>1046.64</v>
      </c>
      <c r="FI16" s="143" t="n">
        <v>965.06</v>
      </c>
      <c r="FJ16" s="143"/>
      <c r="FK16" s="143"/>
      <c r="FL16" s="143"/>
      <c r="FM16" s="143"/>
      <c r="FN16" s="143"/>
      <c r="FO16" s="143"/>
      <c r="FP16" s="143"/>
      <c r="FQ16" s="143"/>
      <c r="FR16" s="143"/>
      <c r="FS16" s="143"/>
      <c r="FT16" s="143"/>
      <c r="FU16" s="143"/>
      <c r="FV16" s="143"/>
      <c r="FW16" s="143"/>
      <c r="FX16" s="143"/>
    </row>
    <row r="17" s="144" customFormat="true" ht="15" hidden="false" customHeight="false" outlineLevel="0" collapsed="false">
      <c r="A17" s="142" t="s">
        <v>352</v>
      </c>
      <c r="B17" s="143" t="s">
        <v>351</v>
      </c>
      <c r="C17" s="143" t="n">
        <v>947.36</v>
      </c>
      <c r="D17" s="143" t="n">
        <v>907.99</v>
      </c>
      <c r="E17" s="143" t="n">
        <v>911.73</v>
      </c>
      <c r="F17" s="143" t="n">
        <v>911.73</v>
      </c>
      <c r="G17" s="143" t="n">
        <v>911.73</v>
      </c>
      <c r="H17" s="143" t="n">
        <v>911.73</v>
      </c>
      <c r="I17" s="143" t="n">
        <v>911.73</v>
      </c>
      <c r="J17" s="143" t="n">
        <v>911.73</v>
      </c>
      <c r="K17" s="143" t="n">
        <v>911.73</v>
      </c>
      <c r="L17" s="143" t="n">
        <v>911.73</v>
      </c>
      <c r="M17" s="143" t="n">
        <v>911.73</v>
      </c>
      <c r="N17" s="143"/>
      <c r="O17" s="143" t="n">
        <v>899.97</v>
      </c>
      <c r="P17" s="143" t="n">
        <v>883.77</v>
      </c>
      <c r="Q17" s="143" t="n">
        <v>899.43</v>
      </c>
      <c r="R17" s="143" t="n">
        <v>883.77</v>
      </c>
      <c r="S17" s="143" t="n">
        <v>883.77</v>
      </c>
      <c r="T17" s="143" t="n">
        <v>883.77</v>
      </c>
      <c r="U17" s="143" t="n">
        <v>883.77</v>
      </c>
      <c r="V17" s="143" t="n">
        <v>883.77</v>
      </c>
      <c r="W17" s="143"/>
      <c r="X17" s="143"/>
      <c r="Y17" s="143" t="n">
        <v>894.52</v>
      </c>
      <c r="Z17" s="143" t="n">
        <v>894.52</v>
      </c>
      <c r="AA17" s="143" t="n">
        <v>853</v>
      </c>
      <c r="AB17" s="143" t="n">
        <v>853</v>
      </c>
      <c r="AC17" s="143" t="n">
        <v>853</v>
      </c>
      <c r="AD17" s="143" t="n">
        <v>872.9</v>
      </c>
      <c r="AE17" s="143" t="n">
        <v>867.86</v>
      </c>
      <c r="AF17" s="143"/>
      <c r="AG17" s="143"/>
      <c r="AH17" s="143"/>
      <c r="AI17" s="143"/>
      <c r="AJ17" s="143"/>
      <c r="AK17" s="143"/>
      <c r="AL17" s="143"/>
      <c r="AM17" s="143"/>
      <c r="AN17" s="143"/>
      <c r="AO17" s="143"/>
      <c r="AP17" s="143"/>
      <c r="AQ17" s="143" t="n">
        <v>853</v>
      </c>
      <c r="AR17" s="143" t="n">
        <v>856.95</v>
      </c>
      <c r="AS17" s="143" t="n">
        <v>857.13</v>
      </c>
      <c r="AT17" s="143" t="n">
        <v>870.43</v>
      </c>
      <c r="AU17" s="143"/>
      <c r="AV17" s="143"/>
      <c r="AW17" s="143"/>
      <c r="AX17" s="143" t="n">
        <v>998.86</v>
      </c>
      <c r="AY17" s="143"/>
      <c r="AZ17" s="143" t="n">
        <v>871.28</v>
      </c>
      <c r="BA17" s="143" t="n">
        <v>828.25</v>
      </c>
      <c r="BB17" s="143" t="n">
        <v>981.1</v>
      </c>
      <c r="BC17" s="143" t="n">
        <v>945.83</v>
      </c>
      <c r="BD17" s="143" t="n">
        <v>950.69</v>
      </c>
      <c r="BE17" s="143" t="n">
        <v>942.52</v>
      </c>
      <c r="BF17" s="143" t="n">
        <v>1000.81</v>
      </c>
      <c r="BG17" s="143" t="n">
        <v>1001.05</v>
      </c>
      <c r="BH17" s="143" t="n">
        <v>736.49</v>
      </c>
      <c r="BI17" s="143" t="n">
        <v>805.63</v>
      </c>
      <c r="BJ17" s="143"/>
      <c r="BK17" s="143"/>
      <c r="BL17" s="143" t="n">
        <v>870.43</v>
      </c>
      <c r="BM17" s="143" t="n">
        <v>872.19</v>
      </c>
      <c r="BN17" s="143" t="n">
        <v>998.86</v>
      </c>
      <c r="BO17" s="143" t="n">
        <v>1014.39</v>
      </c>
      <c r="BP17" s="143" t="n">
        <v>1014.39</v>
      </c>
      <c r="BQ17" s="143" t="n">
        <v>1014.39</v>
      </c>
      <c r="BR17" s="143" t="n">
        <v>1014.39</v>
      </c>
      <c r="BS17" s="143" t="n">
        <v>1014.39</v>
      </c>
      <c r="BT17" s="143" t="n">
        <v>1014.39</v>
      </c>
      <c r="BU17" s="143"/>
      <c r="BV17" s="143" t="n">
        <v>804.67</v>
      </c>
      <c r="BW17" s="143" t="n">
        <v>868.14</v>
      </c>
      <c r="BX17" s="143" t="n">
        <v>871.56</v>
      </c>
      <c r="BY17" s="143" t="n">
        <v>872.76</v>
      </c>
      <c r="BZ17" s="143" t="n">
        <v>874.03</v>
      </c>
      <c r="CA17" s="143"/>
      <c r="CB17" s="143"/>
      <c r="CC17" s="143" t="n">
        <v>874.03</v>
      </c>
      <c r="CD17" s="143" t="n">
        <v>874.03</v>
      </c>
      <c r="CE17" s="143" t="n">
        <v>874.39</v>
      </c>
      <c r="CF17" s="143" t="n">
        <v>883.77</v>
      </c>
      <c r="CG17" s="143" t="n">
        <v>853</v>
      </c>
      <c r="CH17" s="143" t="n">
        <v>739.48</v>
      </c>
      <c r="CI17" s="143" t="n">
        <v>884.08</v>
      </c>
      <c r="CJ17" s="143" t="n">
        <v>800.81</v>
      </c>
      <c r="CK17" s="144" t="n">
        <v>796.95</v>
      </c>
      <c r="CL17" s="144" t="n">
        <v>708.19</v>
      </c>
      <c r="CM17" s="144" t="n">
        <v>708.19</v>
      </c>
      <c r="CN17" s="144" t="n">
        <v>708.19</v>
      </c>
      <c r="CO17" s="143" t="n">
        <v>708.19</v>
      </c>
      <c r="CP17" s="143" t="n">
        <v>1001.55</v>
      </c>
      <c r="CQ17" s="143"/>
      <c r="CR17" s="143"/>
      <c r="CS17" s="143"/>
      <c r="CT17" s="143"/>
      <c r="CU17" s="143"/>
      <c r="CV17" s="143"/>
      <c r="CW17" s="143"/>
      <c r="CX17" s="143"/>
      <c r="CY17" s="143" t="n">
        <v>998.86</v>
      </c>
      <c r="CZ17" s="143" t="n">
        <v>883.77</v>
      </c>
      <c r="DA17" s="143" t="n">
        <v>883.77</v>
      </c>
      <c r="DB17" s="143"/>
      <c r="DC17" s="143" t="n">
        <v>802.31</v>
      </c>
      <c r="DD17" s="143" t="n">
        <v>728.41</v>
      </c>
      <c r="DE17" s="143" t="n">
        <v>728.41</v>
      </c>
      <c r="DF17" s="143" t="n">
        <v>728.41</v>
      </c>
      <c r="DG17" s="143" t="n">
        <v>728.41</v>
      </c>
      <c r="DH17" s="143" t="n">
        <v>728.41</v>
      </c>
      <c r="DI17" s="143" t="n">
        <v>728.41</v>
      </c>
      <c r="DJ17" s="143" t="n">
        <v>1014.39</v>
      </c>
      <c r="DK17" s="143" t="n">
        <v>815.42</v>
      </c>
      <c r="DL17" s="143" t="n">
        <v>815.42</v>
      </c>
      <c r="DM17" s="143" t="n">
        <v>815.42</v>
      </c>
      <c r="DN17" s="143" t="n">
        <v>815.42</v>
      </c>
      <c r="DO17" s="143" t="n">
        <v>815.42</v>
      </c>
      <c r="DP17" s="143" t="n">
        <v>815.42</v>
      </c>
      <c r="DQ17" s="143" t="n">
        <v>815.42</v>
      </c>
      <c r="DR17" s="143"/>
      <c r="DS17" s="143" t="n">
        <v>818.54</v>
      </c>
      <c r="DT17" s="143" t="n">
        <v>818.54</v>
      </c>
      <c r="DU17" s="143" t="n">
        <v>818.54</v>
      </c>
      <c r="DV17" s="143" t="n">
        <v>818.54</v>
      </c>
      <c r="DW17" s="143" t="n">
        <v>818.54</v>
      </c>
      <c r="DX17" s="143" t="n">
        <v>818.54</v>
      </c>
      <c r="DY17" s="143" t="n">
        <v>998.86</v>
      </c>
      <c r="DZ17" s="143"/>
      <c r="EA17" s="143"/>
      <c r="EB17" s="143"/>
      <c r="EC17" s="144" t="n">
        <v>883.77</v>
      </c>
      <c r="EE17" s="143"/>
      <c r="EF17" s="143"/>
      <c r="EG17" s="143"/>
      <c r="EH17" s="143"/>
      <c r="EI17" s="143"/>
      <c r="EJ17" s="143"/>
      <c r="EK17" s="143"/>
      <c r="EL17" s="143"/>
      <c r="EM17" s="143"/>
      <c r="EN17" s="143"/>
      <c r="EO17" s="143"/>
      <c r="EP17" s="143"/>
      <c r="EQ17" s="143"/>
      <c r="ER17" s="143"/>
      <c r="ES17" s="143"/>
      <c r="ET17" s="143"/>
      <c r="EU17" s="143"/>
      <c r="EV17" s="143"/>
      <c r="EW17" s="143" t="n">
        <v>1028.62</v>
      </c>
      <c r="EX17" s="143" t="n">
        <v>1028.62</v>
      </c>
      <c r="EY17" s="143" t="n">
        <v>1028.62</v>
      </c>
      <c r="EZ17" s="143" t="n">
        <v>1028.62</v>
      </c>
      <c r="FA17" s="143" t="n">
        <v>1028.62</v>
      </c>
      <c r="FB17" s="143" t="n">
        <v>1014.21</v>
      </c>
      <c r="FC17" s="143"/>
      <c r="FD17" s="143"/>
      <c r="FE17" s="143" t="n">
        <v>1014.21</v>
      </c>
      <c r="FF17" s="143" t="n">
        <v>1014.25</v>
      </c>
      <c r="FG17" s="143" t="n">
        <v>1072.41</v>
      </c>
      <c r="FH17" s="143" t="n">
        <v>1072.39</v>
      </c>
      <c r="FI17" s="143" t="n">
        <v>997.34</v>
      </c>
      <c r="FJ17" s="143"/>
      <c r="FK17" s="143"/>
      <c r="FL17" s="143"/>
      <c r="FM17" s="143"/>
      <c r="FN17" s="143"/>
      <c r="FO17" s="143"/>
      <c r="FP17" s="143"/>
      <c r="FQ17" s="143"/>
      <c r="FR17" s="143"/>
      <c r="FS17" s="143"/>
      <c r="FT17" s="143"/>
      <c r="FU17" s="143"/>
      <c r="FV17" s="143"/>
      <c r="FW17" s="143"/>
      <c r="FX17" s="143"/>
    </row>
    <row r="18" s="147" customFormat="true" ht="15" hidden="false" customHeight="false" outlineLevel="0" collapsed="false">
      <c r="A18" s="145" t="s">
        <v>353</v>
      </c>
      <c r="B18" s="146"/>
      <c r="C18" s="146" t="n">
        <v>17.72</v>
      </c>
      <c r="D18" s="146" t="n">
        <v>24.19</v>
      </c>
      <c r="E18" s="146" t="n">
        <v>23.55</v>
      </c>
      <c r="F18" s="146" t="n">
        <v>23.55</v>
      </c>
      <c r="G18" s="146" t="n">
        <v>23.55</v>
      </c>
      <c r="H18" s="146" t="n">
        <v>23.55</v>
      </c>
      <c r="I18" s="146" t="n">
        <v>23.55</v>
      </c>
      <c r="J18" s="146" t="n">
        <v>23.55</v>
      </c>
      <c r="K18" s="146" t="n">
        <v>23.55</v>
      </c>
      <c r="L18" s="146" t="n">
        <v>23.55</v>
      </c>
      <c r="M18" s="146" t="n">
        <v>23.55</v>
      </c>
      <c r="N18" s="146"/>
      <c r="O18" s="146" t="n">
        <v>25.57</v>
      </c>
      <c r="P18" s="146" t="n">
        <v>28.45</v>
      </c>
      <c r="Q18" s="146" t="n">
        <v>25.67</v>
      </c>
      <c r="R18" s="146" t="n">
        <v>28.45</v>
      </c>
      <c r="S18" s="146" t="n">
        <v>28.45</v>
      </c>
      <c r="T18" s="146" t="n">
        <v>28.45</v>
      </c>
      <c r="U18" s="146" t="n">
        <v>28.45</v>
      </c>
      <c r="V18" s="146" t="n">
        <v>28.45</v>
      </c>
      <c r="W18" s="146"/>
      <c r="X18" s="146"/>
      <c r="Y18" s="146" t="n">
        <v>26.53</v>
      </c>
      <c r="Z18" s="146" t="n">
        <v>26.53</v>
      </c>
      <c r="AA18" s="146" t="n">
        <v>34.22</v>
      </c>
      <c r="AB18" s="146" t="n">
        <v>34.22</v>
      </c>
      <c r="AC18" s="146" t="n">
        <v>34.22</v>
      </c>
      <c r="AD18" s="146" t="n">
        <v>30.44</v>
      </c>
      <c r="AE18" s="146" t="n">
        <v>31.39</v>
      </c>
      <c r="AF18" s="146"/>
      <c r="AG18" s="146"/>
      <c r="AH18" s="146"/>
      <c r="AI18" s="146"/>
      <c r="AJ18" s="146"/>
      <c r="AK18" s="146"/>
      <c r="AL18" s="146"/>
      <c r="AM18" s="146"/>
      <c r="AN18" s="146"/>
      <c r="AO18" s="146"/>
      <c r="AP18" s="146"/>
      <c r="AQ18" s="146" t="n">
        <v>34.22</v>
      </c>
      <c r="AR18" s="146" t="n">
        <v>33.46</v>
      </c>
      <c r="AS18" s="146" t="n">
        <v>33.42</v>
      </c>
      <c r="AT18" s="146" t="n">
        <v>30.9</v>
      </c>
      <c r="AU18" s="146"/>
      <c r="AV18" s="146"/>
      <c r="AW18" s="146"/>
      <c r="AX18" s="146" t="n">
        <v>10.02</v>
      </c>
      <c r="AY18" s="146"/>
      <c r="AZ18" s="146" t="n">
        <v>30.75</v>
      </c>
      <c r="BA18" s="146" t="n">
        <v>39.17</v>
      </c>
      <c r="BB18" s="146" t="n">
        <v>12.58</v>
      </c>
      <c r="BC18" s="146" t="n">
        <v>17.96</v>
      </c>
      <c r="BD18" s="146" t="n">
        <v>17.19</v>
      </c>
      <c r="BE18" s="146" t="n">
        <v>18.48</v>
      </c>
      <c r="BF18" s="146" t="n">
        <v>9.75</v>
      </c>
      <c r="BG18" s="146" t="n">
        <v>9.71</v>
      </c>
      <c r="BH18" s="146" t="n">
        <v>60.44</v>
      </c>
      <c r="BI18" s="146" t="n">
        <v>43.97</v>
      </c>
      <c r="BJ18" s="146"/>
      <c r="BK18" s="146"/>
      <c r="BL18" s="146" t="n">
        <v>30.9</v>
      </c>
      <c r="BM18" s="146" t="n">
        <v>30.58</v>
      </c>
      <c r="BN18" s="146" t="n">
        <v>10.02</v>
      </c>
      <c r="BO18" s="146" t="n">
        <v>7.86</v>
      </c>
      <c r="BP18" s="146" t="n">
        <v>7.86</v>
      </c>
      <c r="BQ18" s="146" t="n">
        <v>7.86</v>
      </c>
      <c r="BR18" s="146" t="n">
        <v>7.86</v>
      </c>
      <c r="BS18" s="146" t="n">
        <v>7.86</v>
      </c>
      <c r="BT18" s="146" t="n">
        <v>7.86</v>
      </c>
      <c r="BU18" s="146"/>
      <c r="BV18" s="146" t="n">
        <v>44.18</v>
      </c>
      <c r="BW18" s="146" t="n">
        <v>31.33</v>
      </c>
      <c r="BX18" s="146" t="n">
        <v>30.69</v>
      </c>
      <c r="BY18" s="146" t="n">
        <v>30.47</v>
      </c>
      <c r="BZ18" s="146" t="n">
        <v>30.23</v>
      </c>
      <c r="CA18" s="146"/>
      <c r="CB18" s="146"/>
      <c r="CC18" s="146" t="n">
        <v>30.23</v>
      </c>
      <c r="CD18" s="146" t="n">
        <v>30.23</v>
      </c>
      <c r="CE18" s="146" t="n">
        <v>30.17</v>
      </c>
      <c r="CF18" s="146" t="n">
        <v>28.45</v>
      </c>
      <c r="CG18" s="146" t="n">
        <v>34.22</v>
      </c>
      <c r="CH18" s="146" t="n">
        <v>59.66</v>
      </c>
      <c r="CI18" s="146" t="n">
        <v>28.4</v>
      </c>
      <c r="CJ18" s="146" t="n">
        <v>45.02</v>
      </c>
      <c r="CK18" s="147" t="n">
        <v>45.88</v>
      </c>
      <c r="CL18" s="147" t="n">
        <v>68.11</v>
      </c>
      <c r="CM18" s="147" t="n">
        <v>68.11</v>
      </c>
      <c r="CN18" s="147" t="n">
        <v>68.11</v>
      </c>
      <c r="CO18" s="146" t="n">
        <v>68.11</v>
      </c>
      <c r="CP18" s="146" t="n">
        <v>9.64</v>
      </c>
      <c r="CQ18" s="146"/>
      <c r="CR18" s="146"/>
      <c r="CS18" s="146"/>
      <c r="CT18" s="146"/>
      <c r="CU18" s="146"/>
      <c r="CV18" s="146"/>
      <c r="CW18" s="146"/>
      <c r="CX18" s="146"/>
      <c r="CY18" s="146" t="n">
        <v>10.02</v>
      </c>
      <c r="CZ18" s="146" t="n">
        <v>28.45</v>
      </c>
      <c r="DA18" s="146" t="n">
        <v>28.45</v>
      </c>
      <c r="DB18" s="146"/>
      <c r="DC18" s="146" t="n">
        <v>44.69</v>
      </c>
      <c r="DD18" s="146" t="n">
        <v>62.57</v>
      </c>
      <c r="DE18" s="146" t="n">
        <v>62.57</v>
      </c>
      <c r="DF18" s="146" t="n">
        <v>62.57</v>
      </c>
      <c r="DG18" s="146" t="n">
        <v>62.57</v>
      </c>
      <c r="DH18" s="146" t="n">
        <v>62.57</v>
      </c>
      <c r="DI18" s="146" t="n">
        <v>62.57</v>
      </c>
      <c r="DJ18" s="146" t="n">
        <v>7.86</v>
      </c>
      <c r="DK18" s="146" t="n">
        <v>41.86</v>
      </c>
      <c r="DL18" s="146" t="n">
        <v>41.86</v>
      </c>
      <c r="DM18" s="146" t="n">
        <v>41.86</v>
      </c>
      <c r="DN18" s="146" t="n">
        <v>41.86</v>
      </c>
      <c r="DO18" s="146" t="n">
        <v>41.86</v>
      </c>
      <c r="DP18" s="146" t="n">
        <v>41.86</v>
      </c>
      <c r="DQ18" s="146" t="n">
        <v>41.86</v>
      </c>
      <c r="DR18" s="146"/>
      <c r="DS18" s="146" t="n">
        <v>41.2</v>
      </c>
      <c r="DT18" s="146" t="n">
        <v>41.2</v>
      </c>
      <c r="DU18" s="146" t="n">
        <v>41.2</v>
      </c>
      <c r="DV18" s="146" t="n">
        <v>41.2</v>
      </c>
      <c r="DW18" s="146" t="n">
        <v>41.2</v>
      </c>
      <c r="DX18" s="146" t="n">
        <v>41.2</v>
      </c>
      <c r="DY18" s="146" t="n">
        <v>10.02</v>
      </c>
      <c r="DZ18" s="146"/>
      <c r="EA18" s="146"/>
      <c r="EB18" s="146"/>
      <c r="EC18" s="147" t="n">
        <v>28.45</v>
      </c>
      <c r="EE18" s="146"/>
      <c r="EF18" s="146"/>
      <c r="EG18" s="146"/>
      <c r="EH18" s="146"/>
      <c r="EI18" s="146"/>
      <c r="EJ18" s="146"/>
      <c r="EK18" s="146"/>
      <c r="EL18" s="146"/>
      <c r="EM18" s="146"/>
      <c r="EN18" s="146"/>
      <c r="EO18" s="146"/>
      <c r="EP18" s="146"/>
      <c r="EQ18" s="146"/>
      <c r="ER18" s="146"/>
      <c r="ES18" s="146"/>
      <c r="ET18" s="146"/>
      <c r="EU18" s="146"/>
      <c r="EV18" s="146"/>
      <c r="EW18" s="146" t="n">
        <v>5.93</v>
      </c>
      <c r="EX18" s="146" t="n">
        <v>5.93</v>
      </c>
      <c r="EY18" s="146" t="n">
        <v>5.93</v>
      </c>
      <c r="EZ18" s="146" t="n">
        <v>5.93</v>
      </c>
      <c r="FA18" s="146" t="n">
        <v>5.93</v>
      </c>
      <c r="FB18" s="146" t="n">
        <v>7.88</v>
      </c>
      <c r="FC18" s="146"/>
      <c r="FD18" s="146"/>
      <c r="FE18" s="146" t="n">
        <v>7.88</v>
      </c>
      <c r="FF18" s="146" t="n">
        <v>7.87</v>
      </c>
      <c r="FG18" s="146" t="n">
        <v>0.32</v>
      </c>
      <c r="FH18" s="146" t="n">
        <v>0.32</v>
      </c>
      <c r="FI18" s="146" t="n">
        <v>10.24</v>
      </c>
      <c r="FJ18" s="146"/>
      <c r="FK18" s="146"/>
      <c r="FL18" s="146"/>
      <c r="FM18" s="146"/>
      <c r="FN18" s="146"/>
      <c r="FO18" s="146"/>
      <c r="FP18" s="146"/>
      <c r="FQ18" s="146"/>
      <c r="FR18" s="146"/>
      <c r="FS18" s="146"/>
      <c r="FT18" s="146"/>
      <c r="FU18" s="146"/>
      <c r="FV18" s="146"/>
      <c r="FW18" s="146"/>
      <c r="FX18" s="146"/>
    </row>
    <row r="19" s="160" customFormat="true" ht="15" hidden="false" customHeight="false" outlineLevel="0" collapsed="false">
      <c r="A19" s="158" t="s">
        <v>354</v>
      </c>
      <c r="B19" s="159" t="s">
        <v>355</v>
      </c>
      <c r="C19" s="159" t="n">
        <v>6.44</v>
      </c>
      <c r="D19" s="159" t="n">
        <v>3.55</v>
      </c>
      <c r="E19" s="159" t="n">
        <v>8.36</v>
      </c>
      <c r="F19" s="159" t="n">
        <v>3.75</v>
      </c>
      <c r="G19" s="159" t="n">
        <v>8.32</v>
      </c>
      <c r="H19" s="159" t="n">
        <v>4.26</v>
      </c>
      <c r="I19" s="159" t="n">
        <v>0.9</v>
      </c>
      <c r="J19" s="159" t="n">
        <v>0.9</v>
      </c>
      <c r="K19" s="159" t="n">
        <v>0.9</v>
      </c>
      <c r="L19" s="159" t="n">
        <v>0.88</v>
      </c>
      <c r="M19" s="159" t="n">
        <v>0.87</v>
      </c>
      <c r="N19" s="159"/>
      <c r="O19" s="159" t="n">
        <v>0.79</v>
      </c>
      <c r="P19" s="159" t="n">
        <v>0.21</v>
      </c>
      <c r="Q19" s="159" t="n">
        <v>0.6</v>
      </c>
      <c r="R19" s="159" t="n">
        <v>1.54</v>
      </c>
      <c r="S19" s="159" t="n">
        <v>1.54</v>
      </c>
      <c r="T19" s="159" t="n">
        <v>2.38</v>
      </c>
      <c r="U19" s="159" t="n">
        <v>2.38</v>
      </c>
      <c r="V19" s="159" t="n">
        <v>1.54</v>
      </c>
      <c r="W19" s="159" t="n">
        <v>4.26</v>
      </c>
      <c r="X19" s="159" t="n">
        <v>4.26</v>
      </c>
      <c r="Y19" s="159" t="n">
        <v>0.11</v>
      </c>
      <c r="Z19" s="159" t="n">
        <v>0.08</v>
      </c>
      <c r="AA19" s="159" t="n">
        <v>0.05</v>
      </c>
      <c r="AB19" s="159" t="n">
        <v>0.05</v>
      </c>
      <c r="AC19" s="159" t="n">
        <v>0.05</v>
      </c>
      <c r="AD19" s="159" t="n">
        <v>0.06</v>
      </c>
      <c r="AE19" s="159" t="n">
        <v>0.06</v>
      </c>
      <c r="AF19" s="159"/>
      <c r="AG19" s="159"/>
      <c r="AH19" s="159"/>
      <c r="AI19" s="159"/>
      <c r="AJ19" s="159"/>
      <c r="AK19" s="159"/>
      <c r="AL19" s="159"/>
      <c r="AM19" s="159"/>
      <c r="AN19" s="159"/>
      <c r="AO19" s="159"/>
      <c r="AP19" s="159"/>
      <c r="AQ19" s="159" t="n">
        <v>0.05</v>
      </c>
      <c r="AR19" s="159" t="n">
        <v>0.14</v>
      </c>
      <c r="AS19" s="159" t="n">
        <v>0.14</v>
      </c>
      <c r="AT19" s="159" t="n">
        <v>0.18</v>
      </c>
      <c r="AU19" s="159"/>
      <c r="AV19" s="159"/>
      <c r="AW19" s="159"/>
      <c r="AX19" s="159" t="n">
        <v>0.18</v>
      </c>
      <c r="AY19" s="159"/>
      <c r="AZ19" s="159" t="n">
        <v>0.17</v>
      </c>
      <c r="BA19" s="159" t="n">
        <v>0.32</v>
      </c>
      <c r="BB19" s="159" t="n">
        <v>0.29</v>
      </c>
      <c r="BC19" s="159" t="n">
        <v>1.34</v>
      </c>
      <c r="BD19" s="159" t="n">
        <v>0.96</v>
      </c>
      <c r="BE19" s="159" t="n">
        <v>1.62</v>
      </c>
      <c r="BF19" s="159" t="n">
        <v>0.63</v>
      </c>
      <c r="BG19" s="159" t="n">
        <v>0.63</v>
      </c>
      <c r="BH19" s="159" t="n">
        <v>0.47</v>
      </c>
      <c r="BI19" s="159" t="n">
        <v>0.15</v>
      </c>
      <c r="BJ19" s="159"/>
      <c r="BK19" s="159"/>
      <c r="BL19" s="159" t="n">
        <v>0.18</v>
      </c>
      <c r="BM19" s="159" t="n">
        <v>0.18</v>
      </c>
      <c r="BN19" s="159" t="n">
        <v>0.27</v>
      </c>
      <c r="BO19" s="159" t="n">
        <v>0.27</v>
      </c>
      <c r="BP19" s="159" t="n">
        <v>0.29</v>
      </c>
      <c r="BQ19" s="159" t="n">
        <v>0.29</v>
      </c>
      <c r="BR19" s="159" t="n">
        <v>0.29</v>
      </c>
      <c r="BS19" s="159" t="n">
        <v>0.29</v>
      </c>
      <c r="BT19" s="159" t="n">
        <v>0.29</v>
      </c>
      <c r="BU19" s="159"/>
      <c r="BV19" s="159" t="n">
        <v>0.18</v>
      </c>
      <c r="BW19" s="159" t="n">
        <v>0.2</v>
      </c>
      <c r="BX19" s="159" t="n">
        <v>0.19</v>
      </c>
      <c r="BY19" s="159" t="n">
        <v>0.14</v>
      </c>
      <c r="BZ19" s="159" t="n">
        <v>0.11</v>
      </c>
      <c r="CA19" s="159"/>
      <c r="CB19" s="159"/>
      <c r="CC19" s="159" t="n">
        <v>0.11</v>
      </c>
      <c r="CD19" s="159" t="n">
        <v>0.11</v>
      </c>
      <c r="CE19" s="159" t="n">
        <v>0.09</v>
      </c>
      <c r="CF19" s="159" t="n">
        <v>0.17</v>
      </c>
      <c r="CG19" s="159" t="n">
        <v>0.05</v>
      </c>
      <c r="CH19" s="159" t="n">
        <v>0.16</v>
      </c>
      <c r="CI19" s="159" t="n">
        <v>0.53</v>
      </c>
      <c r="CJ19" s="159" t="n">
        <v>0.51</v>
      </c>
      <c r="CK19" s="160" t="n">
        <v>0.56</v>
      </c>
      <c r="CL19" s="160" t="n">
        <v>0.29</v>
      </c>
      <c r="CM19" s="160" t="n">
        <v>0.29</v>
      </c>
      <c r="CN19" s="160" t="n">
        <v>0.29</v>
      </c>
      <c r="CO19" s="159" t="n">
        <v>0.29</v>
      </c>
      <c r="CP19" s="159" t="n">
        <v>0.64</v>
      </c>
      <c r="CQ19" s="159"/>
      <c r="CR19" s="159"/>
      <c r="CS19" s="159"/>
      <c r="CT19" s="159"/>
      <c r="CU19" s="159"/>
      <c r="CV19" s="159"/>
      <c r="CW19" s="159"/>
      <c r="CX19" s="159"/>
      <c r="CY19" s="159" t="n">
        <v>0.18</v>
      </c>
      <c r="CZ19" s="159" t="n">
        <v>0.12</v>
      </c>
      <c r="DA19" s="159" t="n">
        <v>0.12</v>
      </c>
      <c r="DB19" s="159"/>
      <c r="DC19" s="159" t="n">
        <v>0.39</v>
      </c>
      <c r="DD19" s="159" t="n">
        <v>0.26</v>
      </c>
      <c r="DE19" s="159" t="n">
        <v>0.26</v>
      </c>
      <c r="DF19" s="159" t="n">
        <v>0.26</v>
      </c>
      <c r="DG19" s="159" t="n">
        <v>0.26</v>
      </c>
      <c r="DH19" s="159" t="n">
        <v>0.42</v>
      </c>
      <c r="DI19" s="159" t="n">
        <v>0.42</v>
      </c>
      <c r="DJ19" s="159" t="n">
        <v>0.3</v>
      </c>
      <c r="DK19" s="159" t="n">
        <v>0.22</v>
      </c>
      <c r="DL19" s="159" t="n">
        <v>0.22</v>
      </c>
      <c r="DM19" s="159" t="n">
        <v>0.26</v>
      </c>
      <c r="DN19" s="159" t="n">
        <v>0.34</v>
      </c>
      <c r="DO19" s="159" t="n">
        <v>0.34</v>
      </c>
      <c r="DP19" s="159" t="n">
        <v>0.22</v>
      </c>
      <c r="DQ19" s="159" t="n">
        <v>0.22</v>
      </c>
      <c r="DR19" s="159"/>
      <c r="DS19" s="159" t="n">
        <v>0.25</v>
      </c>
      <c r="DT19" s="159" t="n">
        <v>0.25</v>
      </c>
      <c r="DU19" s="159" t="n">
        <v>0.59</v>
      </c>
      <c r="DV19" s="159" t="n">
        <v>1.75</v>
      </c>
      <c r="DW19" s="159" t="n">
        <v>1.75</v>
      </c>
      <c r="DX19" s="159" t="n">
        <v>0.59</v>
      </c>
      <c r="DY19" s="159" t="n">
        <v>0.18</v>
      </c>
      <c r="DZ19" s="159"/>
      <c r="EA19" s="159"/>
      <c r="EB19" s="159"/>
      <c r="EC19" s="160" t="n">
        <v>0.46</v>
      </c>
      <c r="EE19" s="159"/>
      <c r="EF19" s="159"/>
      <c r="EG19" s="159"/>
      <c r="EH19" s="159"/>
      <c r="EI19" s="159"/>
      <c r="EJ19" s="159"/>
      <c r="EK19" s="159"/>
      <c r="EL19" s="159"/>
      <c r="EM19" s="159"/>
      <c r="EN19" s="159"/>
      <c r="EO19" s="159"/>
      <c r="EP19" s="159"/>
      <c r="EQ19" s="159"/>
      <c r="ER19" s="159"/>
      <c r="ES19" s="159"/>
      <c r="ET19" s="159"/>
      <c r="EU19" s="159"/>
      <c r="EV19" s="159"/>
      <c r="EW19" s="159" t="n">
        <v>1.32</v>
      </c>
      <c r="EX19" s="159" t="n">
        <v>1.32</v>
      </c>
      <c r="EY19" s="159" t="n">
        <v>1.32</v>
      </c>
      <c r="EZ19" s="159" t="n">
        <v>1.3</v>
      </c>
      <c r="FA19" s="159" t="n">
        <v>1.3</v>
      </c>
      <c r="FB19" s="159" t="n">
        <v>0.49</v>
      </c>
      <c r="FC19" s="159"/>
      <c r="FD19" s="159"/>
      <c r="FE19" s="159" t="n">
        <v>0.49</v>
      </c>
      <c r="FF19" s="159" t="n">
        <v>0.49</v>
      </c>
      <c r="FG19" s="159" t="n">
        <v>1.1</v>
      </c>
      <c r="FH19" s="159" t="n">
        <v>1.1</v>
      </c>
      <c r="FI19" s="159" t="n">
        <v>0.8</v>
      </c>
      <c r="FJ19" s="159"/>
      <c r="FK19" s="159"/>
      <c r="FL19" s="159"/>
      <c r="FM19" s="159"/>
      <c r="FN19" s="159"/>
      <c r="FO19" s="159"/>
      <c r="FP19" s="159"/>
      <c r="FQ19" s="159"/>
      <c r="FR19" s="159"/>
      <c r="FS19" s="159"/>
      <c r="FT19" s="159"/>
      <c r="FU19" s="159"/>
      <c r="FV19" s="159"/>
      <c r="FW19" s="159"/>
      <c r="FX19" s="159"/>
    </row>
    <row r="20" s="147" customFormat="true" ht="15" hidden="false" customHeight="false" outlineLevel="0" collapsed="false">
      <c r="A20" s="145" t="s">
        <v>356</v>
      </c>
      <c r="B20" s="146" t="s">
        <v>357</v>
      </c>
      <c r="C20" s="146" t="n">
        <v>26.89</v>
      </c>
      <c r="D20" s="146" t="n">
        <v>24.7</v>
      </c>
      <c r="E20" s="146" t="n">
        <v>26.85</v>
      </c>
      <c r="F20" s="146" t="n">
        <v>24.9</v>
      </c>
      <c r="G20" s="146" t="n">
        <v>26.84</v>
      </c>
      <c r="H20" s="146" t="n">
        <v>25.18</v>
      </c>
      <c r="I20" s="146" t="n">
        <v>20.81</v>
      </c>
      <c r="J20" s="146" t="n">
        <v>20.81</v>
      </c>
      <c r="K20" s="146" t="n">
        <v>20.81</v>
      </c>
      <c r="L20" s="146" t="n">
        <v>20.68</v>
      </c>
      <c r="M20" s="146" t="n">
        <v>20.65</v>
      </c>
      <c r="N20" s="146"/>
      <c r="O20" s="146" t="n">
        <v>17.51</v>
      </c>
      <c r="P20" s="146" t="n">
        <v>13.42</v>
      </c>
      <c r="Q20" s="146" t="n">
        <v>16.43</v>
      </c>
      <c r="R20" s="146" t="n">
        <v>22.24</v>
      </c>
      <c r="S20" s="146" t="n">
        <v>22.24</v>
      </c>
      <c r="T20" s="146" t="n">
        <v>23.52</v>
      </c>
      <c r="U20" s="146" t="n">
        <v>23.52</v>
      </c>
      <c r="V20" s="146" t="n">
        <v>22.24</v>
      </c>
      <c r="W20" s="146"/>
      <c r="X20" s="146"/>
      <c r="Y20" s="146" t="n">
        <v>9.59</v>
      </c>
      <c r="Z20" s="146" t="n">
        <v>8.83</v>
      </c>
      <c r="AA20" s="146" t="n">
        <v>2.94</v>
      </c>
      <c r="AB20" s="146" t="n">
        <v>2.94</v>
      </c>
      <c r="AC20" s="146" t="n">
        <v>2.93</v>
      </c>
      <c r="AD20" s="146" t="n">
        <v>4.79</v>
      </c>
      <c r="AE20" s="146" t="n">
        <v>4.61</v>
      </c>
      <c r="AF20" s="146"/>
      <c r="AG20" s="146"/>
      <c r="AH20" s="146"/>
      <c r="AI20" s="146"/>
      <c r="AJ20" s="146"/>
      <c r="AK20" s="146"/>
      <c r="AL20" s="146"/>
      <c r="AM20" s="146"/>
      <c r="AN20" s="146"/>
      <c r="AO20" s="146"/>
      <c r="AP20" s="146"/>
      <c r="AQ20" s="146" t="n">
        <v>2.94</v>
      </c>
      <c r="AR20" s="146" t="n">
        <v>7.16</v>
      </c>
      <c r="AS20" s="146" t="n">
        <v>7.18</v>
      </c>
      <c r="AT20" s="146" t="n">
        <v>10.26</v>
      </c>
      <c r="AU20" s="146"/>
      <c r="AV20" s="146"/>
      <c r="AW20" s="146"/>
      <c r="AX20" s="146" t="n">
        <v>48.26</v>
      </c>
      <c r="AY20" s="146"/>
      <c r="AZ20" s="146" t="n">
        <v>10.24</v>
      </c>
      <c r="BA20" s="146" t="n">
        <v>11.95</v>
      </c>
      <c r="BB20" s="146"/>
      <c r="BC20" s="146"/>
      <c r="BD20" s="146"/>
      <c r="BE20" s="146"/>
      <c r="BF20" s="146" t="n">
        <v>67.38</v>
      </c>
      <c r="BG20" s="146" t="n">
        <v>67.42</v>
      </c>
      <c r="BH20" s="146" t="n">
        <v>15.84</v>
      </c>
      <c r="BI20" s="146" t="n">
        <v>7.1</v>
      </c>
      <c r="BJ20" s="146"/>
      <c r="BK20" s="146"/>
      <c r="BL20" s="146" t="n">
        <v>10.26</v>
      </c>
      <c r="BM20" s="146" t="n">
        <v>11.05</v>
      </c>
      <c r="BN20" s="146" t="n">
        <v>57.84</v>
      </c>
      <c r="BO20" s="146" t="n">
        <v>57.84</v>
      </c>
      <c r="BP20" s="146" t="n">
        <v>59.46</v>
      </c>
      <c r="BQ20" s="146" t="n">
        <v>59.46</v>
      </c>
      <c r="BR20" s="146" t="n">
        <v>59.34</v>
      </c>
      <c r="BS20" s="146" t="n">
        <v>59.27</v>
      </c>
      <c r="BT20" s="146" t="n">
        <v>59.33</v>
      </c>
      <c r="BU20" s="146"/>
      <c r="BV20" s="146" t="n">
        <v>8.99</v>
      </c>
      <c r="BW20" s="146" t="n">
        <v>12.37</v>
      </c>
      <c r="BX20" s="146" t="n">
        <v>12.25</v>
      </c>
      <c r="BY20" s="146" t="n">
        <v>10.62</v>
      </c>
      <c r="BZ20" s="146" t="n">
        <v>9.36</v>
      </c>
      <c r="CA20" s="146"/>
      <c r="CB20" s="146"/>
      <c r="CC20" s="146" t="n">
        <v>9.36</v>
      </c>
      <c r="CD20" s="146" t="n">
        <v>9.35</v>
      </c>
      <c r="CE20" s="146" t="n">
        <v>8.19</v>
      </c>
      <c r="CF20" s="146" t="n">
        <v>12.36</v>
      </c>
      <c r="CG20" s="146" t="n">
        <v>3.53</v>
      </c>
      <c r="CH20" s="146"/>
      <c r="CI20" s="146"/>
      <c r="CJ20" s="146"/>
      <c r="CL20" s="147" t="n">
        <v>15.29</v>
      </c>
      <c r="CM20" s="147" t="n">
        <v>15.26</v>
      </c>
      <c r="CN20" s="147" t="n">
        <v>15.25</v>
      </c>
      <c r="CO20" s="146" t="n">
        <v>15.25</v>
      </c>
      <c r="CP20" s="146" t="n">
        <v>67.53</v>
      </c>
      <c r="CQ20" s="146"/>
      <c r="CR20" s="146"/>
      <c r="CS20" s="146"/>
      <c r="CT20" s="146"/>
      <c r="CU20" s="146"/>
      <c r="CV20" s="146"/>
      <c r="CW20" s="146"/>
      <c r="CX20" s="146"/>
      <c r="CY20" s="146" t="n">
        <v>48.26</v>
      </c>
      <c r="CZ20" s="146" t="n">
        <v>10.54</v>
      </c>
      <c r="DA20" s="146" t="n">
        <v>10.51</v>
      </c>
      <c r="DB20" s="146"/>
      <c r="DC20" s="146"/>
      <c r="DD20" s="146" t="n">
        <v>15.26</v>
      </c>
      <c r="DE20" s="146" t="n">
        <v>15.21</v>
      </c>
      <c r="DF20" s="146" t="n">
        <v>15.21</v>
      </c>
      <c r="DG20" s="146" t="n">
        <v>15.21</v>
      </c>
      <c r="DH20" s="146"/>
      <c r="DI20" s="146"/>
      <c r="DJ20" s="146" t="n">
        <v>60</v>
      </c>
      <c r="DK20" s="146" t="n">
        <v>11.17</v>
      </c>
      <c r="DL20" s="146" t="n">
        <v>11.16</v>
      </c>
      <c r="DM20" s="146" t="n">
        <v>12.61</v>
      </c>
      <c r="DN20" s="146" t="n">
        <v>15</v>
      </c>
      <c r="DO20" s="146" t="n">
        <v>15</v>
      </c>
      <c r="DP20" s="146" t="n">
        <v>11.17</v>
      </c>
      <c r="DQ20" s="146" t="n">
        <v>11.17</v>
      </c>
      <c r="DR20" s="146"/>
      <c r="DS20" s="146" t="n">
        <v>12.3</v>
      </c>
      <c r="DT20" s="146" t="n">
        <v>12.26</v>
      </c>
      <c r="DU20" s="146" t="n">
        <v>19.23</v>
      </c>
      <c r="DV20" s="146"/>
      <c r="DW20" s="146"/>
      <c r="DX20" s="146" t="n">
        <v>19.23</v>
      </c>
      <c r="DY20" s="146" t="n">
        <v>48.26</v>
      </c>
      <c r="DZ20" s="146"/>
      <c r="EA20" s="146"/>
      <c r="EB20" s="146"/>
      <c r="EC20" s="147" t="n">
        <v>17.51</v>
      </c>
      <c r="EE20" s="146"/>
      <c r="EF20" s="146"/>
      <c r="EG20" s="146"/>
      <c r="EH20" s="146"/>
      <c r="EI20" s="146"/>
      <c r="EJ20" s="146"/>
      <c r="EK20" s="146"/>
      <c r="EL20" s="146"/>
      <c r="EM20" s="146"/>
      <c r="EN20" s="146"/>
      <c r="EO20" s="146"/>
      <c r="EP20" s="146"/>
      <c r="EQ20" s="146"/>
      <c r="ER20" s="146"/>
      <c r="ES20" s="146"/>
      <c r="ET20" s="146"/>
      <c r="EU20" s="146"/>
      <c r="EV20" s="146"/>
      <c r="EW20" s="146" t="n">
        <v>57.7</v>
      </c>
      <c r="EX20" s="146" t="n">
        <v>57.7</v>
      </c>
      <c r="EY20" s="146" t="n">
        <v>57.7</v>
      </c>
      <c r="EZ20" s="146" t="n">
        <v>57.56</v>
      </c>
      <c r="FA20" s="146" t="n">
        <v>57.56</v>
      </c>
      <c r="FB20" s="146" t="n">
        <v>66.68</v>
      </c>
      <c r="FC20" s="146"/>
      <c r="FD20" s="146"/>
      <c r="FE20" s="146" t="n">
        <v>66.68</v>
      </c>
      <c r="FF20" s="146" t="n">
        <v>66.62</v>
      </c>
      <c r="FG20" s="146" t="n">
        <v>55.97</v>
      </c>
      <c r="FH20" s="146" t="n">
        <v>55.97</v>
      </c>
      <c r="FI20" s="146"/>
      <c r="FJ20" s="146"/>
      <c r="FK20" s="146"/>
      <c r="FL20" s="146"/>
      <c r="FM20" s="146"/>
      <c r="FN20" s="146"/>
      <c r="FO20" s="146"/>
      <c r="FP20" s="146"/>
      <c r="FQ20" s="146"/>
      <c r="FR20" s="146"/>
      <c r="FS20" s="146"/>
      <c r="FT20" s="146"/>
      <c r="FU20" s="146"/>
      <c r="FV20" s="146"/>
      <c r="FW20" s="146"/>
      <c r="FX20" s="146"/>
    </row>
    <row r="21" s="163" customFormat="true" ht="15" hidden="false" customHeight="false" outlineLevel="0" collapsed="false">
      <c r="A21" s="161" t="s">
        <v>358</v>
      </c>
      <c r="B21" s="162" t="s">
        <v>359</v>
      </c>
      <c r="C21" s="162" t="n">
        <v>0.12</v>
      </c>
      <c r="D21" s="162" t="n">
        <v>0.12</v>
      </c>
      <c r="E21" s="162" t="n">
        <v>0.12</v>
      </c>
      <c r="F21" s="162" t="n">
        <v>0.12</v>
      </c>
      <c r="G21" s="162" t="n">
        <v>0.12</v>
      </c>
      <c r="H21" s="162" t="n">
        <v>0.12</v>
      </c>
      <c r="I21" s="162" t="n">
        <v>0.11</v>
      </c>
      <c r="J21" s="162" t="n">
        <v>0.11</v>
      </c>
      <c r="K21" s="162" t="n">
        <v>0.11</v>
      </c>
      <c r="L21" s="162" t="n">
        <v>0.11</v>
      </c>
      <c r="M21" s="162" t="n">
        <v>0.11</v>
      </c>
      <c r="N21" s="162"/>
      <c r="O21" s="162" t="n">
        <v>0.11</v>
      </c>
      <c r="P21" s="162" t="n">
        <v>0.1</v>
      </c>
      <c r="Q21" s="162" t="n">
        <v>0.1</v>
      </c>
      <c r="R21" s="162" t="n">
        <v>0.12</v>
      </c>
      <c r="S21" s="162" t="n">
        <v>0.12</v>
      </c>
      <c r="T21" s="162" t="n">
        <v>0.12</v>
      </c>
      <c r="U21" s="162" t="n">
        <v>0.12</v>
      </c>
      <c r="V21" s="162" t="n">
        <v>0.12</v>
      </c>
      <c r="W21" s="162"/>
      <c r="X21" s="162"/>
      <c r="Y21" s="162" t="n">
        <v>0.09</v>
      </c>
      <c r="Z21" s="162" t="n">
        <v>0.09</v>
      </c>
      <c r="AA21" s="162" t="n">
        <v>0.07</v>
      </c>
      <c r="AB21" s="162" t="n">
        <v>0.07</v>
      </c>
      <c r="AC21" s="162" t="n">
        <v>0.07</v>
      </c>
      <c r="AD21" s="162" t="n">
        <v>0.07</v>
      </c>
      <c r="AE21" s="162" t="n">
        <v>0.07</v>
      </c>
      <c r="AF21" s="162"/>
      <c r="AG21" s="162"/>
      <c r="AH21" s="162"/>
      <c r="AI21" s="162"/>
      <c r="AJ21" s="162"/>
      <c r="AK21" s="162"/>
      <c r="AL21" s="162"/>
      <c r="AM21" s="162"/>
      <c r="AN21" s="162"/>
      <c r="AO21" s="162"/>
      <c r="AP21" s="162"/>
      <c r="AQ21" s="162" t="n">
        <v>0.07</v>
      </c>
      <c r="AR21" s="162" t="n">
        <v>0.07</v>
      </c>
      <c r="AS21" s="162" t="n">
        <v>0.07</v>
      </c>
      <c r="AT21" s="162" t="n">
        <v>0.08</v>
      </c>
      <c r="AU21" s="162"/>
      <c r="AV21" s="162"/>
      <c r="AW21" s="162"/>
      <c r="AX21" s="162" t="n">
        <v>0.69</v>
      </c>
      <c r="AY21" s="162"/>
      <c r="AZ21" s="162" t="n">
        <v>0.08</v>
      </c>
      <c r="BA21" s="162" t="n">
        <v>0.09</v>
      </c>
      <c r="BB21" s="162" t="n">
        <v>0.46</v>
      </c>
      <c r="BC21" s="162" t="n">
        <v>0.35</v>
      </c>
      <c r="BD21" s="162" t="n">
        <v>0.37</v>
      </c>
      <c r="BE21" s="162" t="n">
        <v>0.35</v>
      </c>
      <c r="BF21" s="162" t="n">
        <v>0.61</v>
      </c>
      <c r="BG21" s="162" t="n">
        <v>0.61</v>
      </c>
      <c r="BH21" s="162" t="n">
        <v>0.11</v>
      </c>
      <c r="BI21" s="162" t="n">
        <v>0.06</v>
      </c>
      <c r="BJ21" s="162"/>
      <c r="BK21" s="162"/>
      <c r="BL21" s="162" t="n">
        <v>0.08</v>
      </c>
      <c r="BM21" s="162" t="n">
        <v>0.08</v>
      </c>
      <c r="BN21" s="162" t="n">
        <v>0.68</v>
      </c>
      <c r="BO21" s="162" t="n">
        <v>0.68</v>
      </c>
      <c r="BP21" s="162" t="n">
        <v>0.68</v>
      </c>
      <c r="BQ21" s="162" t="n">
        <v>0.68</v>
      </c>
      <c r="BR21" s="162" t="n">
        <v>0.68</v>
      </c>
      <c r="BS21" s="162" t="n">
        <v>0.68</v>
      </c>
      <c r="BT21" s="162" t="n">
        <v>0.68</v>
      </c>
      <c r="BU21" s="162"/>
      <c r="BV21" s="162" t="n">
        <v>0.08</v>
      </c>
      <c r="BW21" s="162" t="n">
        <v>0.1</v>
      </c>
      <c r="BX21" s="162" t="n">
        <v>0.1</v>
      </c>
      <c r="BY21" s="162" t="n">
        <v>0.09</v>
      </c>
      <c r="BZ21" s="162" t="n">
        <v>0.09</v>
      </c>
      <c r="CA21" s="162"/>
      <c r="CB21" s="162"/>
      <c r="CC21" s="162" t="n">
        <v>0.09</v>
      </c>
      <c r="CD21" s="162" t="n">
        <v>0.09</v>
      </c>
      <c r="CE21" s="162" t="n">
        <v>0.09</v>
      </c>
      <c r="CF21" s="162" t="n">
        <v>0.1</v>
      </c>
      <c r="CG21" s="162" t="n">
        <v>0.07</v>
      </c>
      <c r="CH21" s="162" t="n">
        <v>0.09</v>
      </c>
      <c r="CI21" s="162" t="n">
        <v>0.29</v>
      </c>
      <c r="CJ21" s="162" t="n">
        <v>0.15</v>
      </c>
      <c r="CK21" s="163" t="n">
        <v>0.15</v>
      </c>
      <c r="CL21" s="163" t="n">
        <v>0.11</v>
      </c>
      <c r="CM21" s="163" t="n">
        <v>0.11</v>
      </c>
      <c r="CN21" s="163" t="n">
        <v>0.11</v>
      </c>
      <c r="CO21" s="162" t="n">
        <v>0.11</v>
      </c>
      <c r="CP21" s="162" t="n">
        <v>0.61</v>
      </c>
      <c r="CQ21" s="162"/>
      <c r="CR21" s="162"/>
      <c r="CS21" s="162"/>
      <c r="CT21" s="162"/>
      <c r="CU21" s="162"/>
      <c r="CV21" s="162"/>
      <c r="CW21" s="162"/>
      <c r="CX21" s="162"/>
      <c r="CY21" s="162" t="n">
        <v>0.69</v>
      </c>
      <c r="CZ21" s="162" t="n">
        <v>0.09</v>
      </c>
      <c r="DA21" s="162" t="n">
        <v>0.09</v>
      </c>
      <c r="DB21" s="162"/>
      <c r="DC21" s="162" t="n">
        <v>0.13</v>
      </c>
      <c r="DD21" s="162" t="n">
        <v>0.1</v>
      </c>
      <c r="DE21" s="162" t="n">
        <v>0.1</v>
      </c>
      <c r="DF21" s="162" t="n">
        <v>0.1</v>
      </c>
      <c r="DG21" s="162" t="n">
        <v>0.1</v>
      </c>
      <c r="DH21" s="162" t="n">
        <v>0.11</v>
      </c>
      <c r="DI21" s="162" t="n">
        <v>0.11</v>
      </c>
      <c r="DJ21" s="162" t="n">
        <v>0.68</v>
      </c>
      <c r="DK21" s="162" t="n">
        <v>0.1</v>
      </c>
      <c r="DL21" s="162" t="n">
        <v>0.1</v>
      </c>
      <c r="DM21" s="162" t="n">
        <v>0.1</v>
      </c>
      <c r="DN21" s="162" t="n">
        <v>0.1</v>
      </c>
      <c r="DO21" s="162" t="n">
        <v>0.1</v>
      </c>
      <c r="DP21" s="162" t="n">
        <v>0.1</v>
      </c>
      <c r="DQ21" s="162" t="n">
        <v>0.1</v>
      </c>
      <c r="DR21" s="162"/>
      <c r="DS21" s="162" t="n">
        <v>0.1</v>
      </c>
      <c r="DT21" s="162" t="n">
        <v>0.1</v>
      </c>
      <c r="DU21" s="162" t="n">
        <v>0.11</v>
      </c>
      <c r="DV21" s="162" t="n">
        <v>0.12</v>
      </c>
      <c r="DW21" s="162" t="n">
        <v>0.12</v>
      </c>
      <c r="DX21" s="162" t="n">
        <v>0.11</v>
      </c>
      <c r="DY21" s="162" t="n">
        <v>0.69</v>
      </c>
      <c r="DZ21" s="162"/>
      <c r="EA21" s="162"/>
      <c r="EB21" s="162"/>
      <c r="EC21" s="163" t="n">
        <v>0.11</v>
      </c>
      <c r="EE21" s="162"/>
      <c r="EF21" s="162"/>
      <c r="EG21" s="162"/>
      <c r="EH21" s="162"/>
      <c r="EI21" s="162"/>
      <c r="EJ21" s="162"/>
      <c r="EK21" s="162"/>
      <c r="EL21" s="162"/>
      <c r="EM21" s="162"/>
      <c r="EN21" s="162"/>
      <c r="EO21" s="162"/>
      <c r="EP21" s="162"/>
      <c r="EQ21" s="162"/>
      <c r="ER21" s="162"/>
      <c r="ES21" s="162"/>
      <c r="ET21" s="162"/>
      <c r="EU21" s="162"/>
      <c r="EV21" s="162"/>
      <c r="EW21" s="162" t="n">
        <v>0.46</v>
      </c>
      <c r="EX21" s="162" t="n">
        <v>0.46</v>
      </c>
      <c r="EY21" s="162" t="n">
        <v>0.46</v>
      </c>
      <c r="EZ21" s="162" t="n">
        <v>0.46</v>
      </c>
      <c r="FA21" s="162" t="n">
        <v>0.46</v>
      </c>
      <c r="FB21" s="162" t="n">
        <v>0.65</v>
      </c>
      <c r="FC21" s="162"/>
      <c r="FD21" s="162"/>
      <c r="FE21" s="162" t="n">
        <v>0.65</v>
      </c>
      <c r="FF21" s="162" t="n">
        <v>0.65</v>
      </c>
      <c r="FG21" s="162" t="n">
        <v>0.47</v>
      </c>
      <c r="FH21" s="162" t="n">
        <v>0.47</v>
      </c>
      <c r="FI21" s="162" t="n">
        <v>0.42</v>
      </c>
      <c r="FJ21" s="162"/>
      <c r="FK21" s="162"/>
      <c r="FL21" s="162"/>
      <c r="FM21" s="162"/>
      <c r="FN21" s="162"/>
      <c r="FO21" s="162"/>
      <c r="FP21" s="162"/>
      <c r="FQ21" s="162"/>
      <c r="FR21" s="162"/>
      <c r="FS21" s="162"/>
      <c r="FT21" s="162"/>
      <c r="FU21" s="162"/>
      <c r="FV21" s="162"/>
      <c r="FW21" s="162"/>
      <c r="FX21" s="162"/>
    </row>
    <row r="22" s="147" customFormat="true" ht="15" hidden="false" customHeight="false" outlineLevel="0" collapsed="false">
      <c r="A22" s="145" t="s">
        <v>360</v>
      </c>
      <c r="B22" s="146" t="s">
        <v>361</v>
      </c>
      <c r="C22" s="146" t="n">
        <v>4.26E-007</v>
      </c>
      <c r="D22" s="146" t="n">
        <v>2.55E-006</v>
      </c>
      <c r="E22" s="146" t="n">
        <v>2.84E-007</v>
      </c>
      <c r="F22" s="146" t="n">
        <v>2.39E-006</v>
      </c>
      <c r="G22" s="146" t="n">
        <v>2.84E-007</v>
      </c>
      <c r="H22" s="146" t="n">
        <v>1.74E-006</v>
      </c>
      <c r="I22" s="146" t="n">
        <v>9.64E-005</v>
      </c>
      <c r="J22" s="146" t="n">
        <v>9.65E-005</v>
      </c>
      <c r="K22" s="146" t="n">
        <v>9.65E-005</v>
      </c>
      <c r="L22" s="146" t="n">
        <v>0</v>
      </c>
      <c r="M22" s="146" t="n">
        <v>0</v>
      </c>
      <c r="N22" s="146" t="n">
        <v>0</v>
      </c>
      <c r="O22" s="146" t="n">
        <v>23.92</v>
      </c>
      <c r="P22" s="146" t="n">
        <v>0.2</v>
      </c>
      <c r="Q22" s="146" t="n">
        <v>22.5</v>
      </c>
      <c r="R22" s="146" t="n">
        <v>0.15</v>
      </c>
      <c r="S22" s="146" t="n">
        <v>0.15</v>
      </c>
      <c r="T22" s="146" t="n">
        <v>0.13</v>
      </c>
      <c r="U22" s="146" t="n">
        <v>0.13</v>
      </c>
      <c r="V22" s="146" t="n">
        <v>0.15</v>
      </c>
      <c r="W22" s="146"/>
      <c r="X22" s="146"/>
      <c r="Y22" s="146" t="n">
        <v>14.66</v>
      </c>
      <c r="Z22" s="146" t="n">
        <v>13.73</v>
      </c>
      <c r="AA22" s="146" t="n">
        <v>11.04</v>
      </c>
      <c r="AB22" s="146" t="n">
        <v>11.04</v>
      </c>
      <c r="AC22" s="146" t="n">
        <v>11.02</v>
      </c>
      <c r="AD22" s="146" t="n">
        <v>12.09</v>
      </c>
      <c r="AE22" s="146" t="n">
        <v>14.29</v>
      </c>
      <c r="AF22" s="146" t="n">
        <v>0</v>
      </c>
      <c r="AG22" s="146" t="n">
        <v>0</v>
      </c>
      <c r="AH22" s="146" t="n">
        <v>0</v>
      </c>
      <c r="AI22" s="146" t="n">
        <v>0</v>
      </c>
      <c r="AJ22" s="146" t="n">
        <v>0</v>
      </c>
      <c r="AK22" s="146" t="n">
        <v>0</v>
      </c>
      <c r="AL22" s="146" t="n">
        <v>0</v>
      </c>
      <c r="AM22" s="146" t="n">
        <v>0</v>
      </c>
      <c r="AN22" s="146" t="n">
        <v>0</v>
      </c>
      <c r="AO22" s="146" t="n">
        <v>0</v>
      </c>
      <c r="AP22" s="146" t="n">
        <v>0</v>
      </c>
      <c r="AQ22" s="146" t="n">
        <v>11.04</v>
      </c>
      <c r="AR22" s="146" t="n">
        <v>15.69</v>
      </c>
      <c r="AS22" s="146" t="n">
        <v>15.69</v>
      </c>
      <c r="AT22" s="146" t="n">
        <v>15.75</v>
      </c>
      <c r="AU22" s="146" t="n">
        <v>5.96</v>
      </c>
      <c r="AV22" s="146" t="n">
        <v>1.74</v>
      </c>
      <c r="AW22" s="146" t="n">
        <v>1.55</v>
      </c>
      <c r="AX22" s="146" t="n">
        <v>0.5</v>
      </c>
      <c r="AY22" s="146" t="n">
        <v>0</v>
      </c>
      <c r="AZ22" s="146" t="n">
        <v>0</v>
      </c>
      <c r="BA22" s="146" t="n">
        <v>0</v>
      </c>
      <c r="BB22" s="146" t="n">
        <v>0</v>
      </c>
      <c r="BC22" s="146" t="n">
        <v>0</v>
      </c>
      <c r="BD22" s="146" t="n">
        <v>0</v>
      </c>
      <c r="BE22" s="146" t="n">
        <v>0</v>
      </c>
      <c r="BF22" s="146" t="n">
        <v>2.38</v>
      </c>
      <c r="BG22" s="146" t="n">
        <v>1.91</v>
      </c>
      <c r="BH22" s="146" t="n">
        <v>2.91</v>
      </c>
      <c r="BI22" s="146" t="n">
        <v>6.32</v>
      </c>
      <c r="BJ22" s="146" t="n">
        <v>0</v>
      </c>
      <c r="BK22" s="146" t="n">
        <v>0</v>
      </c>
      <c r="BL22" s="146" t="n">
        <v>3.09</v>
      </c>
      <c r="BM22" s="146" t="n">
        <v>3.09</v>
      </c>
      <c r="BN22" s="146" t="n">
        <v>0.12</v>
      </c>
      <c r="BO22" s="146" t="n">
        <v>0.12</v>
      </c>
      <c r="BP22" s="146" t="n">
        <v>0.09</v>
      </c>
      <c r="BQ22" s="146" t="n">
        <v>0.09</v>
      </c>
      <c r="BR22" s="146" t="n">
        <v>0.09</v>
      </c>
      <c r="BS22" s="146" t="n">
        <v>0.09</v>
      </c>
      <c r="BT22" s="146" t="n">
        <v>0.09</v>
      </c>
      <c r="BU22" s="146" t="n">
        <v>0</v>
      </c>
      <c r="BV22" s="146" t="n">
        <v>4.57</v>
      </c>
      <c r="BW22" s="146" t="n">
        <v>1.19</v>
      </c>
      <c r="BX22" s="146" t="n">
        <v>1.19</v>
      </c>
      <c r="BY22" s="146" t="n">
        <v>1.23</v>
      </c>
      <c r="BZ22" s="146" t="n">
        <v>1.25</v>
      </c>
      <c r="CA22" s="146" t="n">
        <v>13.04</v>
      </c>
      <c r="CB22" s="146" t="n">
        <v>13.08</v>
      </c>
      <c r="CC22" s="146" t="n">
        <v>0.3</v>
      </c>
      <c r="CD22" s="146" t="n">
        <v>0.3</v>
      </c>
      <c r="CE22" s="146" t="n">
        <v>0.34</v>
      </c>
      <c r="CF22" s="146" t="n">
        <v>0.2</v>
      </c>
      <c r="CG22" s="146" t="n">
        <v>11.88</v>
      </c>
      <c r="CH22" s="146" t="n">
        <v>11.55</v>
      </c>
      <c r="CI22" s="146" t="n">
        <v>11.85</v>
      </c>
      <c r="CJ22" s="146" t="n">
        <v>15.17</v>
      </c>
      <c r="CK22" s="147" t="n">
        <v>16.29</v>
      </c>
      <c r="CL22" s="147" t="n">
        <v>1.09</v>
      </c>
      <c r="CM22" s="147" t="n">
        <v>1.09</v>
      </c>
      <c r="CN22" s="147" t="n">
        <v>1.09</v>
      </c>
      <c r="CO22" s="146" t="n">
        <v>1.09</v>
      </c>
      <c r="CP22" s="146" t="n">
        <v>0.83</v>
      </c>
      <c r="CQ22" s="146" t="n">
        <v>74.92</v>
      </c>
      <c r="CR22" s="146" t="n">
        <v>76.38</v>
      </c>
      <c r="CS22" s="146" t="n">
        <v>4.61</v>
      </c>
      <c r="CT22" s="146" t="n">
        <v>4.51</v>
      </c>
      <c r="CU22" s="146" t="n">
        <v>5.96</v>
      </c>
      <c r="CV22" s="146" t="n">
        <v>4.69</v>
      </c>
      <c r="CW22" s="146" t="n">
        <v>1.52</v>
      </c>
      <c r="CX22" s="146" t="n">
        <v>1.52</v>
      </c>
      <c r="CY22" s="146" t="n">
        <v>0.5</v>
      </c>
      <c r="CZ22" s="146" t="n">
        <v>0.22</v>
      </c>
      <c r="DA22" s="146" t="n">
        <v>0.22</v>
      </c>
      <c r="DB22" s="146" t="n">
        <v>0.44</v>
      </c>
      <c r="DC22" s="146" t="n">
        <v>0.14</v>
      </c>
      <c r="DD22" s="146" t="n">
        <v>0.14</v>
      </c>
      <c r="DE22" s="146" t="n">
        <v>0.14</v>
      </c>
      <c r="DF22" s="146" t="n">
        <v>0.14</v>
      </c>
      <c r="DG22" s="146" t="n">
        <v>0.14</v>
      </c>
      <c r="DH22" s="146" t="n">
        <v>0.02</v>
      </c>
      <c r="DI22" s="146" t="n">
        <v>0.02</v>
      </c>
      <c r="DJ22" s="146" t="n">
        <v>0.08</v>
      </c>
      <c r="DK22" s="146" t="n">
        <v>0.19</v>
      </c>
      <c r="DL22" s="146" t="n">
        <v>0.19</v>
      </c>
      <c r="DM22" s="146" t="n">
        <v>0.16</v>
      </c>
      <c r="DN22" s="146" t="n">
        <v>0.12</v>
      </c>
      <c r="DO22" s="146" t="n">
        <v>0.12</v>
      </c>
      <c r="DP22" s="146" t="n">
        <v>0.19</v>
      </c>
      <c r="DQ22" s="146" t="n">
        <v>0.19</v>
      </c>
      <c r="DR22" s="146" t="n">
        <v>3.12</v>
      </c>
      <c r="DS22" s="146" t="n">
        <v>0.2</v>
      </c>
      <c r="DT22" s="146" t="n">
        <v>0.2</v>
      </c>
      <c r="DU22" s="146" t="n">
        <v>0.12</v>
      </c>
      <c r="DV22" s="146" t="n">
        <v>0.01</v>
      </c>
      <c r="DW22" s="146" t="n">
        <v>0.01</v>
      </c>
      <c r="DX22" s="146" t="n">
        <v>0.12</v>
      </c>
      <c r="DY22" s="146" t="n">
        <v>0.5</v>
      </c>
      <c r="DZ22" s="146" t="n">
        <v>1.53</v>
      </c>
      <c r="EA22" s="146" t="n">
        <v>0.74</v>
      </c>
      <c r="EB22" s="146" t="n">
        <v>0.59</v>
      </c>
      <c r="EC22" s="147" t="n">
        <v>0.18</v>
      </c>
      <c r="ED22" s="147" t="n">
        <v>2.36</v>
      </c>
      <c r="EE22" s="146" t="n">
        <v>2.36</v>
      </c>
      <c r="EF22" s="146" t="n">
        <v>1.53</v>
      </c>
      <c r="EG22" s="146" t="n">
        <v>4.61</v>
      </c>
      <c r="EH22" s="146" t="n">
        <v>0</v>
      </c>
      <c r="EI22" s="146" t="n">
        <v>0</v>
      </c>
      <c r="EJ22" s="146" t="n">
        <v>0</v>
      </c>
      <c r="EK22" s="146" t="n">
        <v>0</v>
      </c>
      <c r="EL22" s="146" t="n">
        <v>0</v>
      </c>
      <c r="EM22" s="146" t="n">
        <v>0</v>
      </c>
      <c r="EN22" s="146" t="n">
        <v>0</v>
      </c>
      <c r="EO22" s="146" t="n">
        <v>0</v>
      </c>
      <c r="EP22" s="146" t="n">
        <v>0</v>
      </c>
      <c r="EQ22" s="146" t="n">
        <v>0</v>
      </c>
      <c r="ER22" s="146" t="n">
        <v>0</v>
      </c>
      <c r="ES22" s="146" t="n">
        <v>0</v>
      </c>
      <c r="ET22" s="146" t="n">
        <v>0</v>
      </c>
      <c r="EU22" s="146" t="n">
        <v>0</v>
      </c>
      <c r="EV22" s="146" t="n">
        <v>0</v>
      </c>
      <c r="EW22" s="146" t="n">
        <v>0.01</v>
      </c>
      <c r="EX22" s="146" t="n">
        <v>0.01</v>
      </c>
      <c r="EY22" s="146" t="n">
        <v>0.01</v>
      </c>
      <c r="EZ22" s="146" t="n">
        <v>0.02</v>
      </c>
      <c r="FA22" s="146" t="n">
        <v>0.02</v>
      </c>
      <c r="FB22" s="146" t="n">
        <v>0</v>
      </c>
      <c r="FC22" s="146" t="n">
        <v>0</v>
      </c>
      <c r="FD22" s="146" t="n">
        <v>0</v>
      </c>
      <c r="FE22" s="146" t="n">
        <v>2.29</v>
      </c>
      <c r="FF22" s="146" t="n">
        <v>2.27</v>
      </c>
      <c r="FG22" s="146" t="n">
        <v>2.89</v>
      </c>
      <c r="FH22" s="146" t="n">
        <v>2.89</v>
      </c>
      <c r="FI22" s="146" t="n">
        <v>2.29</v>
      </c>
      <c r="FJ22" s="146"/>
      <c r="FK22" s="146"/>
      <c r="FL22" s="146"/>
      <c r="FM22" s="146"/>
      <c r="FN22" s="146"/>
      <c r="FO22" s="146"/>
      <c r="FP22" s="146"/>
      <c r="FQ22" s="146"/>
      <c r="FR22" s="146"/>
      <c r="FS22" s="146"/>
      <c r="FT22" s="146"/>
      <c r="FU22" s="146"/>
      <c r="FV22" s="146"/>
      <c r="FW22" s="146"/>
      <c r="FX22" s="146"/>
    </row>
    <row r="23" s="144" customFormat="true" ht="15" hidden="false" customHeight="false" outlineLevel="0" collapsed="false">
      <c r="A23" s="142" t="s">
        <v>362</v>
      </c>
      <c r="B23" s="143" t="s">
        <v>363</v>
      </c>
      <c r="C23" s="143"/>
      <c r="D23" s="143"/>
      <c r="E23" s="143"/>
      <c r="F23" s="143"/>
      <c r="G23" s="143"/>
      <c r="H23" s="143"/>
      <c r="I23" s="143"/>
      <c r="J23" s="143"/>
      <c r="K23" s="143"/>
      <c r="L23" s="143"/>
      <c r="M23" s="143"/>
      <c r="N23" s="143" t="n">
        <v>4924.39</v>
      </c>
      <c r="O23" s="143" t="n">
        <v>1809.15</v>
      </c>
      <c r="P23" s="143"/>
      <c r="Q23" s="143" t="n">
        <v>1637.83</v>
      </c>
      <c r="R23" s="143"/>
      <c r="S23" s="143"/>
      <c r="T23" s="143"/>
      <c r="U23" s="143"/>
      <c r="V23" s="143"/>
      <c r="W23" s="143"/>
      <c r="X23" s="143"/>
      <c r="Y23" s="143"/>
      <c r="Z23" s="143"/>
      <c r="AA23" s="143"/>
      <c r="AB23" s="143"/>
      <c r="AC23" s="143"/>
      <c r="AD23" s="143"/>
      <c r="AE23" s="143"/>
      <c r="AF23" s="143" t="n">
        <v>3124.23</v>
      </c>
      <c r="AG23" s="143" t="n">
        <v>6681.49</v>
      </c>
      <c r="AH23" s="143" t="n">
        <v>8127.78</v>
      </c>
      <c r="AI23" s="143" t="n">
        <v>7371.57</v>
      </c>
      <c r="AJ23" s="143" t="n">
        <v>5294.93</v>
      </c>
      <c r="AK23" s="143" t="n">
        <v>22.48</v>
      </c>
      <c r="AL23" s="143" t="n">
        <v>22.48</v>
      </c>
      <c r="AM23" s="143" t="n">
        <v>22.48</v>
      </c>
      <c r="AN23" s="143" t="n">
        <v>22.44</v>
      </c>
      <c r="AO23" s="143" t="n">
        <v>22.44</v>
      </c>
      <c r="AP23" s="143" t="n">
        <v>112.35</v>
      </c>
      <c r="AQ23" s="143"/>
      <c r="AR23" s="143" t="n">
        <v>1587.11</v>
      </c>
      <c r="AS23" s="143" t="n">
        <v>1665.59</v>
      </c>
      <c r="AT23" s="143" t="n">
        <v>10904.22</v>
      </c>
      <c r="AU23" s="143" t="n">
        <v>8339.43</v>
      </c>
      <c r="AV23" s="143" t="n">
        <v>6488.82</v>
      </c>
      <c r="AW23" s="143" t="n">
        <v>6517.34</v>
      </c>
      <c r="AX23" s="143"/>
      <c r="AY23" s="143" t="n">
        <v>10904.22</v>
      </c>
      <c r="AZ23" s="143" t="n">
        <v>11015.9</v>
      </c>
      <c r="BA23" s="143" t="n">
        <v>10888.31</v>
      </c>
      <c r="BB23" s="143" t="n">
        <v>10986.93</v>
      </c>
      <c r="BC23" s="143" t="n">
        <v>9483.93</v>
      </c>
      <c r="BD23" s="143" t="n">
        <v>19539.95</v>
      </c>
      <c r="BE23" s="143" t="n">
        <v>19312.42</v>
      </c>
      <c r="BF23" s="143" t="n">
        <v>0.79</v>
      </c>
      <c r="BG23" s="143" t="n">
        <v>0.78</v>
      </c>
      <c r="BH23" s="143" t="n">
        <v>35.81</v>
      </c>
      <c r="BI23" s="143" t="n">
        <v>896.8</v>
      </c>
      <c r="BJ23" s="143" t="n">
        <v>19312.42</v>
      </c>
      <c r="BK23" s="143" t="n">
        <v>19312.42</v>
      </c>
      <c r="BL23" s="143"/>
      <c r="BM23" s="143" t="n">
        <v>1620.78</v>
      </c>
      <c r="BN23" s="143"/>
      <c r="BO23" s="143"/>
      <c r="BP23" s="143"/>
      <c r="BQ23" s="143"/>
      <c r="BR23" s="143"/>
      <c r="BS23" s="143"/>
      <c r="BT23" s="143"/>
      <c r="BU23" s="143" t="n">
        <v>9850.47</v>
      </c>
      <c r="BV23" s="143" t="n">
        <v>358.69</v>
      </c>
      <c r="BW23" s="143"/>
      <c r="BX23" s="143" t="n">
        <v>971.48</v>
      </c>
      <c r="BY23" s="143" t="n">
        <v>1314.39</v>
      </c>
      <c r="BZ23" s="143" t="n">
        <v>1735.26</v>
      </c>
      <c r="CA23" s="143" t="n">
        <v>1735.26</v>
      </c>
      <c r="CB23" s="143" t="n">
        <v>1735.26</v>
      </c>
      <c r="CC23" s="143"/>
      <c r="CD23" s="143"/>
      <c r="CE23" s="143" t="n">
        <v>97.24</v>
      </c>
      <c r="CF23" s="143"/>
      <c r="CG23" s="143"/>
      <c r="CH23" s="143" t="n">
        <v>9483.27</v>
      </c>
      <c r="CI23" s="143" t="n">
        <v>9410.11</v>
      </c>
      <c r="CJ23" s="143" t="n">
        <v>2876.67</v>
      </c>
      <c r="CK23" s="144" t="n">
        <v>2531.09</v>
      </c>
      <c r="CO23" s="143"/>
      <c r="CP23" s="143"/>
      <c r="CQ23" s="143" t="n">
        <v>2531.09</v>
      </c>
      <c r="CR23" s="143" t="n">
        <v>2531.09</v>
      </c>
      <c r="CS23" s="143" t="n">
        <v>3670.33</v>
      </c>
      <c r="CT23" s="143" t="n">
        <v>3670.33</v>
      </c>
      <c r="CU23" s="143" t="n">
        <v>33357.7</v>
      </c>
      <c r="CV23" s="143" t="n">
        <v>33831.21</v>
      </c>
      <c r="CW23" s="143" t="n">
        <v>8339.43</v>
      </c>
      <c r="CX23" s="143" t="n">
        <v>25018.28</v>
      </c>
      <c r="CY23" s="143"/>
      <c r="CZ23" s="143"/>
      <c r="DA23" s="143"/>
      <c r="DB23" s="143" t="n">
        <v>23189.1</v>
      </c>
      <c r="DC23" s="143"/>
      <c r="DD23" s="143"/>
      <c r="DE23" s="143"/>
      <c r="DF23" s="143"/>
      <c r="DG23" s="143"/>
      <c r="DH23" s="143"/>
      <c r="DI23" s="143"/>
      <c r="DJ23" s="143"/>
      <c r="DK23" s="143"/>
      <c r="DL23" s="143"/>
      <c r="DM23" s="143"/>
      <c r="DN23" s="143"/>
      <c r="DO23" s="143"/>
      <c r="DP23" s="143"/>
      <c r="DQ23" s="143"/>
      <c r="DR23" s="143" t="n">
        <v>1023.29</v>
      </c>
      <c r="DS23" s="143"/>
      <c r="DT23" s="143"/>
      <c r="DU23" s="143"/>
      <c r="DV23" s="143"/>
      <c r="DW23" s="143"/>
      <c r="DX23" s="143"/>
      <c r="DY23" s="143"/>
      <c r="DZ23" s="143" t="n">
        <v>4152.41</v>
      </c>
      <c r="EA23" s="143" t="n">
        <v>6488.82</v>
      </c>
      <c r="EB23" s="143" t="n">
        <v>6488.82</v>
      </c>
      <c r="ED23" s="144" t="n">
        <v>584.76</v>
      </c>
      <c r="EE23" s="143" t="n">
        <v>10886.56</v>
      </c>
      <c r="EF23" s="143" t="n">
        <v>29205.29</v>
      </c>
      <c r="EG23" s="143" t="n">
        <v>4953.99</v>
      </c>
      <c r="EH23" s="143" t="n">
        <v>35524.42</v>
      </c>
      <c r="EI23" s="143" t="n">
        <v>44656.69</v>
      </c>
      <c r="EJ23" s="143" t="n">
        <v>44656.69</v>
      </c>
      <c r="EK23" s="143" t="n">
        <v>44656.69</v>
      </c>
      <c r="EL23" s="143" t="n">
        <v>44656.69</v>
      </c>
      <c r="EM23" s="143" t="n">
        <v>44656.69</v>
      </c>
      <c r="EN23" s="143" t="n">
        <v>44656.69</v>
      </c>
      <c r="EO23" s="143" t="n">
        <v>44656.69</v>
      </c>
      <c r="EP23" s="143" t="n">
        <v>44656.69</v>
      </c>
      <c r="EQ23" s="143" t="n">
        <v>44656.69</v>
      </c>
      <c r="ER23" s="143" t="n">
        <v>35524.39</v>
      </c>
      <c r="ES23" s="143" t="n">
        <v>9132.26</v>
      </c>
      <c r="ET23" s="143" t="n">
        <v>9132.26</v>
      </c>
      <c r="EU23" s="143" t="n">
        <v>9132.26</v>
      </c>
      <c r="EV23" s="143" t="n">
        <v>4924.39</v>
      </c>
      <c r="EW23" s="143"/>
      <c r="EX23" s="143"/>
      <c r="EY23" s="143"/>
      <c r="EZ23" s="143"/>
      <c r="FA23" s="143"/>
      <c r="FB23" s="143" t="n">
        <v>15620.35</v>
      </c>
      <c r="FC23" s="143" t="n">
        <v>15620.35</v>
      </c>
      <c r="FD23" s="143" t="n">
        <v>15620.35</v>
      </c>
      <c r="FE23" s="143"/>
      <c r="FF23" s="143" t="n">
        <v>8.53E-005</v>
      </c>
      <c r="FG23" s="143"/>
      <c r="FH23" s="143" t="n">
        <v>38.87</v>
      </c>
      <c r="FI23" s="143" t="n">
        <v>187.52</v>
      </c>
      <c r="FJ23" s="143"/>
      <c r="FK23" s="143"/>
      <c r="FL23" s="143"/>
      <c r="FM23" s="143"/>
      <c r="FN23" s="143"/>
      <c r="FO23" s="143"/>
      <c r="FP23" s="143"/>
      <c r="FQ23" s="143"/>
      <c r="FR23" s="143"/>
      <c r="FS23" s="143"/>
      <c r="FT23" s="143"/>
      <c r="FU23" s="143"/>
      <c r="FV23" s="143"/>
      <c r="FW23" s="143"/>
      <c r="FX23" s="143"/>
    </row>
    <row r="24" s="156" customFormat="true" ht="15" hidden="false" customHeight="false" outlineLevel="0" collapsed="false">
      <c r="A24" s="153" t="s">
        <v>364</v>
      </c>
      <c r="B24" s="153" t="s">
        <v>351</v>
      </c>
      <c r="C24" s="154"/>
      <c r="D24" s="154"/>
      <c r="E24" s="154"/>
      <c r="F24" s="154"/>
      <c r="G24" s="154"/>
      <c r="H24" s="154"/>
      <c r="I24" s="154"/>
      <c r="J24" s="154"/>
      <c r="K24" s="154"/>
      <c r="L24" s="154"/>
      <c r="M24" s="154"/>
      <c r="N24" s="154" t="n">
        <v>0.09</v>
      </c>
      <c r="O24" s="154" t="n">
        <v>0.09</v>
      </c>
      <c r="P24" s="154"/>
      <c r="Q24" s="154" t="n">
        <v>0.09</v>
      </c>
      <c r="R24" s="154"/>
      <c r="S24" s="154"/>
      <c r="T24" s="154"/>
      <c r="U24" s="154"/>
      <c r="V24" s="154"/>
      <c r="W24" s="154"/>
      <c r="X24" s="154"/>
      <c r="Y24" s="154"/>
      <c r="Z24" s="154"/>
      <c r="AA24" s="154"/>
      <c r="AB24" s="154"/>
      <c r="AC24" s="154"/>
      <c r="AD24" s="154"/>
      <c r="AE24" s="154"/>
      <c r="AF24" s="154" t="n">
        <v>0.09</v>
      </c>
      <c r="AG24" s="154" t="n">
        <v>0.09</v>
      </c>
      <c r="AH24" s="154" t="n">
        <v>0.09</v>
      </c>
      <c r="AI24" s="154" t="n">
        <v>0.09</v>
      </c>
      <c r="AJ24" s="154" t="n">
        <v>0.09</v>
      </c>
      <c r="AK24" s="154" t="n">
        <v>0.74</v>
      </c>
      <c r="AL24" s="154" t="n">
        <v>0.85</v>
      </c>
      <c r="AM24" s="154" t="n">
        <v>0.85</v>
      </c>
      <c r="AN24" s="154" t="n">
        <v>1.11</v>
      </c>
      <c r="AO24" s="154" t="n">
        <v>1.2</v>
      </c>
      <c r="AP24" s="154" t="n">
        <v>0.97</v>
      </c>
      <c r="AQ24" s="154"/>
      <c r="AR24" s="154" t="n">
        <v>0.72</v>
      </c>
      <c r="AS24" s="154" t="n">
        <v>0.73</v>
      </c>
      <c r="AT24" s="154" t="n">
        <v>1.15</v>
      </c>
      <c r="AU24" s="154" t="n">
        <v>0.8</v>
      </c>
      <c r="AV24" s="154" t="n">
        <v>0.8</v>
      </c>
      <c r="AW24" s="154" t="n">
        <v>0.8</v>
      </c>
      <c r="AX24" s="154"/>
      <c r="AY24" s="154" t="n">
        <v>1.15</v>
      </c>
      <c r="AZ24" s="154" t="n">
        <v>1.15</v>
      </c>
      <c r="BA24" s="154" t="n">
        <v>1.06</v>
      </c>
      <c r="BB24" s="154" t="n">
        <v>0.95</v>
      </c>
      <c r="BC24" s="154" t="n">
        <v>0.79</v>
      </c>
      <c r="BD24" s="154" t="n">
        <v>0.63</v>
      </c>
      <c r="BE24" s="154" t="n">
        <v>0.61</v>
      </c>
      <c r="BF24" s="154" t="n">
        <v>0.83</v>
      </c>
      <c r="BG24" s="154" t="n">
        <v>0.86</v>
      </c>
      <c r="BH24" s="154" t="n">
        <v>1.04</v>
      </c>
      <c r="BI24" s="154" t="n">
        <v>3.6</v>
      </c>
      <c r="BJ24" s="154" t="n">
        <v>0.61</v>
      </c>
      <c r="BK24" s="154" t="n">
        <v>0.61</v>
      </c>
      <c r="BL24" s="154"/>
      <c r="BM24" s="154" t="n">
        <v>1.7</v>
      </c>
      <c r="BN24" s="154"/>
      <c r="BO24" s="154"/>
      <c r="BP24" s="154"/>
      <c r="BQ24" s="154"/>
      <c r="BR24" s="154"/>
      <c r="BS24" s="154"/>
      <c r="BT24" s="154"/>
      <c r="BU24" s="154" t="n">
        <v>0.44</v>
      </c>
      <c r="BV24" s="154" t="n">
        <v>2.79</v>
      </c>
      <c r="BW24" s="154"/>
      <c r="BX24" s="154" t="n">
        <v>2.19</v>
      </c>
      <c r="BY24" s="154" t="n">
        <v>3.25</v>
      </c>
      <c r="BZ24" s="154" t="n">
        <v>4.49</v>
      </c>
      <c r="CA24" s="154" t="n">
        <v>4.49</v>
      </c>
      <c r="CB24" s="154" t="n">
        <v>4.49</v>
      </c>
      <c r="CC24" s="154"/>
      <c r="CD24" s="154"/>
      <c r="CE24" s="154" t="n">
        <v>5.96</v>
      </c>
      <c r="CF24" s="154"/>
      <c r="CG24" s="154"/>
      <c r="CH24" s="154" t="n">
        <v>2.18</v>
      </c>
      <c r="CI24" s="154" t="n">
        <v>1.93</v>
      </c>
      <c r="CJ24" s="154" t="n">
        <v>1.33</v>
      </c>
      <c r="CK24" s="156" t="n">
        <v>1.24</v>
      </c>
      <c r="CO24" s="154"/>
      <c r="CP24" s="154"/>
      <c r="CQ24" s="154" t="n">
        <v>1.24</v>
      </c>
      <c r="CR24" s="154" t="n">
        <v>1.24</v>
      </c>
      <c r="CS24" s="154" t="n">
        <v>0.8</v>
      </c>
      <c r="CT24" s="154" t="n">
        <v>0.8</v>
      </c>
      <c r="CU24" s="154" t="n">
        <v>0.8</v>
      </c>
      <c r="CV24" s="154" t="n">
        <v>0.8</v>
      </c>
      <c r="CW24" s="154" t="n">
        <v>0.8</v>
      </c>
      <c r="CX24" s="154" t="n">
        <v>0.8</v>
      </c>
      <c r="CZ24" s="154"/>
      <c r="DA24" s="154"/>
      <c r="DB24" s="154" t="n">
        <v>2.8</v>
      </c>
      <c r="DC24" s="154"/>
      <c r="DD24" s="154"/>
      <c r="DE24" s="154"/>
      <c r="DF24" s="154"/>
      <c r="DG24" s="154"/>
      <c r="DH24" s="154"/>
      <c r="DI24" s="154"/>
      <c r="DJ24" s="154"/>
      <c r="DK24" s="154"/>
      <c r="DL24" s="154"/>
      <c r="DM24" s="154"/>
      <c r="DN24" s="154"/>
      <c r="DO24" s="154"/>
      <c r="DP24" s="154"/>
      <c r="DQ24" s="154"/>
      <c r="DR24" s="154" t="n">
        <v>3.85</v>
      </c>
      <c r="DS24" s="154"/>
      <c r="DT24" s="154"/>
      <c r="DU24" s="154"/>
      <c r="DV24" s="154"/>
      <c r="DW24" s="154"/>
      <c r="DX24" s="154"/>
      <c r="DY24" s="154"/>
      <c r="DZ24" s="154" t="n">
        <v>0.8</v>
      </c>
      <c r="EA24" s="154" t="n">
        <v>0.8</v>
      </c>
      <c r="EB24" s="154" t="n">
        <v>0.8</v>
      </c>
      <c r="ED24" s="156" t="n">
        <v>0.8</v>
      </c>
      <c r="EE24" s="154" t="n">
        <v>0.8</v>
      </c>
      <c r="EF24" s="154" t="n">
        <v>0.8</v>
      </c>
      <c r="EG24" s="154" t="n">
        <v>0.8</v>
      </c>
      <c r="EH24" s="154" t="n">
        <v>0.09</v>
      </c>
      <c r="EI24" s="154" t="n">
        <v>0.09</v>
      </c>
      <c r="EJ24" s="154" t="n">
        <v>0.09</v>
      </c>
      <c r="EK24" s="154" t="n">
        <v>0.09</v>
      </c>
      <c r="EL24" s="154" t="n">
        <v>0.09</v>
      </c>
      <c r="EM24" s="154" t="n">
        <v>0.09</v>
      </c>
      <c r="EN24" s="154" t="n">
        <v>0.09</v>
      </c>
      <c r="EO24" s="154" t="n">
        <v>0.09</v>
      </c>
      <c r="EP24" s="154" t="n">
        <v>0.09</v>
      </c>
      <c r="EQ24" s="154" t="n">
        <v>0.09</v>
      </c>
      <c r="ER24" s="154" t="n">
        <v>0.09</v>
      </c>
      <c r="ES24" s="154" t="n">
        <v>0.09</v>
      </c>
      <c r="ET24" s="154" t="n">
        <v>0.09</v>
      </c>
      <c r="EU24" s="154" t="n">
        <v>0.09</v>
      </c>
      <c r="EV24" s="154" t="n">
        <v>0.09</v>
      </c>
      <c r="EW24" s="154"/>
      <c r="EX24" s="154"/>
      <c r="EY24" s="154"/>
      <c r="EZ24" s="154"/>
      <c r="FA24" s="154"/>
      <c r="FB24" s="154" t="n">
        <v>0.39</v>
      </c>
      <c r="FC24" s="154" t="n">
        <v>0.39</v>
      </c>
      <c r="FD24" s="154" t="n">
        <v>0.39</v>
      </c>
      <c r="FE24" s="154"/>
      <c r="FF24" s="154" t="n">
        <v>0.11</v>
      </c>
      <c r="FG24" s="154"/>
      <c r="FH24" s="154" t="n">
        <v>0.38</v>
      </c>
      <c r="FI24" s="154" t="n">
        <v>1.21</v>
      </c>
      <c r="FJ24" s="154"/>
      <c r="FK24" s="154"/>
      <c r="FL24" s="154"/>
      <c r="FM24" s="154"/>
      <c r="FN24" s="154"/>
      <c r="FO24" s="154"/>
      <c r="FP24" s="154"/>
      <c r="FQ24" s="154"/>
      <c r="FR24" s="154"/>
      <c r="FS24" s="154"/>
      <c r="FT24" s="154"/>
      <c r="FU24" s="154"/>
      <c r="FV24" s="154"/>
      <c r="FW24" s="154"/>
      <c r="FX24" s="154"/>
      <c r="FY24" s="157"/>
    </row>
    <row r="25" s="163" customFormat="true" ht="15" hidden="false" customHeight="false" outlineLevel="0" collapsed="false">
      <c r="A25" s="161" t="s">
        <v>365</v>
      </c>
      <c r="B25" s="162" t="s">
        <v>355</v>
      </c>
      <c r="C25" s="162"/>
      <c r="D25" s="162"/>
      <c r="E25" s="162"/>
      <c r="F25" s="162"/>
      <c r="G25" s="162"/>
      <c r="H25" s="162"/>
      <c r="I25" s="162"/>
      <c r="J25" s="162"/>
      <c r="K25" s="162"/>
      <c r="L25" s="162"/>
      <c r="M25" s="162"/>
      <c r="N25" s="162" t="n">
        <v>0.01</v>
      </c>
      <c r="O25" s="162" t="n">
        <v>0.01</v>
      </c>
      <c r="P25" s="162"/>
      <c r="Q25" s="162" t="n">
        <v>0.01</v>
      </c>
      <c r="R25" s="162"/>
      <c r="S25" s="162"/>
      <c r="T25" s="162"/>
      <c r="U25" s="162"/>
      <c r="V25" s="162"/>
      <c r="W25" s="162"/>
      <c r="X25" s="162"/>
      <c r="Y25" s="162"/>
      <c r="Z25" s="162"/>
      <c r="AA25" s="162"/>
      <c r="AB25" s="162"/>
      <c r="AC25" s="162"/>
      <c r="AD25" s="162"/>
      <c r="AE25" s="162"/>
      <c r="AF25" s="162" t="n">
        <v>0.01</v>
      </c>
      <c r="AG25" s="162" t="n">
        <v>0.01</v>
      </c>
      <c r="AH25" s="162" t="n">
        <v>0.01</v>
      </c>
      <c r="AI25" s="162" t="n">
        <v>0.01</v>
      </c>
      <c r="AJ25" s="162" t="n">
        <v>0.01</v>
      </c>
      <c r="AK25" s="162" t="n">
        <v>0.02</v>
      </c>
      <c r="AL25" s="162" t="n">
        <v>0.03</v>
      </c>
      <c r="AM25" s="162" t="n">
        <v>0.03</v>
      </c>
      <c r="AN25" s="162" t="n">
        <v>0.03</v>
      </c>
      <c r="AO25" s="162" t="n">
        <v>0.03</v>
      </c>
      <c r="AP25" s="162" t="n">
        <v>0.03</v>
      </c>
      <c r="AQ25" s="162"/>
      <c r="AR25" s="162" t="n">
        <v>0.02</v>
      </c>
      <c r="AS25" s="162" t="n">
        <v>0.02</v>
      </c>
      <c r="AT25" s="162" t="n">
        <v>0.02</v>
      </c>
      <c r="AU25" s="162" t="n">
        <v>0.019</v>
      </c>
      <c r="AV25" s="162" t="n">
        <v>0.02</v>
      </c>
      <c r="AW25" s="162" t="n">
        <v>0.02</v>
      </c>
      <c r="AX25" s="162"/>
      <c r="AY25" s="162" t="n">
        <v>0.02</v>
      </c>
      <c r="AZ25" s="162" t="n">
        <v>0.02</v>
      </c>
      <c r="BA25" s="162" t="n">
        <v>0.02</v>
      </c>
      <c r="BB25" s="162" t="n">
        <v>0.02</v>
      </c>
      <c r="BC25" s="162" t="n">
        <v>0.01</v>
      </c>
      <c r="BD25" s="162" t="n">
        <v>0.01</v>
      </c>
      <c r="BE25" s="162" t="n">
        <v>0.01</v>
      </c>
      <c r="BF25" s="162" t="n">
        <v>0.01</v>
      </c>
      <c r="BG25" s="162" t="n">
        <v>0.01</v>
      </c>
      <c r="BH25" s="162" t="n">
        <v>0.01</v>
      </c>
      <c r="BI25" s="162" t="n">
        <v>0.01</v>
      </c>
      <c r="BJ25" s="162" t="n">
        <v>0.01</v>
      </c>
      <c r="BK25" s="162" t="n">
        <v>0.01</v>
      </c>
      <c r="BL25" s="162"/>
      <c r="BM25" s="162" t="n">
        <v>0.02</v>
      </c>
      <c r="BN25" s="162"/>
      <c r="BO25" s="162"/>
      <c r="BP25" s="162"/>
      <c r="BQ25" s="162"/>
      <c r="BR25" s="162"/>
      <c r="BS25" s="162"/>
      <c r="BT25" s="162"/>
      <c r="BU25" s="162" t="n">
        <v>0.01</v>
      </c>
      <c r="BV25" s="162" t="n">
        <v>0.02</v>
      </c>
      <c r="BW25" s="162"/>
      <c r="BX25" s="162" t="n">
        <v>0.02</v>
      </c>
      <c r="BY25" s="162" t="n">
        <v>0.02</v>
      </c>
      <c r="BZ25" s="162" t="n">
        <v>0.01</v>
      </c>
      <c r="CA25" s="162" t="n">
        <v>0.01</v>
      </c>
      <c r="CB25" s="162" t="n">
        <v>0.01</v>
      </c>
      <c r="CC25" s="162"/>
      <c r="CD25" s="162"/>
      <c r="CE25" s="162" t="n">
        <v>0.01</v>
      </c>
      <c r="CF25" s="162"/>
      <c r="CG25" s="162"/>
      <c r="CH25" s="162" t="n">
        <v>0.01</v>
      </c>
      <c r="CI25" s="162" t="n">
        <v>0.01</v>
      </c>
      <c r="CJ25" s="162" t="n">
        <v>0.01</v>
      </c>
      <c r="CK25" s="163" t="n">
        <v>0.01</v>
      </c>
      <c r="CO25" s="162"/>
      <c r="CP25" s="162"/>
      <c r="CQ25" s="162" t="n">
        <v>0.01</v>
      </c>
      <c r="CR25" s="162" t="n">
        <v>0.01</v>
      </c>
      <c r="CS25" s="162" t="n">
        <v>0.02</v>
      </c>
      <c r="CT25" s="162" t="n">
        <v>0.02</v>
      </c>
      <c r="CU25" s="162" t="n">
        <v>0.02</v>
      </c>
      <c r="CV25" s="162" t="n">
        <v>0.02</v>
      </c>
      <c r="CW25" s="162" t="n">
        <v>0.02</v>
      </c>
      <c r="CX25" s="162" t="n">
        <v>0.02</v>
      </c>
      <c r="CY25" s="162"/>
      <c r="CZ25" s="162"/>
      <c r="DA25" s="162"/>
      <c r="DB25" s="162" t="n">
        <v>0.01</v>
      </c>
      <c r="DC25" s="162"/>
      <c r="DD25" s="162"/>
      <c r="DE25" s="162"/>
      <c r="DF25" s="162"/>
      <c r="DG25" s="162"/>
      <c r="DH25" s="162"/>
      <c r="DI25" s="162"/>
      <c r="DJ25" s="162"/>
      <c r="DK25" s="162"/>
      <c r="DL25" s="162"/>
      <c r="DM25" s="162"/>
      <c r="DN25" s="162"/>
      <c r="DO25" s="162"/>
      <c r="DP25" s="162"/>
      <c r="DQ25" s="162"/>
      <c r="DR25" s="162" t="n">
        <v>0.01</v>
      </c>
      <c r="DS25" s="162"/>
      <c r="DT25" s="162"/>
      <c r="DU25" s="162"/>
      <c r="DV25" s="162"/>
      <c r="DW25" s="162"/>
      <c r="DX25" s="162"/>
      <c r="DY25" s="162"/>
      <c r="DZ25" s="162" t="n">
        <v>0.02</v>
      </c>
      <c r="EA25" s="162" t="n">
        <v>0.01</v>
      </c>
      <c r="EB25" s="162" t="n">
        <v>0.01</v>
      </c>
      <c r="ED25" s="163" t="n">
        <v>0.02</v>
      </c>
      <c r="EE25" s="162" t="n">
        <v>0.02</v>
      </c>
      <c r="EF25" s="162" t="n">
        <v>0.02</v>
      </c>
      <c r="EG25" s="162" t="n">
        <v>0.02</v>
      </c>
      <c r="EH25" s="162" t="n">
        <v>0.01</v>
      </c>
      <c r="EI25" s="162" t="n">
        <v>0.01</v>
      </c>
      <c r="EJ25" s="162" t="n">
        <v>0.01</v>
      </c>
      <c r="EK25" s="162" t="n">
        <v>0.01</v>
      </c>
      <c r="EL25" s="162" t="n">
        <v>0.01</v>
      </c>
      <c r="EM25" s="162" t="n">
        <v>0.01</v>
      </c>
      <c r="EN25" s="162" t="n">
        <v>0.01</v>
      </c>
      <c r="EO25" s="162" t="n">
        <v>0.01</v>
      </c>
      <c r="EP25" s="162" t="n">
        <v>0.01</v>
      </c>
      <c r="EQ25" s="162" t="n">
        <v>0.01</v>
      </c>
      <c r="ER25" s="162" t="n">
        <v>0.01</v>
      </c>
      <c r="ES25" s="162" t="n">
        <v>0.01</v>
      </c>
      <c r="ET25" s="162" t="n">
        <v>0.01</v>
      </c>
      <c r="EU25" s="162" t="n">
        <v>0.01</v>
      </c>
      <c r="EV25" s="162" t="n">
        <v>0.01</v>
      </c>
      <c r="EW25" s="162"/>
      <c r="EX25" s="162"/>
      <c r="EY25" s="162"/>
      <c r="EZ25" s="162"/>
      <c r="FA25" s="162"/>
      <c r="FB25" s="162" t="n">
        <v>0.01</v>
      </c>
      <c r="FC25" s="162" t="n">
        <v>0.01</v>
      </c>
      <c r="FD25" s="162" t="n">
        <v>0.01</v>
      </c>
      <c r="FE25" s="162"/>
      <c r="FF25" s="162" t="n">
        <v>0.01</v>
      </c>
      <c r="FG25" s="162"/>
      <c r="FH25" s="162" t="n">
        <v>0.01</v>
      </c>
      <c r="FI25" s="162" t="n">
        <v>0.01</v>
      </c>
      <c r="FJ25" s="162"/>
      <c r="FK25" s="162"/>
      <c r="FL25" s="162"/>
      <c r="FM25" s="162"/>
      <c r="FN25" s="162"/>
      <c r="FO25" s="162"/>
      <c r="FP25" s="162"/>
      <c r="FQ25" s="162"/>
      <c r="FR25" s="162"/>
      <c r="FS25" s="162"/>
      <c r="FT25" s="162"/>
      <c r="FU25" s="162"/>
      <c r="FV25" s="162"/>
      <c r="FW25" s="162"/>
      <c r="FX25" s="162"/>
    </row>
    <row r="26" s="163" customFormat="true" ht="15" hidden="false" customHeight="false" outlineLevel="0" collapsed="false">
      <c r="A26" s="161" t="s">
        <v>366</v>
      </c>
      <c r="B26" s="162" t="s">
        <v>359</v>
      </c>
      <c r="C26" s="162"/>
      <c r="D26" s="162"/>
      <c r="E26" s="162"/>
      <c r="F26" s="162"/>
      <c r="G26" s="162"/>
      <c r="H26" s="162"/>
      <c r="I26" s="162"/>
      <c r="J26" s="162"/>
      <c r="K26" s="162"/>
      <c r="L26" s="162"/>
      <c r="M26" s="162"/>
      <c r="N26" s="162" t="n">
        <v>0.22</v>
      </c>
      <c r="O26" s="162" t="n">
        <v>0.25</v>
      </c>
      <c r="P26" s="162"/>
      <c r="Q26" s="162" t="n">
        <v>0.25</v>
      </c>
      <c r="R26" s="162"/>
      <c r="S26" s="162"/>
      <c r="T26" s="162"/>
      <c r="U26" s="162"/>
      <c r="V26" s="162"/>
      <c r="W26" s="162"/>
      <c r="X26" s="162"/>
      <c r="Y26" s="162"/>
      <c r="Z26" s="162"/>
      <c r="AA26" s="162"/>
      <c r="AB26" s="162"/>
      <c r="AC26" s="162"/>
      <c r="AD26" s="162"/>
      <c r="AE26" s="162"/>
      <c r="AF26" s="162" t="n">
        <v>0.22</v>
      </c>
      <c r="AG26" s="162" t="n">
        <v>0.22</v>
      </c>
      <c r="AH26" s="162" t="n">
        <v>0.22</v>
      </c>
      <c r="AI26" s="162" t="n">
        <v>0.22</v>
      </c>
      <c r="AJ26" s="162" t="n">
        <v>0.22</v>
      </c>
      <c r="AK26" s="162" t="n">
        <v>0.18</v>
      </c>
      <c r="AL26" s="162" t="n">
        <v>0.17</v>
      </c>
      <c r="AM26" s="162" t="n">
        <v>0.17</v>
      </c>
      <c r="AN26" s="162" t="n">
        <v>0.15</v>
      </c>
      <c r="AO26" s="162" t="n">
        <v>0.15</v>
      </c>
      <c r="AP26" s="162" t="n">
        <v>0.16</v>
      </c>
      <c r="AQ26" s="162"/>
      <c r="AR26" s="162" t="n">
        <v>0.14</v>
      </c>
      <c r="AS26" s="162" t="n">
        <v>0.14</v>
      </c>
      <c r="AT26" s="162" t="n">
        <v>0.09</v>
      </c>
      <c r="AU26" s="162" t="n">
        <v>0.042</v>
      </c>
      <c r="AV26" s="162" t="n">
        <v>0.03</v>
      </c>
      <c r="AW26" s="162" t="n">
        <v>0.03</v>
      </c>
      <c r="AX26" s="162"/>
      <c r="AY26" s="162" t="n">
        <v>0.09</v>
      </c>
      <c r="AZ26" s="162" t="n">
        <v>0.1</v>
      </c>
      <c r="BA26" s="162" t="n">
        <v>0.08</v>
      </c>
      <c r="BB26" s="162" t="n">
        <v>0.07</v>
      </c>
      <c r="BC26" s="162" t="n">
        <v>0.07</v>
      </c>
      <c r="BD26" s="162" t="n">
        <v>0.09</v>
      </c>
      <c r="BE26" s="162" t="n">
        <v>0.09</v>
      </c>
      <c r="BF26" s="162" t="n">
        <v>0.06</v>
      </c>
      <c r="BG26" s="162" t="n">
        <v>0.06</v>
      </c>
      <c r="BH26" s="162" t="n">
        <v>0.05</v>
      </c>
      <c r="BI26" s="162" t="n">
        <v>0.04</v>
      </c>
      <c r="BJ26" s="162" t="n">
        <v>0.09</v>
      </c>
      <c r="BK26" s="162" t="n">
        <v>0.09</v>
      </c>
      <c r="BL26" s="162"/>
      <c r="BM26" s="162" t="n">
        <v>0.07</v>
      </c>
      <c r="BN26" s="162"/>
      <c r="BO26" s="162"/>
      <c r="BP26" s="162"/>
      <c r="BQ26" s="162"/>
      <c r="BR26" s="162"/>
      <c r="BS26" s="162"/>
      <c r="BT26" s="162"/>
      <c r="BU26" s="162" t="n">
        <v>0.11</v>
      </c>
      <c r="BV26" s="162" t="n">
        <v>0.04</v>
      </c>
      <c r="BW26" s="162"/>
      <c r="BX26" s="162" t="n">
        <v>0.04</v>
      </c>
      <c r="BY26" s="162" t="n">
        <v>0.04</v>
      </c>
      <c r="BZ26" s="162" t="n">
        <v>0.04</v>
      </c>
      <c r="CA26" s="162" t="n">
        <v>0.04</v>
      </c>
      <c r="CB26" s="162" t="n">
        <v>0.04</v>
      </c>
      <c r="CC26" s="162"/>
      <c r="CD26" s="162"/>
      <c r="CE26" s="162" t="n">
        <v>0.04</v>
      </c>
      <c r="CF26" s="162"/>
      <c r="CG26" s="162"/>
      <c r="CH26" s="162" t="n">
        <v>0.03</v>
      </c>
      <c r="CI26" s="162" t="n">
        <v>0.03</v>
      </c>
      <c r="CJ26" s="162" t="n">
        <v>0.04</v>
      </c>
      <c r="CK26" s="162" t="n">
        <v>0.04</v>
      </c>
      <c r="CL26" s="162"/>
      <c r="CM26" s="162"/>
      <c r="CN26" s="162"/>
      <c r="CO26" s="162"/>
      <c r="CP26" s="162"/>
      <c r="CQ26" s="162" t="n">
        <v>0.04</v>
      </c>
      <c r="CR26" s="162" t="n">
        <v>0.04</v>
      </c>
      <c r="CS26" s="162" t="n">
        <v>0.04</v>
      </c>
      <c r="CT26" s="162" t="n">
        <v>0.04</v>
      </c>
      <c r="CU26" s="162" t="n">
        <v>0.04</v>
      </c>
      <c r="CV26" s="162" t="n">
        <v>0.04</v>
      </c>
      <c r="CW26" s="162" t="n">
        <v>0.03</v>
      </c>
      <c r="CX26" s="162" t="n">
        <v>0.03</v>
      </c>
      <c r="CY26" s="162"/>
      <c r="CZ26" s="162"/>
      <c r="DA26" s="162"/>
      <c r="DB26" s="162" t="n">
        <v>0.02</v>
      </c>
      <c r="DC26" s="162"/>
      <c r="DD26" s="162"/>
      <c r="DE26" s="162"/>
      <c r="DF26" s="162"/>
      <c r="DG26" s="162"/>
      <c r="DH26" s="162"/>
      <c r="DI26" s="162"/>
      <c r="DJ26" s="162"/>
      <c r="DK26" s="162"/>
      <c r="DL26" s="162"/>
      <c r="DM26" s="162"/>
      <c r="DN26" s="162"/>
      <c r="DO26" s="162"/>
      <c r="DP26" s="162"/>
      <c r="DQ26" s="162"/>
      <c r="DR26" s="162" t="n">
        <v>0.03</v>
      </c>
      <c r="DS26" s="162"/>
      <c r="DT26" s="162"/>
      <c r="DU26" s="162"/>
      <c r="DV26" s="162"/>
      <c r="DW26" s="162"/>
      <c r="DX26" s="162"/>
      <c r="DY26" s="162"/>
      <c r="DZ26" s="162" t="n">
        <v>0.03</v>
      </c>
      <c r="EA26" s="162" t="n">
        <v>0.03</v>
      </c>
      <c r="EB26" s="162" t="n">
        <v>0.03</v>
      </c>
      <c r="EC26" s="162"/>
      <c r="ED26" s="162" t="n">
        <v>0.04</v>
      </c>
      <c r="EE26" s="162" t="n">
        <v>0.04</v>
      </c>
      <c r="EF26" s="162" t="n">
        <v>0.03</v>
      </c>
      <c r="EG26" s="162" t="n">
        <v>0.04</v>
      </c>
      <c r="EH26" s="162" t="n">
        <v>0.18</v>
      </c>
      <c r="EI26" s="162" t="n">
        <v>0.18</v>
      </c>
      <c r="EJ26" s="162" t="n">
        <v>0.18</v>
      </c>
      <c r="EK26" s="162" t="n">
        <v>0.21</v>
      </c>
      <c r="EL26" s="162" t="n">
        <v>0.18</v>
      </c>
      <c r="EM26" s="162" t="n">
        <v>0.18</v>
      </c>
      <c r="EN26" s="162" t="n">
        <v>0.21</v>
      </c>
      <c r="EO26" s="162" t="n">
        <v>0.19</v>
      </c>
      <c r="EP26" s="162" t="n">
        <v>0.19</v>
      </c>
      <c r="EQ26" s="162" t="n">
        <v>0.22</v>
      </c>
      <c r="ER26" s="162" t="n">
        <v>0.22</v>
      </c>
      <c r="ES26" s="162" t="n">
        <v>0.22</v>
      </c>
      <c r="ET26" s="162" t="n">
        <v>0.19</v>
      </c>
      <c r="EU26" s="162" t="n">
        <v>0.18</v>
      </c>
      <c r="EV26" s="162" t="n">
        <v>0.22</v>
      </c>
      <c r="EW26" s="162"/>
      <c r="EX26" s="162"/>
      <c r="EY26" s="162"/>
      <c r="EZ26" s="162"/>
      <c r="FA26" s="162"/>
      <c r="FB26" s="162" t="n">
        <v>0.12</v>
      </c>
      <c r="FC26" s="162" t="n">
        <v>0.12</v>
      </c>
      <c r="FD26" s="162" t="n">
        <v>0.12</v>
      </c>
      <c r="FE26" s="162"/>
      <c r="FF26" s="162" t="n">
        <v>0.18</v>
      </c>
      <c r="FG26" s="162"/>
      <c r="FH26" s="162" t="n">
        <v>0.11</v>
      </c>
      <c r="FI26" s="162" t="n">
        <v>0.04</v>
      </c>
      <c r="FJ26" s="162"/>
      <c r="FK26" s="162"/>
      <c r="FL26" s="162"/>
      <c r="FM26" s="162"/>
      <c r="FN26" s="162"/>
      <c r="FO26" s="162"/>
      <c r="FP26" s="162"/>
      <c r="FQ26" s="162"/>
      <c r="FR26" s="162"/>
      <c r="FS26" s="162"/>
      <c r="FT26" s="162"/>
      <c r="FU26" s="162"/>
      <c r="FV26" s="162"/>
      <c r="FW26" s="162"/>
      <c r="FX26" s="162"/>
      <c r="FY26" s="162"/>
      <c r="FZ26" s="162"/>
      <c r="GA26" s="162"/>
      <c r="GB26" s="162"/>
      <c r="GC26" s="162"/>
      <c r="GD26" s="162"/>
      <c r="GE26" s="162"/>
      <c r="GF26" s="162"/>
      <c r="GG26" s="162"/>
      <c r="GH26" s="162"/>
      <c r="GI26" s="162"/>
      <c r="GJ26" s="162"/>
      <c r="GK26" s="162"/>
      <c r="GL26" s="162"/>
      <c r="GM26" s="162"/>
      <c r="GN26" s="162"/>
      <c r="GO26" s="162"/>
      <c r="GP26" s="162"/>
      <c r="GQ26" s="162"/>
      <c r="GR26" s="162"/>
      <c r="GS26" s="162"/>
      <c r="GT26" s="162"/>
      <c r="GU26" s="162"/>
      <c r="GV26" s="162"/>
      <c r="GW26" s="162"/>
      <c r="GX26" s="162"/>
      <c r="GY26" s="162"/>
      <c r="GZ26" s="162"/>
      <c r="HA26" s="162"/>
      <c r="HB26" s="162"/>
      <c r="HC26" s="162"/>
      <c r="HD26" s="162"/>
      <c r="HE26" s="162"/>
      <c r="HF26" s="162"/>
      <c r="HG26" s="162"/>
      <c r="HH26" s="162"/>
      <c r="HI26" s="162"/>
      <c r="HJ26" s="162"/>
      <c r="HK26" s="162"/>
      <c r="HL26" s="162"/>
      <c r="HM26" s="162"/>
      <c r="HN26" s="162"/>
      <c r="HO26" s="162"/>
      <c r="HP26" s="162"/>
      <c r="HQ26" s="162"/>
      <c r="HR26" s="162"/>
      <c r="HS26" s="162"/>
      <c r="HT26" s="162"/>
      <c r="HU26" s="162"/>
      <c r="HV26" s="162"/>
      <c r="HW26" s="162"/>
      <c r="HX26" s="162"/>
      <c r="HY26" s="162"/>
      <c r="HZ26" s="162"/>
      <c r="IA26" s="162"/>
    </row>
    <row r="27" s="144" customFormat="true" ht="15" hidden="false" customHeight="false" outlineLevel="0" collapsed="false">
      <c r="A27" s="142" t="s">
        <v>367</v>
      </c>
      <c r="B27" s="143" t="s">
        <v>368</v>
      </c>
      <c r="C27" s="143"/>
      <c r="D27" s="143"/>
      <c r="E27" s="143"/>
      <c r="F27" s="143"/>
      <c r="G27" s="143"/>
      <c r="H27" s="143"/>
      <c r="I27" s="143"/>
      <c r="J27" s="143"/>
      <c r="K27" s="143"/>
      <c r="L27" s="143"/>
      <c r="M27" s="143"/>
      <c r="N27" s="143" t="n">
        <v>2.03</v>
      </c>
      <c r="O27" s="143" t="n">
        <v>2.03</v>
      </c>
      <c r="P27" s="143"/>
      <c r="Q27" s="143" t="n">
        <v>2.03</v>
      </c>
      <c r="R27" s="143"/>
      <c r="S27" s="143"/>
      <c r="T27" s="143"/>
      <c r="U27" s="143"/>
      <c r="V27" s="143"/>
      <c r="W27" s="143"/>
      <c r="X27" s="143"/>
      <c r="Y27" s="143"/>
      <c r="Z27" s="143"/>
      <c r="AA27" s="143"/>
      <c r="AB27" s="143"/>
      <c r="AC27" s="143"/>
      <c r="AD27" s="143"/>
      <c r="AE27" s="143"/>
      <c r="AF27" s="143" t="n">
        <v>2.03</v>
      </c>
      <c r="AG27" s="143" t="n">
        <v>2.03</v>
      </c>
      <c r="AH27" s="143" t="n">
        <v>2.03</v>
      </c>
      <c r="AI27" s="143" t="n">
        <v>2.03</v>
      </c>
      <c r="AJ27" s="143" t="n">
        <v>2.03</v>
      </c>
      <c r="AK27" s="143" t="n">
        <v>16.61</v>
      </c>
      <c r="AL27" s="143" t="n">
        <v>19.1</v>
      </c>
      <c r="AM27" s="143" t="n">
        <v>19.1</v>
      </c>
      <c r="AN27" s="143" t="n">
        <v>24.82</v>
      </c>
      <c r="AO27" s="143" t="n">
        <v>26.89</v>
      </c>
      <c r="AP27" s="143" t="n">
        <v>21.83</v>
      </c>
      <c r="AQ27" s="143"/>
      <c r="AR27" s="143" t="n">
        <v>16.21</v>
      </c>
      <c r="AS27" s="143" t="n">
        <v>16.27</v>
      </c>
      <c r="AT27" s="143" t="n">
        <v>25.88</v>
      </c>
      <c r="AU27" s="143" t="n">
        <v>18.02</v>
      </c>
      <c r="AV27" s="143" t="n">
        <v>18.02</v>
      </c>
      <c r="AW27" s="143" t="n">
        <v>18.02</v>
      </c>
      <c r="AX27" s="143"/>
      <c r="AY27" s="143" t="n">
        <v>25.88</v>
      </c>
      <c r="AZ27" s="143" t="n">
        <v>25.82</v>
      </c>
      <c r="BA27" s="143" t="n">
        <v>23.69</v>
      </c>
      <c r="BB27" s="143" t="n">
        <v>21.32</v>
      </c>
      <c r="BC27" s="143" t="n">
        <v>17.77</v>
      </c>
      <c r="BD27" s="143" t="n">
        <v>14.14</v>
      </c>
      <c r="BE27" s="143" t="n">
        <v>13.7</v>
      </c>
      <c r="BF27" s="143" t="n">
        <v>18.57</v>
      </c>
      <c r="BG27" s="143" t="n">
        <v>19.19</v>
      </c>
      <c r="BH27" s="143" t="n">
        <v>23.27</v>
      </c>
      <c r="BI27" s="143" t="n">
        <v>80.66</v>
      </c>
      <c r="BJ27" s="143" t="n">
        <v>13.7</v>
      </c>
      <c r="BK27" s="143" t="n">
        <v>13.7</v>
      </c>
      <c r="BL27" s="143"/>
      <c r="BM27" s="143" t="n">
        <v>38.12</v>
      </c>
      <c r="BN27" s="143"/>
      <c r="BO27" s="143"/>
      <c r="BP27" s="143"/>
      <c r="BQ27" s="143"/>
      <c r="BR27" s="143"/>
      <c r="BS27" s="143"/>
      <c r="BT27" s="143"/>
      <c r="BU27" s="143" t="n">
        <v>9.83</v>
      </c>
      <c r="BV27" s="143" t="n">
        <v>62.63</v>
      </c>
      <c r="BW27" s="143"/>
      <c r="BX27" s="143" t="n">
        <v>49.09</v>
      </c>
      <c r="BY27" s="143" t="n">
        <v>72.85</v>
      </c>
      <c r="BZ27" s="143" t="n">
        <v>100.74</v>
      </c>
      <c r="CA27" s="143" t="n">
        <v>100.74</v>
      </c>
      <c r="CB27" s="143" t="n">
        <v>100.74</v>
      </c>
      <c r="CC27" s="143"/>
      <c r="CD27" s="143"/>
      <c r="CE27" s="143" t="n">
        <v>133.58</v>
      </c>
      <c r="CF27" s="143"/>
      <c r="CG27" s="143"/>
      <c r="CH27" s="143" t="n">
        <v>48.86</v>
      </c>
      <c r="CI27" s="143" t="n">
        <v>43.29</v>
      </c>
      <c r="CJ27" s="143" t="n">
        <v>29.78</v>
      </c>
      <c r="CK27" s="144" t="n">
        <v>27.72</v>
      </c>
      <c r="CO27" s="143"/>
      <c r="CP27" s="143"/>
      <c r="CQ27" s="143" t="n">
        <v>27.72</v>
      </c>
      <c r="CR27" s="143" t="n">
        <v>27.72</v>
      </c>
      <c r="CS27" s="143" t="n">
        <v>18.02</v>
      </c>
      <c r="CT27" s="143" t="n">
        <v>18.02</v>
      </c>
      <c r="CU27" s="143" t="n">
        <v>18.02</v>
      </c>
      <c r="CV27" s="143" t="n">
        <v>18.02</v>
      </c>
      <c r="CW27" s="143" t="n">
        <v>18.02</v>
      </c>
      <c r="CX27" s="143" t="n">
        <v>18.02</v>
      </c>
      <c r="CY27" s="143"/>
      <c r="CZ27" s="143"/>
      <c r="DA27" s="143"/>
      <c r="DB27" s="143" t="n">
        <v>62.65</v>
      </c>
      <c r="DC27" s="143"/>
      <c r="DD27" s="143"/>
      <c r="DE27" s="143"/>
      <c r="DF27" s="143"/>
      <c r="DG27" s="143"/>
      <c r="DH27" s="143"/>
      <c r="DI27" s="143"/>
      <c r="DJ27" s="143"/>
      <c r="DK27" s="143"/>
      <c r="DL27" s="143"/>
      <c r="DM27" s="143"/>
      <c r="DN27" s="143"/>
      <c r="DO27" s="143"/>
      <c r="DP27" s="143"/>
      <c r="DQ27" s="143"/>
      <c r="DR27" s="143" t="n">
        <v>86.33</v>
      </c>
      <c r="DS27" s="143"/>
      <c r="DT27" s="143"/>
      <c r="DU27" s="143"/>
      <c r="DV27" s="143"/>
      <c r="DW27" s="143"/>
      <c r="DX27" s="143"/>
      <c r="DY27" s="143"/>
      <c r="DZ27" s="143" t="n">
        <v>18.02</v>
      </c>
      <c r="EA27" s="143" t="n">
        <v>18.02</v>
      </c>
      <c r="EB27" s="143" t="n">
        <v>18.02</v>
      </c>
      <c r="ED27" s="144" t="n">
        <v>18.02</v>
      </c>
      <c r="EE27" s="143" t="n">
        <v>18.02</v>
      </c>
      <c r="EF27" s="143" t="n">
        <v>18.02</v>
      </c>
      <c r="EG27" s="143" t="n">
        <v>18.02</v>
      </c>
      <c r="EH27" s="143" t="n">
        <v>2.03</v>
      </c>
      <c r="EI27" s="143" t="n">
        <v>2.03</v>
      </c>
      <c r="EJ27" s="143" t="n">
        <v>2.03</v>
      </c>
      <c r="EK27" s="143" t="n">
        <v>2.03</v>
      </c>
      <c r="EL27" s="143" t="n">
        <v>2.03</v>
      </c>
      <c r="EM27" s="143" t="n">
        <v>2.03</v>
      </c>
      <c r="EN27" s="143" t="n">
        <v>2.03</v>
      </c>
      <c r="EO27" s="143" t="n">
        <v>2.03</v>
      </c>
      <c r="EP27" s="143" t="n">
        <v>2.03</v>
      </c>
      <c r="EQ27" s="143" t="n">
        <v>2.03</v>
      </c>
      <c r="ER27" s="143" t="n">
        <v>2.03</v>
      </c>
      <c r="ES27" s="143" t="n">
        <v>2.03</v>
      </c>
      <c r="ET27" s="143" t="n">
        <v>2.03</v>
      </c>
      <c r="EU27" s="143" t="n">
        <v>2.03</v>
      </c>
      <c r="EV27" s="143" t="n">
        <v>2.03</v>
      </c>
      <c r="EW27" s="143"/>
      <c r="EX27" s="143"/>
      <c r="EY27" s="143"/>
      <c r="EZ27" s="143"/>
      <c r="FA27" s="143"/>
      <c r="FB27" s="143" t="n">
        <v>8.71</v>
      </c>
      <c r="FC27" s="143" t="n">
        <v>8.71</v>
      </c>
      <c r="FD27" s="143" t="n">
        <v>8.71</v>
      </c>
      <c r="FE27" s="143"/>
      <c r="FF27" s="143" t="n">
        <v>2.36</v>
      </c>
      <c r="FG27" s="143"/>
      <c r="FH27" s="143" t="n">
        <v>8.59</v>
      </c>
      <c r="FI27" s="143" t="n">
        <v>27.01</v>
      </c>
      <c r="FJ27" s="143"/>
      <c r="FK27" s="143"/>
      <c r="FL27" s="143"/>
      <c r="FM27" s="143"/>
      <c r="FN27" s="143"/>
      <c r="FO27" s="143"/>
      <c r="FP27" s="143"/>
      <c r="FQ27" s="143"/>
      <c r="FR27" s="143"/>
      <c r="FS27" s="143"/>
      <c r="FT27" s="143"/>
      <c r="FU27" s="143"/>
      <c r="FV27" s="143"/>
      <c r="FW27" s="143"/>
      <c r="FX27" s="143"/>
    </row>
    <row r="28" s="165" customFormat="true" ht="15" hidden="false" customHeight="false" outlineLevel="0" collapsed="false">
      <c r="A28" s="153" t="s">
        <v>369</v>
      </c>
      <c r="B28" s="153" t="s">
        <v>351</v>
      </c>
      <c r="C28" s="164"/>
      <c r="D28" s="164"/>
      <c r="E28" s="164"/>
      <c r="F28" s="164"/>
      <c r="G28" s="164"/>
      <c r="H28" s="164"/>
      <c r="I28" s="164"/>
      <c r="J28" s="164"/>
      <c r="K28" s="164"/>
      <c r="L28" s="164"/>
      <c r="M28" s="164"/>
      <c r="N28" s="164" t="n">
        <v>9.1</v>
      </c>
      <c r="O28" s="164"/>
      <c r="P28" s="164"/>
      <c r="Q28" s="164"/>
      <c r="R28" s="164"/>
      <c r="S28" s="164"/>
      <c r="T28" s="164"/>
      <c r="U28" s="164"/>
      <c r="V28" s="164"/>
      <c r="W28" s="164"/>
      <c r="X28" s="164"/>
      <c r="Y28" s="164"/>
      <c r="Z28" s="164"/>
      <c r="AA28" s="164"/>
      <c r="AB28" s="164"/>
      <c r="AC28" s="164"/>
      <c r="AD28" s="164"/>
      <c r="AE28" s="164"/>
      <c r="AF28" s="164" t="n">
        <v>8.7</v>
      </c>
      <c r="AG28" s="164" t="n">
        <v>8.6</v>
      </c>
      <c r="AH28" s="164" t="n">
        <v>8.6</v>
      </c>
      <c r="AI28" s="164" t="n">
        <v>8.5</v>
      </c>
      <c r="AJ28" s="164" t="n">
        <v>8.5</v>
      </c>
      <c r="AK28" s="164" t="n">
        <v>41.5</v>
      </c>
      <c r="AL28" s="164" t="n">
        <v>46.7</v>
      </c>
      <c r="AM28" s="164" t="n">
        <v>52.6</v>
      </c>
      <c r="AN28" s="164" t="n">
        <v>58.9</v>
      </c>
      <c r="AO28" s="164" t="n">
        <v>63.5</v>
      </c>
      <c r="AP28" s="164" t="n">
        <v>12</v>
      </c>
      <c r="AQ28" s="164"/>
      <c r="AR28" s="164"/>
      <c r="AS28" s="164"/>
      <c r="AT28" s="164"/>
      <c r="AU28" s="164" t="n">
        <v>5.6</v>
      </c>
      <c r="AV28" s="164" t="n">
        <v>2</v>
      </c>
      <c r="AW28" s="164" t="n">
        <v>1.9</v>
      </c>
      <c r="AX28" s="164"/>
      <c r="AY28" s="164" t="n">
        <v>17.4</v>
      </c>
      <c r="AZ28" s="164" t="n">
        <v>17.3</v>
      </c>
      <c r="BA28" s="164"/>
      <c r="BB28" s="164"/>
      <c r="BC28" s="164"/>
      <c r="BD28" s="164"/>
      <c r="BE28" s="164"/>
      <c r="BF28" s="164"/>
      <c r="BG28" s="164"/>
      <c r="BH28" s="164"/>
      <c r="BI28" s="164"/>
      <c r="BJ28" s="164" t="n">
        <v>15.6</v>
      </c>
      <c r="BK28" s="164" t="n">
        <v>15.5</v>
      </c>
      <c r="BL28" s="164"/>
      <c r="BM28" s="164"/>
      <c r="BN28" s="164"/>
      <c r="BO28" s="164"/>
      <c r="BP28" s="164"/>
      <c r="BQ28" s="164"/>
      <c r="BR28" s="164"/>
      <c r="BS28" s="164"/>
      <c r="BT28" s="164"/>
      <c r="BU28" s="164" t="n">
        <v>11</v>
      </c>
      <c r="BV28" s="164"/>
      <c r="BW28" s="164"/>
      <c r="BX28" s="164"/>
      <c r="BY28" s="164"/>
      <c r="BZ28" s="164"/>
      <c r="CA28" s="164" t="n">
        <v>6.2</v>
      </c>
      <c r="CB28" s="164" t="n">
        <v>3.7</v>
      </c>
      <c r="CC28" s="164"/>
      <c r="CD28" s="164"/>
      <c r="CE28" s="164"/>
      <c r="CF28" s="164"/>
      <c r="CG28" s="164"/>
      <c r="CH28" s="164" t="n">
        <v>17.1</v>
      </c>
      <c r="CI28" s="164" t="n">
        <v>19.8</v>
      </c>
      <c r="CJ28" s="164"/>
      <c r="CO28" s="164"/>
      <c r="CP28" s="164"/>
      <c r="CQ28" s="164" t="n">
        <v>12.1</v>
      </c>
      <c r="CR28" s="164" t="n">
        <v>11.2</v>
      </c>
      <c r="CS28" s="164" t="n">
        <v>5.5</v>
      </c>
      <c r="CT28" s="164" t="n">
        <v>5</v>
      </c>
      <c r="CU28" s="164" t="n">
        <v>5.6</v>
      </c>
      <c r="CV28" s="164" t="n">
        <v>5.5</v>
      </c>
      <c r="CW28" s="164" t="n">
        <v>7.7</v>
      </c>
      <c r="CX28" s="164" t="n">
        <v>7.7</v>
      </c>
      <c r="CY28" s="164"/>
      <c r="CZ28" s="164"/>
      <c r="DA28" s="164"/>
      <c r="DB28" s="164" t="n">
        <v>3.4</v>
      </c>
      <c r="DC28" s="164"/>
      <c r="DD28" s="164"/>
      <c r="DE28" s="164"/>
      <c r="DF28" s="164"/>
      <c r="DG28" s="164"/>
      <c r="DH28" s="164"/>
      <c r="DI28" s="164"/>
      <c r="DJ28" s="164"/>
      <c r="DK28" s="164"/>
      <c r="DL28" s="164"/>
      <c r="DM28" s="164"/>
      <c r="DN28" s="164"/>
      <c r="DO28" s="164"/>
      <c r="DP28" s="164"/>
      <c r="DQ28" s="164"/>
      <c r="DR28" s="164" t="n">
        <v>4.1</v>
      </c>
      <c r="DS28" s="164"/>
      <c r="DT28" s="164"/>
      <c r="DU28" s="164"/>
      <c r="DV28" s="164"/>
      <c r="DW28" s="164"/>
      <c r="DX28" s="164"/>
      <c r="DY28" s="164"/>
      <c r="DZ28" s="164" t="n">
        <v>7.7</v>
      </c>
      <c r="EA28" s="164" t="n">
        <v>3.8</v>
      </c>
      <c r="EB28" s="164" t="n">
        <v>2.5</v>
      </c>
      <c r="ED28" s="165" t="n">
        <v>1.8</v>
      </c>
      <c r="EE28" s="164" t="n">
        <v>1.8</v>
      </c>
      <c r="EF28" s="164" t="n">
        <v>7.7</v>
      </c>
      <c r="EG28" s="164" t="n">
        <v>5.5</v>
      </c>
      <c r="EH28" s="164" t="n">
        <v>1.9</v>
      </c>
      <c r="EI28" s="164" t="n">
        <v>1.9</v>
      </c>
      <c r="EJ28" s="164" t="n">
        <v>1.9</v>
      </c>
      <c r="EK28" s="164" t="n">
        <v>2.9</v>
      </c>
      <c r="EL28" s="164" t="n">
        <v>3.5</v>
      </c>
      <c r="EM28" s="164" t="n">
        <v>3.5</v>
      </c>
      <c r="EN28" s="164" t="n">
        <v>5.2</v>
      </c>
      <c r="EO28" s="164" t="n">
        <v>6.2</v>
      </c>
      <c r="EP28" s="164" t="n">
        <v>6.2</v>
      </c>
      <c r="EQ28" s="164" t="n">
        <v>9.2</v>
      </c>
      <c r="ER28" s="164" t="n">
        <v>9.2</v>
      </c>
      <c r="ES28" s="164" t="n">
        <v>9.2</v>
      </c>
      <c r="ET28" s="164" t="n">
        <v>11.2</v>
      </c>
      <c r="EU28" s="164" t="n">
        <v>1.9</v>
      </c>
      <c r="EV28" s="164" t="n">
        <v>9.2</v>
      </c>
      <c r="EW28" s="164"/>
      <c r="EX28" s="164"/>
      <c r="EY28" s="164"/>
      <c r="EZ28" s="164"/>
      <c r="FA28" s="164"/>
      <c r="FB28" s="164" t="n">
        <v>9.2</v>
      </c>
      <c r="FC28" s="164" t="n">
        <v>9.2</v>
      </c>
      <c r="FD28" s="164" t="n">
        <v>8.9</v>
      </c>
      <c r="FE28" s="164"/>
      <c r="FF28" s="164"/>
      <c r="FG28" s="164"/>
      <c r="FH28" s="164"/>
      <c r="FI28" s="164"/>
      <c r="FJ28" s="164"/>
      <c r="FK28" s="164"/>
      <c r="FL28" s="164"/>
      <c r="FM28" s="164"/>
      <c r="FN28" s="164"/>
      <c r="FO28" s="164"/>
      <c r="FP28" s="164"/>
      <c r="FQ28" s="164"/>
      <c r="FR28" s="164"/>
      <c r="FS28" s="164"/>
      <c r="FT28" s="164"/>
      <c r="FU28" s="164"/>
      <c r="FV28" s="164"/>
      <c r="FW28" s="164"/>
      <c r="FX28" s="164"/>
      <c r="FY28" s="166"/>
    </row>
    <row r="29" s="165" customFormat="true" ht="15" hidden="false" customHeight="false" outlineLevel="0" collapsed="false">
      <c r="A29" s="153" t="s">
        <v>370</v>
      </c>
      <c r="B29" s="153" t="s">
        <v>351</v>
      </c>
      <c r="C29" s="164"/>
      <c r="D29" s="164"/>
      <c r="E29" s="164"/>
      <c r="F29" s="164"/>
      <c r="G29" s="164"/>
      <c r="H29" s="164"/>
      <c r="I29" s="164"/>
      <c r="J29" s="164"/>
      <c r="K29" s="164"/>
      <c r="L29" s="164"/>
      <c r="M29" s="164"/>
      <c r="N29" s="164"/>
      <c r="O29" s="164" t="n">
        <v>752.7</v>
      </c>
      <c r="P29" s="164"/>
      <c r="Q29" s="164" t="n">
        <v>743</v>
      </c>
      <c r="R29" s="164"/>
      <c r="S29" s="164"/>
      <c r="T29" s="164"/>
      <c r="U29" s="164"/>
      <c r="V29" s="164"/>
      <c r="W29" s="164"/>
      <c r="X29" s="164"/>
      <c r="Y29" s="164"/>
      <c r="Z29" s="164"/>
      <c r="AA29" s="164"/>
      <c r="AB29" s="164"/>
      <c r="AC29" s="164"/>
      <c r="AD29" s="164"/>
      <c r="AE29" s="164"/>
      <c r="AF29" s="164"/>
      <c r="AG29" s="164"/>
      <c r="AH29" s="164"/>
      <c r="AI29" s="164"/>
      <c r="AJ29" s="164"/>
      <c r="AK29" s="164"/>
      <c r="AL29" s="164"/>
      <c r="AM29" s="164"/>
      <c r="AN29" s="164"/>
      <c r="AO29" s="164"/>
      <c r="AP29" s="164"/>
      <c r="AQ29" s="164"/>
      <c r="AR29" s="164" t="n">
        <v>585.3</v>
      </c>
      <c r="AS29" s="164" t="n">
        <v>583.9</v>
      </c>
      <c r="AT29" s="164" t="n">
        <v>264.8</v>
      </c>
      <c r="AU29" s="164"/>
      <c r="AV29" s="164"/>
      <c r="AW29" s="164"/>
      <c r="AX29" s="164"/>
      <c r="AY29" s="164"/>
      <c r="AZ29" s="164" t="n">
        <v>17.3</v>
      </c>
      <c r="BA29" s="164" t="n">
        <v>20.7</v>
      </c>
      <c r="BB29" s="164" t="n">
        <v>43.8</v>
      </c>
      <c r="BC29" s="164" t="n">
        <v>59.1</v>
      </c>
      <c r="BD29" s="164" t="n">
        <v>34.6</v>
      </c>
      <c r="BE29" s="164" t="n">
        <v>35.9</v>
      </c>
      <c r="BF29" s="164"/>
      <c r="BG29" s="164"/>
      <c r="BH29" s="164" t="n">
        <v>496.2</v>
      </c>
      <c r="BI29" s="164" t="n">
        <v>38.4</v>
      </c>
      <c r="BJ29" s="164"/>
      <c r="BK29" s="164"/>
      <c r="BL29" s="164"/>
      <c r="BM29" s="164" t="n">
        <v>431.4</v>
      </c>
      <c r="BN29" s="164"/>
      <c r="BO29" s="164"/>
      <c r="BP29" s="164"/>
      <c r="BQ29" s="164"/>
      <c r="BR29" s="164"/>
      <c r="BS29" s="164"/>
      <c r="BT29" s="164"/>
      <c r="BU29" s="164"/>
      <c r="BV29" s="164" t="n">
        <v>85.3</v>
      </c>
      <c r="BW29" s="164"/>
      <c r="BX29" s="164" t="n">
        <v>323.8</v>
      </c>
      <c r="BY29" s="164" t="n">
        <v>233.8</v>
      </c>
      <c r="BZ29" s="164" t="n">
        <v>174.1</v>
      </c>
      <c r="CA29" s="164"/>
      <c r="CB29" s="164"/>
      <c r="CC29" s="164"/>
      <c r="CD29" s="164"/>
      <c r="CE29" s="164" t="n">
        <v>289.6</v>
      </c>
      <c r="CF29" s="164"/>
      <c r="CG29" s="164"/>
      <c r="CH29" s="164" t="n">
        <v>17.1</v>
      </c>
      <c r="CI29" s="164" t="n">
        <v>19.8</v>
      </c>
      <c r="CJ29" s="164" t="n">
        <v>71.6</v>
      </c>
      <c r="CK29" s="165" t="n">
        <v>81.2</v>
      </c>
      <c r="CO29" s="164"/>
      <c r="CP29" s="164"/>
      <c r="CQ29" s="164"/>
      <c r="CR29" s="164"/>
      <c r="CS29" s="164"/>
      <c r="CT29" s="164"/>
      <c r="CU29" s="164"/>
      <c r="CV29" s="164"/>
      <c r="CW29" s="164"/>
      <c r="CX29" s="164"/>
      <c r="CY29" s="164"/>
      <c r="CZ29" s="164"/>
      <c r="DA29" s="164"/>
      <c r="DB29" s="164"/>
      <c r="DC29" s="164"/>
      <c r="DD29" s="164"/>
      <c r="DE29" s="164"/>
      <c r="DF29" s="164"/>
      <c r="DG29" s="164"/>
      <c r="DH29" s="164"/>
      <c r="DI29" s="164"/>
      <c r="DJ29" s="164"/>
      <c r="DK29" s="164"/>
      <c r="DL29" s="164"/>
      <c r="DM29" s="164"/>
      <c r="DN29" s="164"/>
      <c r="DO29" s="164"/>
      <c r="DP29" s="164"/>
      <c r="DQ29" s="164"/>
      <c r="DR29" s="164"/>
      <c r="DS29" s="164"/>
      <c r="DT29" s="164"/>
      <c r="DU29" s="164"/>
      <c r="DV29" s="164"/>
      <c r="DW29" s="164"/>
      <c r="DX29" s="164"/>
      <c r="DY29" s="164"/>
      <c r="DZ29" s="164"/>
      <c r="EA29" s="164"/>
      <c r="EB29" s="164"/>
      <c r="EE29" s="164"/>
      <c r="EF29" s="164"/>
      <c r="EG29" s="164"/>
      <c r="EH29" s="164"/>
      <c r="EI29" s="164"/>
      <c r="EJ29" s="164"/>
      <c r="EK29" s="164"/>
      <c r="EL29" s="164"/>
      <c r="EM29" s="164"/>
      <c r="EN29" s="164"/>
      <c r="EO29" s="164"/>
      <c r="EP29" s="164"/>
      <c r="EQ29" s="164"/>
      <c r="ER29" s="164"/>
      <c r="ES29" s="164"/>
      <c r="ET29" s="164"/>
      <c r="EU29" s="164"/>
      <c r="EV29" s="164"/>
      <c r="EW29" s="164"/>
      <c r="EX29" s="164"/>
      <c r="EY29" s="164"/>
      <c r="EZ29" s="164"/>
      <c r="FA29" s="164"/>
      <c r="FB29" s="164"/>
      <c r="FC29" s="164"/>
      <c r="FD29" s="164"/>
      <c r="FE29" s="164"/>
      <c r="FF29" s="164"/>
      <c r="FG29" s="164"/>
      <c r="FH29" s="164"/>
      <c r="FI29" s="164"/>
      <c r="FJ29" s="164"/>
      <c r="FK29" s="164"/>
      <c r="FL29" s="164"/>
      <c r="FM29" s="164"/>
      <c r="FN29" s="164"/>
      <c r="FO29" s="164"/>
      <c r="FP29" s="164"/>
      <c r="FQ29" s="164"/>
      <c r="FR29" s="164"/>
      <c r="FS29" s="164"/>
      <c r="FT29" s="164"/>
      <c r="FU29" s="164"/>
      <c r="FV29" s="164"/>
      <c r="FW29" s="164"/>
      <c r="FX29" s="164"/>
      <c r="FY29" s="166"/>
    </row>
    <row r="30" s="170" customFormat="true" ht="15" hidden="false" customHeight="false" outlineLevel="0" collapsed="false">
      <c r="A30" s="167"/>
      <c r="B30" s="168"/>
      <c r="C30" s="169"/>
      <c r="D30" s="169"/>
      <c r="E30" s="169"/>
      <c r="F30" s="169"/>
      <c r="G30" s="169"/>
      <c r="H30" s="169"/>
      <c r="I30" s="169"/>
      <c r="J30" s="169"/>
      <c r="K30" s="169"/>
      <c r="L30" s="169"/>
      <c r="M30" s="169"/>
      <c r="N30" s="169"/>
      <c r="O30" s="169"/>
      <c r="P30" s="169"/>
      <c r="Q30" s="169"/>
      <c r="R30" s="169"/>
      <c r="S30" s="169"/>
      <c r="T30" s="169"/>
      <c r="U30" s="169"/>
      <c r="V30" s="169"/>
      <c r="W30" s="169"/>
      <c r="X30" s="169"/>
      <c r="Y30" s="169"/>
      <c r="Z30" s="169"/>
      <c r="AA30" s="169"/>
      <c r="AB30" s="169"/>
      <c r="AC30" s="169"/>
      <c r="AD30" s="169"/>
      <c r="AE30" s="169"/>
      <c r="AF30" s="169"/>
      <c r="AG30" s="169"/>
      <c r="AH30" s="169"/>
      <c r="AI30" s="169"/>
      <c r="AJ30" s="169"/>
      <c r="AK30" s="169"/>
      <c r="AL30" s="169"/>
      <c r="AM30" s="169"/>
      <c r="AN30" s="169"/>
      <c r="AO30" s="169"/>
      <c r="AP30" s="169"/>
      <c r="AQ30" s="169"/>
      <c r="AR30" s="169"/>
      <c r="AS30" s="169"/>
      <c r="AT30" s="169"/>
      <c r="AU30" s="169"/>
      <c r="AV30" s="169"/>
      <c r="AW30" s="169"/>
      <c r="AX30" s="169"/>
      <c r="AY30" s="169"/>
      <c r="AZ30" s="169"/>
      <c r="BA30" s="169"/>
      <c r="BB30" s="169"/>
      <c r="BC30" s="169"/>
      <c r="BD30" s="169"/>
      <c r="BE30" s="169"/>
      <c r="BF30" s="169"/>
      <c r="BG30" s="169"/>
      <c r="BH30" s="169"/>
      <c r="BI30" s="169"/>
      <c r="BJ30" s="169"/>
      <c r="BK30" s="169"/>
      <c r="BL30" s="169"/>
      <c r="BM30" s="169"/>
      <c r="BN30" s="169"/>
      <c r="BO30" s="169"/>
      <c r="BP30" s="169"/>
      <c r="BQ30" s="169"/>
      <c r="BR30" s="169"/>
      <c r="BS30" s="169"/>
      <c r="BT30" s="169"/>
      <c r="BU30" s="169"/>
      <c r="BV30" s="169"/>
      <c r="BW30" s="169"/>
      <c r="BX30" s="169"/>
      <c r="BY30" s="169"/>
      <c r="BZ30" s="169"/>
      <c r="CA30" s="169"/>
      <c r="CB30" s="169"/>
      <c r="CC30" s="169"/>
      <c r="CD30" s="169"/>
      <c r="CE30" s="169"/>
      <c r="CF30" s="169"/>
      <c r="CG30" s="169"/>
      <c r="CH30" s="169"/>
      <c r="CI30" s="169"/>
      <c r="CJ30" s="169"/>
      <c r="CO30" s="169"/>
      <c r="CP30" s="169"/>
      <c r="CQ30" s="169"/>
      <c r="CR30" s="169"/>
      <c r="CS30" s="169"/>
      <c r="CT30" s="169"/>
      <c r="CU30" s="169"/>
      <c r="CV30" s="169"/>
      <c r="CW30" s="169"/>
      <c r="CX30" s="169"/>
      <c r="CY30" s="169"/>
      <c r="CZ30" s="169"/>
      <c r="DA30" s="169"/>
      <c r="DB30" s="169"/>
      <c r="DC30" s="169"/>
      <c r="DD30" s="169"/>
      <c r="DE30" s="169"/>
      <c r="DF30" s="169"/>
      <c r="DG30" s="169"/>
      <c r="DH30" s="169"/>
      <c r="DI30" s="169"/>
      <c r="DJ30" s="169"/>
      <c r="DK30" s="169"/>
      <c r="DL30" s="169"/>
      <c r="DM30" s="169"/>
      <c r="DN30" s="169"/>
      <c r="DO30" s="169"/>
      <c r="DP30" s="169"/>
      <c r="DQ30" s="169"/>
      <c r="DR30" s="169"/>
      <c r="DS30" s="169"/>
      <c r="DT30" s="169"/>
      <c r="DU30" s="169"/>
      <c r="DV30" s="169"/>
      <c r="DW30" s="169"/>
      <c r="DX30" s="169"/>
      <c r="DY30" s="169"/>
      <c r="DZ30" s="169"/>
      <c r="EA30" s="169"/>
      <c r="EB30" s="169"/>
      <c r="EE30" s="169"/>
      <c r="EF30" s="169"/>
      <c r="EG30" s="169"/>
      <c r="EH30" s="169"/>
      <c r="EI30" s="169"/>
      <c r="EJ30" s="169"/>
      <c r="EK30" s="169"/>
      <c r="EL30" s="169"/>
      <c r="EM30" s="169"/>
      <c r="EN30" s="169"/>
      <c r="EO30" s="169"/>
      <c r="EP30" s="169"/>
      <c r="EQ30" s="169"/>
      <c r="ER30" s="169"/>
      <c r="ES30" s="169"/>
      <c r="ET30" s="169"/>
      <c r="EU30" s="169"/>
      <c r="EV30" s="169"/>
      <c r="EW30" s="169"/>
      <c r="EX30" s="169"/>
      <c r="EY30" s="169"/>
      <c r="EZ30" s="169"/>
      <c r="FA30" s="169"/>
      <c r="FB30" s="169"/>
      <c r="FC30" s="169"/>
      <c r="FD30" s="169"/>
      <c r="FE30" s="169"/>
      <c r="FF30" s="169"/>
      <c r="FG30" s="169"/>
      <c r="FH30" s="169"/>
      <c r="FI30" s="169"/>
      <c r="FJ30" s="169"/>
      <c r="FK30" s="169"/>
      <c r="FL30" s="169"/>
      <c r="FM30" s="169"/>
      <c r="FN30" s="169"/>
      <c r="FO30" s="169"/>
      <c r="FP30" s="169"/>
      <c r="FQ30" s="169"/>
      <c r="FR30" s="169"/>
      <c r="FS30" s="169"/>
      <c r="FT30" s="169"/>
      <c r="FU30" s="169"/>
      <c r="FV30" s="169"/>
      <c r="FW30" s="169"/>
      <c r="FX30" s="169"/>
      <c r="FY30" s="171"/>
    </row>
    <row r="31" s="170" customFormat="true" ht="15" hidden="false" customHeight="false" outlineLevel="0" collapsed="false">
      <c r="A31" s="167"/>
      <c r="B31" s="168"/>
      <c r="C31" s="169"/>
      <c r="D31" s="169"/>
      <c r="E31" s="169"/>
      <c r="F31" s="169"/>
      <c r="G31" s="169"/>
      <c r="H31" s="169"/>
      <c r="I31" s="169"/>
      <c r="J31" s="169"/>
      <c r="K31" s="169"/>
      <c r="L31" s="169"/>
      <c r="M31" s="169"/>
      <c r="N31" s="169"/>
      <c r="O31" s="169"/>
      <c r="P31" s="169"/>
      <c r="Q31" s="169"/>
      <c r="R31" s="169"/>
      <c r="S31" s="169"/>
      <c r="T31" s="169"/>
      <c r="U31" s="169"/>
      <c r="V31" s="169"/>
      <c r="W31" s="169"/>
      <c r="X31" s="169"/>
      <c r="Y31" s="169"/>
      <c r="Z31" s="169"/>
      <c r="AA31" s="169"/>
      <c r="AB31" s="169"/>
      <c r="AC31" s="169"/>
      <c r="AD31" s="169"/>
      <c r="AE31" s="169"/>
      <c r="AF31" s="169"/>
      <c r="AG31" s="169"/>
      <c r="AH31" s="169"/>
      <c r="AI31" s="169"/>
      <c r="AJ31" s="169"/>
      <c r="AK31" s="169"/>
      <c r="AL31" s="169"/>
      <c r="AM31" s="169"/>
      <c r="AN31" s="169"/>
      <c r="AO31" s="169"/>
      <c r="AP31" s="169"/>
      <c r="AQ31" s="169"/>
      <c r="AR31" s="169"/>
      <c r="AS31" s="169"/>
      <c r="AT31" s="169"/>
      <c r="AU31" s="169"/>
      <c r="AV31" s="169"/>
      <c r="AW31" s="169"/>
      <c r="AX31" s="169"/>
      <c r="AY31" s="169"/>
      <c r="AZ31" s="169"/>
      <c r="BA31" s="169"/>
      <c r="BB31" s="169"/>
      <c r="BC31" s="169"/>
      <c r="BD31" s="169"/>
      <c r="BE31" s="169"/>
      <c r="BF31" s="169"/>
      <c r="BG31" s="169"/>
      <c r="BH31" s="169"/>
      <c r="BI31" s="169"/>
      <c r="BJ31" s="169"/>
      <c r="BK31" s="169"/>
      <c r="BL31" s="169"/>
      <c r="BM31" s="169"/>
      <c r="BN31" s="169"/>
      <c r="BO31" s="169"/>
      <c r="BP31" s="169"/>
      <c r="BQ31" s="169"/>
      <c r="BR31" s="169"/>
      <c r="BS31" s="169"/>
      <c r="BT31" s="169"/>
      <c r="BU31" s="169"/>
      <c r="BV31" s="169"/>
      <c r="BW31" s="169"/>
      <c r="BX31" s="169"/>
      <c r="BY31" s="169"/>
      <c r="BZ31" s="169"/>
      <c r="CA31" s="169"/>
      <c r="CB31" s="169"/>
      <c r="CC31" s="169"/>
      <c r="CD31" s="169"/>
      <c r="CE31" s="169"/>
      <c r="CF31" s="169"/>
      <c r="CG31" s="169"/>
      <c r="CH31" s="169"/>
      <c r="CI31" s="169"/>
      <c r="CJ31" s="169"/>
      <c r="CO31" s="169"/>
      <c r="CP31" s="169"/>
      <c r="CQ31" s="169"/>
      <c r="CR31" s="169"/>
      <c r="CS31" s="169"/>
      <c r="CT31" s="169"/>
      <c r="CU31" s="169"/>
      <c r="CV31" s="169"/>
      <c r="CW31" s="169"/>
      <c r="CX31" s="169"/>
      <c r="CY31" s="169"/>
      <c r="CZ31" s="169"/>
      <c r="DA31" s="169"/>
      <c r="DB31" s="169"/>
      <c r="DC31" s="169"/>
      <c r="DD31" s="169"/>
      <c r="DE31" s="169"/>
      <c r="DF31" s="169"/>
      <c r="DG31" s="169"/>
      <c r="DH31" s="169"/>
      <c r="DI31" s="169"/>
      <c r="DJ31" s="169"/>
      <c r="DK31" s="169"/>
      <c r="DL31" s="169"/>
      <c r="DM31" s="169"/>
      <c r="DN31" s="169"/>
      <c r="DO31" s="169"/>
      <c r="DP31" s="169"/>
      <c r="DQ31" s="169"/>
      <c r="DR31" s="169"/>
      <c r="DS31" s="169"/>
      <c r="DT31" s="169"/>
      <c r="DU31" s="169"/>
      <c r="DV31" s="169"/>
      <c r="DW31" s="169"/>
      <c r="DX31" s="169"/>
      <c r="DY31" s="169"/>
      <c r="DZ31" s="169"/>
      <c r="EA31" s="169"/>
      <c r="EB31" s="169"/>
      <c r="EE31" s="169"/>
      <c r="EF31" s="169"/>
      <c r="EG31" s="169"/>
      <c r="EH31" s="169"/>
      <c r="EI31" s="169"/>
      <c r="EJ31" s="169"/>
      <c r="EK31" s="169"/>
      <c r="EL31" s="169"/>
      <c r="EM31" s="169"/>
      <c r="EN31" s="169"/>
      <c r="EO31" s="169"/>
      <c r="EP31" s="169"/>
      <c r="EQ31" s="169"/>
      <c r="ER31" s="169"/>
      <c r="ES31" s="169"/>
      <c r="ET31" s="169"/>
      <c r="EU31" s="169"/>
      <c r="EV31" s="169"/>
      <c r="EW31" s="169"/>
      <c r="EX31" s="169"/>
      <c r="EY31" s="169"/>
      <c r="EZ31" s="169"/>
      <c r="FA31" s="169"/>
      <c r="FB31" s="169"/>
      <c r="FC31" s="169"/>
      <c r="FD31" s="169"/>
      <c r="FE31" s="169"/>
      <c r="FF31" s="169"/>
      <c r="FG31" s="169"/>
      <c r="FH31" s="169"/>
      <c r="FI31" s="169"/>
      <c r="FJ31" s="169"/>
      <c r="FK31" s="169"/>
      <c r="FL31" s="169"/>
      <c r="FM31" s="169"/>
      <c r="FN31" s="169"/>
      <c r="FO31" s="169"/>
      <c r="FP31" s="169"/>
      <c r="FQ31" s="169"/>
      <c r="FR31" s="169"/>
      <c r="FS31" s="169"/>
      <c r="FT31" s="169"/>
      <c r="FU31" s="169"/>
      <c r="FV31" s="169"/>
      <c r="FW31" s="169"/>
      <c r="FX31" s="169"/>
      <c r="FY31" s="171"/>
    </row>
    <row r="32" s="175" customFormat="true" ht="15" hidden="false" customHeight="false" outlineLevel="0" collapsed="false">
      <c r="A32" s="172"/>
      <c r="B32" s="173"/>
      <c r="C32" s="174"/>
      <c r="D32" s="174"/>
      <c r="E32" s="174"/>
      <c r="F32" s="174"/>
      <c r="G32" s="174"/>
      <c r="H32" s="174"/>
      <c r="I32" s="174"/>
      <c r="J32" s="174"/>
      <c r="K32" s="174"/>
      <c r="L32" s="174"/>
      <c r="M32" s="174"/>
      <c r="N32" s="174"/>
      <c r="O32" s="174"/>
      <c r="P32" s="174"/>
      <c r="Q32" s="174"/>
      <c r="R32" s="174"/>
      <c r="S32" s="174"/>
      <c r="T32" s="174"/>
      <c r="U32" s="174"/>
      <c r="V32" s="174"/>
      <c r="W32" s="174"/>
      <c r="X32" s="174"/>
      <c r="Y32" s="174"/>
      <c r="Z32" s="174"/>
      <c r="AA32" s="174"/>
      <c r="AB32" s="174"/>
      <c r="AC32" s="174"/>
      <c r="AD32" s="174"/>
      <c r="AE32" s="174"/>
      <c r="AF32" s="174"/>
      <c r="AG32" s="174"/>
      <c r="AH32" s="174"/>
      <c r="AI32" s="174"/>
      <c r="AJ32" s="174"/>
      <c r="AK32" s="174"/>
      <c r="AL32" s="174"/>
      <c r="AM32" s="174"/>
      <c r="AN32" s="174"/>
      <c r="AO32" s="174"/>
      <c r="AP32" s="174"/>
      <c r="AQ32" s="174"/>
      <c r="AR32" s="174"/>
      <c r="AS32" s="174"/>
      <c r="AT32" s="174"/>
      <c r="AU32" s="174"/>
      <c r="AV32" s="174"/>
      <c r="AW32" s="174"/>
      <c r="AX32" s="174"/>
      <c r="AY32" s="174"/>
      <c r="AZ32" s="174"/>
      <c r="BA32" s="174"/>
      <c r="BB32" s="174"/>
      <c r="BC32" s="174"/>
      <c r="BD32" s="174"/>
      <c r="BE32" s="174"/>
      <c r="BF32" s="174"/>
      <c r="BG32" s="174"/>
      <c r="BH32" s="174"/>
      <c r="BI32" s="174"/>
      <c r="BJ32" s="174"/>
      <c r="BK32" s="174"/>
      <c r="BL32" s="174"/>
      <c r="BM32" s="174"/>
      <c r="BN32" s="174"/>
      <c r="BO32" s="174"/>
      <c r="BP32" s="174"/>
      <c r="BQ32" s="174"/>
      <c r="BR32" s="174"/>
      <c r="BS32" s="174"/>
      <c r="BT32" s="174"/>
      <c r="BU32" s="174"/>
      <c r="BV32" s="174"/>
      <c r="BW32" s="174"/>
      <c r="BX32" s="174"/>
      <c r="BY32" s="174"/>
      <c r="BZ32" s="174"/>
      <c r="CA32" s="174"/>
      <c r="CB32" s="174"/>
      <c r="CC32" s="174"/>
      <c r="CD32" s="174"/>
      <c r="CE32" s="174"/>
      <c r="CF32" s="174"/>
      <c r="CG32" s="174"/>
      <c r="CH32" s="174"/>
      <c r="CI32" s="174"/>
      <c r="CJ32" s="174"/>
      <c r="CO32" s="174"/>
      <c r="CP32" s="174"/>
      <c r="CQ32" s="174"/>
      <c r="CR32" s="174"/>
      <c r="CS32" s="174"/>
      <c r="CT32" s="174"/>
      <c r="CU32" s="174"/>
      <c r="CV32" s="174"/>
      <c r="CW32" s="174"/>
      <c r="CX32" s="174"/>
      <c r="CY32" s="174"/>
      <c r="CZ32" s="174"/>
      <c r="DA32" s="174"/>
      <c r="DB32" s="174"/>
      <c r="DC32" s="174"/>
      <c r="DD32" s="174"/>
      <c r="DE32" s="174"/>
      <c r="DF32" s="174"/>
      <c r="DG32" s="174"/>
      <c r="DH32" s="174"/>
      <c r="DI32" s="174"/>
      <c r="DJ32" s="174"/>
      <c r="DK32" s="174"/>
      <c r="DL32" s="174"/>
      <c r="DM32" s="174"/>
      <c r="DN32" s="174"/>
      <c r="DO32" s="174"/>
      <c r="DP32" s="174"/>
      <c r="DQ32" s="174"/>
      <c r="DR32" s="174"/>
      <c r="DS32" s="174"/>
      <c r="DT32" s="174"/>
      <c r="DU32" s="174"/>
      <c r="DV32" s="174"/>
      <c r="DW32" s="174"/>
      <c r="DX32" s="174"/>
      <c r="DY32" s="174"/>
      <c r="DZ32" s="174"/>
      <c r="EA32" s="174"/>
      <c r="EB32" s="174"/>
      <c r="EE32" s="174"/>
      <c r="EF32" s="174"/>
      <c r="EG32" s="174"/>
      <c r="EH32" s="174"/>
      <c r="EI32" s="174"/>
      <c r="EJ32" s="174"/>
      <c r="EK32" s="174"/>
      <c r="EL32" s="174"/>
      <c r="EM32" s="174"/>
      <c r="EN32" s="174"/>
      <c r="EO32" s="174"/>
      <c r="EP32" s="174"/>
      <c r="EQ32" s="174"/>
      <c r="ER32" s="174"/>
      <c r="ES32" s="174"/>
      <c r="ET32" s="174"/>
      <c r="EU32" s="174"/>
      <c r="EV32" s="174"/>
      <c r="EW32" s="174"/>
      <c r="EX32" s="174"/>
      <c r="EY32" s="174"/>
      <c r="EZ32" s="174"/>
      <c r="FA32" s="174"/>
      <c r="FB32" s="174"/>
      <c r="FC32" s="174"/>
      <c r="FD32" s="174"/>
      <c r="FE32" s="174"/>
      <c r="FF32" s="174"/>
      <c r="FG32" s="174"/>
      <c r="FH32" s="174"/>
      <c r="FI32" s="174"/>
      <c r="FJ32" s="174"/>
      <c r="FK32" s="174"/>
      <c r="FL32" s="174"/>
      <c r="FM32" s="174"/>
      <c r="FN32" s="174"/>
      <c r="FO32" s="174"/>
      <c r="FP32" s="174"/>
      <c r="FQ32" s="174"/>
      <c r="FR32" s="174"/>
      <c r="FS32" s="174"/>
      <c r="FT32" s="174"/>
      <c r="FU32" s="174"/>
      <c r="FV32" s="174"/>
      <c r="FW32" s="174"/>
      <c r="FX32" s="174"/>
      <c r="FY32" s="176"/>
    </row>
    <row r="33" s="165" customFormat="true" ht="15" hidden="false" customHeight="false" outlineLevel="0" collapsed="false">
      <c r="A33" s="177"/>
      <c r="B33" s="178"/>
      <c r="C33" s="164"/>
      <c r="D33" s="164"/>
      <c r="E33" s="164"/>
      <c r="F33" s="164"/>
      <c r="G33" s="164"/>
      <c r="H33" s="164"/>
      <c r="I33" s="164"/>
      <c r="J33" s="164"/>
      <c r="K33" s="164"/>
      <c r="L33" s="164"/>
      <c r="M33" s="164"/>
      <c r="N33" s="164"/>
      <c r="O33" s="164"/>
      <c r="P33" s="164"/>
      <c r="Q33" s="164"/>
      <c r="R33" s="164"/>
      <c r="S33" s="164"/>
      <c r="T33" s="164"/>
      <c r="U33" s="164"/>
      <c r="V33" s="164"/>
      <c r="W33" s="164"/>
      <c r="X33" s="164"/>
      <c r="Y33" s="164"/>
      <c r="Z33" s="164"/>
      <c r="AA33" s="164"/>
      <c r="AB33" s="164"/>
      <c r="AC33" s="164"/>
      <c r="AD33" s="164"/>
      <c r="AE33" s="164"/>
      <c r="AF33" s="164"/>
      <c r="AG33" s="164"/>
      <c r="AH33" s="164"/>
      <c r="AI33" s="164"/>
      <c r="AJ33" s="164"/>
      <c r="AK33" s="164"/>
      <c r="AL33" s="164"/>
      <c r="AM33" s="164"/>
      <c r="AN33" s="164"/>
      <c r="AO33" s="164"/>
      <c r="AP33" s="164"/>
      <c r="AQ33" s="164"/>
      <c r="AR33" s="164"/>
      <c r="AS33" s="164"/>
      <c r="AT33" s="164"/>
      <c r="AU33" s="164"/>
      <c r="AV33" s="164"/>
      <c r="AW33" s="164"/>
      <c r="AX33" s="164"/>
      <c r="AY33" s="164"/>
      <c r="AZ33" s="164"/>
      <c r="BA33" s="164"/>
      <c r="BB33" s="164"/>
      <c r="BC33" s="164"/>
      <c r="BD33" s="164"/>
      <c r="BE33" s="164"/>
      <c r="BF33" s="164"/>
      <c r="BG33" s="164"/>
      <c r="BH33" s="164"/>
      <c r="BI33" s="164"/>
      <c r="BJ33" s="164"/>
      <c r="BK33" s="164"/>
      <c r="BL33" s="164"/>
      <c r="BM33" s="164"/>
      <c r="BN33" s="164"/>
      <c r="BO33" s="164"/>
      <c r="BP33" s="164"/>
      <c r="BQ33" s="164"/>
      <c r="BR33" s="164"/>
      <c r="BS33" s="164"/>
      <c r="BT33" s="164"/>
      <c r="BU33" s="164"/>
      <c r="BV33" s="164"/>
      <c r="BW33" s="164"/>
      <c r="BX33" s="164"/>
      <c r="BY33" s="164"/>
      <c r="BZ33" s="164"/>
      <c r="CA33" s="164"/>
      <c r="CB33" s="164"/>
      <c r="CC33" s="164"/>
      <c r="CD33" s="164"/>
      <c r="CE33" s="164"/>
      <c r="CF33" s="164"/>
      <c r="CG33" s="164"/>
      <c r="CH33" s="164"/>
      <c r="CI33" s="164"/>
      <c r="CJ33" s="164"/>
      <c r="CO33" s="164"/>
      <c r="CP33" s="164"/>
      <c r="CQ33" s="164"/>
      <c r="CR33" s="164"/>
      <c r="CS33" s="164"/>
      <c r="CT33" s="164"/>
      <c r="CU33" s="164"/>
      <c r="CV33" s="164"/>
      <c r="CW33" s="164"/>
      <c r="CX33" s="164"/>
      <c r="CY33" s="164"/>
      <c r="CZ33" s="164"/>
      <c r="DA33" s="164"/>
      <c r="DB33" s="164"/>
      <c r="DC33" s="164"/>
      <c r="DD33" s="164"/>
      <c r="DE33" s="164"/>
      <c r="DF33" s="164"/>
      <c r="DG33" s="164"/>
      <c r="DH33" s="164"/>
      <c r="DI33" s="164"/>
      <c r="DJ33" s="164"/>
      <c r="DK33" s="164"/>
      <c r="DL33" s="164"/>
      <c r="DM33" s="164"/>
      <c r="DN33" s="164"/>
      <c r="DO33" s="164"/>
      <c r="DP33" s="164"/>
      <c r="DQ33" s="164"/>
      <c r="DR33" s="164"/>
      <c r="DS33" s="164"/>
      <c r="DT33" s="164"/>
      <c r="DU33" s="164"/>
      <c r="DV33" s="164"/>
      <c r="DW33" s="164"/>
      <c r="DX33" s="164"/>
      <c r="DY33" s="164"/>
      <c r="DZ33" s="164"/>
      <c r="EA33" s="164"/>
      <c r="EB33" s="164"/>
      <c r="EE33" s="164"/>
      <c r="EF33" s="164"/>
      <c r="EG33" s="164"/>
      <c r="EH33" s="164"/>
      <c r="EI33" s="164"/>
      <c r="EJ33" s="164"/>
      <c r="EK33" s="164"/>
      <c r="EL33" s="164"/>
      <c r="EM33" s="164"/>
      <c r="EN33" s="164"/>
      <c r="EO33" s="164"/>
      <c r="EP33" s="164"/>
      <c r="EQ33" s="164"/>
      <c r="ER33" s="164"/>
      <c r="ES33" s="164"/>
      <c r="ET33" s="164"/>
      <c r="EU33" s="164"/>
      <c r="EV33" s="164"/>
      <c r="EW33" s="164"/>
      <c r="EX33" s="164"/>
      <c r="EY33" s="164"/>
      <c r="EZ33" s="164"/>
      <c r="FA33" s="164"/>
      <c r="FB33" s="164"/>
      <c r="FC33" s="164"/>
      <c r="FD33" s="164"/>
      <c r="FE33" s="164"/>
      <c r="FF33" s="164"/>
      <c r="FG33" s="164"/>
      <c r="FH33" s="164"/>
      <c r="FI33" s="164"/>
      <c r="FJ33" s="164"/>
      <c r="FK33" s="164"/>
      <c r="FL33" s="164"/>
      <c r="FM33" s="164"/>
      <c r="FN33" s="164"/>
      <c r="FO33" s="164"/>
      <c r="FP33" s="164"/>
      <c r="FQ33" s="164"/>
      <c r="FR33" s="164"/>
      <c r="FS33" s="164"/>
      <c r="FT33" s="164"/>
      <c r="FU33" s="164"/>
      <c r="FV33" s="164"/>
      <c r="FW33" s="164"/>
      <c r="FX33" s="164"/>
      <c r="FY33" s="166"/>
    </row>
    <row r="34" s="165" customFormat="true" ht="15" hidden="false" customHeight="false" outlineLevel="0" collapsed="false">
      <c r="A34" s="177"/>
      <c r="B34" s="178"/>
      <c r="C34" s="164"/>
      <c r="D34" s="164"/>
      <c r="E34" s="164"/>
      <c r="F34" s="164"/>
      <c r="G34" s="164"/>
      <c r="H34" s="164"/>
      <c r="I34" s="164"/>
      <c r="J34" s="164"/>
      <c r="K34" s="164"/>
      <c r="L34" s="164"/>
      <c r="M34" s="164"/>
      <c r="N34" s="164"/>
      <c r="O34" s="164"/>
      <c r="P34" s="164"/>
      <c r="Q34" s="164"/>
      <c r="R34" s="164"/>
      <c r="S34" s="164"/>
      <c r="T34" s="164"/>
      <c r="U34" s="164"/>
      <c r="V34" s="164"/>
      <c r="W34" s="164"/>
      <c r="X34" s="164"/>
      <c r="Y34" s="164"/>
      <c r="Z34" s="164"/>
      <c r="AA34" s="164"/>
      <c r="AB34" s="164"/>
      <c r="AC34" s="164"/>
      <c r="AD34" s="164"/>
      <c r="AE34" s="164"/>
      <c r="AF34" s="164"/>
      <c r="AG34" s="164"/>
      <c r="AH34" s="164"/>
      <c r="AI34" s="164"/>
      <c r="AJ34" s="164"/>
      <c r="AK34" s="164"/>
      <c r="AL34" s="164"/>
      <c r="AM34" s="164"/>
      <c r="AN34" s="164"/>
      <c r="AO34" s="164"/>
      <c r="AP34" s="164"/>
      <c r="AQ34" s="164"/>
      <c r="AR34" s="164"/>
      <c r="AS34" s="164"/>
      <c r="AT34" s="164"/>
      <c r="AU34" s="164"/>
      <c r="AV34" s="164"/>
      <c r="AW34" s="164"/>
      <c r="AX34" s="164"/>
      <c r="AY34" s="164"/>
      <c r="AZ34" s="164"/>
      <c r="BA34" s="164"/>
      <c r="BB34" s="164"/>
      <c r="BC34" s="164"/>
      <c r="BD34" s="164"/>
      <c r="BE34" s="164"/>
      <c r="BF34" s="164"/>
      <c r="BG34" s="164"/>
      <c r="BH34" s="164"/>
      <c r="BI34" s="164"/>
      <c r="BJ34" s="164"/>
      <c r="BK34" s="164"/>
      <c r="BL34" s="164"/>
      <c r="BM34" s="164"/>
      <c r="BN34" s="164"/>
      <c r="BO34" s="164"/>
      <c r="BP34" s="164"/>
      <c r="BQ34" s="164"/>
      <c r="BR34" s="164"/>
      <c r="BS34" s="164"/>
      <c r="BT34" s="164"/>
      <c r="BU34" s="164"/>
      <c r="BV34" s="164"/>
      <c r="BW34" s="164"/>
      <c r="BX34" s="164"/>
      <c r="BY34" s="164"/>
      <c r="BZ34" s="164"/>
      <c r="CA34" s="164"/>
      <c r="CB34" s="164"/>
      <c r="CC34" s="164"/>
      <c r="CD34" s="164"/>
      <c r="CE34" s="164"/>
      <c r="CF34" s="164"/>
      <c r="CG34" s="164"/>
      <c r="CH34" s="164"/>
      <c r="CI34" s="164"/>
      <c r="CJ34" s="164"/>
      <c r="CO34" s="164"/>
      <c r="CP34" s="164"/>
      <c r="CQ34" s="164"/>
      <c r="CR34" s="164"/>
      <c r="CS34" s="164"/>
      <c r="CT34" s="164"/>
      <c r="CU34" s="164"/>
      <c r="CV34" s="164"/>
      <c r="CW34" s="164"/>
      <c r="CX34" s="164"/>
      <c r="CY34" s="164"/>
      <c r="CZ34" s="164"/>
      <c r="DA34" s="164"/>
      <c r="DB34" s="164"/>
      <c r="DC34" s="164"/>
      <c r="DD34" s="164"/>
      <c r="DE34" s="164"/>
      <c r="DF34" s="164"/>
      <c r="DG34" s="164"/>
      <c r="DH34" s="164"/>
      <c r="DI34" s="164"/>
      <c r="DJ34" s="164"/>
      <c r="DK34" s="164"/>
      <c r="DL34" s="164"/>
      <c r="DM34" s="164"/>
      <c r="DN34" s="164"/>
      <c r="DO34" s="164"/>
      <c r="DP34" s="164"/>
      <c r="DQ34" s="164"/>
      <c r="DR34" s="164"/>
      <c r="DS34" s="164"/>
      <c r="DT34" s="164"/>
      <c r="DU34" s="164"/>
      <c r="DV34" s="164"/>
      <c r="DW34" s="164"/>
      <c r="DX34" s="164"/>
      <c r="DY34" s="164"/>
      <c r="DZ34" s="164"/>
      <c r="EA34" s="164"/>
      <c r="EB34" s="164"/>
      <c r="EE34" s="164"/>
      <c r="EF34" s="164"/>
      <c r="EG34" s="164"/>
      <c r="EH34" s="164"/>
      <c r="EI34" s="164"/>
      <c r="EJ34" s="164"/>
      <c r="EK34" s="164"/>
      <c r="EL34" s="164"/>
      <c r="EM34" s="164"/>
      <c r="EN34" s="164"/>
      <c r="EO34" s="164"/>
      <c r="EP34" s="164"/>
      <c r="EQ34" s="164"/>
      <c r="ER34" s="164"/>
      <c r="ES34" s="164"/>
      <c r="ET34" s="164"/>
      <c r="EU34" s="164"/>
      <c r="EV34" s="164"/>
      <c r="EW34" s="164"/>
      <c r="EX34" s="164"/>
      <c r="EY34" s="164"/>
      <c r="EZ34" s="164"/>
      <c r="FA34" s="164"/>
      <c r="FB34" s="164"/>
      <c r="FC34" s="164"/>
      <c r="FD34" s="164"/>
      <c r="FE34" s="164"/>
      <c r="FF34" s="164"/>
      <c r="FG34" s="164"/>
      <c r="FH34" s="164"/>
      <c r="FI34" s="164"/>
      <c r="FJ34" s="164"/>
      <c r="FK34" s="164"/>
      <c r="FL34" s="164"/>
      <c r="FM34" s="164"/>
      <c r="FN34" s="164"/>
      <c r="FO34" s="164"/>
      <c r="FP34" s="164"/>
      <c r="FQ34" s="164"/>
      <c r="FR34" s="164"/>
      <c r="FS34" s="164"/>
      <c r="FT34" s="164"/>
      <c r="FU34" s="164"/>
      <c r="FV34" s="164"/>
      <c r="FW34" s="164"/>
      <c r="FX34" s="164"/>
      <c r="FY34" s="166"/>
    </row>
    <row r="35" s="170" customFormat="true" ht="15" hidden="false" customHeight="false" outlineLevel="0" collapsed="false">
      <c r="A35" s="167"/>
      <c r="B35" s="168"/>
      <c r="C35" s="169"/>
      <c r="D35" s="169"/>
      <c r="E35" s="169"/>
      <c r="F35" s="169"/>
      <c r="G35" s="169"/>
      <c r="H35" s="169"/>
      <c r="I35" s="169"/>
      <c r="J35" s="169"/>
      <c r="K35" s="169"/>
      <c r="L35" s="169"/>
      <c r="M35" s="169"/>
      <c r="N35" s="169"/>
      <c r="O35" s="169"/>
      <c r="P35" s="169"/>
      <c r="Q35" s="169"/>
      <c r="R35" s="169"/>
      <c r="S35" s="169"/>
      <c r="T35" s="169"/>
      <c r="U35" s="169"/>
      <c r="V35" s="169"/>
      <c r="W35" s="169"/>
      <c r="X35" s="169"/>
      <c r="Y35" s="169"/>
      <c r="Z35" s="169"/>
      <c r="AA35" s="169"/>
      <c r="AB35" s="169"/>
      <c r="AC35" s="169"/>
      <c r="AD35" s="169"/>
      <c r="AE35" s="169"/>
      <c r="AF35" s="169"/>
      <c r="AG35" s="169"/>
      <c r="AH35" s="169"/>
      <c r="AI35" s="169"/>
      <c r="AJ35" s="169"/>
      <c r="AK35" s="169"/>
      <c r="AL35" s="169"/>
      <c r="AM35" s="169"/>
      <c r="AN35" s="169"/>
      <c r="AO35" s="169"/>
      <c r="AP35" s="169"/>
      <c r="AQ35" s="169"/>
      <c r="AR35" s="169"/>
      <c r="AS35" s="169"/>
      <c r="AT35" s="169"/>
      <c r="AU35" s="169"/>
      <c r="AV35" s="169"/>
      <c r="AW35" s="169"/>
      <c r="AX35" s="169"/>
      <c r="AY35" s="169"/>
      <c r="AZ35" s="169"/>
      <c r="BA35" s="169"/>
      <c r="BB35" s="169"/>
      <c r="BC35" s="169"/>
      <c r="BD35" s="169"/>
      <c r="BE35" s="169"/>
      <c r="BF35" s="169"/>
      <c r="BG35" s="169"/>
      <c r="BH35" s="169"/>
      <c r="BI35" s="169"/>
      <c r="BJ35" s="169"/>
      <c r="BK35" s="169"/>
      <c r="BL35" s="169"/>
      <c r="BM35" s="169"/>
      <c r="BN35" s="169"/>
      <c r="BO35" s="169"/>
      <c r="BP35" s="169"/>
      <c r="BQ35" s="169"/>
      <c r="BR35" s="169"/>
      <c r="BS35" s="169"/>
      <c r="BT35" s="169"/>
      <c r="BU35" s="169"/>
      <c r="BV35" s="169"/>
      <c r="BW35" s="169"/>
      <c r="BX35" s="169"/>
      <c r="BY35" s="169"/>
      <c r="BZ35" s="169"/>
      <c r="CA35" s="169"/>
      <c r="CB35" s="169"/>
      <c r="CC35" s="169"/>
      <c r="CD35" s="169"/>
      <c r="CE35" s="169"/>
      <c r="CF35" s="169"/>
      <c r="CG35" s="169"/>
      <c r="CH35" s="169"/>
      <c r="CI35" s="169"/>
      <c r="CJ35" s="169"/>
      <c r="CO35" s="169"/>
      <c r="CP35" s="169"/>
      <c r="CQ35" s="169"/>
      <c r="CR35" s="169"/>
      <c r="CS35" s="169"/>
      <c r="CT35" s="169"/>
      <c r="CU35" s="169"/>
      <c r="CV35" s="169"/>
      <c r="CW35" s="169"/>
      <c r="CX35" s="169"/>
      <c r="CY35" s="169"/>
      <c r="CZ35" s="169"/>
      <c r="DA35" s="169"/>
      <c r="DB35" s="169"/>
      <c r="DC35" s="169"/>
      <c r="DD35" s="169"/>
      <c r="DE35" s="169"/>
      <c r="DF35" s="169"/>
      <c r="DG35" s="169"/>
      <c r="DH35" s="169"/>
      <c r="DI35" s="169"/>
      <c r="DJ35" s="169"/>
      <c r="DK35" s="169"/>
      <c r="DL35" s="169"/>
      <c r="DM35" s="169"/>
      <c r="DN35" s="169"/>
      <c r="DO35" s="169"/>
      <c r="DP35" s="169"/>
      <c r="DQ35" s="169"/>
      <c r="DR35" s="169"/>
      <c r="DS35" s="169"/>
      <c r="DT35" s="169"/>
      <c r="DU35" s="169"/>
      <c r="DV35" s="169"/>
      <c r="DW35" s="169"/>
      <c r="DX35" s="169"/>
      <c r="DY35" s="169"/>
      <c r="DZ35" s="169"/>
      <c r="EA35" s="169"/>
      <c r="EB35" s="169"/>
      <c r="EE35" s="169"/>
      <c r="EF35" s="169"/>
      <c r="EG35" s="169"/>
      <c r="EH35" s="169"/>
      <c r="EI35" s="169"/>
      <c r="EJ35" s="169"/>
      <c r="EK35" s="169"/>
      <c r="EL35" s="169"/>
      <c r="EM35" s="169"/>
      <c r="EN35" s="169"/>
      <c r="EO35" s="169"/>
      <c r="EP35" s="169"/>
      <c r="EQ35" s="169"/>
      <c r="ER35" s="169"/>
      <c r="ES35" s="169"/>
      <c r="ET35" s="169"/>
      <c r="EU35" s="169"/>
      <c r="EV35" s="169"/>
      <c r="EW35" s="169"/>
      <c r="EX35" s="169"/>
      <c r="EY35" s="169"/>
      <c r="EZ35" s="169"/>
      <c r="FA35" s="169"/>
      <c r="FB35" s="169"/>
      <c r="FC35" s="169"/>
      <c r="FD35" s="169"/>
      <c r="FE35" s="169"/>
      <c r="FF35" s="169"/>
      <c r="FG35" s="169"/>
      <c r="FH35" s="169"/>
      <c r="FI35" s="169"/>
      <c r="FJ35" s="169"/>
      <c r="FK35" s="169"/>
      <c r="FL35" s="169"/>
      <c r="FM35" s="169"/>
      <c r="FN35" s="169"/>
      <c r="FO35" s="169"/>
      <c r="FP35" s="169"/>
      <c r="FQ35" s="169"/>
      <c r="FR35" s="169"/>
      <c r="FS35" s="169"/>
      <c r="FT35" s="169"/>
      <c r="FU35" s="169"/>
      <c r="FV35" s="169"/>
      <c r="FW35" s="169"/>
      <c r="FX35" s="169"/>
      <c r="FY35" s="171"/>
    </row>
    <row r="36" customFormat="false" ht="15" hidden="false" customHeight="false" outlineLevel="0" collapsed="false">
      <c r="L36" s="179"/>
      <c r="AB36" s="180"/>
      <c r="AC36" s="180"/>
      <c r="AG36" s="180"/>
      <c r="AY36" s="179"/>
      <c r="AZ36" s="179"/>
      <c r="BA36" s="179"/>
      <c r="BB36" s="179"/>
      <c r="BD36" s="179"/>
      <c r="BE36" s="179"/>
      <c r="CW36" s="180"/>
      <c r="FL36" s="179"/>
      <c r="FN36" s="179"/>
      <c r="FO36" s="179"/>
      <c r="FP36" s="179"/>
      <c r="FQ36" s="179"/>
      <c r="FS36" s="179"/>
    </row>
    <row r="37" s="134" customFormat="true" ht="15" hidden="false" customHeight="false" outlineLevel="0" collapsed="false">
      <c r="A37" s="181"/>
      <c r="B37" s="136"/>
      <c r="C37" s="182"/>
      <c r="D37" s="182"/>
      <c r="E37" s="182"/>
      <c r="F37" s="182"/>
      <c r="G37" s="182"/>
      <c r="H37" s="182"/>
      <c r="I37" s="182"/>
      <c r="J37" s="182"/>
      <c r="K37" s="182"/>
      <c r="L37" s="182"/>
      <c r="M37" s="182"/>
      <c r="N37" s="182"/>
      <c r="O37" s="182"/>
      <c r="P37" s="182"/>
      <c r="Q37" s="182"/>
      <c r="R37" s="182"/>
      <c r="S37" s="182"/>
      <c r="T37" s="182"/>
      <c r="U37" s="182"/>
      <c r="V37" s="182"/>
      <c r="W37" s="182"/>
      <c r="X37" s="182"/>
      <c r="Y37" s="182"/>
      <c r="Z37" s="182"/>
      <c r="AA37" s="182"/>
      <c r="AB37" s="182"/>
      <c r="AC37" s="182"/>
      <c r="AD37" s="182"/>
      <c r="AE37" s="182"/>
      <c r="AF37" s="182"/>
      <c r="AG37" s="182"/>
      <c r="AH37" s="182"/>
      <c r="AI37" s="182"/>
      <c r="AJ37" s="182"/>
      <c r="AK37" s="182"/>
      <c r="AL37" s="182"/>
      <c r="AM37" s="182"/>
      <c r="AN37" s="182"/>
      <c r="AO37" s="182"/>
      <c r="AP37" s="182"/>
      <c r="AQ37" s="182"/>
      <c r="AR37" s="182"/>
      <c r="AS37" s="182"/>
      <c r="AT37" s="182"/>
      <c r="AU37" s="182"/>
      <c r="AV37" s="182"/>
      <c r="AW37" s="182"/>
      <c r="AX37" s="182"/>
      <c r="AY37" s="182"/>
      <c r="AZ37" s="182"/>
      <c r="BA37" s="182"/>
      <c r="BB37" s="182"/>
      <c r="BC37" s="182"/>
      <c r="BD37" s="182"/>
      <c r="BE37" s="182"/>
      <c r="BF37" s="182"/>
      <c r="BG37" s="182"/>
      <c r="BH37" s="182"/>
      <c r="BI37" s="182"/>
      <c r="BJ37" s="182"/>
      <c r="BK37" s="182"/>
      <c r="BL37" s="182"/>
      <c r="BM37" s="182"/>
      <c r="BN37" s="182"/>
      <c r="BO37" s="182"/>
      <c r="BP37" s="182"/>
      <c r="BQ37" s="182"/>
      <c r="BR37" s="182"/>
      <c r="BS37" s="182"/>
      <c r="BT37" s="182"/>
      <c r="BU37" s="182"/>
      <c r="BV37" s="182"/>
      <c r="BW37" s="182"/>
      <c r="BX37" s="182"/>
      <c r="BY37" s="182"/>
      <c r="BZ37" s="182"/>
      <c r="CA37" s="182"/>
      <c r="CB37" s="182"/>
      <c r="CC37" s="182"/>
      <c r="CD37" s="182"/>
      <c r="CE37" s="182"/>
      <c r="CF37" s="182"/>
      <c r="CG37" s="182"/>
      <c r="CH37" s="182"/>
      <c r="CI37" s="182"/>
      <c r="CJ37" s="182"/>
      <c r="CK37" s="182"/>
      <c r="CL37" s="182"/>
      <c r="CM37" s="182"/>
      <c r="CN37" s="182"/>
      <c r="CO37" s="182"/>
      <c r="CP37" s="182"/>
      <c r="CQ37" s="182"/>
      <c r="CR37" s="182"/>
      <c r="CS37" s="182"/>
      <c r="CT37" s="182"/>
      <c r="CU37" s="182"/>
      <c r="CV37" s="182"/>
      <c r="CW37" s="182"/>
      <c r="CX37" s="182"/>
      <c r="CY37" s="182"/>
      <c r="CZ37" s="182"/>
      <c r="DA37" s="182"/>
      <c r="DB37" s="182"/>
      <c r="DC37" s="182"/>
      <c r="DD37" s="182"/>
      <c r="DE37" s="182"/>
      <c r="DF37" s="182"/>
      <c r="DG37" s="182"/>
      <c r="DH37" s="182"/>
      <c r="DI37" s="182"/>
      <c r="DJ37" s="182"/>
      <c r="DK37" s="182"/>
      <c r="DL37" s="182"/>
      <c r="DM37" s="182"/>
      <c r="DN37" s="182"/>
      <c r="DO37" s="182"/>
      <c r="DP37" s="182"/>
      <c r="DQ37" s="182"/>
      <c r="DR37" s="182"/>
      <c r="DS37" s="182"/>
      <c r="DT37" s="182"/>
      <c r="DU37" s="182"/>
      <c r="DV37" s="182"/>
      <c r="DW37" s="182"/>
      <c r="DX37" s="182"/>
      <c r="DY37" s="182"/>
      <c r="DZ37" s="182"/>
      <c r="EA37" s="182"/>
      <c r="EB37" s="182"/>
      <c r="EC37" s="182"/>
      <c r="ED37" s="182"/>
      <c r="EE37" s="182"/>
      <c r="EF37" s="182"/>
      <c r="EG37" s="182"/>
      <c r="EH37" s="182"/>
      <c r="EI37" s="182"/>
      <c r="EJ37" s="182"/>
      <c r="EK37" s="182"/>
      <c r="EL37" s="182"/>
      <c r="EM37" s="182"/>
      <c r="EN37" s="182"/>
      <c r="EO37" s="182"/>
      <c r="EP37" s="182"/>
      <c r="EQ37" s="182"/>
      <c r="ER37" s="182"/>
      <c r="ES37" s="182"/>
      <c r="ET37" s="182"/>
      <c r="EU37" s="182"/>
      <c r="EV37" s="182"/>
      <c r="EW37" s="182"/>
      <c r="EX37" s="182"/>
      <c r="EY37" s="182"/>
      <c r="EZ37" s="182"/>
      <c r="FA37" s="182"/>
      <c r="FB37" s="182"/>
      <c r="FC37" s="182"/>
      <c r="FD37" s="182"/>
      <c r="FE37" s="182"/>
      <c r="FF37" s="182"/>
      <c r="FG37" s="182"/>
      <c r="FH37" s="182"/>
      <c r="FI37" s="182"/>
      <c r="FJ37" s="182"/>
      <c r="FK37" s="182"/>
      <c r="FL37" s="182"/>
      <c r="FM37" s="182"/>
      <c r="FN37" s="182"/>
      <c r="FO37" s="182"/>
      <c r="FP37" s="182"/>
      <c r="FQ37" s="182"/>
      <c r="FR37" s="182"/>
      <c r="FS37" s="182"/>
      <c r="FT37" s="182"/>
      <c r="FU37" s="182"/>
      <c r="FV37" s="182"/>
      <c r="FW37" s="182"/>
      <c r="FX37" s="182"/>
      <c r="FZ37" s="182"/>
      <c r="GA37" s="182"/>
      <c r="GB37" s="182"/>
      <c r="GC37" s="182"/>
      <c r="GD37" s="182"/>
      <c r="GE37" s="182"/>
      <c r="GF37" s="182"/>
      <c r="GG37" s="182"/>
      <c r="GH37" s="182"/>
      <c r="GI37" s="182"/>
      <c r="GJ37" s="182"/>
      <c r="GK37" s="182"/>
      <c r="GL37" s="182"/>
      <c r="GM37" s="182"/>
      <c r="GN37" s="182"/>
      <c r="GO37" s="182"/>
      <c r="GP37" s="182"/>
      <c r="GQ37" s="182"/>
      <c r="GR37" s="182"/>
      <c r="GS37" s="182"/>
      <c r="GT37" s="182"/>
      <c r="GU37" s="182"/>
      <c r="GV37" s="182"/>
      <c r="GW37" s="182"/>
      <c r="GX37" s="182"/>
      <c r="GY37" s="182"/>
      <c r="GZ37" s="182"/>
      <c r="HA37" s="182"/>
      <c r="HB37" s="182"/>
      <c r="HC37" s="182"/>
      <c r="HD37" s="182"/>
      <c r="HE37" s="182"/>
      <c r="HF37" s="182"/>
      <c r="HG37" s="182"/>
      <c r="HH37" s="182"/>
      <c r="HI37" s="182"/>
      <c r="HJ37" s="182"/>
      <c r="HK37" s="182"/>
      <c r="HL37" s="182"/>
      <c r="HM37" s="182"/>
      <c r="HN37" s="182"/>
      <c r="HO37" s="182"/>
      <c r="HP37" s="182"/>
      <c r="HQ37" s="182"/>
      <c r="HR37" s="182"/>
      <c r="HS37" s="182"/>
      <c r="HT37" s="182"/>
      <c r="HU37" s="182"/>
      <c r="HV37" s="182"/>
      <c r="HW37" s="182"/>
      <c r="HX37" s="182"/>
      <c r="HY37" s="182"/>
      <c r="HZ37" s="182"/>
      <c r="IA37" s="182"/>
    </row>
    <row r="38" customFormat="false" ht="15" hidden="false" customHeight="false" outlineLevel="0" collapsed="false">
      <c r="AY38" s="179"/>
      <c r="AZ38" s="179"/>
      <c r="BA38" s="179"/>
      <c r="BB38" s="179"/>
      <c r="BD38" s="179"/>
      <c r="BE38" s="179"/>
      <c r="FN38" s="179"/>
      <c r="FS38" s="179"/>
    </row>
    <row r="39" customFormat="false" ht="15" hidden="false" customHeight="false" outlineLevel="0" collapsed="false">
      <c r="AY39" s="179"/>
      <c r="AZ39" s="179"/>
      <c r="BA39" s="179"/>
      <c r="BB39" s="179"/>
      <c r="BD39" s="179"/>
      <c r="BE39" s="179"/>
      <c r="FN39" s="179"/>
      <c r="FS39" s="179"/>
    </row>
    <row r="40" s="134" customFormat="true" ht="15" hidden="false" customHeight="false" outlineLevel="0" collapsed="false">
      <c r="A40" s="27" t="s">
        <v>371</v>
      </c>
      <c r="B40" s="183" t="s">
        <v>372</v>
      </c>
      <c r="C40" s="134" t="n">
        <f aca="false">IF(C14="&lt;empty&gt;","",C14*C5)</f>
        <v>3482.2</v>
      </c>
      <c r="D40" s="134" t="n">
        <f aca="false">IF(D14="&lt;empty&gt;","",D14*D5)</f>
        <v>32458.75</v>
      </c>
      <c r="E40" s="134" t="n">
        <f aca="false">IF(E14="&lt;empty&gt;","",E14*E5)</f>
        <v>4845.6</v>
      </c>
      <c r="F40" s="134" t="n">
        <f aca="false">IF(F14="&lt;empty&gt;","",F14*F5)</f>
        <v>37579.0842</v>
      </c>
      <c r="G40" s="134" t="n">
        <f aca="false">IF(G14="&lt;empty&gt;","",G14*G5)</f>
        <v>4859.6127</v>
      </c>
      <c r="H40" s="134" t="n">
        <f aca="false">IF(H14="&lt;empty&gt;","",H14*H5)</f>
        <v>42442.8245</v>
      </c>
      <c r="I40" s="134" t="n">
        <f aca="false">IF(I14="&lt;empty&gt;","",I14*I5)</f>
        <v>71908.9372</v>
      </c>
      <c r="K40" s="134" t="n">
        <f aca="false">IF(K14="&lt;empty&gt;","",K14*K5)</f>
        <v>71922.2621</v>
      </c>
      <c r="V40" s="134" t="n">
        <f aca="false">IF(V14="&lt;empty&gt;","",V14*V5)</f>
        <v>40111.12</v>
      </c>
      <c r="Y40" s="134" t="n">
        <f aca="false">IF(Y14="&lt;empty&gt;","",Y14*Y5)</f>
        <v>147982.323</v>
      </c>
      <c r="Z40" s="134" t="n">
        <f aca="false">IF(Z14="&lt;empty&gt;","",Z14*Z5)</f>
        <v>159039.056</v>
      </c>
      <c r="AA40" s="134" t="n">
        <f aca="false">IF(AA14="&lt;empty&gt;","",AA14*AA5)</f>
        <v>614317.3894</v>
      </c>
      <c r="AB40" s="134" t="n">
        <f aca="false">IF(AB14="&lt;empty&gt;","",AB14*AB5)</f>
        <v>355136.4476</v>
      </c>
      <c r="AC40" s="134" t="n">
        <f aca="false">IF(AC14="&lt;empty&gt;","",AC14*AC5)</f>
        <v>353353.476</v>
      </c>
      <c r="AD40" s="134" t="n">
        <f aca="false">IF(AD14="&lt;empty&gt;","",AD14*AD5)</f>
        <v>519652.8652</v>
      </c>
      <c r="AE40" s="134" t="n">
        <f aca="false">IF(AE14="&lt;empty&gt;","",AE14*AE5)</f>
        <v>520233.224</v>
      </c>
      <c r="AF40" s="134" t="n">
        <f aca="false">IF(AF14="&lt;empty&gt;","",AF14*AF5)</f>
        <v>0</v>
      </c>
      <c r="AG40" s="134" t="n">
        <f aca="false">IF(AG14="&lt;empty&gt;","",AG14*AG5)</f>
        <v>0</v>
      </c>
      <c r="AH40" s="134" t="n">
        <f aca="false">IF(AH14="&lt;empty&gt;","",AH14*AH5)</f>
        <v>0</v>
      </c>
      <c r="AI40" s="134" t="n">
        <f aca="false">IF(AI14="&lt;empty&gt;","",AI14*AI5)</f>
        <v>0</v>
      </c>
      <c r="AJ40" s="134" t="n">
        <f aca="false">IF(AJ14="&lt;empty&gt;","",AJ14*AJ5)</f>
        <v>0</v>
      </c>
      <c r="AL40" s="134" t="n">
        <f aca="false">IF(AL14="&lt;empty&gt;","",AL14*AL5)</f>
        <v>0</v>
      </c>
      <c r="AM40" s="134" t="n">
        <f aca="false">IF(AM14="&lt;empty&gt;","",AM14*AM5)</f>
        <v>0</v>
      </c>
      <c r="AN40" s="134" t="n">
        <f aca="false">IF(AN14="&lt;empty&gt;","",AN14*AN5)</f>
        <v>0</v>
      </c>
      <c r="AO40" s="134" t="n">
        <f aca="false">IF(AO14="&lt;empty&gt;","",AO14*AO5)</f>
        <v>0</v>
      </c>
      <c r="AP40" s="134" t="n">
        <f aca="false">IF(AP14="&lt;empty&gt;","",AP14*AP5)</f>
        <v>0</v>
      </c>
      <c r="AQ40" s="134" t="n">
        <f aca="false">IF(AQ14="&lt;empty&gt;","",AQ14*AQ5)</f>
        <v>258913.633</v>
      </c>
      <c r="AR40" s="134" t="n">
        <f aca="false">IF(AR14="&lt;empty&gt;","",AR14*AR5)</f>
        <v>146163.36</v>
      </c>
      <c r="AS40" s="134" t="n">
        <f aca="false">IF(AS14="&lt;empty&gt;","",AS14*AS5)</f>
        <v>146132.064</v>
      </c>
      <c r="AT40" s="134" t="n">
        <f aca="false">IF(AT14="&lt;empty&gt;","",AT14*AT5)</f>
        <v>129980.486</v>
      </c>
      <c r="AV40" s="134" t="n">
        <f aca="false">IF(AV14="&lt;empty&gt;","",AV14*AV5)</f>
        <v>0</v>
      </c>
      <c r="AW40" s="134" t="n">
        <f aca="false">IF(AW14="&lt;empty&gt;","",AW14*AW5)</f>
        <v>0</v>
      </c>
      <c r="AX40" s="134" t="n">
        <f aca="false">IF(AX14="&lt;empty&gt;","",AX14*AX5)</f>
        <v>4.56</v>
      </c>
      <c r="AY40" s="134" t="n">
        <f aca="false">IF(AY14="&lt;empty&gt;","",AY14*AY5)</f>
        <v>0</v>
      </c>
      <c r="AZ40" s="134" t="n">
        <f aca="false">IF(AZ14="&lt;empty&gt;","",AZ14*AZ5)</f>
        <v>2.8643</v>
      </c>
      <c r="BA40" s="134" t="n">
        <f aca="false">IF(BA14="&lt;empty&gt;","",BA14*BA5)</f>
        <v>326.97</v>
      </c>
      <c r="BB40" s="134" t="n">
        <f aca="false">IF(BB14="&lt;empty&gt;","",BB14*BB5)</f>
        <v>1805.8105</v>
      </c>
      <c r="BC40" s="134" t="n">
        <f aca="false">IF(BC14="&lt;empty&gt;","",BC14*BC5)</f>
        <v>997.15</v>
      </c>
      <c r="BD40" s="134" t="n">
        <f aca="false">IF(BD14="&lt;empty&gt;","",BD14*BD5)</f>
        <v>904.278</v>
      </c>
      <c r="BE40" s="134" t="n">
        <f aca="false">IF(BE14="&lt;empty&gt;","",BE14*BE5)</f>
        <v>719.2</v>
      </c>
      <c r="BF40" s="134" t="n">
        <f aca="false">IF(BF14="&lt;empty&gt;","",BF14*BF5)</f>
        <v>465.5232</v>
      </c>
      <c r="BG40" s="134" t="n">
        <f aca="false">IF(BG14="&lt;empty&gt;","",BG14*BG5)</f>
        <v>659.308</v>
      </c>
      <c r="BH40" s="134" t="n">
        <f aca="false">IF(BH14="&lt;empty&gt;","",BH14*BH5)</f>
        <v>254.08</v>
      </c>
      <c r="BI40" s="134" t="n">
        <f aca="false">IF(BI14="&lt;empty&gt;","",BI14*BI5)</f>
        <v>591.3369</v>
      </c>
      <c r="BJ40" s="134" t="n">
        <f aca="false">IF(BJ14="&lt;empty&gt;","",BJ14*BJ5)</f>
        <v>0</v>
      </c>
      <c r="BK40" s="134" t="n">
        <f aca="false">IF(BK14="&lt;empty&gt;","",BK14*BK5)</f>
        <v>0</v>
      </c>
      <c r="BM40" s="134" t="n">
        <f aca="false">IF(BM14="&lt;empty&gt;","",BM14*BM5)</f>
        <v>127318.5469</v>
      </c>
      <c r="BO40" s="134" t="n">
        <f aca="false">IF(BO14="&lt;empty&gt;","",BO14*BO5)</f>
        <v>350.48</v>
      </c>
      <c r="BP40" s="134" t="n">
        <f aca="false">IF(BP14="&lt;empty&gt;","",BP14*BP5)</f>
        <v>1313.5296</v>
      </c>
      <c r="BQ40" s="134" t="n">
        <f aca="false">IF(BQ14="&lt;empty&gt;","",BQ14*BQ5)</f>
        <v>1313.5296</v>
      </c>
      <c r="BS40" s="134" t="n">
        <f aca="false">IF(BS14="&lt;empty&gt;","",BS14*BS5)</f>
        <v>243.2052</v>
      </c>
      <c r="BT40" s="134" t="n">
        <f aca="false">IF(BT14="&lt;empty&gt;","",BT14*BT5)</f>
        <v>1080.8384</v>
      </c>
      <c r="BU40" s="134" t="n">
        <f aca="false">IF(BU14="&lt;empty&gt;","",BU14*BU5)</f>
        <v>0</v>
      </c>
      <c r="BV40" s="134" t="n">
        <f aca="false">IF(BV14="&lt;empty&gt;","",BV14*BV5)</f>
        <v>1973.019</v>
      </c>
      <c r="BW40" s="134" t="n">
        <f aca="false">IF(BW14="&lt;empty&gt;","",BW14*BW5)</f>
        <v>126419.4485</v>
      </c>
      <c r="BX40" s="134" t="n">
        <f aca="false">IF(BX14="&lt;empty&gt;","",BX14*BX5)</f>
        <v>125010.909</v>
      </c>
      <c r="BY40" s="134" t="n">
        <f aca="false">IF(BY14="&lt;empty&gt;","",BY14*BY5)</f>
        <v>141477.01</v>
      </c>
      <c r="BZ40" s="134" t="n">
        <f aca="false">IF(BZ14="&lt;empty&gt;","",BZ14*BZ5)</f>
        <v>155131.8</v>
      </c>
      <c r="CA40" s="134" t="n">
        <f aca="false">IF(CA14="&lt;empty&gt;","",CA14*CA5)</f>
        <v>0</v>
      </c>
      <c r="CB40" s="134" t="n">
        <f aca="false">IF(CB14="&lt;empty&gt;","",CB14*CB5)</f>
        <v>0</v>
      </c>
      <c r="CC40" s="134" t="n">
        <f aca="false">IF(CC14="&lt;empty&gt;","",CC14*CC5)</f>
        <v>155131.8</v>
      </c>
      <c r="CD40" s="134" t="n">
        <f aca="false">IF(CD14="&lt;empty&gt;","",CD14*CD5)</f>
        <v>155140.29</v>
      </c>
      <c r="CE40" s="134" t="n">
        <f aca="false">IF(CE14="&lt;empty&gt;","",CE14*CE5)</f>
        <v>170124.78</v>
      </c>
      <c r="CF40" s="134" t="n">
        <f aca="false">IF(CF14="&lt;empty&gt;","",CF14*CF5)</f>
        <v>118806.704</v>
      </c>
      <c r="CG40" s="134" t="n">
        <f aca="false">IF(CG14="&lt;empty&gt;","",CG14*CG5)</f>
        <v>237882.6618</v>
      </c>
      <c r="CH40" s="134" t="n">
        <f aca="false">IF(CH14="&lt;empty&gt;","",CH14*CH5)</f>
        <v>0</v>
      </c>
      <c r="CI40" s="134" t="n">
        <f aca="false">IF(CI14="&lt;empty&gt;","",CI14*CI5)</f>
        <v>996.1435</v>
      </c>
      <c r="CJ40" s="134" t="n">
        <f aca="false">IF(CJ14="&lt;empty&gt;","",CJ14*CJ5)</f>
        <v>1461.9</v>
      </c>
      <c r="CK40" s="134" t="n">
        <f aca="false">IF(CK14="&lt;empty&gt;","",CK14*CK5)</f>
        <v>1082</v>
      </c>
      <c r="CM40" s="134" t="n">
        <f aca="false">IF(CM14="&lt;empty&gt;","",CM14*CM5)</f>
        <v>893.8132</v>
      </c>
      <c r="CN40" s="134" t="n">
        <f aca="false">IF(CN14="&lt;empty&gt;","",CN14*CN5)</f>
        <v>434.4075</v>
      </c>
      <c r="CO40" s="134" t="n">
        <f aca="false">IF(CO14="&lt;empty&gt;","",CO14*CO5)</f>
        <v>463.3278</v>
      </c>
      <c r="CP40" s="134" t="n">
        <f aca="false">IF(CP14="&lt;empty&gt;","",CP14*CP5)</f>
        <v>194.097</v>
      </c>
      <c r="CQ40" s="134" t="n">
        <f aca="false">IF(CQ14="&lt;empty&gt;","",CQ14*CQ5)</f>
        <v>0</v>
      </c>
      <c r="CR40" s="134" t="n">
        <f aca="false">IF(CR14="&lt;empty&gt;","",CR14*CR5)</f>
        <v>0</v>
      </c>
      <c r="CS40" s="134" t="n">
        <f aca="false">IF(CS14="&lt;empty&gt;","",CS14*CS5)</f>
        <v>0</v>
      </c>
      <c r="CT40" s="134" t="n">
        <f aca="false">IF(CT14="&lt;empty&gt;","",CT14*CT5)</f>
        <v>0</v>
      </c>
      <c r="CV40" s="134" t="n">
        <f aca="false">IF(CV14="&lt;empty&gt;","",CV14*CV5)</f>
        <v>0</v>
      </c>
      <c r="CW40" s="134" t="n">
        <f aca="false">IF(CW14="&lt;empty&gt;","",CW14*CW5)</f>
        <v>0</v>
      </c>
      <c r="CX40" s="134" t="n">
        <f aca="false">IF(CX14="&lt;empty&gt;","",CX14*CX5)</f>
        <v>0</v>
      </c>
      <c r="CY40" s="134" t="n">
        <f aca="false">IF(CY14="&lt;empty&gt;","",CY14*CY5)</f>
        <v>63.84</v>
      </c>
      <c r="CZ40" s="134" t="n">
        <f aca="false">IF(CZ14="&lt;empty&gt;","",CZ14*CZ5)</f>
        <v>136892.2629</v>
      </c>
      <c r="DB40" s="134" t="n">
        <f aca="false">IF(DB14="&lt;empty&gt;","",DB14*DB5)</f>
        <v>0</v>
      </c>
      <c r="DC40" s="134" t="n">
        <f aca="false">IF(DC14="&lt;empty&gt;","",DC14*DC5)</f>
        <v>8613.528</v>
      </c>
      <c r="DD40" s="134" t="n">
        <f aca="false">IF(DD14="&lt;empty&gt;","",DD14*DD5)</f>
        <v>7652.6637</v>
      </c>
      <c r="DE40" s="134" t="n">
        <f aca="false">IF(DE14="&lt;empty&gt;","",DE14*DE5)</f>
        <v>7682.3175</v>
      </c>
      <c r="DF40" s="134" t="n">
        <f aca="false">IF(DF14="&lt;empty&gt;","",DF14*DF5)</f>
        <v>7111.6045</v>
      </c>
      <c r="DG40" s="134" t="n">
        <f aca="false">IF(DG14="&lt;empty&gt;","",DG14*DG5)</f>
        <v>570.713</v>
      </c>
      <c r="DH40" s="134" t="n">
        <f aca="false">IF(DH14="&lt;empty&gt;","",DH14*DH5)</f>
        <v>229.655</v>
      </c>
      <c r="DI40" s="134" t="n">
        <f aca="false">IF(DI14="&lt;empty&gt;","",DI14*DI5)</f>
        <v>230</v>
      </c>
      <c r="DJ40" s="134" t="n">
        <f aca="false">IF(DJ14="&lt;empty&gt;","",DJ14*DJ5)</f>
        <v>961.9062</v>
      </c>
      <c r="DL40" s="134" t="n">
        <f aca="false">IF(DL14="&lt;empty&gt;","",DL14*DL5)</f>
        <v>45511.76</v>
      </c>
      <c r="DM40" s="134" t="n">
        <f aca="false">IF(DM14="&lt;empty&gt;","",DM14*DM5)</f>
        <v>40407.48</v>
      </c>
      <c r="DN40" s="134" t="n">
        <f aca="false">IF(DN14="&lt;empty&gt;","",DN14*DN5)</f>
        <v>32800.82</v>
      </c>
      <c r="DO40" s="134" t="n">
        <f aca="false">IF(DO14="&lt;empty&gt;","",DO14*DO5)</f>
        <v>32826.16</v>
      </c>
      <c r="DP40" s="134" t="n">
        <f aca="false">IF(DP14="&lt;empty&gt;","",DP14*DP5)</f>
        <v>11147.5884</v>
      </c>
      <c r="DQ40" s="134" t="n">
        <f aca="false">IF(DQ14="&lt;empty&gt;","",DQ14*DQ5)</f>
        <v>11145.2445</v>
      </c>
      <c r="DR40" s="134" t="n">
        <f aca="false">IF(DR14="&lt;empty&gt;","",DR14*DR5)</f>
        <v>0</v>
      </c>
      <c r="DS40" s="134" t="n">
        <f aca="false">IF(DS14="&lt;empty&gt;","",DS14*DS5)</f>
        <v>9205.7625</v>
      </c>
      <c r="DT40" s="134" t="n">
        <f aca="false">IF(DT14="&lt;empty&gt;","",DT14*DT5)</f>
        <v>9207.5434</v>
      </c>
      <c r="DU40" s="134" t="n">
        <f aca="false">IF(DU14="&lt;empty&gt;","",DU14*DU5)</f>
        <v>4768.7658</v>
      </c>
      <c r="DV40" s="134" t="n">
        <f aca="false">IF(DV14="&lt;empty&gt;","",DV14*DV5)</f>
        <v>256</v>
      </c>
      <c r="DW40" s="134" t="n">
        <f aca="false">IF(DW14="&lt;empty&gt;","",DW14*DW5)</f>
        <v>256.2048</v>
      </c>
      <c r="DX40" s="134" t="n">
        <f aca="false">IF(DX14="&lt;empty&gt;","",DX14*DX5)</f>
        <v>4053.829</v>
      </c>
      <c r="DY40" s="134" t="n">
        <f aca="false">IF(DY14="&lt;empty&gt;","",DY14*DY5)</f>
        <v>5382.32</v>
      </c>
      <c r="DZ40" s="134" t="n">
        <f aca="false">IF(DZ14="&lt;empty&gt;","",DZ14*DZ5)</f>
        <v>0</v>
      </c>
      <c r="EA40" s="134" t="n">
        <f aca="false">IF(EA14="&lt;empty&gt;","",EA14*EA5)</f>
        <v>0</v>
      </c>
      <c r="EB40" s="134" t="n">
        <f aca="false">IF(EB14="&lt;empty&gt;","",EB14*EB5)</f>
        <v>0</v>
      </c>
      <c r="EC40" s="134" t="n">
        <f aca="false">IF(EC14="&lt;empty&gt;","",EC14*EC5)</f>
        <v>77549.32</v>
      </c>
      <c r="EE40" s="134" t="n">
        <f aca="false">IF(EE14="&lt;empty&gt;","",EE14*EE5)</f>
        <v>0</v>
      </c>
      <c r="EF40" s="134" t="n">
        <f aca="false">IF(EF14="&lt;empty&gt;","",EF14*EF5)</f>
        <v>0</v>
      </c>
      <c r="EG40" s="134" t="n">
        <f aca="false">IF(EG14="&lt;empty&gt;","",EG14*EG5)</f>
        <v>0</v>
      </c>
      <c r="EH40" s="134" t="n">
        <f aca="false">IF(EH14="&lt;empty&gt;","",EH14*EH5)</f>
        <v>0</v>
      </c>
      <c r="EI40" s="134" t="n">
        <f aca="false">IF(EI14="&lt;empty&gt;","",EI14*EI5)</f>
        <v>0</v>
      </c>
      <c r="EJ40" s="134" t="n">
        <f aca="false">IF(EJ14="&lt;empty&gt;","",EJ14*EJ5)</f>
        <v>0</v>
      </c>
      <c r="EK40" s="134" t="n">
        <f aca="false">IF(EK14="&lt;empty&gt;","",EK14*EK5)</f>
        <v>0</v>
      </c>
      <c r="EL40" s="134" t="n">
        <f aca="false">IF(EL14="&lt;empty&gt;","",EL14*EL5)</f>
        <v>0</v>
      </c>
      <c r="EM40" s="134" t="n">
        <f aca="false">IF(EM14="&lt;empty&gt;","",EM14*EM5)</f>
        <v>0</v>
      </c>
      <c r="EN40" s="134" t="n">
        <f aca="false">IF(EN14="&lt;empty&gt;","",EN14*EN5)</f>
        <v>0</v>
      </c>
      <c r="EO40" s="134" t="n">
        <f aca="false">IF(EO14="&lt;empty&gt;","",EO14*EO5)</f>
        <v>0</v>
      </c>
      <c r="EP40" s="134" t="n">
        <f aca="false">IF(EP14="&lt;empty&gt;","",EP14*EP5)</f>
        <v>0</v>
      </c>
      <c r="ER40" s="134" t="n">
        <f aca="false">IF(ER14="&lt;empty&gt;","",ER14*ER5)</f>
        <v>0</v>
      </c>
      <c r="ET40" s="134" t="n">
        <f aca="false">IF(ET14="&lt;empty&gt;","",ET14*ET5)</f>
        <v>0</v>
      </c>
      <c r="EU40" s="134" t="n">
        <f aca="false">IF(EU14="&lt;empty&gt;","",EU14*EU5)</f>
        <v>0</v>
      </c>
      <c r="EV40" s="134" t="n">
        <f aca="false">IF(EV14="&lt;empty&gt;","",EV14*EV5)</f>
        <v>0</v>
      </c>
      <c r="EW40" s="134" t="n">
        <f aca="false">IF(EW14="&lt;empty&gt;","",EW14*EW5)</f>
        <v>6496.4</v>
      </c>
      <c r="EX40" s="134" t="n">
        <f aca="false">IF(EX14="&lt;empty&gt;","",EX14*EX5)</f>
        <v>6496.4</v>
      </c>
      <c r="EY40" s="134" t="n">
        <f aca="false">IF(EY14="&lt;empty&gt;","",EY14*EY5)</f>
        <v>6496.4</v>
      </c>
      <c r="EZ40" s="134" t="n">
        <f aca="false">IF(EZ14="&lt;empty&gt;","",EZ14*EZ5)</f>
        <v>8125</v>
      </c>
      <c r="FA40" s="134" t="n">
        <f aca="false">IF(FA14="&lt;empty&gt;","",FA14*FA5)</f>
        <v>8125</v>
      </c>
      <c r="FB40" s="134" t="n">
        <f aca="false">IF(FB14="&lt;empty&gt;","",FB14*FB5)</f>
        <v>0</v>
      </c>
      <c r="FC40" s="134" t="n">
        <f aca="false">IF(FC14="&lt;empty&gt;","",FC14*FC5)</f>
        <v>0</v>
      </c>
      <c r="FD40" s="134" t="n">
        <f aca="false">IF(FD14="&lt;empty&gt;","",FD14*FD5)</f>
        <v>0</v>
      </c>
      <c r="FE40" s="134" t="n">
        <f aca="false">IF(FE14="&lt;empty&gt;","",FE14*FE5)</f>
        <v>0</v>
      </c>
      <c r="FF40" s="134" t="n">
        <f aca="false">IF(FF14="&lt;empty&gt;","",FF14*FF5)</f>
        <v>0</v>
      </c>
      <c r="FG40" s="134" t="n">
        <f aca="false">IF(FG14="&lt;empty&gt;","",FG14*FG5)</f>
        <v>8096.5</v>
      </c>
      <c r="FH40" s="134" t="n">
        <f aca="false">IF(FH14="&lt;empty&gt;","",FH14*FH5)</f>
        <v>8096</v>
      </c>
      <c r="FI40" s="134" t="n">
        <f aca="false">IF(FI14="&lt;empty&gt;","",FI14*FI5)</f>
        <v>8828.5</v>
      </c>
    </row>
    <row r="41" customFormat="false" ht="15" hidden="false" customHeight="false" outlineLevel="0" collapsed="false">
      <c r="A41" s="27" t="s">
        <v>373</v>
      </c>
      <c r="B41" s="183" t="s">
        <v>374</v>
      </c>
      <c r="C41" s="184" t="n">
        <f aca="false">IF(C15="&lt;empty&gt;","",C15*100)</f>
        <v>2816</v>
      </c>
      <c r="D41" s="184" t="n">
        <f aca="false">IF(D15="&lt;empty&gt;","",D15*100)</f>
        <v>26038</v>
      </c>
      <c r="E41" s="184" t="n">
        <f aca="false">IF(E15="&lt;empty&gt;","",E15*100)</f>
        <v>5092</v>
      </c>
      <c r="F41" s="184" t="n">
        <f aca="false">IF(F15="&lt;empty&gt;","",F15*100)</f>
        <v>28857</v>
      </c>
      <c r="G41" s="184" t="n">
        <f aca="false">IF(G15="&lt;empty&gt;","",G15*100)</f>
        <v>5092</v>
      </c>
      <c r="H41" s="184" t="n">
        <f aca="false">IF(H15="&lt;empty&gt;","",H15*100)</f>
        <v>33949</v>
      </c>
      <c r="I41" s="184" t="n">
        <f aca="false">IF(I15="&lt;empty&gt;","",I15*100)</f>
        <v>33949</v>
      </c>
      <c r="J41" s="184"/>
      <c r="K41" s="184" t="n">
        <f aca="false">IF(K15="&lt;empty&gt;","",K15*100)</f>
        <v>33949</v>
      </c>
      <c r="L41" s="185"/>
      <c r="M41" s="185"/>
      <c r="N41" s="185"/>
      <c r="O41" s="185"/>
      <c r="P41" s="185"/>
      <c r="Q41" s="185"/>
      <c r="R41" s="185"/>
      <c r="S41" s="185"/>
      <c r="T41" s="185"/>
      <c r="U41" s="185"/>
      <c r="V41" s="185" t="n">
        <f aca="false">IF(V15="&lt;empty&gt;","",V15*100)</f>
        <v>25866</v>
      </c>
      <c r="W41" s="185"/>
      <c r="X41" s="185"/>
      <c r="Y41" s="185" t="n">
        <f aca="false">IF(Y15="&lt;empty&gt;","",Y15*100)</f>
        <v>34652</v>
      </c>
      <c r="Z41" s="185" t="n">
        <f aca="false">IF(Z15="&lt;empty&gt;","",Z15*100)</f>
        <v>34652</v>
      </c>
      <c r="AA41" s="185" t="n">
        <f aca="false">IF(AA15="&lt;empty&gt;","",AA15*100)</f>
        <v>86932</v>
      </c>
      <c r="AB41" s="185" t="n">
        <f aca="false">IF(AB15="&lt;empty&gt;","",AB15*100)</f>
        <v>50281</v>
      </c>
      <c r="AC41" s="185" t="n">
        <f aca="false">IF(AC15="&lt;empty&gt;","",AC15*100)</f>
        <v>50281</v>
      </c>
      <c r="AD41" s="185" t="n">
        <f aca="false">IF(AD15="&lt;empty&gt;","",AD15*100)</f>
        <v>84645</v>
      </c>
      <c r="AE41" s="185" t="n">
        <f aca="false">IF(AE15="&lt;empty&gt;","",AE15*100)</f>
        <v>85169</v>
      </c>
      <c r="AF41" s="185" t="n">
        <f aca="false">IF(AF15="&lt;empty&gt;","",AF15*100)</f>
        <v>0</v>
      </c>
      <c r="AG41" s="185" t="n">
        <f aca="false">IF(AG15="&lt;empty&gt;","",AG15*100)</f>
        <v>0</v>
      </c>
      <c r="AH41" s="185" t="n">
        <f aca="false">IF(AH15="&lt;empty&gt;","",AH15*100)</f>
        <v>0</v>
      </c>
      <c r="AI41" s="185" t="n">
        <f aca="false">IF(AI15="&lt;empty&gt;","",AI15*100)</f>
        <v>0</v>
      </c>
      <c r="AJ41" s="185" t="n">
        <f aca="false">IF(AJ15="&lt;empty&gt;","",AJ15*100)</f>
        <v>0</v>
      </c>
      <c r="AK41" s="185"/>
      <c r="AL41" s="185" t="n">
        <f aca="false">IF(AL15="&lt;empty&gt;","",AL15*100)</f>
        <v>0</v>
      </c>
      <c r="AM41" s="185" t="n">
        <f aca="false">IF(AM15="&lt;empty&gt;","",AM15*100)</f>
        <v>0</v>
      </c>
      <c r="AN41" s="185" t="n">
        <f aca="false">IF(AN15="&lt;empty&gt;","",AN15*100)</f>
        <v>0</v>
      </c>
      <c r="AO41" s="185" t="n">
        <f aca="false">IF(AO15="&lt;empty&gt;","",AO15*100)</f>
        <v>0</v>
      </c>
      <c r="AP41" s="185" t="n">
        <f aca="false">IF(AP15="&lt;empty&gt;","",AP15*100)</f>
        <v>0</v>
      </c>
      <c r="AQ41" s="185" t="n">
        <f aca="false">IF(AQ15="&lt;empty&gt;","",AQ15*100)</f>
        <v>36651</v>
      </c>
      <c r="AR41" s="185" t="n">
        <f aca="false">IF(AR15="&lt;empty&gt;","",AR15*100)</f>
        <v>36348</v>
      </c>
      <c r="AS41" s="185" t="n">
        <f aca="false">IF(AS15="&lt;empty&gt;","",AS15*100)</f>
        <v>36333</v>
      </c>
      <c r="AT41" s="185" t="n">
        <f aca="false">IF(AT15="&lt;empty&gt;","",AT15*100)</f>
        <v>34471</v>
      </c>
      <c r="AU41" s="185"/>
      <c r="AV41" s="185" t="n">
        <f aca="false">IF(AV15="&lt;empty&gt;","",AV15*100)</f>
        <v>0</v>
      </c>
      <c r="AW41" s="185" t="n">
        <f aca="false">IF(AW15="&lt;empty&gt;","",AW15*100)</f>
        <v>0</v>
      </c>
      <c r="AX41" s="185" t="n">
        <f aca="false">IF(AX15="&lt;empty&gt;","",AX15*100)</f>
        <v>2</v>
      </c>
      <c r="AY41" s="185" t="n">
        <f aca="false">IF(AY15="&lt;empty&gt;","",AY15*100)</f>
        <v>0</v>
      </c>
      <c r="AZ41" s="185" t="n">
        <f aca="false">IF(AZ15="&lt;empty&gt;","",AZ15*100)</f>
        <v>1</v>
      </c>
      <c r="BA41" s="185" t="n">
        <f aca="false">IF(BA15="&lt;empty&gt;","",BA15*100)</f>
        <v>143</v>
      </c>
      <c r="BB41" s="185" t="n">
        <f aca="false">IF(BB15="&lt;empty&gt;","",BB15*100)</f>
        <v>1320</v>
      </c>
      <c r="BC41" s="185" t="n">
        <f aca="false">IF(BC15="&lt;empty&gt;","",BC15*100)</f>
        <v>1679</v>
      </c>
      <c r="BD41" s="185" t="n">
        <f aca="false">IF(BD15="&lt;empty&gt;","",BD15*100)</f>
        <v>1619</v>
      </c>
      <c r="BE41" s="185" t="n">
        <f aca="false">IF(BE15="&lt;empty&gt;","",BE15*100)</f>
        <v>1688</v>
      </c>
      <c r="BF41" s="185" t="n">
        <f aca="false">IF(BF15="&lt;empty&gt;","",BF15*100)</f>
        <v>1130</v>
      </c>
      <c r="BG41" s="185" t="n">
        <f aca="false">IF(BG15="&lt;empty&gt;","",BG15*100)</f>
        <v>1605</v>
      </c>
      <c r="BH41" s="185" t="n">
        <f aca="false">IF(BH15="&lt;empty&gt;","",BH15*100)</f>
        <v>620</v>
      </c>
      <c r="BI41" s="185" t="n">
        <f aca="false">IF(BI15="&lt;empty&gt;","",BI15*100)</f>
        <v>171</v>
      </c>
      <c r="BJ41" s="185" t="n">
        <f aca="false">IF(BJ15="&lt;empty&gt;","",BJ15*100)</f>
        <v>0</v>
      </c>
      <c r="BK41" s="185" t="n">
        <f aca="false">IF(BK15="&lt;empty&gt;","",BK15*100)</f>
        <v>0</v>
      </c>
      <c r="BL41" s="185"/>
      <c r="BM41" s="185" t="n">
        <f aca="false">IF(BM15="&lt;empty&gt;","",BM15*100)</f>
        <v>34085</v>
      </c>
      <c r="BN41" s="185"/>
      <c r="BO41" s="185" t="n">
        <f aca="false">IF(BO15="&lt;empty&gt;","",BO15*100)</f>
        <v>314</v>
      </c>
      <c r="BP41" s="185" t="n">
        <f aca="false">IF(BP15="&lt;empty&gt;","",BP15*100)</f>
        <v>1291</v>
      </c>
      <c r="BQ41" s="185" t="n">
        <f aca="false">IF(BQ15="&lt;empty&gt;","",BQ15*100)</f>
        <v>1291</v>
      </c>
      <c r="BR41" s="185"/>
      <c r="BS41" s="185" t="n">
        <f aca="false">IF(BS15="&lt;empty&gt;","",BS15*100)</f>
        <v>237</v>
      </c>
      <c r="BT41" s="185" t="n">
        <f aca="false">IF(BT15="&lt;empty&gt;","",BT15*100)</f>
        <v>1055</v>
      </c>
      <c r="BU41" s="185" t="n">
        <f aca="false">IF(BU15="&lt;empty&gt;","",BU15*100)</f>
        <v>0</v>
      </c>
      <c r="BV41" s="185" t="n">
        <f aca="false">IF(BV15="&lt;empty&gt;","",BV15*100)</f>
        <v>689</v>
      </c>
      <c r="BW41" s="185" t="n">
        <f aca="false">IF(BW15="&lt;empty&gt;","",BW15*100)</f>
        <v>34651</v>
      </c>
      <c r="BX41" s="185" t="n">
        <f aca="false">IF(BX15="&lt;empty&gt;","",BX15*100)</f>
        <v>34271</v>
      </c>
      <c r="BY41" s="185" t="n">
        <f aca="false">IF(BY15="&lt;empty&gt;","",BY15*100)</f>
        <v>33978</v>
      </c>
      <c r="BZ41" s="185" t="n">
        <f aca="false">IF(BZ15="&lt;empty&gt;","",BZ15*100)</f>
        <v>33525</v>
      </c>
      <c r="CA41" s="185" t="n">
        <f aca="false">IF(CA15="&lt;empty&gt;","",CA15*100)</f>
        <v>0</v>
      </c>
      <c r="CB41" s="185" t="n">
        <f aca="false">IF(CB15="&lt;empty&gt;","",CB15*100)</f>
        <v>0</v>
      </c>
      <c r="CC41" s="185" t="n">
        <f aca="false">IF(CC15="&lt;empty&gt;","",CC15*100)</f>
        <v>33525</v>
      </c>
      <c r="CD41" s="185" t="n">
        <f aca="false">IF(CD15="&lt;empty&gt;","",CD15*100)</f>
        <v>33525</v>
      </c>
      <c r="CE41" s="185" t="n">
        <f aca="false">IF(CE15="&lt;empty&gt;","",CE15*100)</f>
        <v>33445</v>
      </c>
      <c r="CF41" s="185" t="n">
        <f aca="false">IF(CF15="&lt;empty&gt;","",CF15*100)</f>
        <v>30430</v>
      </c>
      <c r="CG41" s="185" t="n">
        <f aca="false">IF(CG15="&lt;empty&gt;","",CG15*100)</f>
        <v>36651</v>
      </c>
      <c r="CH41" s="185" t="n">
        <f aca="false">IF(CH15="&lt;empty&gt;","",CH15*100)</f>
        <v>0</v>
      </c>
      <c r="CI41" s="185" t="n">
        <f aca="false">IF(CI15="&lt;empty&gt;","",CI15*100)</f>
        <v>554</v>
      </c>
      <c r="CJ41" s="185" t="n">
        <f aca="false">IF(CJ15="&lt;empty&gt;","",CJ15*100)</f>
        <v>2404</v>
      </c>
      <c r="CK41" s="185" t="n">
        <f aca="false">IF(CK15="&lt;empty&gt;","",CK15*100)</f>
        <v>2503</v>
      </c>
      <c r="CL41" s="185"/>
      <c r="CM41" s="185" t="n">
        <f aca="false">IF(CM15="&lt;empty&gt;","",CM15*100)</f>
        <v>2144</v>
      </c>
      <c r="CN41" s="185" t="n">
        <f aca="false">IF(CN15="&lt;empty&gt;","",CN15*100)</f>
        <v>1038</v>
      </c>
      <c r="CO41" s="185" t="n">
        <f aca="false">IF(CO15="&lt;empty&gt;","",CO15*100)</f>
        <v>1106</v>
      </c>
      <c r="CP41" s="185" t="n">
        <f aca="false">IF(CP15="&lt;empty&gt;","",CP15*100)</f>
        <v>475</v>
      </c>
      <c r="CQ41" s="185" t="n">
        <f aca="false">IF(CQ15="&lt;empty&gt;","",CQ15*100)</f>
        <v>0</v>
      </c>
      <c r="CR41" s="185" t="n">
        <f aca="false">IF(CR15="&lt;empty&gt;","",CR15*100)</f>
        <v>0</v>
      </c>
      <c r="CS41" s="185" t="n">
        <f aca="false">IF(CS15="&lt;empty&gt;","",CS15*100)</f>
        <v>0</v>
      </c>
      <c r="CT41" s="185" t="n">
        <f aca="false">IF(CT15="&lt;empty&gt;","",CT15*100)</f>
        <v>0</v>
      </c>
      <c r="CU41" s="185"/>
      <c r="CV41" s="185" t="n">
        <f aca="false">IF(CV15="&lt;empty&gt;","",CV15*100)</f>
        <v>0</v>
      </c>
      <c r="CW41" s="185" t="n">
        <f aca="false">IF(CW15="&lt;empty&gt;","",CW15*100)</f>
        <v>0</v>
      </c>
      <c r="CX41" s="185" t="n">
        <f aca="false">IF(CX15="&lt;empty&gt;","",CX15*100)</f>
        <v>0</v>
      </c>
      <c r="CY41" s="185" t="n">
        <f aca="false">IF(CY15="&lt;empty&gt;","",CY15*100)</f>
        <v>38</v>
      </c>
      <c r="CZ41" s="185" t="n">
        <f aca="false">IF(CZ15="&lt;empty&gt;","",CZ15*100)</f>
        <v>30430</v>
      </c>
      <c r="DA41" s="185"/>
      <c r="DB41" s="185" t="n">
        <f aca="false">IF(DB15="&lt;empty&gt;","",DB15*100)</f>
        <v>0</v>
      </c>
      <c r="DC41" s="185" t="n">
        <f aca="false">IF(DC15="&lt;empty&gt;","",DC15*100)</f>
        <v>8079</v>
      </c>
      <c r="DD41" s="185" t="n">
        <f aca="false">IF(DD15="&lt;empty&gt;","",DD15*100)</f>
        <v>7538</v>
      </c>
      <c r="DE41" s="185" t="n">
        <f aca="false">IF(DE15="&lt;empty&gt;","",DE15*100)</f>
        <v>7538</v>
      </c>
      <c r="DF41" s="185" t="n">
        <f aca="false">IF(DF15="&lt;empty&gt;","",DF15*100)</f>
        <v>6978</v>
      </c>
      <c r="DG41" s="185" t="n">
        <f aca="false">IF(DG15="&lt;empty&gt;","",DG15*100)</f>
        <v>560</v>
      </c>
      <c r="DH41" s="185" t="n">
        <f aca="false">IF(DH15="&lt;empty&gt;","",DH15*100)</f>
        <v>560</v>
      </c>
      <c r="DI41" s="185" t="n">
        <f aca="false">IF(DI15="&lt;empty&gt;","",DI15*100)</f>
        <v>560</v>
      </c>
      <c r="DJ41" s="185" t="n">
        <f aca="false">IF(DJ15="&lt;empty&gt;","",DJ15*100)</f>
        <v>977</v>
      </c>
      <c r="DK41" s="185"/>
      <c r="DL41" s="185" t="n">
        <f aca="false">IF(DL15="&lt;empty&gt;","",DL15*100)</f>
        <v>15330</v>
      </c>
      <c r="DM41" s="185" t="n">
        <f aca="false">IF(DM15="&lt;empty&gt;","",DM15*100)</f>
        <v>15330</v>
      </c>
      <c r="DN41" s="185" t="n">
        <f aca="false">IF(DN15="&lt;empty&gt;","",DN15*100)</f>
        <v>15330</v>
      </c>
      <c r="DO41" s="185" t="n">
        <f aca="false">IF(DO15="&lt;empty&gt;","",DO15*100)</f>
        <v>15329</v>
      </c>
      <c r="DP41" s="185" t="n">
        <f aca="false">IF(DP15="&lt;empty&gt;","",DP15*100)</f>
        <v>3751</v>
      </c>
      <c r="DQ41" s="185" t="n">
        <f aca="false">IF(DQ15="&lt;empty&gt;","",DQ15*100)</f>
        <v>3751</v>
      </c>
      <c r="DR41" s="185" t="n">
        <f aca="false">IF(DR15="&lt;empty&gt;","",DR15*100)</f>
        <v>0</v>
      </c>
      <c r="DS41" s="185" t="n">
        <f aca="false">IF(DS15="&lt;empty&gt;","",DS15*100)</f>
        <v>3312</v>
      </c>
      <c r="DT41" s="185" t="n">
        <f aca="false">IF(DT15="&lt;empty&gt;","",DT15*100)</f>
        <v>3312</v>
      </c>
      <c r="DU41" s="185" t="n">
        <f aca="false">IF(DU15="&lt;empty&gt;","",DU15*100)</f>
        <v>3312</v>
      </c>
      <c r="DV41" s="185" t="n">
        <f aca="false">IF(DV15="&lt;empty&gt;","",DV15*100)</f>
        <v>497</v>
      </c>
      <c r="DW41" s="185" t="n">
        <f aca="false">IF(DW15="&lt;empty&gt;","",DW15*100)</f>
        <v>497</v>
      </c>
      <c r="DX41" s="185" t="n">
        <f aca="false">IF(DX15="&lt;empty&gt;","",DX15*100)</f>
        <v>2815</v>
      </c>
      <c r="DY41" s="185" t="n">
        <f aca="false">IF(DY15="&lt;empty&gt;","",DY15*100)</f>
        <v>3247</v>
      </c>
      <c r="DZ41" s="185" t="n">
        <f aca="false">IF(DZ15="&lt;empty&gt;","",DZ15*100)</f>
        <v>0</v>
      </c>
      <c r="EA41" s="185" t="n">
        <f aca="false">IF(EA15="&lt;empty&gt;","",EA15*100)</f>
        <v>0</v>
      </c>
      <c r="EB41" s="185" t="n">
        <f aca="false">IF(EB15="&lt;empty&gt;","",EB15*100)</f>
        <v>0</v>
      </c>
      <c r="EC41" s="185" t="n">
        <f aca="false">IF(EC15="&lt;empty&gt;","",EC15*100)</f>
        <v>30430</v>
      </c>
      <c r="ED41" s="185"/>
      <c r="EE41" s="185" t="n">
        <f aca="false">IF(EE15="&lt;empty&gt;","",EE15*100)</f>
        <v>0</v>
      </c>
      <c r="EF41" s="185" t="n">
        <f aca="false">IF(EF15="&lt;empty&gt;","",EF15*100)</f>
        <v>0</v>
      </c>
      <c r="EG41" s="185" t="n">
        <f aca="false">IF(EG15="&lt;empty&gt;","",EG15*100)</f>
        <v>0</v>
      </c>
      <c r="EH41" s="185" t="n">
        <f aca="false">IF(EH15="&lt;empty&gt;","",EH15*100)</f>
        <v>0</v>
      </c>
      <c r="EI41" s="185" t="n">
        <f aca="false">IF(EI15="&lt;empty&gt;","",EI15*100)</f>
        <v>0</v>
      </c>
      <c r="EJ41" s="185" t="n">
        <f aca="false">IF(EJ15="&lt;empty&gt;","",EJ15*100)</f>
        <v>0</v>
      </c>
      <c r="EK41" s="185" t="n">
        <f aca="false">IF(EK15="&lt;empty&gt;","",EK15*100)</f>
        <v>0</v>
      </c>
      <c r="EL41" s="185" t="n">
        <f aca="false">IF(EL15="&lt;empty&gt;","",EL15*100)</f>
        <v>0</v>
      </c>
      <c r="EM41" s="185" t="n">
        <f aca="false">IF(EM15="&lt;empty&gt;","",EM15*100)</f>
        <v>0</v>
      </c>
      <c r="EN41" s="185" t="n">
        <f aca="false">IF(EN15="&lt;empty&gt;","",EN15*100)</f>
        <v>0</v>
      </c>
      <c r="EO41" s="185" t="n">
        <f aca="false">IF(EO15="&lt;empty&gt;","",EO15*100)</f>
        <v>0</v>
      </c>
      <c r="EP41" s="185" t="n">
        <f aca="false">IF(EP15="&lt;empty&gt;","",EP15*100)</f>
        <v>0</v>
      </c>
      <c r="EQ41" s="185"/>
      <c r="ER41" s="185" t="n">
        <f aca="false">IF(ER15="&lt;empty&gt;","",ER15*100)</f>
        <v>0</v>
      </c>
      <c r="ES41" s="185"/>
      <c r="ET41" s="185" t="n">
        <f aca="false">IF(ET15="&lt;empty&gt;","",ET15*100)</f>
        <v>0</v>
      </c>
      <c r="EU41" s="185" t="n">
        <f aca="false">IF(EU15="&lt;empty&gt;","",EU15*100)</f>
        <v>0</v>
      </c>
      <c r="EV41" s="185" t="n">
        <f aca="false">IF(EV15="&lt;empty&gt;","",EV15*100)</f>
        <v>0</v>
      </c>
      <c r="EW41" s="185" t="n">
        <f aca="false">IF(EW15="&lt;empty&gt;","",EW15*100)</f>
        <v>15944</v>
      </c>
      <c r="EX41" s="185" t="n">
        <f aca="false">IF(EX15="&lt;empty&gt;","",EX15*100)</f>
        <v>15944</v>
      </c>
      <c r="EY41" s="185" t="n">
        <f aca="false">IF(EY15="&lt;empty&gt;","",EY15*100)</f>
        <v>15944</v>
      </c>
      <c r="EZ41" s="185" t="n">
        <f aca="false">IF(EZ15="&lt;empty&gt;","",EZ15*100)</f>
        <v>15944</v>
      </c>
      <c r="FA41" s="185" t="n">
        <f aca="false">IF(FA15="&lt;empty&gt;","",FA15*100)</f>
        <v>15944</v>
      </c>
      <c r="FB41" s="185" t="n">
        <f aca="false">IF(FB15="&lt;empty&gt;","",FB15*100)</f>
        <v>0</v>
      </c>
      <c r="FC41" s="185" t="n">
        <f aca="false">IF(FC15="&lt;empty&gt;","",FC15*100)</f>
        <v>0</v>
      </c>
      <c r="FD41" s="185" t="n">
        <f aca="false">IF(FD15="&lt;empty&gt;","",FD15*100)</f>
        <v>0</v>
      </c>
      <c r="FE41" s="185" t="n">
        <f aca="false">IF(FE15="&lt;empty&gt;","",FE15*100)</f>
        <v>0</v>
      </c>
      <c r="FF41" s="185" t="n">
        <f aca="false">IF(FF15="&lt;empty&gt;","",FF15*100)</f>
        <v>0</v>
      </c>
      <c r="FG41" s="185" t="n">
        <f aca="false">IF(FG15="&lt;empty&gt;","",FG15*100)</f>
        <v>15804</v>
      </c>
      <c r="FH41" s="185" t="n">
        <f aca="false">IF(FH15="&lt;empty&gt;","",FH15*100)</f>
        <v>15803</v>
      </c>
      <c r="FI41" s="185" t="n">
        <f aca="false">IF(FI15="&lt;empty&gt;","",FI15*100)</f>
        <v>16971</v>
      </c>
      <c r="FJ41" s="185"/>
      <c r="FK41" s="185"/>
      <c r="FL41" s="185"/>
      <c r="FM41" s="185"/>
      <c r="FN41" s="185"/>
      <c r="FO41" s="185"/>
      <c r="FP41" s="185"/>
      <c r="FQ41" s="185"/>
      <c r="FR41" s="185"/>
      <c r="FS41" s="185"/>
      <c r="FT41" s="185"/>
      <c r="FU41" s="185"/>
      <c r="FV41" s="185"/>
      <c r="FW41" s="185"/>
      <c r="FX41" s="185"/>
      <c r="FY41" s="185"/>
      <c r="FZ41" s="186"/>
      <c r="GA41" s="186"/>
      <c r="GB41" s="186"/>
      <c r="GC41" s="186"/>
      <c r="GD41" s="185"/>
      <c r="GE41" s="185"/>
      <c r="GF41" s="185"/>
      <c r="GG41" s="186"/>
      <c r="GH41" s="185"/>
      <c r="GI41" s="185"/>
      <c r="GJ41" s="185"/>
      <c r="GK41" s="185"/>
      <c r="GL41" s="185"/>
      <c r="GM41" s="185"/>
      <c r="GN41" s="185"/>
      <c r="GO41" s="185"/>
      <c r="GP41" s="186"/>
      <c r="GQ41" s="186"/>
      <c r="GR41" s="185"/>
      <c r="GS41" s="185"/>
      <c r="GT41" s="185"/>
      <c r="GU41" s="185"/>
      <c r="GV41" s="185"/>
      <c r="GW41" s="185"/>
      <c r="GX41" s="185"/>
      <c r="GY41" s="185"/>
      <c r="GZ41" s="185"/>
      <c r="HA41" s="185"/>
      <c r="HB41" s="185"/>
      <c r="HC41" s="185"/>
      <c r="HD41" s="185"/>
      <c r="HE41" s="186"/>
      <c r="HF41" s="185"/>
      <c r="HG41" s="185"/>
      <c r="HH41" s="185"/>
      <c r="HI41" s="185"/>
      <c r="HJ41" s="185"/>
      <c r="HK41" s="185"/>
      <c r="HL41" s="185"/>
      <c r="HM41" s="185"/>
      <c r="HN41" s="185"/>
      <c r="HO41" s="185"/>
      <c r="HP41" s="185"/>
      <c r="HQ41" s="186"/>
      <c r="HR41" s="185"/>
      <c r="HS41" s="185"/>
      <c r="HT41" s="185"/>
      <c r="HU41" s="185"/>
      <c r="HV41" s="186"/>
      <c r="HW41" s="185"/>
      <c r="HX41" s="186"/>
      <c r="HY41" s="185"/>
      <c r="HZ41" s="185"/>
      <c r="IA41" s="185"/>
    </row>
    <row r="42" s="134" customFormat="true" ht="15" hidden="false" customHeight="false" outlineLevel="0" collapsed="false">
      <c r="A42" s="27" t="s">
        <v>375</v>
      </c>
      <c r="B42" s="183" t="s">
        <v>376</v>
      </c>
      <c r="C42" s="134" t="str">
        <f aca="false">IF(OR(C25="&lt;empty&gt;",C27=0),"",C25/C27*1000)</f>
        <v/>
      </c>
      <c r="D42" s="134" t="str">
        <f aca="false">IF(OR(D25="&lt;empty&gt;",D27=0),"",D25/D27*1000)</f>
        <v/>
      </c>
      <c r="E42" s="134" t="str">
        <f aca="false">IF(OR(E25="&lt;empty&gt;",E27=0),"",E25/E27*1000)</f>
        <v/>
      </c>
      <c r="F42" s="134" t="str">
        <f aca="false">IF(OR(F25="&lt;empty&gt;",F27=0),"",F25/F27*1000)</f>
        <v/>
      </c>
      <c r="G42" s="134" t="str">
        <f aca="false">IF(OR(G25="&lt;empty&gt;",G27=0),"",G25/G27*1000)</f>
        <v/>
      </c>
      <c r="H42" s="134" t="str">
        <f aca="false">IF(OR(H25="&lt;empty&gt;",H27=0),"",H25/H27*1000)</f>
        <v/>
      </c>
      <c r="I42" s="134" t="str">
        <f aca="false">IF(OR(I25="&lt;empty&gt;",I27=0),"",I25/I27*1000)</f>
        <v/>
      </c>
      <c r="K42" s="134" t="str">
        <f aca="false">IF(OR(K25="&lt;empty&gt;",K27=0),"",K25/K27*1000)</f>
        <v/>
      </c>
      <c r="V42" s="134" t="str">
        <f aca="false">IF(OR(V25="&lt;empty&gt;",V27=0),"",V25/V27*1000)</f>
        <v/>
      </c>
      <c r="Y42" s="134" t="str">
        <f aca="false">IF(OR(Y25="&lt;empty&gt;",Y27=0),"",Y25/Y27*1000)</f>
        <v/>
      </c>
      <c r="Z42" s="134" t="str">
        <f aca="false">IF(OR(Z25="&lt;empty&gt;",Z27=0),"",Z25/Z27*1000)</f>
        <v/>
      </c>
      <c r="AA42" s="134" t="str">
        <f aca="false">IF(OR(AA25="&lt;empty&gt;",AA27=0),"",AA25/AA27*1000)</f>
        <v/>
      </c>
      <c r="AB42" s="134" t="str">
        <f aca="false">IF(OR(AB25="&lt;empty&gt;",AB27=0),"",AB25/AB27*1000)</f>
        <v/>
      </c>
      <c r="AC42" s="134" t="str">
        <f aca="false">IF(OR(AC25="&lt;empty&gt;",AC27=0),"",AC25/AC27*1000)</f>
        <v/>
      </c>
      <c r="AD42" s="134" t="str">
        <f aca="false">IF(OR(AD25="&lt;empty&gt;",AD27=0),"",AD25/AD27*1000)</f>
        <v/>
      </c>
      <c r="AE42" s="134" t="str">
        <f aca="false">IF(OR(AE25="&lt;empty&gt;",AE27=0),"",AE25/AE27*1000)</f>
        <v/>
      </c>
      <c r="AF42" s="134" t="n">
        <f aca="false">IF(OR(AF25="&lt;empty&gt;",AF27=0),"",AF25/AF27*1000)</f>
        <v>4.92610837438424</v>
      </c>
      <c r="AG42" s="134" t="n">
        <f aca="false">IF(OR(AG25="&lt;empty&gt;",AG27=0),"",AG25/AG27*1000)</f>
        <v>4.92610837438424</v>
      </c>
      <c r="AH42" s="134" t="n">
        <f aca="false">IF(OR(AH25="&lt;empty&gt;",AH27=0),"",AH25/AH27*1000)</f>
        <v>4.92610837438424</v>
      </c>
      <c r="AI42" s="134" t="n">
        <f aca="false">IF(OR(AI25="&lt;empty&gt;",AI27=0),"",AI25/AI27*1000)</f>
        <v>4.92610837438424</v>
      </c>
      <c r="AJ42" s="134" t="n">
        <f aca="false">IF(OR(AJ25="&lt;empty&gt;",AJ27=0),"",AJ25/AJ27*1000)</f>
        <v>4.92610837438424</v>
      </c>
      <c r="AL42" s="134" t="n">
        <f aca="false">IF(OR(AL25="&lt;empty&gt;",AL27=0),"",AL25/AL27*1000)</f>
        <v>1.57068062827225</v>
      </c>
      <c r="AM42" s="134" t="n">
        <f aca="false">IF(OR(AM25="&lt;empty&gt;",AM27=0),"",AM25/AM27*1000)</f>
        <v>1.57068062827225</v>
      </c>
      <c r="AN42" s="134" t="n">
        <f aca="false">IF(OR(AN25="&lt;empty&gt;",AN27=0),"",AN25/AN27*1000)</f>
        <v>1.20870265914585</v>
      </c>
      <c r="AO42" s="134" t="n">
        <f aca="false">IF(OR(AO25="&lt;empty&gt;",AO27=0),"",AO25/AO27*1000)</f>
        <v>1.11565637783563</v>
      </c>
      <c r="AP42" s="134" t="n">
        <f aca="false">IF(OR(AP25="&lt;empty&gt;",AP27=0),"",AP25/AP27*1000)</f>
        <v>1.37425561154375</v>
      </c>
      <c r="AQ42" s="134" t="str">
        <f aca="false">IF(OR(AQ25="&lt;empty&gt;",AQ27=0),"",AQ25/AQ27*1000)</f>
        <v/>
      </c>
      <c r="AR42" s="134" t="n">
        <f aca="false">IF(OR(AR25="&lt;empty&gt;",AR27=0),"",AR25/AR27*1000)</f>
        <v>1.23380629241209</v>
      </c>
      <c r="AS42" s="134" t="n">
        <f aca="false">IF(OR(AS25="&lt;empty&gt;",AS27=0),"",AS25/AS27*1000)</f>
        <v>1.22925629993854</v>
      </c>
      <c r="AT42" s="134" t="n">
        <f aca="false">IF(OR(AT25="&lt;empty&gt;",AT27=0),"",AT25/AT27*1000)</f>
        <v>0.772797527047914</v>
      </c>
      <c r="AV42" s="134" t="n">
        <f aca="false">IF(OR(AV25="&lt;empty&gt;",AV27=0),"",AV25/AV27*1000)</f>
        <v>1.10987791342952</v>
      </c>
      <c r="AW42" s="134" t="n">
        <f aca="false">IF(OR(AW25="&lt;empty&gt;",AW27=0),"",AW25/AW27*1000)</f>
        <v>1.10987791342952</v>
      </c>
      <c r="AX42" s="134" t="str">
        <f aca="false">IF(OR(AX25="&lt;empty&gt;",AX27=0),"",AX25/AX27*1000)</f>
        <v/>
      </c>
      <c r="AY42" s="134" t="n">
        <f aca="false">IF(OR(AY25="&lt;empty&gt;",AY27=0),"",AY25/AY27*1000)</f>
        <v>0.772797527047914</v>
      </c>
      <c r="AZ42" s="134" t="n">
        <f aca="false">IF(OR(AZ25="&lt;empty&gt;",AZ27=0),"",AZ25/AZ27*1000)</f>
        <v>0.774593338497289</v>
      </c>
      <c r="BA42" s="134" t="n">
        <f aca="false">IF(OR(BA25="&lt;empty&gt;",BA27=0),"",BA25/BA27*1000)</f>
        <v>0.844238075137189</v>
      </c>
      <c r="BB42" s="134" t="n">
        <f aca="false">IF(OR(BB25="&lt;empty&gt;",BB27=0),"",BB25/BB27*1000)</f>
        <v>0.938086303939963</v>
      </c>
      <c r="BC42" s="134" t="n">
        <f aca="false">IF(OR(BC25="&lt;empty&gt;",BC27=0),"",BC25/BC27*1000)</f>
        <v>0.56274620146314</v>
      </c>
      <c r="BD42" s="134" t="n">
        <f aca="false">IF(OR(BD25="&lt;empty&gt;",BD27=0),"",BD25/BD27*1000)</f>
        <v>0.707213578500707</v>
      </c>
      <c r="BE42" s="134" t="n">
        <f aca="false">IF(OR(BE25="&lt;empty&gt;",BE27=0),"",BE25/BE27*1000)</f>
        <v>0.72992700729927</v>
      </c>
      <c r="BF42" s="134" t="n">
        <f aca="false">IF(OR(BF25="&lt;empty&gt;",BF27=0),"",BF25/BF27*1000)</f>
        <v>0.53850296176629</v>
      </c>
      <c r="BG42" s="134" t="n">
        <f aca="false">IF(OR(BG25="&lt;empty&gt;",BG27=0),"",BG25/BG27*1000)</f>
        <v>0.521104742053153</v>
      </c>
      <c r="BH42" s="134" t="n">
        <f aca="false">IF(OR(BH25="&lt;empty&gt;",BH27=0),"",BH25/BH27*1000)</f>
        <v>0.429737859905458</v>
      </c>
      <c r="BI42" s="134" t="n">
        <f aca="false">IF(OR(BI25="&lt;empty&gt;",BI27=0),"",BI25/BI27*1000)</f>
        <v>0.123977188197372</v>
      </c>
      <c r="BJ42" s="134" t="n">
        <f aca="false">IF(OR(BJ25="&lt;empty&gt;",BJ27=0),"",BJ25/BJ27*1000)</f>
        <v>0.72992700729927</v>
      </c>
      <c r="BK42" s="134" t="n">
        <f aca="false">IF(OR(BK25="&lt;empty&gt;",BK27=0),"",BK25/BK27*1000)</f>
        <v>0.72992700729927</v>
      </c>
      <c r="BM42" s="134" t="n">
        <f aca="false">IF(OR(BM25="&lt;empty&gt;",BM27=0),"",BM25/BM27*1000)</f>
        <v>0.524658971668416</v>
      </c>
      <c r="BO42" s="134" t="str">
        <f aca="false">IF(OR(BO25="&lt;empty&gt;",BO27=0),"",BO25/BO27*1000)</f>
        <v/>
      </c>
      <c r="BP42" s="134" t="str">
        <f aca="false">IF(OR(BP25="&lt;empty&gt;",BP27=0),"",BP25/BP27*1000)</f>
        <v/>
      </c>
      <c r="BQ42" s="134" t="str">
        <f aca="false">IF(OR(BQ25="&lt;empty&gt;",BQ27=0),"",BQ25/BQ27*1000)</f>
        <v/>
      </c>
      <c r="BS42" s="134" t="str">
        <f aca="false">IF(OR(BS25="&lt;empty&gt;",BS27=0),"",BS25/BS27*1000)</f>
        <v/>
      </c>
      <c r="BT42" s="134" t="str">
        <f aca="false">IF(OR(BT25="&lt;empty&gt;",BT27=0),"",BT25/BT27*1000)</f>
        <v/>
      </c>
      <c r="BU42" s="134" t="n">
        <f aca="false">IF(OR(BU25="&lt;empty&gt;",BU27=0),"",BU25/BU27*1000)</f>
        <v>1.01729399796541</v>
      </c>
      <c r="BV42" s="134" t="n">
        <f aca="false">IF(OR(BV25="&lt;empty&gt;",BV27=0),"",BV25/BV27*1000)</f>
        <v>0.319335781574325</v>
      </c>
      <c r="BW42" s="134" t="str">
        <f aca="false">IF(OR(BW25="&lt;empty&gt;",BW27=0),"",BW25/BW27*1000)</f>
        <v/>
      </c>
      <c r="BX42" s="134" t="n">
        <f aca="false">IF(OR(BX25="&lt;empty&gt;",BX27=0),"",BX25/BX27*1000)</f>
        <v>0.407414952128743</v>
      </c>
      <c r="BY42" s="134" t="n">
        <f aca="false">IF(OR(BY25="&lt;empty&gt;",BY27=0),"",BY25/BY27*1000)</f>
        <v>0.274536719286205</v>
      </c>
      <c r="BZ42" s="134" t="n">
        <f aca="false">IF(OR(BZ25="&lt;empty&gt;",BZ27=0),"",BZ25/BZ27*1000)</f>
        <v>0.0992654357752631</v>
      </c>
      <c r="CA42" s="134" t="n">
        <f aca="false">IF(OR(CA25="&lt;empty&gt;",CA27=0),"",CA25/CA27*1000)</f>
        <v>0.0992654357752631</v>
      </c>
      <c r="CB42" s="134" t="n">
        <f aca="false">IF(OR(CB25="&lt;empty&gt;",CB27=0),"",CB25/CB27*1000)</f>
        <v>0.0992654357752631</v>
      </c>
      <c r="CC42" s="134" t="str">
        <f aca="false">IF(OR(CC25="&lt;empty&gt;",CC27=0),"",CC25/CC27*1000)</f>
        <v/>
      </c>
      <c r="CD42" s="134" t="str">
        <f aca="false">IF(OR(CD25="&lt;empty&gt;",CD27=0),"",CD25/CD27*1000)</f>
        <v/>
      </c>
      <c r="CE42" s="134" t="n">
        <f aca="false">IF(OR(CE25="&lt;empty&gt;",CE27=0),"",CE25/CE27*1000)</f>
        <v>0.074861506213505</v>
      </c>
      <c r="CF42" s="134" t="str">
        <f aca="false">IF(OR(CF25="&lt;empty&gt;",CF27=0),"",CF25/CF27*1000)</f>
        <v/>
      </c>
      <c r="CG42" s="134" t="str">
        <f aca="false">IF(OR(CG25="&lt;empty&gt;",CG27=0),"",CG25/CG27*1000)</f>
        <v/>
      </c>
      <c r="CH42" s="134" t="n">
        <f aca="false">IF(OR(CH25="&lt;empty&gt;",CH27=0),"",CH25/CH27*1000)</f>
        <v>0.204666393778142</v>
      </c>
      <c r="CI42" s="134" t="n">
        <f aca="false">IF(OR(CI25="&lt;empty&gt;",CI27=0),"",CI25/CI27*1000)</f>
        <v>0.231000231000231</v>
      </c>
      <c r="CJ42" s="134" t="n">
        <f aca="false">IF(OR(CJ25="&lt;empty&gt;",CJ27=0),"",CJ25/CJ27*1000)</f>
        <v>0.335795836131632</v>
      </c>
      <c r="CK42" s="134" t="n">
        <f aca="false">IF(OR(CK25="&lt;empty&gt;",CK27=0),"",CK25/CK27*1000)</f>
        <v>0.360750360750361</v>
      </c>
      <c r="CM42" s="134" t="str">
        <f aca="false">IF(OR(CM25="&lt;empty&gt;",CM27=0),"",CM25/CM27*1000)</f>
        <v/>
      </c>
      <c r="CN42" s="134" t="str">
        <f aca="false">IF(OR(CN25="&lt;empty&gt;",CN27=0),"",CN25/CN27*1000)</f>
        <v/>
      </c>
      <c r="CO42" s="134" t="str">
        <f aca="false">IF(OR(CO25="&lt;empty&gt;",CO27=0),"",CO25/CO27*1000)</f>
        <v/>
      </c>
      <c r="CP42" s="134" t="str">
        <f aca="false">IF(OR(CP25="&lt;empty&gt;",CP27=0),"",CP25/CP27*1000)</f>
        <v/>
      </c>
      <c r="CQ42" s="134" t="n">
        <f aca="false">IF(OR(CQ25="&lt;empty&gt;",CQ27=0),"",CQ25/CQ27*1000)</f>
        <v>0.360750360750361</v>
      </c>
      <c r="CR42" s="134" t="n">
        <f aca="false">IF(OR(CR25="&lt;empty&gt;",CR27=0),"",CR25/CR27*1000)</f>
        <v>0.360750360750361</v>
      </c>
      <c r="CS42" s="134" t="n">
        <f aca="false">IF(OR(CS25="&lt;empty&gt;",CS27=0),"",CS25/CS27*1000)</f>
        <v>1.10987791342952</v>
      </c>
      <c r="CT42" s="134" t="n">
        <f aca="false">IF(OR(CT25="&lt;empty&gt;",CT27=0),"",CT25/CT27*1000)</f>
        <v>1.10987791342952</v>
      </c>
      <c r="CV42" s="134" t="n">
        <f aca="false">IF(OR(CV25="&lt;empty&gt;",CV27=0),"",CV25/CV27*1000)</f>
        <v>1.10987791342952</v>
      </c>
      <c r="CW42" s="134" t="n">
        <f aca="false">IF(OR(CW25="&lt;empty&gt;",CW27=0),"",CW25/CW27*1000)</f>
        <v>1.10987791342952</v>
      </c>
      <c r="CX42" s="134" t="n">
        <f aca="false">IF(OR(CX25="&lt;empty&gt;",CX27=0),"",CX25/CX27*1000)</f>
        <v>1.10987791342952</v>
      </c>
      <c r="CY42" s="134" t="str">
        <f aca="false">IF(OR(CY25="&lt;empty&gt;",CY27=0),"",CY25/CY27*1000)</f>
        <v/>
      </c>
      <c r="CZ42" s="134" t="str">
        <f aca="false">IF(OR(CZ25="&lt;empty&gt;",CZ27=0),"",CZ25/CZ27*1000)</f>
        <v/>
      </c>
      <c r="DB42" s="134" t="n">
        <f aca="false">IF(OR(DB25="&lt;empty&gt;",DB27=0),"",DB25/DB27*1000)</f>
        <v>0.159616919393456</v>
      </c>
      <c r="DC42" s="134" t="str">
        <f aca="false">IF(OR(DC25="&lt;empty&gt;",DC27=0),"",DC25/DC27*1000)</f>
        <v/>
      </c>
      <c r="DD42" s="134" t="str">
        <f aca="false">IF(OR(DD25="&lt;empty&gt;",DD27=0),"",DD25/DD27*1000)</f>
        <v/>
      </c>
      <c r="DE42" s="134" t="str">
        <f aca="false">IF(OR(DE25="&lt;empty&gt;",DE27=0),"",DE25/DE27*1000)</f>
        <v/>
      </c>
      <c r="DF42" s="134" t="str">
        <f aca="false">IF(OR(DF25="&lt;empty&gt;",DF27=0),"",DF25/DF27*1000)</f>
        <v/>
      </c>
      <c r="DG42" s="134" t="str">
        <f aca="false">IF(OR(DG25="&lt;empty&gt;",DG27=0),"",DG25/DG27*1000)</f>
        <v/>
      </c>
      <c r="DH42" s="134" t="str">
        <f aca="false">IF(OR(DH25="&lt;empty&gt;",DH27=0),"",DH25/DH27*1000)</f>
        <v/>
      </c>
      <c r="DI42" s="134" t="str">
        <f aca="false">IF(OR(DI25="&lt;empty&gt;",DI27=0),"",DI25/DI27*1000)</f>
        <v/>
      </c>
      <c r="DJ42" s="134" t="str">
        <f aca="false">IF(OR(DJ25="&lt;empty&gt;",DJ27=0),"",DJ25/DJ27*1000)</f>
        <v/>
      </c>
      <c r="DL42" s="134" t="str">
        <f aca="false">IF(OR(DL25="&lt;empty&gt;",DL27=0),"",DL25/DL27*1000)</f>
        <v/>
      </c>
      <c r="DM42" s="134" t="str">
        <f aca="false">IF(OR(DM25="&lt;empty&gt;",DM27=0),"",DM25/DM27*1000)</f>
        <v/>
      </c>
      <c r="DN42" s="134" t="str">
        <f aca="false">IF(OR(DN25="&lt;empty&gt;",DN27=0),"",DN25/DN27*1000)</f>
        <v/>
      </c>
      <c r="DO42" s="134" t="str">
        <f aca="false">IF(OR(DO25="&lt;empty&gt;",DO27=0),"",DO25/DO27*1000)</f>
        <v/>
      </c>
      <c r="DP42" s="134" t="str">
        <f aca="false">IF(OR(DP25="&lt;empty&gt;",DP27=0),"",DP25/DP27*1000)</f>
        <v/>
      </c>
      <c r="DQ42" s="134" t="str">
        <f aca="false">IF(OR(DQ25="&lt;empty&gt;",DQ27=0),"",DQ25/DQ27*1000)</f>
        <v/>
      </c>
      <c r="DR42" s="134" t="n">
        <f aca="false">IF(OR(DR25="&lt;empty&gt;",DR27=0),"",DR25/DR27*1000)</f>
        <v>0.115834588208039</v>
      </c>
      <c r="DS42" s="134" t="str">
        <f aca="false">IF(OR(DS25="&lt;empty&gt;",DS27=0),"",DS25/DS27*1000)</f>
        <v/>
      </c>
      <c r="DT42" s="134" t="str">
        <f aca="false">IF(OR(DT25="&lt;empty&gt;",DT27=0),"",DT25/DT27*1000)</f>
        <v/>
      </c>
      <c r="DU42" s="134" t="str">
        <f aca="false">IF(OR(DU25="&lt;empty&gt;",DU27=0),"",DU25/DU27*1000)</f>
        <v/>
      </c>
      <c r="DV42" s="134" t="str">
        <f aca="false">IF(OR(DV25="&lt;empty&gt;",DV27=0),"",DV25/DV27*1000)</f>
        <v/>
      </c>
      <c r="DW42" s="134" t="str">
        <f aca="false">IF(OR(DW25="&lt;empty&gt;",DW27=0),"",DW25/DW27*1000)</f>
        <v/>
      </c>
      <c r="DX42" s="134" t="str">
        <f aca="false">IF(OR(DX25="&lt;empty&gt;",DX27=0),"",DX25/DX27*1000)</f>
        <v/>
      </c>
      <c r="DY42" s="134" t="str">
        <f aca="false">IF(OR(DY25="&lt;empty&gt;",DY27=0),"",DY25/DY27*1000)</f>
        <v/>
      </c>
      <c r="DZ42" s="134" t="n">
        <f aca="false">IF(OR(DZ25="&lt;empty&gt;",DZ27=0),"",DZ25/DZ27*1000)</f>
        <v>1.10987791342952</v>
      </c>
      <c r="EA42" s="134" t="n">
        <f aca="false">IF(OR(EA25="&lt;empty&gt;",EA27=0),"",EA25/EA27*1000)</f>
        <v>0.554938956714761</v>
      </c>
      <c r="EB42" s="134" t="n">
        <f aca="false">IF(OR(EB25="&lt;empty&gt;",EB27=0),"",EB25/EB27*1000)</f>
        <v>0.554938956714761</v>
      </c>
      <c r="EC42" s="134" t="str">
        <f aca="false">IF(OR(EC25="&lt;empty&gt;",EC27=0),"",EC25/EC27*1000)</f>
        <v/>
      </c>
      <c r="EE42" s="134" t="n">
        <f aca="false">IF(OR(EE25="&lt;empty&gt;",EE27=0),"",EE25/EE27*1000)</f>
        <v>1.10987791342952</v>
      </c>
      <c r="EF42" s="134" t="n">
        <f aca="false">IF(OR(EF25="&lt;empty&gt;",EF27=0),"",EF25/EF27*1000)</f>
        <v>1.10987791342952</v>
      </c>
      <c r="EG42" s="134" t="n">
        <f aca="false">IF(OR(EG25="&lt;empty&gt;",EG27=0),"",EG25/EG27*1000)</f>
        <v>1.10987791342952</v>
      </c>
      <c r="EH42" s="134" t="n">
        <f aca="false">IF(OR(EH25="&lt;empty&gt;",EH27=0),"",EH25/EH27*1000)</f>
        <v>4.92610837438424</v>
      </c>
      <c r="EI42" s="134" t="n">
        <f aca="false">IF(OR(EI25="&lt;empty&gt;",EI27=0),"",EI25/EI27*1000)</f>
        <v>4.92610837438424</v>
      </c>
      <c r="EJ42" s="134" t="n">
        <f aca="false">IF(OR(EJ25="&lt;empty&gt;",EJ27=0),"",EJ25/EJ27*1000)</f>
        <v>4.92610837438424</v>
      </c>
      <c r="EK42" s="134" t="n">
        <f aca="false">IF(OR(EK25="&lt;empty&gt;",EK27=0),"",EK25/EK27*1000)</f>
        <v>4.92610837438424</v>
      </c>
      <c r="EL42" s="134" t="n">
        <f aca="false">IF(OR(EL25="&lt;empty&gt;",EL27=0),"",EL25/EL27*1000)</f>
        <v>4.92610837438424</v>
      </c>
      <c r="EM42" s="134" t="n">
        <f aca="false">IF(OR(EM25="&lt;empty&gt;",EM27=0),"",EM25/EM27*1000)</f>
        <v>4.92610837438424</v>
      </c>
      <c r="EN42" s="134" t="n">
        <f aca="false">IF(OR(EN25="&lt;empty&gt;",EN27=0),"",EN25/EN27*1000)</f>
        <v>4.92610837438424</v>
      </c>
      <c r="EO42" s="134" t="n">
        <f aca="false">IF(OR(EO25="&lt;empty&gt;",EO27=0),"",EO25/EO27*1000)</f>
        <v>4.92610837438424</v>
      </c>
      <c r="EP42" s="134" t="n">
        <f aca="false">IF(OR(EP25="&lt;empty&gt;",EP27=0),"",EP25/EP27*1000)</f>
        <v>4.92610837438424</v>
      </c>
      <c r="ER42" s="134" t="n">
        <f aca="false">IF(OR(ER25="&lt;empty&gt;",ER27=0),"",ER25/ER27*1000)</f>
        <v>4.92610837438424</v>
      </c>
      <c r="ET42" s="134" t="n">
        <f aca="false">IF(OR(ET25="&lt;empty&gt;",ET27=0),"",ET25/ET27*1000)</f>
        <v>4.92610837438424</v>
      </c>
      <c r="EU42" s="134" t="n">
        <f aca="false">IF(OR(EU25="&lt;empty&gt;",EU27=0),"",EU25/EU27*1000)</f>
        <v>4.92610837438424</v>
      </c>
      <c r="EV42" s="134" t="n">
        <f aca="false">IF(OR(EV25="&lt;empty&gt;",EV27=0),"",EV25/EV27*1000)</f>
        <v>4.92610837438424</v>
      </c>
      <c r="EW42" s="134" t="str">
        <f aca="false">IF(OR(EW25="&lt;empty&gt;",EW27=0),"",EW25/EW27*1000)</f>
        <v/>
      </c>
      <c r="EX42" s="134" t="str">
        <f aca="false">IF(OR(EX25="&lt;empty&gt;",EX27=0),"",EX25/EX27*1000)</f>
        <v/>
      </c>
      <c r="EY42" s="134" t="str">
        <f aca="false">IF(OR(EY25="&lt;empty&gt;",EY27=0),"",EY25/EY27*1000)</f>
        <v/>
      </c>
      <c r="EZ42" s="134" t="str">
        <f aca="false">IF(OR(EZ25="&lt;empty&gt;",EZ27=0),"",EZ25/EZ27*1000)</f>
        <v/>
      </c>
      <c r="FA42" s="134" t="str">
        <f aca="false">IF(OR(FA25="&lt;empty&gt;",FA27=0),"",FA25/FA27*1000)</f>
        <v/>
      </c>
      <c r="FB42" s="134" t="n">
        <f aca="false">IF(OR(FB25="&lt;empty&gt;",FB27=0),"",FB25/FB27*1000)</f>
        <v>1.14810562571757</v>
      </c>
      <c r="FC42" s="134" t="n">
        <f aca="false">IF(OR(FC25="&lt;empty&gt;",FC27=0),"",FC25/FC27*1000)</f>
        <v>1.14810562571757</v>
      </c>
      <c r="FD42" s="134" t="n">
        <f aca="false">IF(OR(FD25="&lt;empty&gt;",FD27=0),"",FD25/FD27*1000)</f>
        <v>1.14810562571757</v>
      </c>
      <c r="FE42" s="134" t="str">
        <f aca="false">IF(OR(FE25="&lt;empty&gt;",FE27=0),"",FE25/FE27*1000)</f>
        <v/>
      </c>
      <c r="FF42" s="134" t="n">
        <f aca="false">IF(OR(FF25="&lt;empty&gt;",FF27=0),"",FF25/FF27*1000)</f>
        <v>4.23728813559322</v>
      </c>
      <c r="FG42" s="134" t="str">
        <f aca="false">IF(OR(FG25="&lt;empty&gt;",FG27=0),"",FG25/FG27*1000)</f>
        <v/>
      </c>
      <c r="FH42" s="134" t="n">
        <f aca="false">IF(OR(FH25="&lt;empty&gt;",FH27=0),"",FH25/FH27*1000)</f>
        <v>1.16414435389988</v>
      </c>
      <c r="FI42" s="134" t="n">
        <f aca="false">IF(OR(FI25="&lt;empty&gt;",FI27=0),"",FI25/FI27*1000)</f>
        <v>0.370233246945576</v>
      </c>
    </row>
    <row r="44" s="190" customFormat="true" ht="15" hidden="false" customHeight="false" outlineLevel="0" collapsed="false">
      <c r="A44" s="187" t="s">
        <v>377</v>
      </c>
      <c r="B44" s="188"/>
      <c r="C44" s="189" t="n">
        <v>0</v>
      </c>
      <c r="D44" s="189" t="n">
        <v>0</v>
      </c>
      <c r="E44" s="189" t="n">
        <v>0</v>
      </c>
      <c r="F44" s="189" t="n">
        <v>0</v>
      </c>
      <c r="G44" s="189" t="n">
        <v>0.005831</v>
      </c>
      <c r="H44" s="189" t="n">
        <v>0.005831</v>
      </c>
      <c r="I44" s="189" t="n">
        <v>0.00587</v>
      </c>
      <c r="J44" s="189" t="n">
        <v>0.005893</v>
      </c>
      <c r="K44" s="189" t="s">
        <v>378</v>
      </c>
      <c r="L44" s="189"/>
      <c r="M44" s="189"/>
      <c r="N44" s="189"/>
      <c r="O44" s="189"/>
      <c r="P44" s="189"/>
      <c r="Q44" s="189"/>
      <c r="R44" s="189"/>
      <c r="S44" s="189"/>
      <c r="T44" s="189"/>
      <c r="U44" s="189"/>
      <c r="V44" s="189" t="n">
        <v>0</v>
      </c>
      <c r="W44" s="189"/>
      <c r="X44" s="189"/>
      <c r="Y44" s="189" t="n">
        <v>0</v>
      </c>
      <c r="Z44" s="189" t="n">
        <v>0</v>
      </c>
      <c r="AA44" s="189" t="n">
        <v>0.013495</v>
      </c>
      <c r="AB44" s="189" t="n">
        <v>0.013495</v>
      </c>
      <c r="AC44" s="189" t="n">
        <v>0.00317</v>
      </c>
      <c r="AD44" s="189" t="n">
        <v>5.8E-005</v>
      </c>
      <c r="AE44" s="189" t="n">
        <v>8.1E-005</v>
      </c>
      <c r="AF44" s="189" t="n">
        <v>0.013495</v>
      </c>
      <c r="AG44" s="189" t="n">
        <v>0.006866</v>
      </c>
      <c r="AH44" s="189" t="s">
        <v>378</v>
      </c>
      <c r="AI44" s="189" t="n">
        <v>0</v>
      </c>
      <c r="AJ44" s="189" t="n">
        <v>0</v>
      </c>
      <c r="AK44" s="189" t="n">
        <v>0.007475</v>
      </c>
      <c r="AL44" s="189" t="n">
        <v>0.011101</v>
      </c>
      <c r="AM44" s="189" t="n">
        <v>0.010522</v>
      </c>
      <c r="AN44" s="189" t="n">
        <v>0.007475</v>
      </c>
      <c r="AO44" s="189" t="n">
        <v>0.000514</v>
      </c>
      <c r="AP44" s="189" t="s">
        <v>378</v>
      </c>
      <c r="AQ44" s="189" t="s">
        <v>378</v>
      </c>
      <c r="AR44" s="189" t="s">
        <v>378</v>
      </c>
      <c r="AS44" s="189" t="s">
        <v>378</v>
      </c>
      <c r="AT44" s="189" t="s">
        <v>378</v>
      </c>
      <c r="AU44" s="189" t="s">
        <v>378</v>
      </c>
      <c r="AV44" s="189" t="s">
        <v>378</v>
      </c>
      <c r="AW44" s="189" t="s">
        <v>378</v>
      </c>
      <c r="AX44" s="189" t="n">
        <v>0.005907</v>
      </c>
      <c r="AY44" s="189" t="s">
        <v>378</v>
      </c>
      <c r="AZ44" s="189" t="s">
        <v>378</v>
      </c>
      <c r="BA44" s="189" t="n">
        <v>0</v>
      </c>
      <c r="BB44" s="189" t="n">
        <v>0</v>
      </c>
      <c r="BC44" s="189" t="n">
        <v>0</v>
      </c>
      <c r="BD44" s="189" t="n">
        <v>0</v>
      </c>
      <c r="BE44" s="189" t="n">
        <v>0</v>
      </c>
      <c r="BF44" s="189" t="n">
        <v>0</v>
      </c>
      <c r="BG44" s="189" t="s">
        <v>378</v>
      </c>
      <c r="BH44" s="189" t="s">
        <v>378</v>
      </c>
      <c r="BI44" s="189" t="s">
        <v>378</v>
      </c>
      <c r="BJ44" s="189" t="s">
        <v>378</v>
      </c>
      <c r="BK44" s="189" t="s">
        <v>378</v>
      </c>
      <c r="BL44" s="189" t="s">
        <v>378</v>
      </c>
      <c r="BM44" s="189" t="s">
        <v>378</v>
      </c>
      <c r="BN44" s="189" t="s">
        <v>378</v>
      </c>
      <c r="BO44" s="189" t="s">
        <v>378</v>
      </c>
      <c r="BP44" s="189" t="s">
        <v>378</v>
      </c>
      <c r="BQ44" s="189" t="s">
        <v>378</v>
      </c>
      <c r="BR44" s="189" t="s">
        <v>378</v>
      </c>
      <c r="BS44" s="189" t="s">
        <v>378</v>
      </c>
      <c r="BT44" s="189" t="n">
        <v>0.002758</v>
      </c>
      <c r="BU44" s="189" t="n">
        <v>0.000243</v>
      </c>
      <c r="BV44" s="189" t="n">
        <v>6.9E-005</v>
      </c>
      <c r="BW44" s="189" t="n">
        <v>0</v>
      </c>
      <c r="BX44" s="189" t="s">
        <v>378</v>
      </c>
      <c r="BY44" s="189" t="s">
        <v>378</v>
      </c>
      <c r="BZ44" s="189" t="n">
        <v>0.002864</v>
      </c>
      <c r="CA44" s="189" t="s">
        <v>378</v>
      </c>
      <c r="CB44" s="189" t="s">
        <v>378</v>
      </c>
      <c r="CC44" s="189" t="s">
        <v>378</v>
      </c>
      <c r="CD44" s="189" t="s">
        <v>378</v>
      </c>
      <c r="CE44" s="189" t="s">
        <v>378</v>
      </c>
      <c r="CF44" s="189" t="s">
        <v>378</v>
      </c>
      <c r="CG44" s="189" t="s">
        <v>378</v>
      </c>
      <c r="CH44" s="189" t="s">
        <v>378</v>
      </c>
      <c r="CI44" s="189" t="s">
        <v>378</v>
      </c>
      <c r="CJ44" s="189" t="s">
        <v>378</v>
      </c>
      <c r="CK44" s="189" t="n">
        <v>0</v>
      </c>
      <c r="CL44" s="189" t="n">
        <v>0</v>
      </c>
      <c r="CM44" s="189" t="n">
        <v>0</v>
      </c>
      <c r="CN44" s="189" t="n">
        <v>0</v>
      </c>
      <c r="CO44" s="189" t="n">
        <v>0</v>
      </c>
      <c r="CP44" s="189" t="n">
        <v>0</v>
      </c>
      <c r="CQ44" s="189" t="n">
        <v>0</v>
      </c>
      <c r="CR44" s="189" t="n">
        <v>0</v>
      </c>
      <c r="CS44" s="189" t="n">
        <v>0</v>
      </c>
      <c r="CT44" s="189" t="n">
        <v>0</v>
      </c>
      <c r="CU44" s="189" t="n">
        <v>0.003651</v>
      </c>
      <c r="CV44" s="189" t="s">
        <v>378</v>
      </c>
      <c r="CW44" s="189" t="s">
        <v>378</v>
      </c>
      <c r="CX44" s="189" t="s">
        <v>378</v>
      </c>
      <c r="CY44" s="189" t="s">
        <v>378</v>
      </c>
      <c r="CZ44" s="189" t="n">
        <v>0</v>
      </c>
      <c r="DA44" s="189" t="s">
        <v>378</v>
      </c>
      <c r="DB44" s="189" t="n">
        <v>0</v>
      </c>
      <c r="DC44" s="189" t="n">
        <v>0</v>
      </c>
      <c r="DD44" s="189" t="n">
        <v>8.1E-005</v>
      </c>
      <c r="DE44" s="189" t="n">
        <v>0.006746</v>
      </c>
      <c r="DF44" s="189" t="n">
        <v>0.010141</v>
      </c>
      <c r="DG44" s="189" t="n">
        <v>0.010002</v>
      </c>
      <c r="DH44" s="189" t="n">
        <v>0.010011</v>
      </c>
      <c r="DI44" s="189" t="s">
        <v>378</v>
      </c>
      <c r="DJ44" s="189" t="s">
        <v>378</v>
      </c>
      <c r="DK44" s="189" t="s">
        <v>378</v>
      </c>
      <c r="DL44" s="189" t="s">
        <v>378</v>
      </c>
      <c r="DM44" s="189" t="s">
        <v>378</v>
      </c>
      <c r="DN44" s="189" t="s">
        <v>378</v>
      </c>
      <c r="DO44" s="189" t="s">
        <v>378</v>
      </c>
      <c r="DP44" s="189" t="n">
        <v>0.007475</v>
      </c>
      <c r="DQ44" s="189" t="n">
        <v>0.006942</v>
      </c>
      <c r="DR44" s="189" t="n">
        <v>0.010645</v>
      </c>
      <c r="DS44" s="189" t="n">
        <v>0.004971</v>
      </c>
      <c r="DT44" s="189" t="n">
        <v>0.005835</v>
      </c>
      <c r="DU44" s="189" t="s">
        <v>378</v>
      </c>
      <c r="DV44" s="189" t="s">
        <v>378</v>
      </c>
      <c r="DW44" s="189" t="s">
        <v>378</v>
      </c>
      <c r="DX44" s="189" t="s">
        <v>378</v>
      </c>
      <c r="DY44" s="189" t="s">
        <v>378</v>
      </c>
      <c r="DZ44" s="189" t="s">
        <v>378</v>
      </c>
      <c r="EA44" s="189" t="n">
        <v>0</v>
      </c>
      <c r="EB44" s="189" t="n">
        <v>0</v>
      </c>
      <c r="EC44" s="189" t="n">
        <v>0.003067</v>
      </c>
      <c r="ED44" s="189" t="n">
        <v>0</v>
      </c>
      <c r="EE44" s="189" t="s">
        <v>378</v>
      </c>
      <c r="EF44" s="189" t="s">
        <v>378</v>
      </c>
      <c r="EG44" s="189" t="s">
        <v>378</v>
      </c>
      <c r="EH44" s="189" t="s">
        <v>378</v>
      </c>
      <c r="EI44" s="189" t="s">
        <v>378</v>
      </c>
      <c r="EJ44" s="189" t="s">
        <v>378</v>
      </c>
      <c r="EK44" s="189" t="s">
        <v>378</v>
      </c>
      <c r="EL44" s="189" t="s">
        <v>378</v>
      </c>
      <c r="EM44" s="189" t="s">
        <v>378</v>
      </c>
      <c r="EN44" s="189" t="s">
        <v>378</v>
      </c>
      <c r="EO44" s="189" t="s">
        <v>378</v>
      </c>
      <c r="EP44" s="189" t="s">
        <v>378</v>
      </c>
      <c r="EQ44" s="189" t="s">
        <v>378</v>
      </c>
      <c r="ER44" s="189" t="n">
        <v>6.9E-005</v>
      </c>
      <c r="ES44" s="189" t="n">
        <v>6.9E-005</v>
      </c>
      <c r="ET44" s="189" t="n">
        <v>0</v>
      </c>
      <c r="EU44" s="189" t="n">
        <v>0</v>
      </c>
      <c r="EV44" s="189" t="n">
        <v>0</v>
      </c>
      <c r="EW44" s="189" t="n">
        <v>0</v>
      </c>
      <c r="EX44" s="189" t="s">
        <v>378</v>
      </c>
      <c r="EY44" s="189" t="s">
        <v>378</v>
      </c>
      <c r="EZ44" s="189" t="s">
        <v>378</v>
      </c>
      <c r="FA44" s="189" t="s">
        <v>378</v>
      </c>
      <c r="FB44" s="189" t="s">
        <v>378</v>
      </c>
      <c r="FC44" s="189" t="s">
        <v>378</v>
      </c>
      <c r="FD44" s="189" t="s">
        <v>378</v>
      </c>
      <c r="FE44" s="189" t="n">
        <v>0.010546</v>
      </c>
      <c r="FF44" s="189" t="s">
        <v>378</v>
      </c>
      <c r="FG44" s="189" t="n">
        <v>6E-005</v>
      </c>
      <c r="FH44" s="189" t="n">
        <v>8.1E-005</v>
      </c>
      <c r="FI44" s="189" t="s">
        <v>378</v>
      </c>
      <c r="FJ44" s="189"/>
      <c r="FK44" s="189"/>
      <c r="FL44" s="189"/>
      <c r="FM44" s="189"/>
      <c r="FN44" s="189"/>
      <c r="FO44" s="189"/>
      <c r="FP44" s="189"/>
      <c r="FQ44" s="189"/>
      <c r="FR44" s="189"/>
      <c r="FS44" s="189"/>
      <c r="FT44" s="189"/>
      <c r="FU44" s="189"/>
      <c r="FV44" s="189"/>
      <c r="FW44" s="189"/>
      <c r="FX44" s="189"/>
    </row>
    <row r="45" s="190" customFormat="true" ht="15" hidden="false" customHeight="false" outlineLevel="0" collapsed="false">
      <c r="A45" s="187" t="s">
        <v>379</v>
      </c>
      <c r="B45" s="191" t="s">
        <v>166</v>
      </c>
      <c r="C45" s="189" t="s">
        <v>378</v>
      </c>
      <c r="D45" s="189" t="n">
        <v>0</v>
      </c>
      <c r="E45" s="189" t="n">
        <v>0</v>
      </c>
      <c r="F45" s="189" t="n">
        <v>0</v>
      </c>
      <c r="G45" s="189" t="n">
        <v>0</v>
      </c>
      <c r="H45" s="189" t="n">
        <v>10.360087</v>
      </c>
      <c r="I45" s="189" t="n">
        <v>13.010252</v>
      </c>
      <c r="J45" s="189" t="s">
        <v>378</v>
      </c>
      <c r="K45" s="189" t="n">
        <v>17.339816</v>
      </c>
      <c r="L45" s="189"/>
      <c r="M45" s="189"/>
      <c r="N45" s="189"/>
      <c r="O45" s="189"/>
      <c r="P45" s="189"/>
      <c r="Q45" s="189"/>
      <c r="R45" s="189"/>
      <c r="S45" s="189"/>
      <c r="T45" s="189"/>
      <c r="U45" s="189"/>
      <c r="V45" s="189" t="n">
        <v>0</v>
      </c>
      <c r="W45" s="189"/>
      <c r="X45" s="189"/>
      <c r="Y45" s="189" t="n">
        <v>0</v>
      </c>
      <c r="Z45" s="189" t="s">
        <v>378</v>
      </c>
      <c r="AA45" s="189" t="n">
        <v>8.293006</v>
      </c>
      <c r="AB45" s="189" t="n">
        <v>0</v>
      </c>
      <c r="AC45" s="189" t="n">
        <v>0.116251</v>
      </c>
      <c r="AD45" s="189" t="n">
        <v>0.010311</v>
      </c>
      <c r="AE45" s="189" t="n">
        <v>0.135349</v>
      </c>
      <c r="AF45" s="189" t="n">
        <v>8.293006</v>
      </c>
      <c r="AG45" s="189" t="n">
        <v>6.8577</v>
      </c>
      <c r="AH45" s="189" t="n">
        <v>0.000178</v>
      </c>
      <c r="AI45" s="189" t="n">
        <v>5.4E-005</v>
      </c>
      <c r="AJ45" s="189" t="n">
        <v>2.3E-005</v>
      </c>
      <c r="AK45" s="189" t="n">
        <v>1.449414</v>
      </c>
      <c r="AL45" s="189" t="n">
        <v>0.974607</v>
      </c>
      <c r="AM45" s="189" t="s">
        <v>378</v>
      </c>
      <c r="AN45" s="189" t="n">
        <v>1.449414</v>
      </c>
      <c r="AO45" s="189" t="n">
        <v>0.000557</v>
      </c>
      <c r="AP45" s="189" t="n">
        <v>0.000171</v>
      </c>
      <c r="AQ45" s="189" t="n">
        <v>3.617951</v>
      </c>
      <c r="AR45" s="189" t="n">
        <v>3.617951</v>
      </c>
      <c r="AS45" s="189" t="n">
        <v>3.617951</v>
      </c>
      <c r="AT45" s="189" t="n">
        <v>3.617951</v>
      </c>
      <c r="AU45" s="189" t="n">
        <v>0.363173</v>
      </c>
      <c r="AV45" s="189" t="n">
        <v>0.363293</v>
      </c>
      <c r="AW45" s="189" t="n">
        <v>3.254778</v>
      </c>
      <c r="AX45" s="189" t="n">
        <v>16.33575</v>
      </c>
      <c r="AY45" s="189" t="n">
        <v>0.008385</v>
      </c>
      <c r="AZ45" s="189" t="n">
        <v>0.008385</v>
      </c>
      <c r="BA45" s="189" t="s">
        <v>378</v>
      </c>
      <c r="BB45" s="189" t="s">
        <v>378</v>
      </c>
      <c r="BC45" s="189" t="s">
        <v>378</v>
      </c>
      <c r="BD45" s="189" t="s">
        <v>378</v>
      </c>
      <c r="BE45" s="189" t="s">
        <v>378</v>
      </c>
      <c r="BF45" s="189" t="s">
        <v>378</v>
      </c>
      <c r="BG45" s="189" t="n">
        <v>1.4E-005</v>
      </c>
      <c r="BH45" s="189" t="n">
        <v>1.4E-005</v>
      </c>
      <c r="BI45" s="189" t="n">
        <v>4E-006</v>
      </c>
      <c r="BJ45" s="189" t="n">
        <v>4E-006</v>
      </c>
      <c r="BK45" s="189" t="n">
        <v>0.003383</v>
      </c>
      <c r="BL45" s="189" t="n">
        <v>0.003383</v>
      </c>
      <c r="BM45" s="189" t="n">
        <v>0.003383</v>
      </c>
      <c r="BN45" s="189" t="n">
        <v>0.000702</v>
      </c>
      <c r="BO45" s="189" t="n">
        <v>0.000703</v>
      </c>
      <c r="BP45" s="189" t="n">
        <v>0.000703</v>
      </c>
      <c r="BQ45" s="189" t="n">
        <v>0.000491</v>
      </c>
      <c r="BR45" s="189" t="n">
        <v>0.000491</v>
      </c>
      <c r="BS45" s="189" t="n">
        <v>0.000491</v>
      </c>
      <c r="BT45" s="189" t="n">
        <v>9E-006</v>
      </c>
      <c r="BU45" s="189" t="n">
        <v>0.192044</v>
      </c>
      <c r="BV45" s="189" t="n">
        <v>0.071707</v>
      </c>
      <c r="BW45" s="189" t="s">
        <v>378</v>
      </c>
      <c r="BX45" s="189" t="n">
        <v>1E-006</v>
      </c>
      <c r="BY45" s="189" t="n">
        <v>1E-006</v>
      </c>
      <c r="BZ45" s="189" t="s">
        <v>378</v>
      </c>
      <c r="CA45" s="189" t="n">
        <v>0</v>
      </c>
      <c r="CB45" s="189" t="n">
        <v>0</v>
      </c>
      <c r="CC45" s="189" t="s">
        <v>378</v>
      </c>
      <c r="CD45" s="189" t="s">
        <v>378</v>
      </c>
      <c r="CE45" s="189" t="s">
        <v>378</v>
      </c>
      <c r="CF45" s="189" t="s">
        <v>378</v>
      </c>
      <c r="CG45" s="189" t="s">
        <v>378</v>
      </c>
      <c r="CH45" s="189" t="s">
        <v>378</v>
      </c>
      <c r="CI45" s="189" t="s">
        <v>378</v>
      </c>
      <c r="CJ45" s="189" t="s">
        <v>378</v>
      </c>
      <c r="CK45" s="189" t="s">
        <v>378</v>
      </c>
      <c r="CL45" s="189" t="s">
        <v>378</v>
      </c>
      <c r="CM45" s="189" t="s">
        <v>378</v>
      </c>
      <c r="CN45" s="189" t="s">
        <v>378</v>
      </c>
      <c r="CO45" s="189" t="n">
        <v>1E-006</v>
      </c>
      <c r="CP45" s="189" t="n">
        <v>0.000253</v>
      </c>
      <c r="CQ45" s="189" t="n">
        <v>0.000239</v>
      </c>
      <c r="CR45" s="189" t="n">
        <v>0.000111</v>
      </c>
      <c r="CS45" s="189" t="n">
        <v>7.7E-005</v>
      </c>
      <c r="CT45" s="189" t="s">
        <v>378</v>
      </c>
      <c r="CU45" s="189" t="s">
        <v>378</v>
      </c>
      <c r="CV45" s="189" t="s">
        <v>378</v>
      </c>
      <c r="CW45" s="189" t="s">
        <v>378</v>
      </c>
      <c r="CX45" s="189" t="s">
        <v>378</v>
      </c>
      <c r="CY45" s="189" t="s">
        <v>378</v>
      </c>
      <c r="CZ45" s="189" t="s">
        <v>378</v>
      </c>
      <c r="DA45" s="189" t="s">
        <v>378</v>
      </c>
      <c r="DB45" s="189" t="s">
        <v>378</v>
      </c>
      <c r="DC45" s="189" t="s">
        <v>378</v>
      </c>
      <c r="DD45" s="189" t="n">
        <v>0</v>
      </c>
      <c r="DE45" s="189" t="n">
        <v>6.303413</v>
      </c>
      <c r="DF45" s="189" t="n">
        <v>10.98845</v>
      </c>
      <c r="DG45" s="189" t="n">
        <v>11.016744</v>
      </c>
      <c r="DH45" s="189" t="n">
        <v>9.818254</v>
      </c>
      <c r="DI45" s="189" t="n">
        <v>0</v>
      </c>
      <c r="DJ45" s="189" t="n">
        <v>0</v>
      </c>
      <c r="DK45" s="189" t="n">
        <v>0</v>
      </c>
      <c r="DL45" s="189" t="n">
        <v>0</v>
      </c>
      <c r="DM45" s="189" t="n">
        <v>0</v>
      </c>
      <c r="DN45" s="189" t="n">
        <v>0</v>
      </c>
      <c r="DO45" s="189" t="n">
        <v>0</v>
      </c>
      <c r="DP45" s="189" t="n">
        <v>0</v>
      </c>
      <c r="DQ45" s="189" t="s">
        <v>378</v>
      </c>
      <c r="DR45" s="189" t="n">
        <v>0.957301</v>
      </c>
      <c r="DS45" s="189" t="n">
        <v>6.911247</v>
      </c>
      <c r="DT45" s="189" t="n">
        <v>15.401014</v>
      </c>
      <c r="DU45" s="189" t="n">
        <v>0</v>
      </c>
      <c r="DV45" s="189" t="n">
        <v>0</v>
      </c>
      <c r="DW45" s="189" t="n">
        <v>0</v>
      </c>
      <c r="DX45" s="189" t="n">
        <v>0</v>
      </c>
      <c r="DY45" s="189" t="n">
        <v>0</v>
      </c>
      <c r="DZ45" s="189" t="n">
        <v>0</v>
      </c>
      <c r="EA45" s="189" t="n">
        <v>0</v>
      </c>
      <c r="EB45" s="189" t="s">
        <v>378</v>
      </c>
      <c r="EC45" s="189" t="n">
        <v>2.213913</v>
      </c>
      <c r="ED45" s="189" t="s">
        <v>378</v>
      </c>
      <c r="EE45" s="189" t="n">
        <v>0.000132</v>
      </c>
      <c r="EF45" s="189" t="n">
        <v>0.000132</v>
      </c>
      <c r="EG45" s="189" t="n">
        <v>3.9E-005</v>
      </c>
      <c r="EH45" s="189" t="n">
        <v>3.9E-005</v>
      </c>
      <c r="EI45" s="189" t="n">
        <v>0.000171</v>
      </c>
      <c r="EJ45" s="189" t="n">
        <v>0</v>
      </c>
      <c r="EK45" s="189" t="n">
        <v>0</v>
      </c>
      <c r="EL45" s="189" t="n">
        <v>0</v>
      </c>
      <c r="EM45" s="189" t="n">
        <v>0</v>
      </c>
      <c r="EN45" s="189" t="n">
        <v>0</v>
      </c>
      <c r="EO45" s="189" t="n">
        <v>0.000682</v>
      </c>
      <c r="EP45" s="189" t="n">
        <v>0.000682</v>
      </c>
      <c r="EQ45" s="189" t="n">
        <v>0</v>
      </c>
      <c r="ER45" s="189" t="s">
        <v>378</v>
      </c>
      <c r="ES45" s="189" t="n">
        <v>0.049024</v>
      </c>
      <c r="ET45" s="189" t="s">
        <v>378</v>
      </c>
      <c r="EU45" s="189" t="s">
        <v>378</v>
      </c>
      <c r="EV45" s="189" t="s">
        <v>378</v>
      </c>
      <c r="EW45" s="189" t="s">
        <v>378</v>
      </c>
      <c r="EX45" s="189" t="n">
        <v>0.049024</v>
      </c>
      <c r="EY45" s="189" t="s">
        <v>378</v>
      </c>
      <c r="EZ45" s="189" t="s">
        <v>378</v>
      </c>
      <c r="FA45" s="189" t="s">
        <v>378</v>
      </c>
      <c r="FB45" s="189" t="s">
        <v>378</v>
      </c>
      <c r="FC45" s="189" t="s">
        <v>378</v>
      </c>
      <c r="FD45" s="189" t="s">
        <v>378</v>
      </c>
      <c r="FE45" s="189" t="n">
        <v>0.029568</v>
      </c>
      <c r="FF45" s="189" t="n">
        <v>5.006026</v>
      </c>
      <c r="FG45" s="189" t="n">
        <v>0</v>
      </c>
      <c r="FH45" s="189" t="n">
        <v>0</v>
      </c>
      <c r="FI45" s="189" t="s">
        <v>378</v>
      </c>
      <c r="FJ45" s="189"/>
      <c r="FK45" s="189"/>
      <c r="FL45" s="189"/>
      <c r="FM45" s="189"/>
      <c r="FN45" s="189"/>
      <c r="FO45" s="189"/>
      <c r="FP45" s="189"/>
      <c r="FQ45" s="189"/>
      <c r="FR45" s="189"/>
      <c r="FS45" s="189"/>
      <c r="FT45" s="189"/>
      <c r="FU45" s="189"/>
      <c r="FV45" s="189"/>
      <c r="FW45" s="189"/>
      <c r="FX45" s="189"/>
    </row>
    <row r="46" s="190" customFormat="true" ht="15" hidden="false" customHeight="false" outlineLevel="0" collapsed="false">
      <c r="A46" s="187"/>
      <c r="B46" s="188"/>
      <c r="C46" s="189"/>
      <c r="D46" s="189"/>
      <c r="E46" s="189"/>
      <c r="F46" s="189"/>
      <c r="G46" s="189"/>
      <c r="H46" s="189"/>
      <c r="I46" s="189"/>
      <c r="J46" s="189"/>
      <c r="K46" s="189"/>
      <c r="L46" s="189"/>
      <c r="M46" s="189"/>
      <c r="N46" s="189"/>
      <c r="O46" s="189"/>
      <c r="P46" s="189"/>
      <c r="Q46" s="189"/>
      <c r="R46" s="189"/>
      <c r="S46" s="189"/>
      <c r="T46" s="189"/>
      <c r="U46" s="189"/>
      <c r="V46" s="189"/>
      <c r="W46" s="189"/>
      <c r="X46" s="189"/>
      <c r="Y46" s="189"/>
      <c r="Z46" s="189"/>
      <c r="AA46" s="189"/>
      <c r="AB46" s="189"/>
      <c r="AC46" s="189"/>
      <c r="AD46" s="189"/>
      <c r="AE46" s="189"/>
      <c r="AF46" s="189"/>
      <c r="AG46" s="189"/>
      <c r="AH46" s="189"/>
      <c r="AI46" s="189"/>
      <c r="AJ46" s="189"/>
      <c r="AK46" s="189"/>
      <c r="AL46" s="189"/>
      <c r="AM46" s="189"/>
      <c r="AN46" s="189"/>
      <c r="AO46" s="189"/>
      <c r="AP46" s="189"/>
      <c r="AQ46" s="189"/>
      <c r="AR46" s="189"/>
      <c r="AS46" s="189"/>
      <c r="AT46" s="189"/>
      <c r="AU46" s="189"/>
      <c r="AV46" s="189"/>
      <c r="AW46" s="189"/>
      <c r="AX46" s="189"/>
      <c r="AY46" s="189"/>
      <c r="AZ46" s="189"/>
      <c r="BA46" s="189"/>
      <c r="BB46" s="189"/>
      <c r="BC46" s="189"/>
      <c r="BD46" s="189"/>
      <c r="BE46" s="189"/>
      <c r="BF46" s="189"/>
      <c r="BG46" s="189"/>
      <c r="BH46" s="189"/>
      <c r="BI46" s="189"/>
      <c r="BJ46" s="189"/>
      <c r="BK46" s="189"/>
      <c r="BL46" s="189"/>
      <c r="BM46" s="189"/>
      <c r="BN46" s="189"/>
      <c r="BO46" s="189"/>
      <c r="BP46" s="189"/>
      <c r="BQ46" s="189"/>
      <c r="BR46" s="189"/>
      <c r="BS46" s="189"/>
      <c r="BT46" s="189"/>
      <c r="BU46" s="189"/>
      <c r="BV46" s="189"/>
      <c r="BW46" s="189"/>
      <c r="BX46" s="189"/>
      <c r="BY46" s="189"/>
      <c r="BZ46" s="189"/>
      <c r="CA46" s="189"/>
      <c r="CB46" s="189"/>
      <c r="CC46" s="189"/>
      <c r="CD46" s="189"/>
      <c r="CE46" s="189"/>
      <c r="CF46" s="189"/>
      <c r="CG46" s="189"/>
      <c r="CH46" s="189"/>
      <c r="CI46" s="189"/>
      <c r="CJ46" s="189"/>
      <c r="CK46" s="189"/>
      <c r="CL46" s="189"/>
      <c r="CM46" s="189"/>
      <c r="CN46" s="189"/>
      <c r="CO46" s="189"/>
      <c r="CP46" s="189"/>
      <c r="CQ46" s="189"/>
      <c r="CR46" s="189"/>
      <c r="CS46" s="189"/>
      <c r="CT46" s="189"/>
      <c r="CU46" s="189"/>
      <c r="CV46" s="189"/>
      <c r="CW46" s="189"/>
      <c r="CX46" s="189"/>
      <c r="CY46" s="189"/>
      <c r="CZ46" s="189"/>
      <c r="DA46" s="189"/>
      <c r="DB46" s="189"/>
      <c r="DC46" s="189"/>
      <c r="DD46" s="189"/>
      <c r="DE46" s="189"/>
      <c r="DF46" s="189"/>
      <c r="DG46" s="189"/>
      <c r="DH46" s="189"/>
      <c r="DI46" s="189"/>
      <c r="DJ46" s="189"/>
      <c r="DK46" s="189"/>
      <c r="DL46" s="189"/>
      <c r="DM46" s="189"/>
      <c r="DN46" s="189"/>
      <c r="DO46" s="189"/>
      <c r="DP46" s="189"/>
      <c r="DQ46" s="189"/>
      <c r="DR46" s="189"/>
      <c r="DS46" s="189"/>
      <c r="DT46" s="189"/>
      <c r="DU46" s="189"/>
      <c r="DV46" s="189"/>
      <c r="DW46" s="189"/>
      <c r="DX46" s="189"/>
      <c r="DY46" s="189"/>
      <c r="DZ46" s="189"/>
      <c r="EA46" s="189"/>
      <c r="EB46" s="189"/>
      <c r="EC46" s="189"/>
      <c r="ED46" s="189"/>
      <c r="EE46" s="189"/>
      <c r="EF46" s="189"/>
      <c r="EG46" s="189"/>
      <c r="EH46" s="189"/>
      <c r="EI46" s="189"/>
      <c r="EJ46" s="189"/>
      <c r="EK46" s="189"/>
      <c r="EL46" s="189"/>
      <c r="EM46" s="189"/>
      <c r="EN46" s="189"/>
      <c r="EO46" s="189"/>
      <c r="EP46" s="189"/>
      <c r="EQ46" s="189"/>
      <c r="ER46" s="189"/>
      <c r="ES46" s="189"/>
      <c r="ET46" s="189"/>
      <c r="EU46" s="189"/>
      <c r="EV46" s="189"/>
      <c r="EW46" s="189"/>
      <c r="EX46" s="189"/>
      <c r="EY46" s="189"/>
      <c r="EZ46" s="189"/>
      <c r="FA46" s="189"/>
      <c r="FB46" s="189"/>
      <c r="FC46" s="189"/>
      <c r="FD46" s="189"/>
      <c r="FE46" s="189"/>
      <c r="FF46" s="189"/>
      <c r="FG46" s="189"/>
      <c r="FH46" s="189"/>
      <c r="FI46" s="189"/>
      <c r="FJ46" s="189"/>
      <c r="FK46" s="189"/>
      <c r="FL46" s="189"/>
      <c r="FM46" s="189"/>
      <c r="FN46" s="189"/>
      <c r="FO46" s="189"/>
      <c r="FP46" s="189"/>
      <c r="FQ46" s="189"/>
      <c r="FR46" s="189"/>
      <c r="FS46" s="189"/>
      <c r="FT46" s="189"/>
      <c r="FU46" s="189"/>
      <c r="FV46" s="189"/>
      <c r="FW46" s="189"/>
      <c r="FX46" s="189"/>
    </row>
    <row r="47" s="192" customFormat="true" ht="15" hidden="false" customHeight="false" outlineLevel="0" collapsed="false">
      <c r="A47" s="192" t="s">
        <v>380</v>
      </c>
      <c r="B47" s="193" t="s">
        <v>374</v>
      </c>
      <c r="C47" s="194" t="n">
        <f aca="false">IF(C44="&lt;empty&gt;","",C44*100)</f>
        <v>0</v>
      </c>
      <c r="D47" s="194" t="n">
        <f aca="false">IF(D44="&lt;empty&gt;","",D44*100)</f>
        <v>0</v>
      </c>
      <c r="E47" s="194" t="n">
        <f aca="false">IF(E44="&lt;empty&gt;","",E44*100)</f>
        <v>0</v>
      </c>
      <c r="F47" s="194" t="n">
        <f aca="false">IF(F44="&lt;empty&gt;","",F44*100)</f>
        <v>0</v>
      </c>
      <c r="G47" s="194" t="n">
        <f aca="false">IF(G44="&lt;empty&gt;","",G44*100)</f>
        <v>0.5831</v>
      </c>
      <c r="H47" s="194" t="n">
        <f aca="false">IF(H44="&lt;empty&gt;","",H44*100)</f>
        <v>0.5831</v>
      </c>
      <c r="I47" s="194" t="n">
        <f aca="false">IF(I44="&lt;empty&gt;","",I44*100)</f>
        <v>0.587</v>
      </c>
      <c r="J47" s="195"/>
      <c r="K47" s="195" t="str">
        <f aca="false">IF(K44="&lt;empty&gt;","",K44*100)</f>
        <v/>
      </c>
      <c r="L47" s="195"/>
      <c r="M47" s="195"/>
      <c r="N47" s="195"/>
      <c r="O47" s="195"/>
      <c r="P47" s="195"/>
      <c r="Q47" s="195"/>
      <c r="R47" s="195"/>
      <c r="S47" s="195"/>
      <c r="T47" s="195"/>
      <c r="U47" s="195"/>
      <c r="V47" s="195" t="n">
        <f aca="false">IF(V44="&lt;empty&gt;","",V44*100)</f>
        <v>0</v>
      </c>
      <c r="W47" s="195"/>
      <c r="X47" s="195"/>
      <c r="Y47" s="195" t="n">
        <f aca="false">IF(Y44="&lt;empty&gt;","",Y44*100)</f>
        <v>0</v>
      </c>
      <c r="Z47" s="195" t="n">
        <f aca="false">IF(Z44="&lt;empty&gt;","",Z44*100)</f>
        <v>0</v>
      </c>
      <c r="AA47" s="195" t="n">
        <f aca="false">IF(AA44="&lt;empty&gt;","",AA44*100)</f>
        <v>1.3495</v>
      </c>
      <c r="AB47" s="195" t="n">
        <f aca="false">IF(AB44="&lt;empty&gt;","",AB44*100)</f>
        <v>1.3495</v>
      </c>
      <c r="AC47" s="195" t="n">
        <f aca="false">IF(AC44="&lt;empty&gt;","",AC44*100)</f>
        <v>0.317</v>
      </c>
      <c r="AD47" s="195" t="n">
        <f aca="false">IF(AD44="&lt;empty&gt;","",AD44*100)</f>
        <v>0.0058</v>
      </c>
      <c r="AE47" s="195" t="n">
        <f aca="false">IF(AE44="&lt;empty&gt;","",AE44*100)</f>
        <v>0.0081</v>
      </c>
      <c r="AF47" s="195" t="n">
        <f aca="false">IF(AF44="&lt;empty&gt;","",AF44*100)</f>
        <v>1.3495</v>
      </c>
      <c r="AG47" s="195" t="n">
        <f aca="false">IF(AG44="&lt;empty&gt;","",AG44*100)</f>
        <v>0.6866</v>
      </c>
      <c r="AH47" s="195" t="str">
        <f aca="false">IF(AH44="&lt;empty&gt;","",AH44*100)</f>
        <v/>
      </c>
      <c r="AI47" s="195" t="n">
        <f aca="false">IF(AI44="&lt;empty&gt;","",AI44*100)</f>
        <v>0</v>
      </c>
      <c r="AJ47" s="195" t="n">
        <f aca="false">IF(AJ44="&lt;empty&gt;","",AJ44*100)</f>
        <v>0</v>
      </c>
      <c r="AK47" s="195"/>
      <c r="AL47" s="195" t="n">
        <f aca="false">IF(AL44="&lt;empty&gt;","",AL44*100)</f>
        <v>1.1101</v>
      </c>
      <c r="AM47" s="195" t="n">
        <f aca="false">IF(AM44="&lt;empty&gt;","",AM44*100)</f>
        <v>1.0522</v>
      </c>
      <c r="AN47" s="195" t="n">
        <f aca="false">IF(AN44="&lt;empty&gt;","",AN44*100)</f>
        <v>0.7475</v>
      </c>
      <c r="AO47" s="195" t="n">
        <f aca="false">IF(AO44="&lt;empty&gt;","",AO44*100)</f>
        <v>0.0514</v>
      </c>
      <c r="AP47" s="195" t="str">
        <f aca="false">IF(AP44="&lt;empty&gt;","",AP44*100)</f>
        <v/>
      </c>
      <c r="AQ47" s="195" t="str">
        <f aca="false">IF(AQ44="&lt;empty&gt;","",AQ44*100)</f>
        <v/>
      </c>
      <c r="AR47" s="195" t="str">
        <f aca="false">IF(AR44="&lt;empty&gt;","",AR44*100)</f>
        <v/>
      </c>
      <c r="AS47" s="195" t="str">
        <f aca="false">IF(AS44="&lt;empty&gt;","",AS44*100)</f>
        <v/>
      </c>
      <c r="AT47" s="195" t="str">
        <f aca="false">IF(AT44="&lt;empty&gt;","",AT44*100)</f>
        <v/>
      </c>
      <c r="AU47" s="195"/>
      <c r="AV47" s="195" t="str">
        <f aca="false">IF(AV44="&lt;empty&gt;","",AV44*100)</f>
        <v/>
      </c>
      <c r="AW47" s="195" t="str">
        <f aca="false">IF(AW44="&lt;empty&gt;","",AW44*100)</f>
        <v/>
      </c>
      <c r="AX47" s="195" t="n">
        <f aca="false">IF(AX44="&lt;empty&gt;","",AX44*100)</f>
        <v>0.5907</v>
      </c>
      <c r="AY47" s="195" t="str">
        <f aca="false">IF(AY44="&lt;empty&gt;","",AY44*100)</f>
        <v/>
      </c>
      <c r="AZ47" s="195" t="str">
        <f aca="false">IF(AZ44="&lt;empty&gt;","",AZ44*100)</f>
        <v/>
      </c>
      <c r="BA47" s="195" t="n">
        <f aca="false">IF(BA44="&lt;empty&gt;","",BA44*100)</f>
        <v>0</v>
      </c>
      <c r="BB47" s="195" t="n">
        <f aca="false">IF(BB44="&lt;empty&gt;","",BB44*100)</f>
        <v>0</v>
      </c>
      <c r="BC47" s="195" t="n">
        <f aca="false">IF(BC44="&lt;empty&gt;","",BC44*100)</f>
        <v>0</v>
      </c>
      <c r="BD47" s="195" t="n">
        <f aca="false">IF(BD44="&lt;empty&gt;","",BD44*100)</f>
        <v>0</v>
      </c>
      <c r="BE47" s="195" t="n">
        <f aca="false">IF(BE44="&lt;empty&gt;","",BE44*100)</f>
        <v>0</v>
      </c>
      <c r="BF47" s="195" t="n">
        <f aca="false">IF(BF44="&lt;empty&gt;","",BF44*100)</f>
        <v>0</v>
      </c>
      <c r="BG47" s="195" t="str">
        <f aca="false">IF(BG44="&lt;empty&gt;","",BG44*100)</f>
        <v/>
      </c>
      <c r="BH47" s="195" t="str">
        <f aca="false">IF(BH44="&lt;empty&gt;","",BH44*100)</f>
        <v/>
      </c>
      <c r="BI47" s="195" t="str">
        <f aca="false">IF(BI44="&lt;empty&gt;","",BI44*100)</f>
        <v/>
      </c>
      <c r="BJ47" s="195" t="str">
        <f aca="false">IF(BJ44="&lt;empty&gt;","",BJ44*100)</f>
        <v/>
      </c>
      <c r="BK47" s="195" t="str">
        <f aca="false">IF(BK44="&lt;empty&gt;","",BK44*100)</f>
        <v/>
      </c>
      <c r="BL47" s="195"/>
      <c r="BM47" s="195" t="str">
        <f aca="false">IF(BM44="&lt;empty&gt;","",BM44*100)</f>
        <v/>
      </c>
      <c r="BN47" s="195"/>
      <c r="BO47" s="195" t="str">
        <f aca="false">IF(BO44="&lt;empty&gt;","",BO44*100)</f>
        <v/>
      </c>
      <c r="BP47" s="195" t="str">
        <f aca="false">IF(BP44="&lt;empty&gt;","",BP44*100)</f>
        <v/>
      </c>
      <c r="BQ47" s="195" t="str">
        <f aca="false">IF(BQ44="&lt;empty&gt;","",BQ44*100)</f>
        <v/>
      </c>
      <c r="BR47" s="195"/>
      <c r="BS47" s="195" t="str">
        <f aca="false">IF(BS44="&lt;empty&gt;","",BS44*100)</f>
        <v/>
      </c>
      <c r="BT47" s="195" t="n">
        <f aca="false">IF(BT44="&lt;empty&gt;","",BT44*100)</f>
        <v>0.2758</v>
      </c>
      <c r="BU47" s="195" t="n">
        <f aca="false">IF(BU44="&lt;empty&gt;","",BU44*100)</f>
        <v>0.0243</v>
      </c>
      <c r="BV47" s="195" t="n">
        <f aca="false">IF(BV44="&lt;empty&gt;","",BV44*100)</f>
        <v>0.0069</v>
      </c>
      <c r="BW47" s="195" t="n">
        <f aca="false">IF(BW44="&lt;empty&gt;","",BW44*100)</f>
        <v>0</v>
      </c>
      <c r="BX47" s="195" t="str">
        <f aca="false">IF(BX44="&lt;empty&gt;","",BX44*100)</f>
        <v/>
      </c>
      <c r="BY47" s="195" t="str">
        <f aca="false">IF(BY44="&lt;empty&gt;","",BY44*100)</f>
        <v/>
      </c>
      <c r="BZ47" s="195" t="n">
        <f aca="false">IF(BZ44="&lt;empty&gt;","",BZ44*100)</f>
        <v>0.2864</v>
      </c>
      <c r="CA47" s="195" t="str">
        <f aca="false">IF(CA44="&lt;empty&gt;","",CA44*100)</f>
        <v/>
      </c>
      <c r="CB47" s="195" t="str">
        <f aca="false">IF(CB44="&lt;empty&gt;","",CB44*100)</f>
        <v/>
      </c>
      <c r="CC47" s="195" t="str">
        <f aca="false">IF(CC44="&lt;empty&gt;","",CC44*100)</f>
        <v/>
      </c>
      <c r="CD47" s="195" t="str">
        <f aca="false">IF(CD44="&lt;empty&gt;","",CD44*100)</f>
        <v/>
      </c>
      <c r="CE47" s="195" t="str">
        <f aca="false">IF(CE44="&lt;empty&gt;","",CE44*100)</f>
        <v/>
      </c>
      <c r="CF47" s="195" t="str">
        <f aca="false">IF(CF44="&lt;empty&gt;","",CF44*100)</f>
        <v/>
      </c>
      <c r="CG47" s="195" t="str">
        <f aca="false">IF(CG44="&lt;empty&gt;","",CG44*100)</f>
        <v/>
      </c>
      <c r="CH47" s="195" t="str">
        <f aca="false">IF(CH44="&lt;empty&gt;","",CH44*100)</f>
        <v/>
      </c>
      <c r="CI47" s="195" t="str">
        <f aca="false">IF(CI44="&lt;empty&gt;","",CI44*100)</f>
        <v/>
      </c>
      <c r="CJ47" s="195" t="str">
        <f aca="false">IF(CJ44="&lt;empty&gt;","",CJ44*100)</f>
        <v/>
      </c>
      <c r="CK47" s="195" t="n">
        <f aca="false">IF(CK44="&lt;empty&gt;","",CK44*100)</f>
        <v>0</v>
      </c>
      <c r="CL47" s="195"/>
      <c r="CM47" s="195" t="n">
        <f aca="false">IF(CM44="&lt;empty&gt;","",CM44*100)</f>
        <v>0</v>
      </c>
      <c r="CN47" s="195" t="n">
        <f aca="false">IF(CN44="&lt;empty&gt;","",CN44*100)</f>
        <v>0</v>
      </c>
      <c r="CO47" s="195" t="n">
        <f aca="false">IF(CO44="&lt;empty&gt;","",CO44*100)</f>
        <v>0</v>
      </c>
      <c r="CP47" s="195" t="n">
        <f aca="false">IF(CP44="&lt;empty&gt;","",CP44*100)</f>
        <v>0</v>
      </c>
      <c r="CQ47" s="195" t="n">
        <f aca="false">IF(CQ44="&lt;empty&gt;","",CQ44*100)</f>
        <v>0</v>
      </c>
      <c r="CR47" s="195" t="n">
        <f aca="false">IF(CR44="&lt;empty&gt;","",CR44*100)</f>
        <v>0</v>
      </c>
      <c r="CS47" s="195" t="n">
        <f aca="false">IF(CS44="&lt;empty&gt;","",CS44*100)</f>
        <v>0</v>
      </c>
      <c r="CT47" s="195" t="n">
        <f aca="false">IF(CT44="&lt;empty&gt;","",CT44*100)</f>
        <v>0</v>
      </c>
      <c r="CU47" s="195"/>
      <c r="CV47" s="195" t="str">
        <f aca="false">IF(CV44="&lt;empty&gt;","",CV44*100)</f>
        <v/>
      </c>
      <c r="CW47" s="195" t="str">
        <f aca="false">IF(CW44="&lt;empty&gt;","",CW44*100)</f>
        <v/>
      </c>
      <c r="CX47" s="195" t="str">
        <f aca="false">IF(CX44="&lt;empty&gt;","",CX44*100)</f>
        <v/>
      </c>
      <c r="CY47" s="195" t="str">
        <f aca="false">IF(CY44="&lt;empty&gt;","",CY44*100)</f>
        <v/>
      </c>
      <c r="CZ47" s="195" t="n">
        <f aca="false">IF(CZ44="&lt;empty&gt;","",CZ44*100)</f>
        <v>0</v>
      </c>
      <c r="DA47" s="195"/>
      <c r="DB47" s="195" t="n">
        <f aca="false">IF(DB44="&lt;empty&gt;","",DB44*100)</f>
        <v>0</v>
      </c>
      <c r="DC47" s="195" t="n">
        <f aca="false">IF(DC44="&lt;empty&gt;","",DC44*100)</f>
        <v>0</v>
      </c>
      <c r="DD47" s="195" t="n">
        <f aca="false">IF(DD44="&lt;empty&gt;","",DD44*100)</f>
        <v>0.0081</v>
      </c>
      <c r="DE47" s="195" t="n">
        <f aca="false">IF(DE44="&lt;empty&gt;","",DE44*100)</f>
        <v>0.6746</v>
      </c>
      <c r="DF47" s="195" t="n">
        <f aca="false">IF(DF44="&lt;empty&gt;","",DF44*100)</f>
        <v>1.0141</v>
      </c>
      <c r="DG47" s="195" t="n">
        <f aca="false">IF(DG44="&lt;empty&gt;","",DG44*100)</f>
        <v>1.0002</v>
      </c>
      <c r="DH47" s="195" t="n">
        <f aca="false">IF(DH44="&lt;empty&gt;","",DH44*100)</f>
        <v>1.0011</v>
      </c>
      <c r="DI47" s="195" t="str">
        <f aca="false">IF(DI44="&lt;empty&gt;","",DI44*100)</f>
        <v/>
      </c>
      <c r="DJ47" s="195" t="str">
        <f aca="false">IF(DJ44="&lt;empty&gt;","",DJ44*100)</f>
        <v/>
      </c>
      <c r="DK47" s="195"/>
      <c r="DL47" s="195" t="str">
        <f aca="false">IF(DL44="&lt;empty&gt;","",DL44*100)</f>
        <v/>
      </c>
      <c r="DM47" s="195" t="str">
        <f aca="false">IF(DM44="&lt;empty&gt;","",DM44*100)</f>
        <v/>
      </c>
      <c r="DN47" s="195" t="str">
        <f aca="false">IF(DN44="&lt;empty&gt;","",DN44*100)</f>
        <v/>
      </c>
      <c r="DO47" s="195" t="str">
        <f aca="false">IF(DO44="&lt;empty&gt;","",DO44*100)</f>
        <v/>
      </c>
      <c r="DP47" s="195" t="n">
        <f aca="false">IF(DP44="&lt;empty&gt;","",DP44*100)</f>
        <v>0.7475</v>
      </c>
      <c r="DQ47" s="195" t="n">
        <f aca="false">IF(DQ44="&lt;empty&gt;","",DQ44*100)</f>
        <v>0.6942</v>
      </c>
      <c r="DR47" s="195" t="n">
        <f aca="false">IF(DR44="&lt;empty&gt;","",DR44*100)</f>
        <v>1.0645</v>
      </c>
      <c r="DS47" s="195" t="n">
        <f aca="false">IF(DS44="&lt;empty&gt;","",DS44*100)</f>
        <v>0.4971</v>
      </c>
      <c r="DT47" s="195" t="n">
        <f aca="false">IF(DT44="&lt;empty&gt;","",DT44*100)</f>
        <v>0.5835</v>
      </c>
      <c r="DU47" s="195" t="str">
        <f aca="false">IF(DU44="&lt;empty&gt;","",DU44*100)</f>
        <v/>
      </c>
      <c r="DV47" s="195" t="str">
        <f aca="false">IF(DV44="&lt;empty&gt;","",DV44*100)</f>
        <v/>
      </c>
      <c r="DW47" s="195" t="str">
        <f aca="false">IF(DW44="&lt;empty&gt;","",DW44*100)</f>
        <v/>
      </c>
      <c r="DX47" s="195" t="str">
        <f aca="false">IF(DX44="&lt;empty&gt;","",DX44*100)</f>
        <v/>
      </c>
      <c r="DY47" s="195" t="str">
        <f aca="false">IF(DY44="&lt;empty&gt;","",DY44*100)</f>
        <v/>
      </c>
      <c r="DZ47" s="195" t="str">
        <f aca="false">IF(DZ44="&lt;empty&gt;","",DZ44*100)</f>
        <v/>
      </c>
      <c r="EA47" s="195" t="n">
        <f aca="false">IF(EA44="&lt;empty&gt;","",EA44*100)</f>
        <v>0</v>
      </c>
      <c r="EB47" s="195" t="n">
        <f aca="false">IF(EB44="&lt;empty&gt;","",EB44*100)</f>
        <v>0</v>
      </c>
      <c r="EC47" s="195" t="n">
        <f aca="false">IF(EC44="&lt;empty&gt;","",EC44*100)</f>
        <v>0.3067</v>
      </c>
      <c r="ED47" s="195"/>
      <c r="EE47" s="195" t="str">
        <f aca="false">IF(EE44="&lt;empty&gt;","",EE44*100)</f>
        <v/>
      </c>
      <c r="EF47" s="195" t="str">
        <f aca="false">IF(EF44="&lt;empty&gt;","",EF44*100)</f>
        <v/>
      </c>
      <c r="EG47" s="195" t="str">
        <f aca="false">IF(EG44="&lt;empty&gt;","",EG44*100)</f>
        <v/>
      </c>
      <c r="EH47" s="195" t="str">
        <f aca="false">IF(EH44="&lt;empty&gt;","",EH44*100)</f>
        <v/>
      </c>
      <c r="EI47" s="195" t="str">
        <f aca="false">IF(EI44="&lt;empty&gt;","",EI44*100)</f>
        <v/>
      </c>
      <c r="EJ47" s="195" t="str">
        <f aca="false">IF(EJ44="&lt;empty&gt;","",EJ44*100)</f>
        <v/>
      </c>
      <c r="EK47" s="195" t="str">
        <f aca="false">IF(EK44="&lt;empty&gt;","",EK44*100)</f>
        <v/>
      </c>
      <c r="EL47" s="195" t="str">
        <f aca="false">IF(EL44="&lt;empty&gt;","",EL44*100)</f>
        <v/>
      </c>
      <c r="EM47" s="195" t="str">
        <f aca="false">IF(EM44="&lt;empty&gt;","",EM44*100)</f>
        <v/>
      </c>
      <c r="EN47" s="195" t="str">
        <f aca="false">IF(EN44="&lt;empty&gt;","",EN44*100)</f>
        <v/>
      </c>
      <c r="EO47" s="195" t="str">
        <f aca="false">IF(EO44="&lt;empty&gt;","",EO44*100)</f>
        <v/>
      </c>
      <c r="EP47" s="195" t="str">
        <f aca="false">IF(EP44="&lt;empty&gt;","",EP44*100)</f>
        <v/>
      </c>
      <c r="EQ47" s="195"/>
      <c r="ER47" s="195" t="n">
        <f aca="false">IF(ER44="&lt;empty&gt;","",ER44*100)</f>
        <v>0.0069</v>
      </c>
      <c r="ES47" s="195"/>
      <c r="ET47" s="195" t="n">
        <f aca="false">IF(ET44="&lt;empty&gt;","",ET44*100)</f>
        <v>0</v>
      </c>
      <c r="EU47" s="195" t="n">
        <f aca="false">IF(EU44="&lt;empty&gt;","",EU44*100)</f>
        <v>0</v>
      </c>
      <c r="EV47" s="195" t="n">
        <f aca="false">IF(EV44="&lt;empty&gt;","",EV44*100)</f>
        <v>0</v>
      </c>
      <c r="EW47" s="195" t="n">
        <f aca="false">IF(EW44="&lt;empty&gt;","",EW44*100)</f>
        <v>0</v>
      </c>
      <c r="EX47" s="195" t="str">
        <f aca="false">IF(EX44="&lt;empty&gt;","",EX44*100)</f>
        <v/>
      </c>
      <c r="EY47" s="195" t="str">
        <f aca="false">IF(EY44="&lt;empty&gt;","",EY44*100)</f>
        <v/>
      </c>
      <c r="EZ47" s="195" t="str">
        <f aca="false">IF(EZ44="&lt;empty&gt;","",EZ44*100)</f>
        <v/>
      </c>
      <c r="FA47" s="195" t="str">
        <f aca="false">IF(FA44="&lt;empty&gt;","",FA44*100)</f>
        <v/>
      </c>
      <c r="FB47" s="195" t="str">
        <f aca="false">IF(FB44="&lt;empty&gt;","",FB44*100)</f>
        <v/>
      </c>
      <c r="FC47" s="195" t="str">
        <f aca="false">IF(FC44="&lt;empty&gt;","",FC44*100)</f>
        <v/>
      </c>
      <c r="FD47" s="195" t="str">
        <f aca="false">IF(FD44="&lt;empty&gt;","",FD44*100)</f>
        <v/>
      </c>
      <c r="FE47" s="195" t="n">
        <f aca="false">IF(FE44="&lt;empty&gt;","",FE44*100)</f>
        <v>1.0546</v>
      </c>
      <c r="FF47" s="195" t="str">
        <f aca="false">IF(FF44="&lt;empty&gt;","",FF44*100)</f>
        <v/>
      </c>
      <c r="FG47" s="195" t="n">
        <f aca="false">IF(FG44="&lt;empty&gt;","",FG44*100)</f>
        <v>0.006</v>
      </c>
      <c r="FH47" s="195" t="n">
        <f aca="false">IF(FH44="&lt;empty&gt;","",FH44*100)</f>
        <v>0.0081</v>
      </c>
      <c r="FI47" s="195" t="str">
        <f aca="false">IF(FI44="&lt;empty&gt;","",FI44*100)</f>
        <v/>
      </c>
      <c r="FJ47" s="195"/>
      <c r="FK47" s="195"/>
      <c r="FL47" s="195"/>
      <c r="FM47" s="195"/>
      <c r="FN47" s="195"/>
      <c r="FO47" s="195"/>
      <c r="FP47" s="195"/>
      <c r="FQ47" s="195"/>
      <c r="FR47" s="195"/>
      <c r="FS47" s="195"/>
      <c r="FT47" s="195"/>
      <c r="FU47" s="195"/>
      <c r="FV47" s="195"/>
      <c r="FW47" s="195"/>
      <c r="FX47" s="195"/>
      <c r="FY47" s="195"/>
      <c r="FZ47" s="195"/>
      <c r="GA47" s="195"/>
      <c r="GB47" s="195"/>
      <c r="GC47" s="195"/>
      <c r="GD47" s="195"/>
      <c r="GE47" s="195"/>
      <c r="GF47" s="195"/>
      <c r="GG47" s="195"/>
      <c r="GH47" s="195"/>
      <c r="GI47" s="195"/>
      <c r="GJ47" s="195"/>
      <c r="GK47" s="195"/>
      <c r="GL47" s="195"/>
      <c r="GM47" s="195"/>
      <c r="GN47" s="195"/>
      <c r="GO47" s="195"/>
      <c r="GP47" s="195"/>
      <c r="GQ47" s="195"/>
      <c r="GR47" s="195"/>
      <c r="GS47" s="195"/>
      <c r="GT47" s="195"/>
      <c r="GU47" s="195"/>
      <c r="GV47" s="195"/>
      <c r="GW47" s="195"/>
      <c r="GX47" s="195"/>
      <c r="GY47" s="195"/>
      <c r="GZ47" s="195"/>
      <c r="HA47" s="195"/>
      <c r="HB47" s="195"/>
      <c r="HC47" s="195"/>
      <c r="HD47" s="195"/>
      <c r="HE47" s="195"/>
      <c r="HF47" s="195"/>
      <c r="HG47" s="195"/>
      <c r="HH47" s="195"/>
      <c r="HI47" s="195"/>
      <c r="HJ47" s="195"/>
      <c r="HK47" s="195"/>
      <c r="HL47" s="195"/>
      <c r="HM47" s="195"/>
      <c r="HN47" s="195"/>
      <c r="HO47" s="195"/>
      <c r="HP47" s="195"/>
      <c r="HQ47" s="195"/>
      <c r="HR47" s="195"/>
      <c r="HS47" s="195"/>
      <c r="HT47" s="195"/>
      <c r="HU47" s="195"/>
      <c r="HV47" s="195"/>
      <c r="HW47" s="196"/>
      <c r="HX47" s="195"/>
      <c r="HY47" s="195"/>
      <c r="HZ47" s="195"/>
      <c r="IA47" s="195"/>
    </row>
    <row r="48" s="192" customFormat="true" ht="15" hidden="false" customHeight="false" outlineLevel="0" collapsed="false">
      <c r="A48" s="192" t="s">
        <v>381</v>
      </c>
      <c r="B48" s="193" t="s">
        <v>376</v>
      </c>
      <c r="C48" s="192" t="str">
        <f aca="false">IF(OR(C45="&lt;empty&gt;",C27=0),"",C45/C27*1000)</f>
        <v/>
      </c>
      <c r="D48" s="192" t="str">
        <f aca="false">IF(OR(D45="&lt;empty&gt;",D27=0),"",D45/D27*1000)</f>
        <v/>
      </c>
      <c r="E48" s="192" t="str">
        <f aca="false">IF(OR(E45="&lt;empty&gt;",E27=0),"",E45/E27*1000)</f>
        <v/>
      </c>
      <c r="F48" s="192" t="str">
        <f aca="false">IF(OR(F45="&lt;empty&gt;",F27=0),"",F45/F27*1000)</f>
        <v/>
      </c>
      <c r="G48" s="192" t="str">
        <f aca="false">IF(OR(G45="&lt;empty&gt;",G27=0),"",G45/G27*1000)</f>
        <v/>
      </c>
      <c r="H48" s="192" t="str">
        <f aca="false">IF(OR(H45="&lt;empty&gt;",H27=0),"",H45/H27*1000)</f>
        <v/>
      </c>
      <c r="I48" s="192" t="str">
        <f aca="false">IF(OR(I45="&lt;empty&gt;",I27=0),"",I45/I27*1000)</f>
        <v/>
      </c>
      <c r="K48" s="192" t="str">
        <f aca="false">IF(OR(K45="&lt;empty&gt;",K27=0),"",K45/K27*1000)</f>
        <v/>
      </c>
      <c r="V48" s="192" t="str">
        <f aca="false">IF(OR(V45="&lt;empty&gt;",V27=0),"",V45/V27*1000)</f>
        <v/>
      </c>
      <c r="Y48" s="192" t="str">
        <f aca="false">IF(OR(Y45="&lt;empty&gt;",Y27=0),"",Y45/Y27*1000)</f>
        <v/>
      </c>
      <c r="Z48" s="192" t="str">
        <f aca="false">IF(OR(Z45="&lt;empty&gt;",Z27=0),"",Z45/Z27*1000)</f>
        <v/>
      </c>
      <c r="AA48" s="192" t="str">
        <f aca="false">IF(OR(AA45="&lt;empty&gt;",AA27=0),"",AA45/AA27*1000)</f>
        <v/>
      </c>
      <c r="AB48" s="192" t="str">
        <f aca="false">IF(OR(AB45="&lt;empty&gt;",AB27=0),"",AB45/AB27*1000)</f>
        <v/>
      </c>
      <c r="AC48" s="192" t="str">
        <f aca="false">IF(OR(AC45="&lt;empty&gt;",AC27=0),"",AC45/AC27*1000)</f>
        <v/>
      </c>
      <c r="AD48" s="192" t="str">
        <f aca="false">IF(OR(AD45="&lt;empty&gt;",AD27=0),"",AD45/AD27*1000)</f>
        <v/>
      </c>
      <c r="AE48" s="192" t="str">
        <f aca="false">IF(OR(AE45="&lt;empty&gt;",AE27=0),"",AE45/AE27*1000)</f>
        <v/>
      </c>
      <c r="AF48" s="192" t="n">
        <f aca="false">IF(OR(AF45="&lt;empty&gt;",AF27=0),"",AF45/AF27*1000)</f>
        <v>4085.22463054187</v>
      </c>
      <c r="AG48" s="192" t="n">
        <f aca="false">IF(OR(AG45="&lt;empty&gt;",AG27=0),"",AG45/AG27*1000)</f>
        <v>3378.17733990148</v>
      </c>
      <c r="AH48" s="192" t="n">
        <f aca="false">IF(OR(AH45="&lt;empty&gt;",AH27=0),"",AH45/AH27*1000)</f>
        <v>0.0876847290640394</v>
      </c>
      <c r="AI48" s="192" t="n">
        <f aca="false">IF(OR(AI45="&lt;empty&gt;",AI27=0),"",AI45/AI27*1000)</f>
        <v>0.0266009852216749</v>
      </c>
      <c r="AJ48" s="192" t="n">
        <f aca="false">IF(OR(AJ45="&lt;empty&gt;",AJ27=0),"",AJ45/AJ27*1000)</f>
        <v>0.0113300492610837</v>
      </c>
      <c r="AL48" s="192" t="n">
        <f aca="false">IF(OR(AL45="&lt;empty&gt;",AL27=0),"",AL45/AL27*1000)</f>
        <v>51.0265445026178</v>
      </c>
      <c r="AM48" s="192" t="str">
        <f aca="false">IF(OR(AM45="&lt;empty&gt;",AM27=0),"",AM45/AM27*1000)</f>
        <v/>
      </c>
      <c r="AN48" s="192" t="n">
        <f aca="false">IF(OR(AN45="&lt;empty&gt;",AN27=0),"",AN45/AN27*1000)</f>
        <v>58.3970185334408</v>
      </c>
      <c r="AO48" s="192" t="n">
        <f aca="false">IF(OR(AO45="&lt;empty&gt;",AO27=0),"",AO45/AO27*1000)</f>
        <v>0.0207140200818148</v>
      </c>
      <c r="AP48" s="192" t="n">
        <f aca="false">IF(OR(AP45="&lt;empty&gt;",AP27=0),"",AP45/AP27*1000)</f>
        <v>0.00783325698579936</v>
      </c>
      <c r="AQ48" s="192" t="str">
        <f aca="false">IF(OR(AQ45="&lt;empty&gt;",AQ27=0),"",AQ45/AQ27*1000)</f>
        <v/>
      </c>
      <c r="AR48" s="192" t="n">
        <f aca="false">IF(OR(AR45="&lt;empty&gt;",AR27=0),"",AR45/AR27*1000)</f>
        <v>223.192535471931</v>
      </c>
      <c r="AS48" s="192" t="n">
        <f aca="false">IF(OR(AS45="&lt;empty&gt;",AS27=0),"",AS45/AS27*1000)</f>
        <v>222.369452980947</v>
      </c>
      <c r="AT48" s="192" t="n">
        <f aca="false">IF(OR(AT45="&lt;empty&gt;",AT27=0),"",AT45/AT27*1000)</f>
        <v>139.797179289026</v>
      </c>
      <c r="AV48" s="192" t="n">
        <f aca="false">IF(OR(AV45="&lt;empty&gt;",AV27=0),"",AV45/AV27*1000)</f>
        <v>20.1605438401776</v>
      </c>
      <c r="AW48" s="192" t="n">
        <f aca="false">IF(OR(AW45="&lt;empty&gt;",AW27=0),"",AW45/AW27*1000)</f>
        <v>180.620310765816</v>
      </c>
      <c r="AX48" s="192" t="str">
        <f aca="false">IF(OR(AX45="&lt;empty&gt;",AX27=0),"",AX45/AX27*1000)</f>
        <v/>
      </c>
      <c r="AY48" s="192" t="n">
        <f aca="false">IF(OR(AY45="&lt;empty&gt;",AY27=0),"",AY45/AY27*1000)</f>
        <v>0.323995363214838</v>
      </c>
      <c r="AZ48" s="192" t="n">
        <f aca="false">IF(OR(AZ45="&lt;empty&gt;",AZ27=0),"",AZ45/AZ27*1000)</f>
        <v>0.324748257164988</v>
      </c>
      <c r="BA48" s="192" t="str">
        <f aca="false">IF(OR(BA45="&lt;empty&gt;",BA27=0),"",BA45/BA27*1000)</f>
        <v/>
      </c>
      <c r="BB48" s="192" t="str">
        <f aca="false">IF(OR(BB45="&lt;empty&gt;",BB27=0),"",BB45/BB27*1000)</f>
        <v/>
      </c>
      <c r="BC48" s="192" t="str">
        <f aca="false">IF(OR(BC45="&lt;empty&gt;",BC27=0),"",BC45/BC27*1000)</f>
        <v/>
      </c>
      <c r="BD48" s="192" t="str">
        <f aca="false">IF(OR(BD45="&lt;empty&gt;",BD27=0),"",BD45/BD27*1000)</f>
        <v/>
      </c>
      <c r="BE48" s="192" t="str">
        <f aca="false">IF(OR(BE45="&lt;empty&gt;",BE27=0),"",BE45/BE27*1000)</f>
        <v/>
      </c>
      <c r="BF48" s="192" t="str">
        <f aca="false">IF(OR(BF45="&lt;empty&gt;",BF27=0),"",BF45/BF27*1000)</f>
        <v/>
      </c>
      <c r="BG48" s="192" t="n">
        <f aca="false">IF(OR(BG45="&lt;empty&gt;",BG27=0),"",BG45/BG27*1000)</f>
        <v>0.000729546638874414</v>
      </c>
      <c r="BH48" s="192" t="n">
        <f aca="false">IF(OR(BH45="&lt;empty&gt;",BH27=0),"",BH45/BH27*1000)</f>
        <v>0.000601633003867641</v>
      </c>
      <c r="BI48" s="192" t="n">
        <f aca="false">IF(OR(BI45="&lt;empty&gt;",BI27=0),"",BI45/BI27*1000)</f>
        <v>4.95908752789487E-005</v>
      </c>
      <c r="BJ48" s="192" t="n">
        <f aca="false">IF(OR(BJ45="&lt;empty&gt;",BJ27=0),"",BJ45/BJ27*1000)</f>
        <v>0.000291970802919708</v>
      </c>
      <c r="BK48" s="192" t="n">
        <f aca="false">IF(OR(BK45="&lt;empty&gt;",BK27=0),"",BK45/BK27*1000)</f>
        <v>0.246934306569343</v>
      </c>
      <c r="BM48" s="192" t="n">
        <f aca="false">IF(OR(BM45="&lt;empty&gt;",BM27=0),"",BM45/BM27*1000)</f>
        <v>0.0887460650577125</v>
      </c>
      <c r="BO48" s="192" t="str">
        <f aca="false">IF(OR(BO45="&lt;empty&gt;",BO27=0),"",BO45/BO27*1000)</f>
        <v/>
      </c>
      <c r="BP48" s="192" t="str">
        <f aca="false">IF(OR(BP45="&lt;empty&gt;",BP27=0),"",BP45/BP27*1000)</f>
        <v/>
      </c>
      <c r="BQ48" s="192" t="str">
        <f aca="false">IF(OR(BQ45="&lt;empty&gt;",BQ27=0),"",BQ45/BQ27*1000)</f>
        <v/>
      </c>
      <c r="BS48" s="192" t="str">
        <f aca="false">IF(OR(BS45="&lt;empty&gt;",BS27=0),"",BS45/BS27*1000)</f>
        <v/>
      </c>
      <c r="BT48" s="192" t="str">
        <f aca="false">IF(OR(BT45="&lt;empty&gt;",BT27=0),"",BT45/BT27*1000)</f>
        <v/>
      </c>
      <c r="BU48" s="192" t="n">
        <f aca="false">IF(OR(BU45="&lt;empty&gt;",BU27=0),"",BU45/BU27*1000)</f>
        <v>19.536520854527</v>
      </c>
      <c r="BV48" s="192" t="n">
        <f aca="false">IF(OR(BV45="&lt;empty&gt;",BV27=0),"",BV45/BV27*1000)</f>
        <v>1.14493054446751</v>
      </c>
      <c r="BW48" s="192" t="str">
        <f aca="false">IF(OR(BW45="&lt;empty&gt;",BW27=0),"",BW45/BW27*1000)</f>
        <v/>
      </c>
      <c r="BX48" s="192" t="n">
        <f aca="false">IF(OR(BX45="&lt;empty&gt;",BX27=0),"",BX45/BX27*1000)</f>
        <v>2.03707476064372E-005</v>
      </c>
      <c r="BY48" s="192" t="n">
        <f aca="false">IF(OR(BY45="&lt;empty&gt;",BY27=0),"",BY45/BY27*1000)</f>
        <v>1.37268359643102E-005</v>
      </c>
      <c r="BZ48" s="192" t="str">
        <f aca="false">IF(OR(BZ45="&lt;empty&gt;",BZ27=0),"",BZ45/BZ27*1000)</f>
        <v/>
      </c>
      <c r="CA48" s="192" t="n">
        <f aca="false">IF(OR(CA45="&lt;empty&gt;",CA27=0),"",CA45/CA27*1000)</f>
        <v>0</v>
      </c>
      <c r="CB48" s="192" t="n">
        <f aca="false">IF(OR(CB45="&lt;empty&gt;",CB27=0),"",CB45/CB27*1000)</f>
        <v>0</v>
      </c>
      <c r="CC48" s="192" t="str">
        <f aca="false">IF(OR(CC45="&lt;empty&gt;",CC27=0),"",CC45/CC27*1000)</f>
        <v/>
      </c>
      <c r="CD48" s="192" t="str">
        <f aca="false">IF(OR(CD45="&lt;empty&gt;",CD27=0),"",CD45/CD27*1000)</f>
        <v/>
      </c>
      <c r="CE48" s="192" t="str">
        <f aca="false">IF(OR(CE45="&lt;empty&gt;",CE27=0),"",CE45/CE27*1000)</f>
        <v/>
      </c>
      <c r="CF48" s="192" t="str">
        <f aca="false">IF(OR(CF45="&lt;empty&gt;",CF27=0),"",CF45/CF27*1000)</f>
        <v/>
      </c>
      <c r="CG48" s="192" t="str">
        <f aca="false">IF(OR(CG45="&lt;empty&gt;",CG27=0),"",CG45/CG27*1000)</f>
        <v/>
      </c>
      <c r="CH48" s="192" t="str">
        <f aca="false">IF(OR(CH45="&lt;empty&gt;",CH27=0),"",CH45/CH27*1000)</f>
        <v/>
      </c>
      <c r="CI48" s="192" t="str">
        <f aca="false">IF(OR(CI45="&lt;empty&gt;",CI27=0),"",CI45/CI27*1000)</f>
        <v/>
      </c>
      <c r="CJ48" s="192" t="str">
        <f aca="false">IF(OR(CJ45="&lt;empty&gt;",CJ27=0),"",CJ45/CJ27*1000)</f>
        <v/>
      </c>
      <c r="CK48" s="192" t="str">
        <f aca="false">IF(OR(CK45="&lt;empty&gt;",CK27=0),"",CK45/CK27*1000)</f>
        <v/>
      </c>
      <c r="CM48" s="192" t="str">
        <f aca="false">IF(OR(CM45="&lt;empty&gt;",CM27=0),"",CM45/CM27*1000)</f>
        <v/>
      </c>
      <c r="CN48" s="192" t="str">
        <f aca="false">IF(OR(CN45="&lt;empty&gt;",CN27=0),"",CN45/CN27*1000)</f>
        <v/>
      </c>
      <c r="CO48" s="192" t="str">
        <f aca="false">IF(OR(CO45="&lt;empty&gt;",CO27=0),"",CO45/CO27*1000)</f>
        <v/>
      </c>
      <c r="CP48" s="192" t="str">
        <f aca="false">IF(OR(CP45="&lt;empty&gt;",CP27=0),"",CP45/CP27*1000)</f>
        <v/>
      </c>
      <c r="CQ48" s="192" t="n">
        <f aca="false">IF(OR(CQ45="&lt;empty&gt;",CQ27=0),"",CQ45/CQ27*1000)</f>
        <v>0.00862193362193362</v>
      </c>
      <c r="CR48" s="192" t="n">
        <f aca="false">IF(OR(CR45="&lt;empty&gt;",CR27=0),"",CR45/CR27*1000)</f>
        <v>0.004004329004329</v>
      </c>
      <c r="CS48" s="192" t="n">
        <f aca="false">IF(OR(CS45="&lt;empty&gt;",CS27=0),"",CS45/CS27*1000)</f>
        <v>0.00427302996670366</v>
      </c>
      <c r="CT48" s="192" t="str">
        <f aca="false">IF(OR(CT45="&lt;empty&gt;",CT27=0),"",CT45/CT27*1000)</f>
        <v/>
      </c>
      <c r="CV48" s="192" t="str">
        <f aca="false">IF(OR(CV45="&lt;empty&gt;",CV27=0),"",CV45/CV27*1000)</f>
        <v/>
      </c>
      <c r="CW48" s="192" t="str">
        <f aca="false">IF(OR(CW45="&lt;empty&gt;",CW27=0),"",CW45/CW27*1000)</f>
        <v/>
      </c>
      <c r="CX48" s="192" t="str">
        <f aca="false">IF(OR(CX45="&lt;empty&gt;",CX27=0),"",CX45/CX27*1000)</f>
        <v/>
      </c>
      <c r="CY48" s="192" t="str">
        <f aca="false">IF(OR(CY45="&lt;empty&gt;",CY27=0),"",CY45/CY27*1000)</f>
        <v/>
      </c>
      <c r="CZ48" s="192" t="str">
        <f aca="false">IF(OR(CZ45="&lt;empty&gt;",CZ27=0),"",CZ45/CZ27*1000)</f>
        <v/>
      </c>
      <c r="DB48" s="192" t="str">
        <f aca="false">IF(OR(DB45="&lt;empty&gt;",DB27=0),"",DB45/DB27*1000)</f>
        <v/>
      </c>
      <c r="DC48" s="192" t="str">
        <f aca="false">IF(OR(DC45="&lt;empty&gt;",DC27=0),"",DC45/DC27*1000)</f>
        <v/>
      </c>
      <c r="DD48" s="192" t="str">
        <f aca="false">IF(OR(DD45="&lt;empty&gt;",DD27=0),"",DD45/DD27*1000)</f>
        <v/>
      </c>
      <c r="DE48" s="192" t="str">
        <f aca="false">IF(OR(DE45="&lt;empty&gt;",DE27=0),"",DE45/DE27*1000)</f>
        <v/>
      </c>
      <c r="DF48" s="192" t="str">
        <f aca="false">IF(OR(DF45="&lt;empty&gt;",DF27=0),"",DF45/DF27*1000)</f>
        <v/>
      </c>
      <c r="DG48" s="192" t="str">
        <f aca="false">IF(OR(DG45="&lt;empty&gt;",DG27=0),"",DG45/DG27*1000)</f>
        <v/>
      </c>
      <c r="DH48" s="192" t="str">
        <f aca="false">IF(OR(DH45="&lt;empty&gt;",DH27=0),"",DH45/DH27*1000)</f>
        <v/>
      </c>
      <c r="DI48" s="192" t="str">
        <f aca="false">IF(OR(DI45="&lt;empty&gt;",DI27=0),"",DI45/DI27*1000)</f>
        <v/>
      </c>
      <c r="DJ48" s="192" t="str">
        <f aca="false">IF(OR(DJ45="&lt;empty&gt;",DJ27=0),"",DJ45/DJ27*1000)</f>
        <v/>
      </c>
      <c r="DL48" s="192" t="str">
        <f aca="false">IF(OR(DL45="&lt;empty&gt;",DL27=0),"",DL45/DL27*1000)</f>
        <v/>
      </c>
      <c r="DM48" s="192" t="str">
        <f aca="false">IF(OR(DM45="&lt;empty&gt;",DM27=0),"",DM45/DM27*1000)</f>
        <v/>
      </c>
      <c r="DN48" s="192" t="str">
        <f aca="false">IF(OR(DN45="&lt;empty&gt;",DN27=0),"",DN45/DN27*1000)</f>
        <v/>
      </c>
      <c r="DO48" s="192" t="str">
        <f aca="false">IF(OR(DO45="&lt;empty&gt;",DO27=0),"",DO45/DO27*1000)</f>
        <v/>
      </c>
      <c r="DP48" s="192" t="str">
        <f aca="false">IF(OR(DP45="&lt;empty&gt;",DP27=0),"",DP45/DP27*1000)</f>
        <v/>
      </c>
      <c r="DQ48" s="192" t="str">
        <f aca="false">IF(OR(DQ45="&lt;empty&gt;",DQ27=0),"",DQ45/DQ27*1000)</f>
        <v/>
      </c>
      <c r="DR48" s="192" t="n">
        <f aca="false">IF(OR(DR45="&lt;empty&gt;",DR27=0),"",DR45/DR27*1000)</f>
        <v>11.0888567126144</v>
      </c>
      <c r="DS48" s="192" t="str">
        <f aca="false">IF(OR(DS45="&lt;empty&gt;",DS27=0),"",DS45/DS27*1000)</f>
        <v/>
      </c>
      <c r="DT48" s="192" t="str">
        <f aca="false">IF(OR(DT45="&lt;empty&gt;",DT27=0),"",DT45/DT27*1000)</f>
        <v/>
      </c>
      <c r="DU48" s="192" t="str">
        <f aca="false">IF(OR(DU45="&lt;empty&gt;",DU27=0),"",DU45/DU27*1000)</f>
        <v/>
      </c>
      <c r="DV48" s="192" t="str">
        <f aca="false">IF(OR(DV45="&lt;empty&gt;",DV27=0),"",DV45/DV27*1000)</f>
        <v/>
      </c>
      <c r="DW48" s="192" t="str">
        <f aca="false">IF(OR(DW45="&lt;empty&gt;",DW27=0),"",DW45/DW27*1000)</f>
        <v/>
      </c>
      <c r="DX48" s="192" t="str">
        <f aca="false">IF(OR(DX45="&lt;empty&gt;",DX27=0),"",DX45/DX27*1000)</f>
        <v/>
      </c>
      <c r="DY48" s="192" t="str">
        <f aca="false">IF(OR(DY45="&lt;empty&gt;",DY27=0),"",DY45/DY27*1000)</f>
        <v/>
      </c>
      <c r="DZ48" s="192" t="n">
        <f aca="false">IF(OR(DZ45="&lt;empty&gt;",DZ27=0),"",DZ45/DZ27*1000)</f>
        <v>0</v>
      </c>
      <c r="EA48" s="192" t="n">
        <f aca="false">IF(OR(EA45="&lt;empty&gt;",EA27=0),"",EA45/EA27*1000)</f>
        <v>0</v>
      </c>
      <c r="EB48" s="192" t="str">
        <f aca="false">IF(OR(EB45="&lt;empty&gt;",EB27=0),"",EB45/EB27*1000)</f>
        <v/>
      </c>
      <c r="EC48" s="192" t="str">
        <f aca="false">IF(OR(EC45="&lt;empty&gt;",EC27=0),"",EC45/EC27*1000)</f>
        <v/>
      </c>
      <c r="EE48" s="192" t="n">
        <f aca="false">IF(OR(EE45="&lt;empty&gt;",EE27=0),"",EE45/EE27*1000)</f>
        <v>0.00732519422863485</v>
      </c>
      <c r="EF48" s="192" t="n">
        <f aca="false">IF(OR(EF45="&lt;empty&gt;",EF27=0),"",EF45/EF27*1000)</f>
        <v>0.00732519422863485</v>
      </c>
      <c r="EG48" s="192" t="n">
        <f aca="false">IF(OR(EG45="&lt;empty&gt;",EG27=0),"",EG45/EG27*1000)</f>
        <v>0.00216426193118757</v>
      </c>
      <c r="EH48" s="192" t="n">
        <f aca="false">IF(OR(EH45="&lt;empty&gt;",EH27=0),"",EH45/EH27*1000)</f>
        <v>0.0192118226600985</v>
      </c>
      <c r="EI48" s="192" t="n">
        <f aca="false">IF(OR(EI45="&lt;empty&gt;",EI27=0),"",EI45/EI27*1000)</f>
        <v>0.0842364532019705</v>
      </c>
      <c r="EJ48" s="192" t="n">
        <f aca="false">IF(OR(EJ45="&lt;empty&gt;",EJ27=0),"",EJ45/EJ27*1000)</f>
        <v>0</v>
      </c>
      <c r="EK48" s="192" t="n">
        <f aca="false">IF(OR(EK45="&lt;empty&gt;",EK27=0),"",EK45/EK27*1000)</f>
        <v>0</v>
      </c>
      <c r="EL48" s="192" t="n">
        <f aca="false">IF(OR(EL45="&lt;empty&gt;",EL27=0),"",EL45/EL27*1000)</f>
        <v>0</v>
      </c>
      <c r="EM48" s="192" t="n">
        <f aca="false">IF(OR(EM45="&lt;empty&gt;",EM27=0),"",EM45/EM27*1000)</f>
        <v>0</v>
      </c>
      <c r="EN48" s="192" t="n">
        <f aca="false">IF(OR(EN45="&lt;empty&gt;",EN27=0),"",EN45/EN27*1000)</f>
        <v>0</v>
      </c>
      <c r="EO48" s="192" t="n">
        <f aca="false">IF(OR(EO45="&lt;empty&gt;",EO27=0),"",EO45/EO27*1000)</f>
        <v>0.335960591133005</v>
      </c>
      <c r="EP48" s="192" t="n">
        <f aca="false">IF(OR(EP45="&lt;empty&gt;",EP27=0),"",EP45/EP27*1000)</f>
        <v>0.335960591133005</v>
      </c>
      <c r="ER48" s="192" t="str">
        <f aca="false">IF(OR(ER45="&lt;empty&gt;",ER27=0),"",ER45/ER27*1000)</f>
        <v/>
      </c>
      <c r="ET48" s="192" t="str">
        <f aca="false">IF(OR(ET45="&lt;empty&gt;",ET27=0),"",ET45/ET27*1000)</f>
        <v/>
      </c>
      <c r="EU48" s="192" t="str">
        <f aca="false">IF(OR(EU45="&lt;empty&gt;",EU27=0),"",EU45/EU27*1000)</f>
        <v/>
      </c>
      <c r="EV48" s="192" t="str">
        <f aca="false">IF(OR(EV45="&lt;empty&gt;",EV27=0),"",EV45/EV27*1000)</f>
        <v/>
      </c>
      <c r="EW48" s="192" t="str">
        <f aca="false">IF(OR(EW45="&lt;empty&gt;",EW27=0),"",EW45/EW27*1000)</f>
        <v/>
      </c>
      <c r="EX48" s="192" t="str">
        <f aca="false">IF(OR(EX45="&lt;empty&gt;",EX27=0),"",EX45/EX27*1000)</f>
        <v/>
      </c>
      <c r="EY48" s="192" t="str">
        <f aca="false">IF(OR(EY45="&lt;empty&gt;",EY27=0),"",EY45/EY27*1000)</f>
        <v/>
      </c>
      <c r="EZ48" s="192" t="str">
        <f aca="false">IF(OR(EZ45="&lt;empty&gt;",EZ27=0),"",EZ45/EZ27*1000)</f>
        <v/>
      </c>
      <c r="FA48" s="192" t="str">
        <f aca="false">IF(OR(FA45="&lt;empty&gt;",FA27=0),"",FA45/FA27*1000)</f>
        <v/>
      </c>
      <c r="FB48" s="192" t="str">
        <f aca="false">IF(OR(FB45="&lt;empty&gt;",FB27=0),"",FB45/FB27*1000)</f>
        <v/>
      </c>
      <c r="FC48" s="192" t="str">
        <f aca="false">IF(OR(FC45="&lt;empty&gt;",FC27=0),"",FC45/FC27*1000)</f>
        <v/>
      </c>
      <c r="FD48" s="192" t="str">
        <f aca="false">IF(OR(FD45="&lt;empty&gt;",FD27=0),"",FD45/FD27*1000)</f>
        <v/>
      </c>
      <c r="FE48" s="192" t="str">
        <f aca="false">IF(OR(FE45="&lt;empty&gt;",FE27=0),"",FE45/FE27*1000)</f>
        <v/>
      </c>
      <c r="FF48" s="192" t="n">
        <f aca="false">IF(OR(FF45="&lt;empty&gt;",FF27=0),"",FF45/FF27*1000)</f>
        <v>2121.19745762712</v>
      </c>
      <c r="FG48" s="192" t="str">
        <f aca="false">IF(OR(FG45="&lt;empty&gt;",FG27=0),"",FG45/FG27*1000)</f>
        <v/>
      </c>
      <c r="FH48" s="192" t="n">
        <f aca="false">IF(OR(FH45="&lt;empty&gt;",FH27=0),"",FH45/FH27*1000)</f>
        <v>0</v>
      </c>
      <c r="FI48" s="192" t="str">
        <f aca="false">IF(OR(FI45="&lt;empty&gt;",FI27=0),"",FI45/FI27*1000)</f>
        <v/>
      </c>
    </row>
    <row r="50" s="134" customFormat="true" ht="15" hidden="false" customHeight="false" outlineLevel="0" collapsed="false">
      <c r="A50" s="197" t="s">
        <v>382</v>
      </c>
      <c r="B50" s="198" t="s">
        <v>329</v>
      </c>
      <c r="C50" s="134" t="e">
        <f aca="false">C26/C32</f>
        <v>#DIV/0!</v>
      </c>
      <c r="D50" s="134" t="e">
        <f aca="false">D26/D32</f>
        <v>#DIV/0!</v>
      </c>
      <c r="E50" s="134" t="e">
        <f aca="false">E26/E32</f>
        <v>#DIV/0!</v>
      </c>
      <c r="F50" s="134" t="e">
        <f aca="false">F26/F32</f>
        <v>#DIV/0!</v>
      </c>
      <c r="G50" s="134" t="e">
        <f aca="false">G26/G32</f>
        <v>#DIV/0!</v>
      </c>
      <c r="H50" s="134" t="e">
        <f aca="false">H26/H32</f>
        <v>#DIV/0!</v>
      </c>
      <c r="I50" s="134" t="e">
        <f aca="false">I26/I32</f>
        <v>#DIV/0!</v>
      </c>
      <c r="K50" s="134" t="e">
        <f aca="false">K26/K32</f>
        <v>#DIV/0!</v>
      </c>
      <c r="V50" s="134" t="e">
        <f aca="false">V26/V32</f>
        <v>#DIV/0!</v>
      </c>
      <c r="Y50" s="134" t="e">
        <f aca="false">Y26/Y32</f>
        <v>#DIV/0!</v>
      </c>
      <c r="Z50" s="134" t="e">
        <f aca="false">Z26/Z32</f>
        <v>#DIV/0!</v>
      </c>
      <c r="AA50" s="134" t="e">
        <f aca="false">AA26/AA32</f>
        <v>#DIV/0!</v>
      </c>
      <c r="AB50" s="134" t="e">
        <f aca="false">AB26/AB32</f>
        <v>#DIV/0!</v>
      </c>
      <c r="AC50" s="134" t="e">
        <f aca="false">AC26/AC32</f>
        <v>#DIV/0!</v>
      </c>
      <c r="AD50" s="134" t="e">
        <f aca="false">AD26/AD32</f>
        <v>#DIV/0!</v>
      </c>
      <c r="AE50" s="134" t="e">
        <f aca="false">AE26/AE32</f>
        <v>#DIV/0!</v>
      </c>
      <c r="AF50" s="134" t="e">
        <f aca="false">AF26/AF32</f>
        <v>#DIV/0!</v>
      </c>
      <c r="AG50" s="134" t="e">
        <f aca="false">AG26/AG32</f>
        <v>#DIV/0!</v>
      </c>
      <c r="AH50" s="134" t="e">
        <f aca="false">AH26/AH32</f>
        <v>#DIV/0!</v>
      </c>
      <c r="AI50" s="134" t="e">
        <f aca="false">AI26/AI32</f>
        <v>#DIV/0!</v>
      </c>
      <c r="AJ50" s="134" t="e">
        <f aca="false">AJ26/AJ32</f>
        <v>#DIV/0!</v>
      </c>
      <c r="AL50" s="134" t="e">
        <f aca="false">AL26/AL32</f>
        <v>#DIV/0!</v>
      </c>
      <c r="AM50" s="134" t="e">
        <f aca="false">AM26/AM32</f>
        <v>#DIV/0!</v>
      </c>
      <c r="AN50" s="134" t="e">
        <f aca="false">AN26/AN32</f>
        <v>#DIV/0!</v>
      </c>
      <c r="AO50" s="134" t="e">
        <f aca="false">AO26/AO32</f>
        <v>#DIV/0!</v>
      </c>
      <c r="AP50" s="134" t="e">
        <f aca="false">AP26/AP32</f>
        <v>#DIV/0!</v>
      </c>
      <c r="AQ50" s="134" t="e">
        <f aca="false">AQ26/AQ32</f>
        <v>#DIV/0!</v>
      </c>
      <c r="AR50" s="134" t="e">
        <f aca="false">AR26/AR32</f>
        <v>#DIV/0!</v>
      </c>
      <c r="AS50" s="134" t="e">
        <f aca="false">AS26/AS32</f>
        <v>#DIV/0!</v>
      </c>
      <c r="AT50" s="134" t="e">
        <f aca="false">AT26/AT32</f>
        <v>#DIV/0!</v>
      </c>
      <c r="AV50" s="134" t="e">
        <f aca="false">AV26/AV32</f>
        <v>#DIV/0!</v>
      </c>
      <c r="AW50" s="134" t="e">
        <f aca="false">AW26/AW32</f>
        <v>#DIV/0!</v>
      </c>
      <c r="AX50" s="134" t="e">
        <f aca="false">AX26/AX32</f>
        <v>#DIV/0!</v>
      </c>
      <c r="AY50" s="134" t="e">
        <f aca="false">AY26/AY32</f>
        <v>#DIV/0!</v>
      </c>
      <c r="AZ50" s="134" t="e">
        <f aca="false">AZ26/AZ32</f>
        <v>#DIV/0!</v>
      </c>
      <c r="BA50" s="134" t="e">
        <f aca="false">BA26/BA32</f>
        <v>#DIV/0!</v>
      </c>
      <c r="BB50" s="134" t="e">
        <f aca="false">BB26/BB32</f>
        <v>#DIV/0!</v>
      </c>
      <c r="BC50" s="134" t="e">
        <f aca="false">BC26/BC32</f>
        <v>#DIV/0!</v>
      </c>
      <c r="BD50" s="134" t="e">
        <f aca="false">BD26/BD32</f>
        <v>#DIV/0!</v>
      </c>
      <c r="BE50" s="134" t="e">
        <f aca="false">BE26/BE32</f>
        <v>#DIV/0!</v>
      </c>
      <c r="BF50" s="134" t="e">
        <f aca="false">BF26/BF32</f>
        <v>#DIV/0!</v>
      </c>
      <c r="BG50" s="134" t="e">
        <f aca="false">BG26/BG32</f>
        <v>#DIV/0!</v>
      </c>
      <c r="BH50" s="134" t="e">
        <f aca="false">BH26/BH32</f>
        <v>#DIV/0!</v>
      </c>
      <c r="BI50" s="134" t="e">
        <f aca="false">BI26/BI32</f>
        <v>#DIV/0!</v>
      </c>
      <c r="BJ50" s="134" t="e">
        <f aca="false">BJ26/BJ32</f>
        <v>#DIV/0!</v>
      </c>
      <c r="BK50" s="134" t="e">
        <f aca="false">BK26/BK32</f>
        <v>#DIV/0!</v>
      </c>
      <c r="BM50" s="134" t="e">
        <f aca="false">BM26/BM32</f>
        <v>#DIV/0!</v>
      </c>
      <c r="BO50" s="134" t="e">
        <f aca="false">BO26/BO32</f>
        <v>#DIV/0!</v>
      </c>
      <c r="BP50" s="134" t="e">
        <f aca="false">BP26/BP32</f>
        <v>#DIV/0!</v>
      </c>
      <c r="BQ50" s="134" t="e">
        <f aca="false">BQ26/BQ32</f>
        <v>#DIV/0!</v>
      </c>
      <c r="BS50" s="134" t="e">
        <f aca="false">BS26/BS32</f>
        <v>#DIV/0!</v>
      </c>
      <c r="BT50" s="134" t="e">
        <f aca="false">BT26/BT32</f>
        <v>#DIV/0!</v>
      </c>
      <c r="BU50" s="134" t="e">
        <f aca="false">BU26/BU32</f>
        <v>#DIV/0!</v>
      </c>
      <c r="BV50" s="134" t="e">
        <f aca="false">BV26/BV32</f>
        <v>#DIV/0!</v>
      </c>
      <c r="BW50" s="134" t="e">
        <f aca="false">BW26/BW32</f>
        <v>#DIV/0!</v>
      </c>
      <c r="BX50" s="134" t="e">
        <f aca="false">BX26/BX32</f>
        <v>#DIV/0!</v>
      </c>
      <c r="BY50" s="134" t="e">
        <f aca="false">BY26/BY32</f>
        <v>#DIV/0!</v>
      </c>
      <c r="BZ50" s="134" t="e">
        <f aca="false">BZ26/BZ32</f>
        <v>#DIV/0!</v>
      </c>
      <c r="CA50" s="134" t="e">
        <f aca="false">CA26/CA32</f>
        <v>#DIV/0!</v>
      </c>
      <c r="CB50" s="134" t="e">
        <f aca="false">CB26/CB32</f>
        <v>#DIV/0!</v>
      </c>
      <c r="CC50" s="134" t="e">
        <f aca="false">CC26/CC32</f>
        <v>#DIV/0!</v>
      </c>
      <c r="CD50" s="134" t="e">
        <f aca="false">CD26/CD32</f>
        <v>#DIV/0!</v>
      </c>
      <c r="CE50" s="134" t="e">
        <f aca="false">CE26/CE32</f>
        <v>#DIV/0!</v>
      </c>
      <c r="CF50" s="134" t="e">
        <f aca="false">CF26/CF32</f>
        <v>#DIV/0!</v>
      </c>
      <c r="CG50" s="134" t="e">
        <f aca="false">CG26/CG32</f>
        <v>#DIV/0!</v>
      </c>
      <c r="CH50" s="134" t="e">
        <f aca="false">CH26/CH32</f>
        <v>#DIV/0!</v>
      </c>
      <c r="CI50" s="134" t="e">
        <f aca="false">CI26/CI32</f>
        <v>#DIV/0!</v>
      </c>
      <c r="CJ50" s="134" t="e">
        <f aca="false">CJ26/CJ32</f>
        <v>#DIV/0!</v>
      </c>
      <c r="CK50" s="134" t="e">
        <f aca="false">CK26/CK32</f>
        <v>#DIV/0!</v>
      </c>
      <c r="CM50" s="134" t="e">
        <f aca="false">CM26/CM32</f>
        <v>#DIV/0!</v>
      </c>
      <c r="CN50" s="134" t="e">
        <f aca="false">CN26/CN32</f>
        <v>#DIV/0!</v>
      </c>
      <c r="CO50" s="134" t="e">
        <f aca="false">CO26/CO32</f>
        <v>#DIV/0!</v>
      </c>
      <c r="CP50" s="134" t="e">
        <f aca="false">CP26/CP32</f>
        <v>#DIV/0!</v>
      </c>
      <c r="CQ50" s="134" t="e">
        <f aca="false">CQ26/CQ32</f>
        <v>#DIV/0!</v>
      </c>
      <c r="CR50" s="134" t="e">
        <f aca="false">CR26/CR32</f>
        <v>#DIV/0!</v>
      </c>
      <c r="CS50" s="134" t="e">
        <f aca="false">CS26/CS32</f>
        <v>#DIV/0!</v>
      </c>
      <c r="CT50" s="134" t="e">
        <f aca="false">CT26/CT32</f>
        <v>#DIV/0!</v>
      </c>
      <c r="CV50" s="134" t="e">
        <f aca="false">CV26/CV32</f>
        <v>#DIV/0!</v>
      </c>
      <c r="CW50" s="134" t="e">
        <f aca="false">CW26/CW32</f>
        <v>#DIV/0!</v>
      </c>
      <c r="CX50" s="134" t="e">
        <f aca="false">CX26/CX32</f>
        <v>#DIV/0!</v>
      </c>
      <c r="CY50" s="134" t="e">
        <f aca="false">CY26/CY32</f>
        <v>#DIV/0!</v>
      </c>
      <c r="CZ50" s="134" t="e">
        <f aca="false">CZ26/CZ32</f>
        <v>#DIV/0!</v>
      </c>
      <c r="DB50" s="134" t="e">
        <f aca="false">DB26/DB32</f>
        <v>#DIV/0!</v>
      </c>
      <c r="DC50" s="134" t="e">
        <f aca="false">DC26/DC32</f>
        <v>#DIV/0!</v>
      </c>
      <c r="DD50" s="134" t="e">
        <f aca="false">DD26/DD32</f>
        <v>#DIV/0!</v>
      </c>
      <c r="DE50" s="134" t="e">
        <f aca="false">DE26/DE32</f>
        <v>#DIV/0!</v>
      </c>
      <c r="DF50" s="134" t="e">
        <f aca="false">DF26/DF32</f>
        <v>#DIV/0!</v>
      </c>
      <c r="DG50" s="134" t="e">
        <f aca="false">DG26/DG32</f>
        <v>#DIV/0!</v>
      </c>
      <c r="DH50" s="134" t="e">
        <f aca="false">DH26/DH32</f>
        <v>#DIV/0!</v>
      </c>
      <c r="DI50" s="134" t="e">
        <f aca="false">DI26/DI32</f>
        <v>#DIV/0!</v>
      </c>
      <c r="DJ50" s="134" t="e">
        <f aca="false">DJ26/DJ32</f>
        <v>#DIV/0!</v>
      </c>
      <c r="DL50" s="134" t="e">
        <f aca="false">DL26/DL32</f>
        <v>#DIV/0!</v>
      </c>
      <c r="DM50" s="134" t="e">
        <f aca="false">DM26/DM32</f>
        <v>#DIV/0!</v>
      </c>
      <c r="DN50" s="134" t="e">
        <f aca="false">DN26/DN32</f>
        <v>#DIV/0!</v>
      </c>
      <c r="DO50" s="134" t="e">
        <f aca="false">DO26/DO32</f>
        <v>#DIV/0!</v>
      </c>
      <c r="DP50" s="134" t="e">
        <f aca="false">DP26/DP32</f>
        <v>#DIV/0!</v>
      </c>
      <c r="DQ50" s="134" t="e">
        <f aca="false">DQ26/DQ32</f>
        <v>#DIV/0!</v>
      </c>
      <c r="DR50" s="134" t="e">
        <f aca="false">DR26/DR32</f>
        <v>#DIV/0!</v>
      </c>
      <c r="DS50" s="134" t="e">
        <f aca="false">DS26/DS32</f>
        <v>#DIV/0!</v>
      </c>
      <c r="DT50" s="134" t="e">
        <f aca="false">DT26/DT32</f>
        <v>#DIV/0!</v>
      </c>
      <c r="DU50" s="134" t="e">
        <f aca="false">DU26/DU32</f>
        <v>#DIV/0!</v>
      </c>
      <c r="DV50" s="134" t="e">
        <f aca="false">DV26/DV32</f>
        <v>#DIV/0!</v>
      </c>
      <c r="DW50" s="134" t="e">
        <f aca="false">DW26/DW32</f>
        <v>#DIV/0!</v>
      </c>
      <c r="DX50" s="134" t="e">
        <f aca="false">DX26/DX32</f>
        <v>#DIV/0!</v>
      </c>
      <c r="DY50" s="134" t="e">
        <f aca="false">DY26/DY32</f>
        <v>#DIV/0!</v>
      </c>
      <c r="DZ50" s="134" t="e">
        <f aca="false">DZ26/DZ32</f>
        <v>#DIV/0!</v>
      </c>
      <c r="EA50" s="134" t="e">
        <f aca="false">EA26/EA32</f>
        <v>#DIV/0!</v>
      </c>
      <c r="EB50" s="134" t="e">
        <f aca="false">EB26/EB32</f>
        <v>#DIV/0!</v>
      </c>
      <c r="EC50" s="134" t="e">
        <f aca="false">EC26/EC32</f>
        <v>#DIV/0!</v>
      </c>
      <c r="EE50" s="134" t="e">
        <f aca="false">EE26/EE32</f>
        <v>#DIV/0!</v>
      </c>
      <c r="EF50" s="134" t="e">
        <f aca="false">EF26/EF32</f>
        <v>#DIV/0!</v>
      </c>
      <c r="EG50" s="134" t="e">
        <f aca="false">EG26/EG32</f>
        <v>#DIV/0!</v>
      </c>
      <c r="EH50" s="134" t="e">
        <f aca="false">EH26/EH32</f>
        <v>#DIV/0!</v>
      </c>
      <c r="EI50" s="134" t="e">
        <f aca="false">EI26/EI32</f>
        <v>#DIV/0!</v>
      </c>
      <c r="EJ50" s="134" t="e">
        <f aca="false">EJ26/EJ32</f>
        <v>#DIV/0!</v>
      </c>
      <c r="EK50" s="134" t="e">
        <f aca="false">EK26/EK32</f>
        <v>#DIV/0!</v>
      </c>
      <c r="EL50" s="134" t="e">
        <f aca="false">EL26/EL32</f>
        <v>#DIV/0!</v>
      </c>
      <c r="EM50" s="134" t="e">
        <f aca="false">EM26/EM32</f>
        <v>#DIV/0!</v>
      </c>
      <c r="EN50" s="134" t="e">
        <f aca="false">EN26/EN32</f>
        <v>#DIV/0!</v>
      </c>
      <c r="EO50" s="134" t="e">
        <f aca="false">EO26/EO32</f>
        <v>#DIV/0!</v>
      </c>
      <c r="EP50" s="134" t="e">
        <f aca="false">EP26/EP32</f>
        <v>#DIV/0!</v>
      </c>
      <c r="ER50" s="134" t="e">
        <f aca="false">ER26/ER32</f>
        <v>#DIV/0!</v>
      </c>
      <c r="ET50" s="134" t="e">
        <f aca="false">ET26/ET32</f>
        <v>#DIV/0!</v>
      </c>
      <c r="EU50" s="134" t="e">
        <f aca="false">EU26/EU32</f>
        <v>#DIV/0!</v>
      </c>
      <c r="EV50" s="134" t="e">
        <f aca="false">EV26/EV32</f>
        <v>#DIV/0!</v>
      </c>
      <c r="EW50" s="134" t="e">
        <f aca="false">EW26/EW32</f>
        <v>#DIV/0!</v>
      </c>
      <c r="EX50" s="134" t="e">
        <f aca="false">EX26/EX32</f>
        <v>#DIV/0!</v>
      </c>
      <c r="EY50" s="134" t="e">
        <f aca="false">EY26/EY32</f>
        <v>#DIV/0!</v>
      </c>
      <c r="EZ50" s="134" t="e">
        <f aca="false">EZ26/EZ32</f>
        <v>#DIV/0!</v>
      </c>
      <c r="FA50" s="134" t="e">
        <f aca="false">FA26/FA32</f>
        <v>#DIV/0!</v>
      </c>
      <c r="FB50" s="134" t="e">
        <f aca="false">FB26/FB32</f>
        <v>#DIV/0!</v>
      </c>
      <c r="FC50" s="134" t="e">
        <f aca="false">FC26/FC32</f>
        <v>#DIV/0!</v>
      </c>
      <c r="FD50" s="134" t="e">
        <f aca="false">FD26/FD32</f>
        <v>#DIV/0!</v>
      </c>
      <c r="FE50" s="134" t="e">
        <f aca="false">FE26/FE32</f>
        <v>#DIV/0!</v>
      </c>
      <c r="FF50" s="134" t="e">
        <f aca="false">FF26/FF32</f>
        <v>#DIV/0!</v>
      </c>
      <c r="FG50" s="165" t="n">
        <f aca="false">FG6</f>
        <v>2.8</v>
      </c>
      <c r="FH50" s="165" t="n">
        <f aca="false">FH6</f>
        <v>0.7</v>
      </c>
      <c r="FI50" s="134" t="e">
        <f aca="false">FI26/FI32</f>
        <v>#DIV/0!</v>
      </c>
    </row>
    <row r="51" s="134" customFormat="true" ht="15" hidden="false" customHeight="false" outlineLevel="0" collapsed="false">
      <c r="A51" s="198" t="s">
        <v>383</v>
      </c>
      <c r="B51" s="198" t="s">
        <v>329</v>
      </c>
      <c r="C51" s="134" t="n">
        <f aca="false">C25/34</f>
        <v>0</v>
      </c>
      <c r="D51" s="134" t="n">
        <f aca="false">D25/34</f>
        <v>0</v>
      </c>
      <c r="E51" s="134" t="n">
        <f aca="false">E25/34</f>
        <v>0</v>
      </c>
      <c r="F51" s="134" t="n">
        <f aca="false">F25/34</f>
        <v>0</v>
      </c>
      <c r="G51" s="134" t="n">
        <f aca="false">G25/34</f>
        <v>0</v>
      </c>
      <c r="H51" s="134" t="n">
        <f aca="false">H25/34</f>
        <v>0</v>
      </c>
      <c r="I51" s="134" t="n">
        <f aca="false">I25/34</f>
        <v>0</v>
      </c>
      <c r="K51" s="134" t="n">
        <f aca="false">K25/34</f>
        <v>0</v>
      </c>
      <c r="V51" s="134" t="n">
        <f aca="false">V25/34</f>
        <v>0</v>
      </c>
      <c r="Y51" s="134" t="n">
        <f aca="false">Y25/34</f>
        <v>0</v>
      </c>
      <c r="Z51" s="134" t="n">
        <f aca="false">Z25/34</f>
        <v>0</v>
      </c>
      <c r="AA51" s="134" t="n">
        <f aca="false">AA25/34</f>
        <v>0</v>
      </c>
      <c r="AB51" s="134" t="n">
        <f aca="false">AB25/34</f>
        <v>0</v>
      </c>
      <c r="AC51" s="134" t="n">
        <f aca="false">AC25/34</f>
        <v>0</v>
      </c>
      <c r="AD51" s="134" t="n">
        <f aca="false">AD25/34</f>
        <v>0</v>
      </c>
      <c r="AE51" s="134" t="n">
        <f aca="false">AE25/34</f>
        <v>0</v>
      </c>
      <c r="AF51" s="134" t="n">
        <f aca="false">AF25/34</f>
        <v>0.000294117647058824</v>
      </c>
      <c r="AG51" s="134" t="n">
        <f aca="false">AG25/34</f>
        <v>0.000294117647058824</v>
      </c>
      <c r="AH51" s="134" t="n">
        <f aca="false">AH25/34</f>
        <v>0.000294117647058824</v>
      </c>
      <c r="AI51" s="134" t="n">
        <f aca="false">AI25/34</f>
        <v>0.000294117647058824</v>
      </c>
      <c r="AJ51" s="134" t="n">
        <f aca="false">AJ25/34</f>
        <v>0.000294117647058824</v>
      </c>
      <c r="AL51" s="134" t="n">
        <f aca="false">AL25/34</f>
        <v>0.000882352941176471</v>
      </c>
      <c r="AM51" s="134" t="n">
        <f aca="false">AM25/34</f>
        <v>0.000882352941176471</v>
      </c>
      <c r="AN51" s="134" t="n">
        <f aca="false">AN25/34</f>
        <v>0.000882352941176471</v>
      </c>
      <c r="AO51" s="134" t="n">
        <f aca="false">AO25/34</f>
        <v>0.000882352941176471</v>
      </c>
      <c r="AP51" s="134" t="n">
        <f aca="false">AP25/34</f>
        <v>0.000882352941176471</v>
      </c>
      <c r="AQ51" s="134" t="n">
        <f aca="false">AQ25/34</f>
        <v>0</v>
      </c>
      <c r="AR51" s="134" t="n">
        <f aca="false">AR25/34</f>
        <v>0.000588235294117647</v>
      </c>
      <c r="AS51" s="134" t="n">
        <f aca="false">AS25/34</f>
        <v>0.000588235294117647</v>
      </c>
      <c r="AT51" s="134" t="n">
        <f aca="false">AT25/34</f>
        <v>0.000588235294117647</v>
      </c>
      <c r="AV51" s="134" t="n">
        <f aca="false">AV25/34</f>
        <v>0.000588235294117647</v>
      </c>
      <c r="AW51" s="134" t="n">
        <f aca="false">AW25/34</f>
        <v>0.000588235294117647</v>
      </c>
      <c r="AX51" s="134" t="n">
        <f aca="false">AX25/34</f>
        <v>0</v>
      </c>
      <c r="AY51" s="134" t="n">
        <f aca="false">AY25/34</f>
        <v>0.000588235294117647</v>
      </c>
      <c r="AZ51" s="134" t="n">
        <f aca="false">AZ25/34</f>
        <v>0.000588235294117647</v>
      </c>
      <c r="BA51" s="134" t="n">
        <f aca="false">BA25/34</f>
        <v>0.000588235294117647</v>
      </c>
      <c r="BB51" s="134" t="n">
        <f aca="false">BB25/34</f>
        <v>0.000588235294117647</v>
      </c>
      <c r="BC51" s="134" t="n">
        <f aca="false">BC25/34</f>
        <v>0.000294117647058824</v>
      </c>
      <c r="BD51" s="134" t="n">
        <f aca="false">BD25/34</f>
        <v>0.000294117647058824</v>
      </c>
      <c r="BE51" s="134" t="n">
        <f aca="false">BE25/34</f>
        <v>0.000294117647058824</v>
      </c>
      <c r="BF51" s="134" t="n">
        <f aca="false">BF25/34</f>
        <v>0.000294117647058824</v>
      </c>
      <c r="BG51" s="134" t="n">
        <f aca="false">BG25/34</f>
        <v>0.000294117647058824</v>
      </c>
      <c r="BH51" s="134" t="n">
        <f aca="false">BH25/34</f>
        <v>0.000294117647058824</v>
      </c>
      <c r="BI51" s="134" t="n">
        <f aca="false">BI25/34</f>
        <v>0.000294117647058824</v>
      </c>
      <c r="BJ51" s="134" t="n">
        <f aca="false">BJ25/34</f>
        <v>0.000294117647058824</v>
      </c>
      <c r="BK51" s="134" t="n">
        <f aca="false">BK25/34</f>
        <v>0.000294117647058824</v>
      </c>
      <c r="BM51" s="134" t="n">
        <f aca="false">BM25/34</f>
        <v>0.000588235294117647</v>
      </c>
      <c r="BO51" s="134" t="n">
        <f aca="false">BO25/34</f>
        <v>0</v>
      </c>
      <c r="BP51" s="134" t="n">
        <f aca="false">BP25/34</f>
        <v>0</v>
      </c>
      <c r="BQ51" s="134" t="n">
        <f aca="false">BQ25/34</f>
        <v>0</v>
      </c>
      <c r="BS51" s="134" t="n">
        <f aca="false">BS25/34</f>
        <v>0</v>
      </c>
      <c r="BT51" s="134" t="n">
        <f aca="false">BT25/34</f>
        <v>0</v>
      </c>
      <c r="BU51" s="134" t="n">
        <f aca="false">BU25/34</f>
        <v>0.000294117647058824</v>
      </c>
      <c r="BV51" s="134" t="n">
        <f aca="false">BV25/34</f>
        <v>0.000588235294117647</v>
      </c>
      <c r="BW51" s="134" t="n">
        <f aca="false">BW25/34</f>
        <v>0</v>
      </c>
      <c r="BX51" s="134" t="n">
        <f aca="false">BX25/34</f>
        <v>0.000588235294117647</v>
      </c>
      <c r="BY51" s="134" t="n">
        <f aca="false">BY25/34</f>
        <v>0.000588235294117647</v>
      </c>
      <c r="BZ51" s="134" t="n">
        <f aca="false">BZ25/34</f>
        <v>0.000294117647058824</v>
      </c>
      <c r="CA51" s="134" t="n">
        <f aca="false">CA25/34</f>
        <v>0.000294117647058824</v>
      </c>
      <c r="CB51" s="134" t="n">
        <f aca="false">CB25/34</f>
        <v>0.000294117647058824</v>
      </c>
      <c r="CC51" s="134" t="n">
        <f aca="false">CC25/34</f>
        <v>0</v>
      </c>
      <c r="CD51" s="134" t="n">
        <f aca="false">CD25/34</f>
        <v>0</v>
      </c>
      <c r="CE51" s="134" t="n">
        <f aca="false">CE25/34</f>
        <v>0.000294117647058824</v>
      </c>
      <c r="CF51" s="134" t="n">
        <f aca="false">CF25/34</f>
        <v>0</v>
      </c>
      <c r="CG51" s="134" t="n">
        <f aca="false">CG25/34</f>
        <v>0</v>
      </c>
      <c r="CH51" s="134" t="n">
        <f aca="false">CH25/34</f>
        <v>0.000294117647058824</v>
      </c>
      <c r="CI51" s="134" t="n">
        <f aca="false">CI25/34</f>
        <v>0.000294117647058824</v>
      </c>
      <c r="CJ51" s="134" t="n">
        <f aca="false">CJ25/34</f>
        <v>0.000294117647058824</v>
      </c>
      <c r="CK51" s="134" t="n">
        <f aca="false">CK25/34</f>
        <v>0.000294117647058824</v>
      </c>
      <c r="CM51" s="134" t="n">
        <f aca="false">CM25/34</f>
        <v>0</v>
      </c>
      <c r="CN51" s="134" t="n">
        <f aca="false">CN25/34</f>
        <v>0</v>
      </c>
      <c r="CO51" s="134" t="n">
        <f aca="false">CO25/34</f>
        <v>0</v>
      </c>
      <c r="CP51" s="134" t="n">
        <f aca="false">CP25/34</f>
        <v>0</v>
      </c>
      <c r="CQ51" s="134" t="n">
        <f aca="false">CQ25/34</f>
        <v>0.000294117647058824</v>
      </c>
      <c r="CR51" s="134" t="n">
        <f aca="false">CR25/34</f>
        <v>0.000294117647058824</v>
      </c>
      <c r="CS51" s="134" t="n">
        <f aca="false">CS25/34</f>
        <v>0.000588235294117647</v>
      </c>
      <c r="CT51" s="134" t="n">
        <f aca="false">CT25/34</f>
        <v>0.000588235294117647</v>
      </c>
      <c r="CV51" s="134" t="n">
        <f aca="false">CV25/34</f>
        <v>0.000588235294117647</v>
      </c>
      <c r="CW51" s="134" t="n">
        <f aca="false">CW25/34</f>
        <v>0.000588235294117647</v>
      </c>
      <c r="CX51" s="134" t="n">
        <f aca="false">CX25/34</f>
        <v>0.000588235294117647</v>
      </c>
      <c r="CY51" s="134" t="n">
        <f aca="false">CY25/34</f>
        <v>0</v>
      </c>
      <c r="CZ51" s="134" t="n">
        <f aca="false">CZ25/34</f>
        <v>0</v>
      </c>
      <c r="DB51" s="134" t="n">
        <f aca="false">DB25/34</f>
        <v>0.000294117647058824</v>
      </c>
      <c r="DC51" s="134" t="n">
        <f aca="false">DC25/34</f>
        <v>0</v>
      </c>
      <c r="DD51" s="134" t="n">
        <f aca="false">DD25/34</f>
        <v>0</v>
      </c>
      <c r="DE51" s="134" t="n">
        <f aca="false">DE25/34</f>
        <v>0</v>
      </c>
      <c r="DF51" s="134" t="n">
        <f aca="false">DF25/34</f>
        <v>0</v>
      </c>
      <c r="DG51" s="134" t="n">
        <f aca="false">DG25/34</f>
        <v>0</v>
      </c>
      <c r="DH51" s="134" t="n">
        <f aca="false">DH25/34</f>
        <v>0</v>
      </c>
      <c r="DI51" s="134" t="n">
        <f aca="false">DI25/34</f>
        <v>0</v>
      </c>
      <c r="DJ51" s="134" t="n">
        <f aca="false">DJ25/34</f>
        <v>0</v>
      </c>
      <c r="DL51" s="134" t="n">
        <f aca="false">DL25/34</f>
        <v>0</v>
      </c>
      <c r="DM51" s="134" t="n">
        <f aca="false">DM25/34</f>
        <v>0</v>
      </c>
      <c r="DN51" s="134" t="n">
        <f aca="false">DN25/34</f>
        <v>0</v>
      </c>
      <c r="DO51" s="134" t="n">
        <f aca="false">DO25/34</f>
        <v>0</v>
      </c>
      <c r="DP51" s="134" t="n">
        <f aca="false">DP25/34</f>
        <v>0</v>
      </c>
      <c r="DQ51" s="134" t="n">
        <f aca="false">DQ25/34</f>
        <v>0</v>
      </c>
      <c r="DR51" s="134" t="n">
        <f aca="false">DR25/34</f>
        <v>0.000294117647058824</v>
      </c>
      <c r="DS51" s="134" t="n">
        <f aca="false">DS25/34</f>
        <v>0</v>
      </c>
      <c r="DT51" s="134" t="n">
        <f aca="false">DT25/34</f>
        <v>0</v>
      </c>
      <c r="DU51" s="134" t="n">
        <f aca="false">DU25/34</f>
        <v>0</v>
      </c>
      <c r="DV51" s="134" t="n">
        <f aca="false">DV25/34</f>
        <v>0</v>
      </c>
      <c r="DW51" s="134" t="n">
        <f aca="false">DW25/34</f>
        <v>0</v>
      </c>
      <c r="DX51" s="134" t="n">
        <f aca="false">DX25/34</f>
        <v>0</v>
      </c>
      <c r="DY51" s="134" t="n">
        <f aca="false">DY25/34</f>
        <v>0</v>
      </c>
      <c r="DZ51" s="134" t="n">
        <f aca="false">DZ25/34</f>
        <v>0.000588235294117647</v>
      </c>
      <c r="EA51" s="134" t="n">
        <f aca="false">EA25/34</f>
        <v>0.000294117647058824</v>
      </c>
      <c r="EB51" s="134" t="n">
        <f aca="false">EB25/34</f>
        <v>0.000294117647058824</v>
      </c>
      <c r="EC51" s="134" t="n">
        <f aca="false">EC25/34</f>
        <v>0</v>
      </c>
      <c r="EE51" s="134" t="n">
        <f aca="false">EE25/34</f>
        <v>0.000588235294117647</v>
      </c>
      <c r="EF51" s="134" t="n">
        <f aca="false">EF25/34</f>
        <v>0.000588235294117647</v>
      </c>
      <c r="EG51" s="134" t="n">
        <f aca="false">EG25/34</f>
        <v>0.000588235294117647</v>
      </c>
      <c r="EH51" s="134" t="n">
        <f aca="false">EH25/34</f>
        <v>0.000294117647058824</v>
      </c>
      <c r="EI51" s="134" t="n">
        <f aca="false">EI25/34</f>
        <v>0.000294117647058824</v>
      </c>
      <c r="EJ51" s="134" t="n">
        <f aca="false">EJ25/34</f>
        <v>0.000294117647058824</v>
      </c>
      <c r="EK51" s="134" t="n">
        <f aca="false">EK25/34</f>
        <v>0.000294117647058824</v>
      </c>
      <c r="EL51" s="134" t="n">
        <f aca="false">EL25/34</f>
        <v>0.000294117647058824</v>
      </c>
      <c r="EM51" s="134" t="n">
        <f aca="false">EM25/34</f>
        <v>0.000294117647058824</v>
      </c>
      <c r="EN51" s="134" t="n">
        <f aca="false">EN25/34</f>
        <v>0.000294117647058824</v>
      </c>
      <c r="EO51" s="134" t="n">
        <f aca="false">EO25/34</f>
        <v>0.000294117647058824</v>
      </c>
      <c r="EP51" s="134" t="n">
        <f aca="false">EP25/34</f>
        <v>0.000294117647058824</v>
      </c>
      <c r="ER51" s="134" t="n">
        <f aca="false">ER25/34</f>
        <v>0.000294117647058824</v>
      </c>
      <c r="ET51" s="134" t="n">
        <f aca="false">ET25/34</f>
        <v>0.000294117647058824</v>
      </c>
      <c r="EU51" s="134" t="n">
        <f aca="false">EU25/34</f>
        <v>0.000294117647058824</v>
      </c>
      <c r="EV51" s="134" t="n">
        <f aca="false">EV25/34</f>
        <v>0.000294117647058824</v>
      </c>
      <c r="EW51" s="134" t="n">
        <f aca="false">EW25/34</f>
        <v>0</v>
      </c>
      <c r="EX51" s="134" t="n">
        <f aca="false">EX25/34</f>
        <v>0</v>
      </c>
      <c r="EY51" s="134" t="n">
        <f aca="false">EY25/34</f>
        <v>0</v>
      </c>
      <c r="EZ51" s="134" t="n">
        <f aca="false">EZ25/34</f>
        <v>0</v>
      </c>
      <c r="FA51" s="134" t="n">
        <f aca="false">FA25/34</f>
        <v>0</v>
      </c>
      <c r="FB51" s="134" t="n">
        <f aca="false">FB25/34</f>
        <v>0.000294117647058824</v>
      </c>
      <c r="FC51" s="134" t="n">
        <f aca="false">FC25/34</f>
        <v>0.000294117647058824</v>
      </c>
      <c r="FD51" s="134" t="n">
        <f aca="false">FD25/34</f>
        <v>0.000294117647058824</v>
      </c>
      <c r="FE51" s="134" t="n">
        <f aca="false">FE25/34</f>
        <v>0</v>
      </c>
      <c r="FF51" s="134" t="n">
        <f aca="false">FF25/34</f>
        <v>0.000294117647058824</v>
      </c>
      <c r="FG51" s="134" t="n">
        <f aca="false">FG25/34</f>
        <v>0</v>
      </c>
      <c r="FH51" s="134" t="n">
        <f aca="false">FH25/34</f>
        <v>0.000294117647058824</v>
      </c>
      <c r="FI51" s="134" t="n">
        <f aca="false">FI25/34</f>
        <v>0.000294117647058824</v>
      </c>
    </row>
    <row r="52" s="200" customFormat="true" ht="15" hidden="false" customHeight="false" outlineLevel="0" collapsed="false">
      <c r="A52" s="199" t="s">
        <v>384</v>
      </c>
      <c r="B52" s="199" t="s">
        <v>374</v>
      </c>
      <c r="C52" s="200" t="e">
        <f aca="false">C51/C50*100</f>
        <v>#DIV/0!</v>
      </c>
      <c r="D52" s="200" t="e">
        <f aca="false">D51/D50*100</f>
        <v>#DIV/0!</v>
      </c>
      <c r="E52" s="200" t="e">
        <f aca="false">E51/E50*100</f>
        <v>#DIV/0!</v>
      </c>
      <c r="F52" s="200" t="e">
        <f aca="false">F51/F50*100</f>
        <v>#DIV/0!</v>
      </c>
      <c r="G52" s="200" t="e">
        <f aca="false">G51/G50*100</f>
        <v>#DIV/0!</v>
      </c>
      <c r="H52" s="200" t="e">
        <f aca="false">H51/H50*100</f>
        <v>#DIV/0!</v>
      </c>
      <c r="I52" s="200" t="e">
        <f aca="false">I51/I50*100</f>
        <v>#DIV/0!</v>
      </c>
      <c r="K52" s="200" t="e">
        <f aca="false">K51/K50*100</f>
        <v>#DIV/0!</v>
      </c>
      <c r="V52" s="200" t="e">
        <f aca="false">V51/V50*100</f>
        <v>#DIV/0!</v>
      </c>
      <c r="Y52" s="200" t="e">
        <f aca="false">Y51/Y50*100</f>
        <v>#DIV/0!</v>
      </c>
      <c r="Z52" s="200" t="e">
        <f aca="false">Z51/Z50*100</f>
        <v>#DIV/0!</v>
      </c>
      <c r="AA52" s="200" t="e">
        <f aca="false">AA51/AA50*100</f>
        <v>#DIV/0!</v>
      </c>
      <c r="AB52" s="200" t="e">
        <f aca="false">AB51/AB50*100</f>
        <v>#DIV/0!</v>
      </c>
      <c r="AC52" s="200" t="e">
        <f aca="false">AC51/AC50*100</f>
        <v>#DIV/0!</v>
      </c>
      <c r="AD52" s="200" t="e">
        <f aca="false">AD51/AD50*100</f>
        <v>#DIV/0!</v>
      </c>
      <c r="AE52" s="200" t="e">
        <f aca="false">AE51/AE50*100</f>
        <v>#DIV/0!</v>
      </c>
      <c r="AF52" s="200" t="e">
        <f aca="false">AF51/AF50*100</f>
        <v>#DIV/0!</v>
      </c>
      <c r="AG52" s="200" t="e">
        <f aca="false">AG51/AG50*100</f>
        <v>#DIV/0!</v>
      </c>
      <c r="AH52" s="200" t="e">
        <f aca="false">AH51/AH50*100</f>
        <v>#DIV/0!</v>
      </c>
      <c r="AI52" s="200" t="e">
        <f aca="false">AI51/AI50*100</f>
        <v>#DIV/0!</v>
      </c>
      <c r="AJ52" s="200" t="e">
        <f aca="false">AJ51/AJ50*100</f>
        <v>#DIV/0!</v>
      </c>
      <c r="AL52" s="200" t="e">
        <f aca="false">AL51/AL50*100</f>
        <v>#DIV/0!</v>
      </c>
      <c r="AM52" s="200" t="e">
        <f aca="false">AM51/AM50*100</f>
        <v>#DIV/0!</v>
      </c>
      <c r="AN52" s="200" t="e">
        <f aca="false">AN51/AN50*100</f>
        <v>#DIV/0!</v>
      </c>
      <c r="AO52" s="200" t="e">
        <f aca="false">AO51/AO50*100</f>
        <v>#DIV/0!</v>
      </c>
      <c r="AP52" s="200" t="e">
        <f aca="false">AP51/AP50*100</f>
        <v>#DIV/0!</v>
      </c>
      <c r="AQ52" s="200" t="e">
        <f aca="false">AQ51/AQ50*100</f>
        <v>#DIV/0!</v>
      </c>
      <c r="AR52" s="200" t="e">
        <f aca="false">AR51/AR50*100</f>
        <v>#DIV/0!</v>
      </c>
      <c r="AS52" s="200" t="e">
        <f aca="false">AS51/AS50*100</f>
        <v>#DIV/0!</v>
      </c>
      <c r="AT52" s="200" t="e">
        <f aca="false">AT51/AT50*100</f>
        <v>#DIV/0!</v>
      </c>
      <c r="AV52" s="200" t="e">
        <f aca="false">AV51/AV50*100</f>
        <v>#DIV/0!</v>
      </c>
      <c r="AW52" s="200" t="e">
        <f aca="false">AW51/AW50*100</f>
        <v>#DIV/0!</v>
      </c>
      <c r="AX52" s="200" t="e">
        <f aca="false">AX51/AX50*100</f>
        <v>#DIV/0!</v>
      </c>
      <c r="AY52" s="200" t="e">
        <f aca="false">AY51/AY50*100</f>
        <v>#DIV/0!</v>
      </c>
      <c r="AZ52" s="200" t="e">
        <f aca="false">AZ51/AZ50*100</f>
        <v>#DIV/0!</v>
      </c>
      <c r="BA52" s="200" t="e">
        <f aca="false">BA51/BA50*100</f>
        <v>#DIV/0!</v>
      </c>
      <c r="BB52" s="200" t="e">
        <f aca="false">BB51/BB50*100</f>
        <v>#DIV/0!</v>
      </c>
      <c r="BC52" s="200" t="e">
        <f aca="false">BC51/BC50*100</f>
        <v>#DIV/0!</v>
      </c>
      <c r="BD52" s="200" t="e">
        <f aca="false">BD51/BD50*100</f>
        <v>#DIV/0!</v>
      </c>
      <c r="BE52" s="200" t="e">
        <f aca="false">BE51/BE50*100</f>
        <v>#DIV/0!</v>
      </c>
      <c r="BF52" s="200" t="e">
        <f aca="false">BF51/BF50*100</f>
        <v>#DIV/0!</v>
      </c>
      <c r="BG52" s="200" t="e">
        <f aca="false">BG51/BG50*100</f>
        <v>#DIV/0!</v>
      </c>
      <c r="BH52" s="200" t="e">
        <f aca="false">BH51/BH50*100</f>
        <v>#DIV/0!</v>
      </c>
      <c r="BI52" s="200" t="e">
        <f aca="false">BI51/BI50*100</f>
        <v>#DIV/0!</v>
      </c>
      <c r="BJ52" s="200" t="e">
        <f aca="false">BJ51/BJ50*100</f>
        <v>#DIV/0!</v>
      </c>
      <c r="BK52" s="200" t="e">
        <f aca="false">BK51/BK50*100</f>
        <v>#DIV/0!</v>
      </c>
      <c r="BM52" s="200" t="e">
        <f aca="false">BM51/BM50*100</f>
        <v>#DIV/0!</v>
      </c>
      <c r="BO52" s="200" t="e">
        <f aca="false">BO51/BO50*100</f>
        <v>#DIV/0!</v>
      </c>
      <c r="BP52" s="200" t="e">
        <f aca="false">BP51/BP50*100</f>
        <v>#DIV/0!</v>
      </c>
      <c r="BQ52" s="200" t="e">
        <f aca="false">BQ51/BQ50*100</f>
        <v>#DIV/0!</v>
      </c>
      <c r="BS52" s="200" t="e">
        <f aca="false">BS51/BS50*100</f>
        <v>#DIV/0!</v>
      </c>
      <c r="BT52" s="200" t="e">
        <f aca="false">BT51/BT50*100</f>
        <v>#DIV/0!</v>
      </c>
      <c r="BU52" s="200" t="e">
        <f aca="false">BU51/BU50*100</f>
        <v>#DIV/0!</v>
      </c>
      <c r="BV52" s="200" t="e">
        <f aca="false">BV51/BV50*100</f>
        <v>#DIV/0!</v>
      </c>
      <c r="BW52" s="200" t="e">
        <f aca="false">BW51/BW50*100</f>
        <v>#DIV/0!</v>
      </c>
      <c r="BX52" s="200" t="e">
        <f aca="false">BX51/BX50*100</f>
        <v>#DIV/0!</v>
      </c>
      <c r="BY52" s="200" t="e">
        <f aca="false">BY51/BY50*100</f>
        <v>#DIV/0!</v>
      </c>
      <c r="BZ52" s="200" t="e">
        <f aca="false">BZ51/BZ50*100</f>
        <v>#DIV/0!</v>
      </c>
      <c r="CA52" s="200" t="e">
        <f aca="false">CA51/CA50*100</f>
        <v>#DIV/0!</v>
      </c>
      <c r="CB52" s="200" t="e">
        <f aca="false">CB51/CB50*100</f>
        <v>#DIV/0!</v>
      </c>
      <c r="CC52" s="200" t="e">
        <f aca="false">CC51/CC50*100</f>
        <v>#DIV/0!</v>
      </c>
      <c r="CD52" s="200" t="e">
        <f aca="false">CD51/CD50*100</f>
        <v>#DIV/0!</v>
      </c>
      <c r="CE52" s="200" t="e">
        <f aca="false">CE51/CE50*100</f>
        <v>#DIV/0!</v>
      </c>
      <c r="CF52" s="200" t="e">
        <f aca="false">CF51/CF50*100</f>
        <v>#DIV/0!</v>
      </c>
      <c r="CG52" s="200" t="e">
        <f aca="false">CG51/CG50*100</f>
        <v>#DIV/0!</v>
      </c>
      <c r="CH52" s="200" t="e">
        <f aca="false">CH51/CH50*100</f>
        <v>#DIV/0!</v>
      </c>
      <c r="CI52" s="200" t="e">
        <f aca="false">CI51/CI50*100</f>
        <v>#DIV/0!</v>
      </c>
      <c r="CJ52" s="200" t="e">
        <f aca="false">CJ51/CJ50*100</f>
        <v>#DIV/0!</v>
      </c>
      <c r="CK52" s="200" t="e">
        <f aca="false">CK51/CK50*100</f>
        <v>#DIV/0!</v>
      </c>
      <c r="CM52" s="200" t="e">
        <f aca="false">CM51/CM50*100</f>
        <v>#DIV/0!</v>
      </c>
      <c r="CN52" s="200" t="e">
        <f aca="false">CN51/CN50*100</f>
        <v>#DIV/0!</v>
      </c>
      <c r="CO52" s="200" t="e">
        <f aca="false">CO51/CO50*100</f>
        <v>#DIV/0!</v>
      </c>
      <c r="CP52" s="200" t="e">
        <f aca="false">CP51/CP50*100</f>
        <v>#DIV/0!</v>
      </c>
      <c r="CQ52" s="200" t="e">
        <f aca="false">CQ51/CQ50*100</f>
        <v>#DIV/0!</v>
      </c>
      <c r="CR52" s="200" t="e">
        <f aca="false">CR51/CR50*100</f>
        <v>#DIV/0!</v>
      </c>
      <c r="CS52" s="200" t="e">
        <f aca="false">CS51/CS50*100</f>
        <v>#DIV/0!</v>
      </c>
      <c r="CT52" s="200" t="e">
        <f aca="false">CT51/CT50*100</f>
        <v>#DIV/0!</v>
      </c>
      <c r="CV52" s="200" t="e">
        <f aca="false">CV51/CV50*100</f>
        <v>#DIV/0!</v>
      </c>
      <c r="CW52" s="200" t="e">
        <f aca="false">CW51/CW50*100</f>
        <v>#DIV/0!</v>
      </c>
      <c r="CX52" s="200" t="e">
        <f aca="false">CX51/CX50*100</f>
        <v>#DIV/0!</v>
      </c>
      <c r="CY52" s="200" t="e">
        <f aca="false">CY51/CY50*100</f>
        <v>#DIV/0!</v>
      </c>
      <c r="CZ52" s="200" t="e">
        <f aca="false">CZ51/CZ50*100</f>
        <v>#DIV/0!</v>
      </c>
      <c r="DB52" s="200" t="e">
        <f aca="false">DB51/DB50*100</f>
        <v>#DIV/0!</v>
      </c>
      <c r="DC52" s="200" t="e">
        <f aca="false">DC51/DC50*100</f>
        <v>#DIV/0!</v>
      </c>
      <c r="DD52" s="200" t="e">
        <f aca="false">DD51/DD50*100</f>
        <v>#DIV/0!</v>
      </c>
      <c r="DE52" s="200" t="e">
        <f aca="false">DE51/DE50*100</f>
        <v>#DIV/0!</v>
      </c>
      <c r="DF52" s="200" t="e">
        <f aca="false">DF51/DF50*100</f>
        <v>#DIV/0!</v>
      </c>
      <c r="DG52" s="200" t="e">
        <f aca="false">DG51/DG50*100</f>
        <v>#DIV/0!</v>
      </c>
      <c r="DH52" s="200" t="e">
        <f aca="false">DH51/DH50*100</f>
        <v>#DIV/0!</v>
      </c>
      <c r="DI52" s="200" t="e">
        <f aca="false">DI51/DI50*100</f>
        <v>#DIV/0!</v>
      </c>
      <c r="DJ52" s="200" t="e">
        <f aca="false">DJ51/DJ50*100</f>
        <v>#DIV/0!</v>
      </c>
      <c r="DL52" s="200" t="e">
        <f aca="false">DL51/DL50*100</f>
        <v>#DIV/0!</v>
      </c>
      <c r="DM52" s="200" t="e">
        <f aca="false">DM51/DM50*100</f>
        <v>#DIV/0!</v>
      </c>
      <c r="DN52" s="200" t="e">
        <f aca="false">DN51/DN50*100</f>
        <v>#DIV/0!</v>
      </c>
      <c r="DO52" s="200" t="e">
        <f aca="false">DO51/DO50*100</f>
        <v>#DIV/0!</v>
      </c>
      <c r="DP52" s="200" t="e">
        <f aca="false">DP51/DP50*100</f>
        <v>#DIV/0!</v>
      </c>
      <c r="DQ52" s="200" t="e">
        <f aca="false">DQ51/DQ50*100</f>
        <v>#DIV/0!</v>
      </c>
      <c r="DR52" s="200" t="e">
        <f aca="false">DR51/DR50*100</f>
        <v>#DIV/0!</v>
      </c>
      <c r="DS52" s="200" t="e">
        <f aca="false">DS51/DS50*100</f>
        <v>#DIV/0!</v>
      </c>
      <c r="DT52" s="200" t="e">
        <f aca="false">DT51/DT50*100</f>
        <v>#DIV/0!</v>
      </c>
      <c r="DU52" s="200" t="e">
        <f aca="false">DU51/DU50*100</f>
        <v>#DIV/0!</v>
      </c>
      <c r="DV52" s="200" t="e">
        <f aca="false">DV51/DV50*100</f>
        <v>#DIV/0!</v>
      </c>
      <c r="DW52" s="200" t="e">
        <f aca="false">DW51/DW50*100</f>
        <v>#DIV/0!</v>
      </c>
      <c r="DX52" s="200" t="e">
        <f aca="false">DX51/DX50*100</f>
        <v>#DIV/0!</v>
      </c>
      <c r="DY52" s="200" t="e">
        <f aca="false">DY51/DY50*100</f>
        <v>#DIV/0!</v>
      </c>
      <c r="DZ52" s="200" t="e">
        <f aca="false">DZ51/DZ50*100</f>
        <v>#DIV/0!</v>
      </c>
      <c r="EA52" s="200" t="e">
        <f aca="false">EA51/EA50*100</f>
        <v>#DIV/0!</v>
      </c>
      <c r="EB52" s="200" t="e">
        <f aca="false">EB51/EB50*100</f>
        <v>#DIV/0!</v>
      </c>
      <c r="EC52" s="200" t="e">
        <f aca="false">EC51/EC50*100</f>
        <v>#DIV/0!</v>
      </c>
      <c r="EE52" s="200" t="e">
        <f aca="false">EE51/EE50*100</f>
        <v>#DIV/0!</v>
      </c>
      <c r="EF52" s="200" t="e">
        <f aca="false">EF51/EF50*100</f>
        <v>#DIV/0!</v>
      </c>
      <c r="EG52" s="200" t="e">
        <f aca="false">EG51/EG50*100</f>
        <v>#DIV/0!</v>
      </c>
      <c r="EH52" s="200" t="e">
        <f aca="false">EH51/EH50*100</f>
        <v>#DIV/0!</v>
      </c>
      <c r="EI52" s="200" t="e">
        <f aca="false">EI51/EI50*100</f>
        <v>#DIV/0!</v>
      </c>
      <c r="EJ52" s="200" t="e">
        <f aca="false">EJ51/EJ50*100</f>
        <v>#DIV/0!</v>
      </c>
      <c r="EK52" s="200" t="e">
        <f aca="false">EK51/EK50*100</f>
        <v>#DIV/0!</v>
      </c>
      <c r="EL52" s="200" t="e">
        <f aca="false">EL51/EL50*100</f>
        <v>#DIV/0!</v>
      </c>
      <c r="EM52" s="200" t="e">
        <f aca="false">EM51/EM50*100</f>
        <v>#DIV/0!</v>
      </c>
      <c r="EN52" s="200" t="e">
        <f aca="false">EN51/EN50*100</f>
        <v>#DIV/0!</v>
      </c>
      <c r="EO52" s="200" t="e">
        <f aca="false">EO51/EO50*100</f>
        <v>#DIV/0!</v>
      </c>
      <c r="EP52" s="200" t="e">
        <f aca="false">EP51/EP50*100</f>
        <v>#DIV/0!</v>
      </c>
      <c r="ER52" s="200" t="e">
        <f aca="false">ER51/ER50*100</f>
        <v>#DIV/0!</v>
      </c>
      <c r="ET52" s="200" t="e">
        <f aca="false">ET51/ET50*100</f>
        <v>#DIV/0!</v>
      </c>
      <c r="EU52" s="200" t="e">
        <f aca="false">EU51/EU50*100</f>
        <v>#DIV/0!</v>
      </c>
      <c r="EV52" s="200" t="e">
        <f aca="false">EV51/EV50*100</f>
        <v>#DIV/0!</v>
      </c>
      <c r="EW52" s="200" t="e">
        <f aca="false">EW51/EW50*100</f>
        <v>#DIV/0!</v>
      </c>
      <c r="EX52" s="200" t="e">
        <f aca="false">EX51/EX50*100</f>
        <v>#DIV/0!</v>
      </c>
      <c r="EY52" s="200" t="e">
        <f aca="false">EY51/EY50*100</f>
        <v>#DIV/0!</v>
      </c>
      <c r="EZ52" s="200" t="e">
        <f aca="false">EZ51/EZ50*100</f>
        <v>#DIV/0!</v>
      </c>
      <c r="FA52" s="200" t="e">
        <f aca="false">FA51/FA50*100</f>
        <v>#DIV/0!</v>
      </c>
      <c r="FB52" s="200" t="e">
        <f aca="false">FB51/FB50*100</f>
        <v>#DIV/0!</v>
      </c>
      <c r="FC52" s="200" t="e">
        <f aca="false">FC51/FC50*100</f>
        <v>#DIV/0!</v>
      </c>
      <c r="FD52" s="200" t="e">
        <f aca="false">FD51/FD50*100</f>
        <v>#DIV/0!</v>
      </c>
      <c r="FE52" s="200" t="e">
        <f aca="false">FE51/FE50*100</f>
        <v>#DIV/0!</v>
      </c>
      <c r="FF52" s="200" t="e">
        <f aca="false">FF51/FF50*100</f>
        <v>#DIV/0!</v>
      </c>
      <c r="FG52" s="200" t="n">
        <f aca="false">FG51/FG50*100</f>
        <v>0</v>
      </c>
      <c r="FH52" s="200" t="n">
        <f aca="false">FH51/FH50*100</f>
        <v>0.0420168067226891</v>
      </c>
      <c r="FI52" s="200" t="e">
        <f aca="false">FI51/FI50*100</f>
        <v>#DIV/0!</v>
      </c>
    </row>
    <row r="53" s="134" customFormat="true" ht="15" hidden="false" customHeight="false" outlineLevel="0" collapsed="false">
      <c r="A53" s="198" t="s">
        <v>385</v>
      </c>
      <c r="B53" s="198" t="s">
        <v>329</v>
      </c>
      <c r="C53" s="134" t="e">
        <f aca="false">C45/17</f>
        <v>#VALUE!</v>
      </c>
      <c r="D53" s="134" t="n">
        <f aca="false">D45/17</f>
        <v>0</v>
      </c>
      <c r="E53" s="134" t="n">
        <f aca="false">E45/17</f>
        <v>0</v>
      </c>
      <c r="F53" s="134" t="n">
        <f aca="false">F45/17</f>
        <v>0</v>
      </c>
      <c r="G53" s="134" t="n">
        <f aca="false">G45/17</f>
        <v>0</v>
      </c>
      <c r="H53" s="134" t="n">
        <f aca="false">H45/17</f>
        <v>0.609416882352941</v>
      </c>
      <c r="I53" s="134" t="n">
        <f aca="false">I45/17</f>
        <v>0.765308941176471</v>
      </c>
      <c r="K53" s="134" t="n">
        <f aca="false">K45/17</f>
        <v>1.01998917647059</v>
      </c>
      <c r="V53" s="134" t="n">
        <f aca="false">V45/17</f>
        <v>0</v>
      </c>
      <c r="Y53" s="134" t="n">
        <f aca="false">Y45/17</f>
        <v>0</v>
      </c>
      <c r="Z53" s="134" t="e">
        <f aca="false">Z45/17</f>
        <v>#VALUE!</v>
      </c>
      <c r="AA53" s="134" t="n">
        <f aca="false">AA45/17</f>
        <v>0.487823882352941</v>
      </c>
      <c r="AB53" s="134" t="n">
        <f aca="false">AB45/17</f>
        <v>0</v>
      </c>
      <c r="AC53" s="134" t="n">
        <f aca="false">AC45/17</f>
        <v>0.00683829411764706</v>
      </c>
      <c r="AD53" s="134" t="n">
        <f aca="false">AD45/17</f>
        <v>0.000606529411764706</v>
      </c>
      <c r="AE53" s="134" t="n">
        <f aca="false">AE45/17</f>
        <v>0.00796170588235294</v>
      </c>
      <c r="AF53" s="134" t="n">
        <f aca="false">AF45/17</f>
        <v>0.487823882352941</v>
      </c>
      <c r="AG53" s="134" t="n">
        <f aca="false">AG45/17</f>
        <v>0.403394117647059</v>
      </c>
      <c r="AH53" s="134" t="n">
        <f aca="false">AH45/17</f>
        <v>1.04705882352941E-005</v>
      </c>
      <c r="AI53" s="134" t="n">
        <f aca="false">AI45/17</f>
        <v>3.17647058823529E-006</v>
      </c>
      <c r="AJ53" s="134" t="n">
        <f aca="false">AJ45/17</f>
        <v>1.35294117647059E-006</v>
      </c>
      <c r="AL53" s="134" t="n">
        <f aca="false">AL45/17</f>
        <v>0.0573298235294118</v>
      </c>
      <c r="AM53" s="134" t="e">
        <f aca="false">AM45/17</f>
        <v>#VALUE!</v>
      </c>
      <c r="AN53" s="134" t="n">
        <f aca="false">AN45/17</f>
        <v>0.0852596470588235</v>
      </c>
      <c r="AO53" s="134" t="n">
        <f aca="false">AO45/17</f>
        <v>3.27647058823529E-005</v>
      </c>
      <c r="AP53" s="134" t="n">
        <f aca="false">AP45/17</f>
        <v>1.00588235294118E-005</v>
      </c>
      <c r="AQ53" s="134" t="n">
        <f aca="false">AQ45/17</f>
        <v>0.212820647058824</v>
      </c>
      <c r="AR53" s="134" t="n">
        <f aca="false">AR45/17</f>
        <v>0.212820647058824</v>
      </c>
      <c r="AS53" s="134" t="n">
        <f aca="false">AS45/17</f>
        <v>0.212820647058824</v>
      </c>
      <c r="AT53" s="134" t="n">
        <f aca="false">AT45/17</f>
        <v>0.212820647058824</v>
      </c>
      <c r="AV53" s="134" t="n">
        <f aca="false">AV45/17</f>
        <v>0.0213701764705882</v>
      </c>
      <c r="AW53" s="134" t="n">
        <f aca="false">AW45/17</f>
        <v>0.191457529411765</v>
      </c>
      <c r="AX53" s="134" t="n">
        <f aca="false">AX45/17</f>
        <v>0.960926470588235</v>
      </c>
      <c r="AY53" s="134" t="n">
        <f aca="false">AY45/17</f>
        <v>0.000493235294117647</v>
      </c>
      <c r="AZ53" s="134" t="n">
        <f aca="false">AZ45/17</f>
        <v>0.000493235294117647</v>
      </c>
      <c r="BA53" s="134" t="e">
        <f aca="false">BA45/17</f>
        <v>#VALUE!</v>
      </c>
      <c r="BB53" s="134" t="e">
        <f aca="false">BB45/17</f>
        <v>#VALUE!</v>
      </c>
      <c r="BC53" s="134" t="e">
        <f aca="false">BC45/17</f>
        <v>#VALUE!</v>
      </c>
      <c r="BD53" s="134" t="e">
        <f aca="false">BD45/17</f>
        <v>#VALUE!</v>
      </c>
      <c r="BE53" s="134" t="e">
        <f aca="false">BE45/17</f>
        <v>#VALUE!</v>
      </c>
      <c r="BF53" s="134" t="e">
        <f aca="false">BF45/17</f>
        <v>#VALUE!</v>
      </c>
      <c r="BG53" s="134" t="n">
        <f aca="false">BG45/17</f>
        <v>8.23529411764706E-007</v>
      </c>
      <c r="BH53" s="134" t="n">
        <f aca="false">BH45/17</f>
        <v>8.23529411764706E-007</v>
      </c>
      <c r="BI53" s="134" t="n">
        <f aca="false">BI45/17</f>
        <v>2.35294117647059E-007</v>
      </c>
      <c r="BJ53" s="134" t="n">
        <f aca="false">BJ45/17</f>
        <v>2.35294117647059E-007</v>
      </c>
      <c r="BK53" s="134" t="n">
        <f aca="false">BK45/17</f>
        <v>0.000199</v>
      </c>
      <c r="BM53" s="134" t="n">
        <f aca="false">BM45/17</f>
        <v>0.000199</v>
      </c>
      <c r="BO53" s="134" t="n">
        <f aca="false">BO45/17</f>
        <v>4.13529411764706E-005</v>
      </c>
      <c r="BP53" s="134" t="n">
        <f aca="false">BP45/17</f>
        <v>4.13529411764706E-005</v>
      </c>
      <c r="BQ53" s="134" t="n">
        <f aca="false">BQ45/17</f>
        <v>2.88823529411765E-005</v>
      </c>
      <c r="BS53" s="134" t="n">
        <f aca="false">BS45/17</f>
        <v>2.88823529411765E-005</v>
      </c>
      <c r="BT53" s="134" t="n">
        <f aca="false">BT45/17</f>
        <v>5.29411764705882E-007</v>
      </c>
      <c r="BU53" s="134" t="n">
        <f aca="false">BU45/17</f>
        <v>0.0112967058823529</v>
      </c>
      <c r="BV53" s="134" t="n">
        <f aca="false">BV45/17</f>
        <v>0.00421805882352941</v>
      </c>
      <c r="BW53" s="134" t="e">
        <f aca="false">BW45/17</f>
        <v>#VALUE!</v>
      </c>
      <c r="BX53" s="134" t="n">
        <f aca="false">BX45/17</f>
        <v>5.88235294117647E-008</v>
      </c>
      <c r="BY53" s="134" t="n">
        <f aca="false">BY45/17</f>
        <v>5.88235294117647E-008</v>
      </c>
      <c r="BZ53" s="134" t="e">
        <f aca="false">BZ45/17</f>
        <v>#VALUE!</v>
      </c>
      <c r="CA53" s="134" t="n">
        <f aca="false">CA45/17</f>
        <v>0</v>
      </c>
      <c r="CB53" s="134" t="n">
        <f aca="false">CB45/17</f>
        <v>0</v>
      </c>
      <c r="CC53" s="134" t="e">
        <f aca="false">CC45/17</f>
        <v>#VALUE!</v>
      </c>
      <c r="CD53" s="134" t="e">
        <f aca="false">CD45/17</f>
        <v>#VALUE!</v>
      </c>
      <c r="CE53" s="134" t="e">
        <f aca="false">CE45/17</f>
        <v>#VALUE!</v>
      </c>
      <c r="CF53" s="134" t="e">
        <f aca="false">CF45/17</f>
        <v>#VALUE!</v>
      </c>
      <c r="CG53" s="134" t="e">
        <f aca="false">CG45/17</f>
        <v>#VALUE!</v>
      </c>
      <c r="CH53" s="134" t="e">
        <f aca="false">CH45/17</f>
        <v>#VALUE!</v>
      </c>
      <c r="CI53" s="134" t="e">
        <f aca="false">CI45/17</f>
        <v>#VALUE!</v>
      </c>
      <c r="CJ53" s="134" t="e">
        <f aca="false">CJ45/17</f>
        <v>#VALUE!</v>
      </c>
      <c r="CK53" s="134" t="e">
        <f aca="false">CK45/17</f>
        <v>#VALUE!</v>
      </c>
      <c r="CM53" s="134" t="e">
        <f aca="false">CM45/17</f>
        <v>#VALUE!</v>
      </c>
      <c r="CN53" s="134" t="e">
        <f aca="false">CN45/17</f>
        <v>#VALUE!</v>
      </c>
      <c r="CO53" s="134" t="n">
        <f aca="false">CO45/17</f>
        <v>5.88235294117647E-008</v>
      </c>
      <c r="CP53" s="134" t="n">
        <f aca="false">CP45/17</f>
        <v>1.48823529411765E-005</v>
      </c>
      <c r="CQ53" s="134" t="n">
        <f aca="false">CQ45/17</f>
        <v>1.40588235294118E-005</v>
      </c>
      <c r="CR53" s="134" t="n">
        <f aca="false">CR45/17</f>
        <v>6.52941176470588E-006</v>
      </c>
      <c r="CS53" s="134" t="n">
        <f aca="false">CS45/17</f>
        <v>4.52941176470588E-006</v>
      </c>
      <c r="CT53" s="134" t="e">
        <f aca="false">CT45/17</f>
        <v>#VALUE!</v>
      </c>
      <c r="CV53" s="134" t="e">
        <f aca="false">CV45/17</f>
        <v>#VALUE!</v>
      </c>
      <c r="CW53" s="134" t="e">
        <f aca="false">CW45/17</f>
        <v>#VALUE!</v>
      </c>
      <c r="CX53" s="134" t="e">
        <f aca="false">CX45/17</f>
        <v>#VALUE!</v>
      </c>
      <c r="CY53" s="134" t="e">
        <f aca="false">CY45/17</f>
        <v>#VALUE!</v>
      </c>
      <c r="CZ53" s="134" t="e">
        <f aca="false">CZ45/17</f>
        <v>#VALUE!</v>
      </c>
      <c r="DB53" s="134" t="e">
        <f aca="false">DB45/17</f>
        <v>#VALUE!</v>
      </c>
      <c r="DC53" s="134" t="e">
        <f aca="false">DC45/17</f>
        <v>#VALUE!</v>
      </c>
      <c r="DD53" s="134" t="n">
        <f aca="false">DD45/17</f>
        <v>0</v>
      </c>
      <c r="DE53" s="134" t="n">
        <f aca="false">DE45/17</f>
        <v>0.370789</v>
      </c>
      <c r="DF53" s="134" t="n">
        <f aca="false">DF45/17</f>
        <v>0.646379411764706</v>
      </c>
      <c r="DG53" s="134" t="n">
        <f aca="false">DG45/17</f>
        <v>0.648043764705882</v>
      </c>
      <c r="DH53" s="134" t="n">
        <f aca="false">DH45/17</f>
        <v>0.577544352941177</v>
      </c>
      <c r="DI53" s="134" t="n">
        <f aca="false">DI45/17</f>
        <v>0</v>
      </c>
      <c r="DJ53" s="134" t="n">
        <f aca="false">DJ45/17</f>
        <v>0</v>
      </c>
      <c r="DL53" s="134" t="n">
        <f aca="false">DL45/17</f>
        <v>0</v>
      </c>
      <c r="DM53" s="134" t="n">
        <f aca="false">DM45/17</f>
        <v>0</v>
      </c>
      <c r="DN53" s="134" t="n">
        <f aca="false">DN45/17</f>
        <v>0</v>
      </c>
      <c r="DO53" s="134" t="n">
        <f aca="false">DO45/17</f>
        <v>0</v>
      </c>
      <c r="DP53" s="134" t="n">
        <f aca="false">DP45/17</f>
        <v>0</v>
      </c>
      <c r="DQ53" s="134" t="e">
        <f aca="false">DQ45/17</f>
        <v>#VALUE!</v>
      </c>
      <c r="DR53" s="134" t="n">
        <f aca="false">DR45/17</f>
        <v>0.0563118235294118</v>
      </c>
      <c r="DS53" s="134" t="n">
        <f aca="false">DS45/17</f>
        <v>0.406543941176471</v>
      </c>
      <c r="DT53" s="134" t="n">
        <f aca="false">DT45/17</f>
        <v>0.905942</v>
      </c>
      <c r="DU53" s="134" t="n">
        <f aca="false">DU45/17</f>
        <v>0</v>
      </c>
      <c r="DV53" s="134" t="n">
        <f aca="false">DV45/17</f>
        <v>0</v>
      </c>
      <c r="DW53" s="134" t="n">
        <f aca="false">DW45/17</f>
        <v>0</v>
      </c>
      <c r="DX53" s="134" t="n">
        <f aca="false">DX45/17</f>
        <v>0</v>
      </c>
      <c r="DY53" s="134" t="n">
        <f aca="false">DY45/17</f>
        <v>0</v>
      </c>
      <c r="DZ53" s="134" t="n">
        <f aca="false">DZ45/17</f>
        <v>0</v>
      </c>
      <c r="EA53" s="134" t="n">
        <f aca="false">EA45/17</f>
        <v>0</v>
      </c>
      <c r="EB53" s="134" t="e">
        <f aca="false">EB45/17</f>
        <v>#VALUE!</v>
      </c>
      <c r="EC53" s="134" t="n">
        <f aca="false">EC45/17</f>
        <v>0.130230176470588</v>
      </c>
      <c r="EE53" s="134" t="n">
        <f aca="false">EE45/17</f>
        <v>7.76470588235294E-006</v>
      </c>
      <c r="EF53" s="134" t="n">
        <f aca="false">EF45/17</f>
        <v>7.76470588235294E-006</v>
      </c>
      <c r="EG53" s="134" t="n">
        <f aca="false">EG45/17</f>
        <v>2.29411764705882E-006</v>
      </c>
      <c r="EH53" s="134" t="n">
        <f aca="false">EH45/17</f>
        <v>2.29411764705882E-006</v>
      </c>
      <c r="EI53" s="134" t="n">
        <f aca="false">EI45/17</f>
        <v>1.00588235294118E-005</v>
      </c>
      <c r="EJ53" s="134" t="n">
        <f aca="false">EJ45/17</f>
        <v>0</v>
      </c>
      <c r="EK53" s="134" t="n">
        <f aca="false">EK45/17</f>
        <v>0</v>
      </c>
      <c r="EL53" s="134" t="n">
        <f aca="false">EL45/17</f>
        <v>0</v>
      </c>
      <c r="EM53" s="134" t="n">
        <f aca="false">EM45/17</f>
        <v>0</v>
      </c>
      <c r="EN53" s="134" t="n">
        <f aca="false">EN45/17</f>
        <v>0</v>
      </c>
      <c r="EO53" s="134" t="n">
        <f aca="false">EO45/17</f>
        <v>4.01176470588235E-005</v>
      </c>
      <c r="EP53" s="134" t="n">
        <f aca="false">EP45/17</f>
        <v>4.01176470588235E-005</v>
      </c>
      <c r="ER53" s="134" t="e">
        <f aca="false">ER45/17</f>
        <v>#VALUE!</v>
      </c>
      <c r="ET53" s="134" t="e">
        <f aca="false">ET45/17</f>
        <v>#VALUE!</v>
      </c>
      <c r="EU53" s="134" t="e">
        <f aca="false">EU45/17</f>
        <v>#VALUE!</v>
      </c>
      <c r="EV53" s="134" t="e">
        <f aca="false">EV45/17</f>
        <v>#VALUE!</v>
      </c>
      <c r="EW53" s="134" t="e">
        <f aca="false">EW45/17</f>
        <v>#VALUE!</v>
      </c>
      <c r="EX53" s="134" t="n">
        <f aca="false">EX45/17</f>
        <v>0.00288376470588235</v>
      </c>
      <c r="EY53" s="134" t="e">
        <f aca="false">EY45/17</f>
        <v>#VALUE!</v>
      </c>
      <c r="EZ53" s="134" t="e">
        <f aca="false">EZ45/17</f>
        <v>#VALUE!</v>
      </c>
      <c r="FA53" s="134" t="e">
        <f aca="false">FA45/17</f>
        <v>#VALUE!</v>
      </c>
      <c r="FB53" s="134" t="e">
        <f aca="false">FB45/17</f>
        <v>#VALUE!</v>
      </c>
      <c r="FC53" s="134" t="e">
        <f aca="false">FC45/17</f>
        <v>#VALUE!</v>
      </c>
      <c r="FD53" s="134" t="e">
        <f aca="false">FD45/17</f>
        <v>#VALUE!</v>
      </c>
      <c r="FE53" s="134" t="n">
        <f aca="false">FE45/17</f>
        <v>0.00173929411764706</v>
      </c>
      <c r="FF53" s="134" t="n">
        <f aca="false">FF45/17</f>
        <v>0.294472117647059</v>
      </c>
      <c r="FG53" s="134" t="n">
        <f aca="false">FG45/17</f>
        <v>0</v>
      </c>
      <c r="FH53" s="134" t="n">
        <f aca="false">FH45/17</f>
        <v>0</v>
      </c>
      <c r="FI53" s="134" t="e">
        <f aca="false">FI45/17</f>
        <v>#VALUE!</v>
      </c>
    </row>
    <row r="54" s="200" customFormat="true" ht="15" hidden="false" customHeight="false" outlineLevel="0" collapsed="false">
      <c r="A54" s="199" t="s">
        <v>386</v>
      </c>
      <c r="B54" s="199" t="s">
        <v>374</v>
      </c>
      <c r="C54" s="200" t="e">
        <f aca="false">C53/C50*100</f>
        <v>#DIV/0!</v>
      </c>
      <c r="D54" s="200" t="e">
        <f aca="false">D53/D50*100</f>
        <v>#DIV/0!</v>
      </c>
      <c r="E54" s="200" t="e">
        <f aca="false">E53/E50*100</f>
        <v>#DIV/0!</v>
      </c>
      <c r="F54" s="200" t="e">
        <f aca="false">F53/F50*100</f>
        <v>#DIV/0!</v>
      </c>
      <c r="G54" s="200" t="e">
        <f aca="false">G53/G50*100</f>
        <v>#DIV/0!</v>
      </c>
      <c r="H54" s="200" t="e">
        <f aca="false">H53/H50*100</f>
        <v>#DIV/0!</v>
      </c>
      <c r="I54" s="200" t="e">
        <f aca="false">I53/I50*100</f>
        <v>#DIV/0!</v>
      </c>
      <c r="K54" s="200" t="e">
        <f aca="false">K53/K50*100</f>
        <v>#DIV/0!</v>
      </c>
      <c r="V54" s="200" t="e">
        <f aca="false">V53/V50*100</f>
        <v>#DIV/0!</v>
      </c>
      <c r="Y54" s="200" t="e">
        <f aca="false">Y53/Y50*100</f>
        <v>#DIV/0!</v>
      </c>
      <c r="Z54" s="200" t="e">
        <f aca="false">Z53/Z50*100</f>
        <v>#DIV/0!</v>
      </c>
      <c r="AA54" s="200" t="e">
        <f aca="false">AA53/AA50*100</f>
        <v>#DIV/0!</v>
      </c>
      <c r="AB54" s="200" t="e">
        <f aca="false">AB53/AB50*100</f>
        <v>#DIV/0!</v>
      </c>
      <c r="AC54" s="200" t="e">
        <f aca="false">AC53/AC50*100</f>
        <v>#DIV/0!</v>
      </c>
      <c r="AD54" s="200" t="e">
        <f aca="false">AD53/AD50*100</f>
        <v>#DIV/0!</v>
      </c>
      <c r="AE54" s="200" t="e">
        <f aca="false">AE53/AE50*100</f>
        <v>#DIV/0!</v>
      </c>
      <c r="AF54" s="200" t="e">
        <f aca="false">AF53/AF50*100</f>
        <v>#DIV/0!</v>
      </c>
      <c r="AG54" s="200" t="e">
        <f aca="false">AG53/AG50*100</f>
        <v>#DIV/0!</v>
      </c>
      <c r="AH54" s="200" t="e">
        <f aca="false">AH53/AH50*100</f>
        <v>#DIV/0!</v>
      </c>
      <c r="AI54" s="200" t="e">
        <f aca="false">AI53/AI50*100</f>
        <v>#DIV/0!</v>
      </c>
      <c r="AJ54" s="200" t="e">
        <f aca="false">AJ53/AJ50*100</f>
        <v>#DIV/0!</v>
      </c>
      <c r="AL54" s="200" t="e">
        <f aca="false">AL53/AL50*100</f>
        <v>#DIV/0!</v>
      </c>
      <c r="AM54" s="200" t="e">
        <f aca="false">AM53/AM50*100</f>
        <v>#DIV/0!</v>
      </c>
      <c r="AN54" s="200" t="e">
        <f aca="false">AN53/AN50*100</f>
        <v>#DIV/0!</v>
      </c>
      <c r="AO54" s="200" t="e">
        <f aca="false">AO53/AO50*100</f>
        <v>#DIV/0!</v>
      </c>
      <c r="AP54" s="200" t="e">
        <f aca="false">AP53/AP50*100</f>
        <v>#DIV/0!</v>
      </c>
      <c r="AQ54" s="200" t="e">
        <f aca="false">AQ53/AQ50*100</f>
        <v>#DIV/0!</v>
      </c>
      <c r="AR54" s="200" t="e">
        <f aca="false">AR53/AR50*100</f>
        <v>#DIV/0!</v>
      </c>
      <c r="AS54" s="200" t="e">
        <f aca="false">AS53/AS50*100</f>
        <v>#DIV/0!</v>
      </c>
      <c r="AT54" s="200" t="e">
        <f aca="false">AT53/AT50*100</f>
        <v>#DIV/0!</v>
      </c>
      <c r="AV54" s="200" t="e">
        <f aca="false">AV53/AV50*100</f>
        <v>#DIV/0!</v>
      </c>
      <c r="AW54" s="200" t="e">
        <f aca="false">AW53/AW50*100</f>
        <v>#DIV/0!</v>
      </c>
      <c r="AX54" s="200" t="e">
        <f aca="false">AX53/AX50*100</f>
        <v>#DIV/0!</v>
      </c>
      <c r="AY54" s="200" t="e">
        <f aca="false">AY53/AY50*100</f>
        <v>#DIV/0!</v>
      </c>
      <c r="AZ54" s="200" t="e">
        <f aca="false">AZ53/AZ50*100</f>
        <v>#DIV/0!</v>
      </c>
      <c r="BA54" s="200" t="e">
        <f aca="false">BA53/BA50*100</f>
        <v>#DIV/0!</v>
      </c>
      <c r="BB54" s="200" t="e">
        <f aca="false">BB53/BB50*100</f>
        <v>#DIV/0!</v>
      </c>
      <c r="BC54" s="200" t="e">
        <f aca="false">BC53/BC50*100</f>
        <v>#DIV/0!</v>
      </c>
      <c r="BD54" s="200" t="e">
        <f aca="false">BD53/BD50*100</f>
        <v>#DIV/0!</v>
      </c>
      <c r="BE54" s="200" t="e">
        <f aca="false">BE53/BE50*100</f>
        <v>#DIV/0!</v>
      </c>
      <c r="BF54" s="200" t="e">
        <f aca="false">BF53/BF50*100</f>
        <v>#DIV/0!</v>
      </c>
      <c r="BG54" s="200" t="e">
        <f aca="false">BG53/BG50*100</f>
        <v>#DIV/0!</v>
      </c>
      <c r="BH54" s="200" t="e">
        <f aca="false">BH53/BH50*100</f>
        <v>#DIV/0!</v>
      </c>
      <c r="BI54" s="200" t="e">
        <f aca="false">BI53/BI50*100</f>
        <v>#DIV/0!</v>
      </c>
      <c r="BJ54" s="200" t="e">
        <f aca="false">BJ53/BJ50*100</f>
        <v>#DIV/0!</v>
      </c>
      <c r="BK54" s="200" t="e">
        <f aca="false">BK53/BK50*100</f>
        <v>#DIV/0!</v>
      </c>
      <c r="BM54" s="200" t="e">
        <f aca="false">BM53/BM50*100</f>
        <v>#DIV/0!</v>
      </c>
      <c r="BO54" s="200" t="e">
        <f aca="false">BO53/BO50*100</f>
        <v>#DIV/0!</v>
      </c>
      <c r="BP54" s="200" t="e">
        <f aca="false">BP53/BP50*100</f>
        <v>#DIV/0!</v>
      </c>
      <c r="BQ54" s="200" t="e">
        <f aca="false">BQ53/BQ50*100</f>
        <v>#DIV/0!</v>
      </c>
      <c r="BS54" s="200" t="e">
        <f aca="false">BS53/BS50*100</f>
        <v>#DIV/0!</v>
      </c>
      <c r="BT54" s="200" t="e">
        <f aca="false">BT53/BT50*100</f>
        <v>#DIV/0!</v>
      </c>
      <c r="BU54" s="200" t="e">
        <f aca="false">BU53/BU50*100</f>
        <v>#DIV/0!</v>
      </c>
      <c r="BV54" s="200" t="e">
        <f aca="false">BV53/BV50*100</f>
        <v>#DIV/0!</v>
      </c>
      <c r="BW54" s="200" t="e">
        <f aca="false">BW53/BW50*100</f>
        <v>#DIV/0!</v>
      </c>
      <c r="BX54" s="200" t="e">
        <f aca="false">BX53/BX50*100</f>
        <v>#DIV/0!</v>
      </c>
      <c r="BY54" s="200" t="e">
        <f aca="false">BY53/BY50*100</f>
        <v>#DIV/0!</v>
      </c>
      <c r="BZ54" s="200" t="e">
        <f aca="false">BZ53/BZ50*100</f>
        <v>#DIV/0!</v>
      </c>
      <c r="CA54" s="200" t="e">
        <f aca="false">CA53/CA50*100</f>
        <v>#DIV/0!</v>
      </c>
      <c r="CB54" s="200" t="e">
        <f aca="false">CB53/CB50*100</f>
        <v>#DIV/0!</v>
      </c>
      <c r="CC54" s="200" t="e">
        <f aca="false">CC53/CC50*100</f>
        <v>#DIV/0!</v>
      </c>
      <c r="CD54" s="200" t="e">
        <f aca="false">CD53/CD50*100</f>
        <v>#DIV/0!</v>
      </c>
      <c r="CE54" s="200" t="e">
        <f aca="false">CE53/CE50*100</f>
        <v>#DIV/0!</v>
      </c>
      <c r="CF54" s="200" t="e">
        <f aca="false">CF53/CF50*100</f>
        <v>#DIV/0!</v>
      </c>
      <c r="CG54" s="200" t="e">
        <f aca="false">CG53/CG50*100</f>
        <v>#DIV/0!</v>
      </c>
      <c r="CH54" s="200" t="e">
        <f aca="false">CH53/CH50*100</f>
        <v>#DIV/0!</v>
      </c>
      <c r="CI54" s="200" t="e">
        <f aca="false">CI53/CI50*100</f>
        <v>#DIV/0!</v>
      </c>
      <c r="CJ54" s="200" t="e">
        <f aca="false">CJ53/CJ50*100</f>
        <v>#DIV/0!</v>
      </c>
      <c r="CK54" s="200" t="e">
        <f aca="false">CK53/CK50*100</f>
        <v>#DIV/0!</v>
      </c>
      <c r="CM54" s="200" t="e">
        <f aca="false">CM53/CM50*100</f>
        <v>#DIV/0!</v>
      </c>
      <c r="CN54" s="200" t="e">
        <f aca="false">CN53/CN50*100</f>
        <v>#DIV/0!</v>
      </c>
      <c r="CO54" s="200" t="e">
        <f aca="false">CO53/CO50*100</f>
        <v>#DIV/0!</v>
      </c>
      <c r="CP54" s="200" t="e">
        <f aca="false">CP53/CP50*100</f>
        <v>#DIV/0!</v>
      </c>
      <c r="CQ54" s="200" t="e">
        <f aca="false">CQ53/CQ50*100</f>
        <v>#DIV/0!</v>
      </c>
      <c r="CR54" s="200" t="e">
        <f aca="false">CR53/CR50*100</f>
        <v>#DIV/0!</v>
      </c>
      <c r="CS54" s="200" t="e">
        <f aca="false">CS53/CS50*100</f>
        <v>#DIV/0!</v>
      </c>
      <c r="CT54" s="200" t="e">
        <f aca="false">CT53/CT50*100</f>
        <v>#DIV/0!</v>
      </c>
      <c r="CV54" s="200" t="e">
        <f aca="false">CV53/CV50*100</f>
        <v>#DIV/0!</v>
      </c>
      <c r="CW54" s="200" t="e">
        <f aca="false">CW53/CW50*100</f>
        <v>#DIV/0!</v>
      </c>
      <c r="CX54" s="200" t="e">
        <f aca="false">CX53/CX50*100</f>
        <v>#DIV/0!</v>
      </c>
      <c r="CY54" s="200" t="e">
        <f aca="false">CY53/CY50*100</f>
        <v>#DIV/0!</v>
      </c>
      <c r="CZ54" s="200" t="e">
        <f aca="false">CZ53/CZ50*100</f>
        <v>#DIV/0!</v>
      </c>
      <c r="DB54" s="200" t="e">
        <f aca="false">DB53/DB50*100</f>
        <v>#DIV/0!</v>
      </c>
      <c r="DC54" s="200" t="e">
        <f aca="false">DC53/DC50*100</f>
        <v>#DIV/0!</v>
      </c>
      <c r="DD54" s="200" t="e">
        <f aca="false">DD53/DD50*100</f>
        <v>#DIV/0!</v>
      </c>
      <c r="DE54" s="200" t="e">
        <f aca="false">DE53/DE50*100</f>
        <v>#DIV/0!</v>
      </c>
      <c r="DF54" s="200" t="e">
        <f aca="false">DF53/DF50*100</f>
        <v>#DIV/0!</v>
      </c>
      <c r="DG54" s="200" t="e">
        <f aca="false">DG53/DG50*100</f>
        <v>#DIV/0!</v>
      </c>
      <c r="DH54" s="200" t="e">
        <f aca="false">DH53/DH50*100</f>
        <v>#DIV/0!</v>
      </c>
      <c r="DI54" s="200" t="e">
        <f aca="false">DI53/DI50*100</f>
        <v>#DIV/0!</v>
      </c>
      <c r="DJ54" s="200" t="e">
        <f aca="false">DJ53/DJ50*100</f>
        <v>#DIV/0!</v>
      </c>
      <c r="DL54" s="200" t="e">
        <f aca="false">DL53/DL50*100</f>
        <v>#DIV/0!</v>
      </c>
      <c r="DM54" s="200" t="e">
        <f aca="false">DM53/DM50*100</f>
        <v>#DIV/0!</v>
      </c>
      <c r="DN54" s="200" t="e">
        <f aca="false">DN53/DN50*100</f>
        <v>#DIV/0!</v>
      </c>
      <c r="DO54" s="200" t="e">
        <f aca="false">DO53/DO50*100</f>
        <v>#DIV/0!</v>
      </c>
      <c r="DP54" s="200" t="e">
        <f aca="false">DP53/DP50*100</f>
        <v>#DIV/0!</v>
      </c>
      <c r="DQ54" s="200" t="e">
        <f aca="false">DQ53/DQ50*100</f>
        <v>#DIV/0!</v>
      </c>
      <c r="DR54" s="200" t="e">
        <f aca="false">DR53/DR50*100</f>
        <v>#DIV/0!</v>
      </c>
      <c r="DS54" s="200" t="e">
        <f aca="false">DS53/DS50*100</f>
        <v>#DIV/0!</v>
      </c>
      <c r="DT54" s="200" t="e">
        <f aca="false">DT53/DT50*100</f>
        <v>#DIV/0!</v>
      </c>
      <c r="DU54" s="200" t="e">
        <f aca="false">DU53/DU50*100</f>
        <v>#DIV/0!</v>
      </c>
      <c r="DV54" s="200" t="e">
        <f aca="false">DV53/DV50*100</f>
        <v>#DIV/0!</v>
      </c>
      <c r="DW54" s="200" t="e">
        <f aca="false">DW53/DW50*100</f>
        <v>#DIV/0!</v>
      </c>
      <c r="DX54" s="200" t="e">
        <f aca="false">DX53/DX50*100</f>
        <v>#DIV/0!</v>
      </c>
      <c r="DY54" s="200" t="e">
        <f aca="false">DY53/DY50*100</f>
        <v>#DIV/0!</v>
      </c>
      <c r="DZ54" s="200" t="e">
        <f aca="false">DZ53/DZ50*100</f>
        <v>#DIV/0!</v>
      </c>
      <c r="EA54" s="200" t="e">
        <f aca="false">EA53/EA50*100</f>
        <v>#DIV/0!</v>
      </c>
      <c r="EB54" s="200" t="e">
        <f aca="false">EB53/EB50*100</f>
        <v>#DIV/0!</v>
      </c>
      <c r="EC54" s="200" t="e">
        <f aca="false">EC53/EC50*100</f>
        <v>#DIV/0!</v>
      </c>
      <c r="EE54" s="200" t="e">
        <f aca="false">EE53/EE50*100</f>
        <v>#DIV/0!</v>
      </c>
      <c r="EF54" s="200" t="e">
        <f aca="false">EF53/EF50*100</f>
        <v>#DIV/0!</v>
      </c>
      <c r="EG54" s="200" t="e">
        <f aca="false">EG53/EG50*100</f>
        <v>#DIV/0!</v>
      </c>
      <c r="EH54" s="200" t="e">
        <f aca="false">EH53/EH50*100</f>
        <v>#DIV/0!</v>
      </c>
      <c r="EI54" s="200" t="e">
        <f aca="false">EI53/EI50*100</f>
        <v>#DIV/0!</v>
      </c>
      <c r="EJ54" s="200" t="e">
        <f aca="false">EJ53/EJ50*100</f>
        <v>#DIV/0!</v>
      </c>
      <c r="EK54" s="200" t="e">
        <f aca="false">EK53/EK50*100</f>
        <v>#DIV/0!</v>
      </c>
      <c r="EL54" s="200" t="e">
        <f aca="false">EL53/EL50*100</f>
        <v>#DIV/0!</v>
      </c>
      <c r="EM54" s="200" t="e">
        <f aca="false">EM53/EM50*100</f>
        <v>#DIV/0!</v>
      </c>
      <c r="EN54" s="200" t="e">
        <f aca="false">EN53/EN50*100</f>
        <v>#DIV/0!</v>
      </c>
      <c r="EO54" s="200" t="e">
        <f aca="false">EO53/EO50*100</f>
        <v>#DIV/0!</v>
      </c>
      <c r="EP54" s="200" t="e">
        <f aca="false">EP53/EP50*100</f>
        <v>#DIV/0!</v>
      </c>
      <c r="ER54" s="200" t="e">
        <f aca="false">ER53/ER50*100</f>
        <v>#DIV/0!</v>
      </c>
      <c r="ET54" s="200" t="e">
        <f aca="false">ET53/ET50*100</f>
        <v>#DIV/0!</v>
      </c>
      <c r="EU54" s="200" t="e">
        <f aca="false">EU53/EU50*100</f>
        <v>#DIV/0!</v>
      </c>
      <c r="EV54" s="200" t="e">
        <f aca="false">EV53/EV50*100</f>
        <v>#DIV/0!</v>
      </c>
      <c r="EW54" s="200" t="e">
        <f aca="false">EW53/EW50*100</f>
        <v>#DIV/0!</v>
      </c>
      <c r="EX54" s="200" t="e">
        <f aca="false">EX53/EX50*100</f>
        <v>#DIV/0!</v>
      </c>
      <c r="EY54" s="200" t="e">
        <f aca="false">EY53/EY50*100</f>
        <v>#DIV/0!</v>
      </c>
      <c r="EZ54" s="200" t="e">
        <f aca="false">EZ53/EZ50*100</f>
        <v>#DIV/0!</v>
      </c>
      <c r="FA54" s="200" t="e">
        <f aca="false">FA53/FA50*100</f>
        <v>#DIV/0!</v>
      </c>
      <c r="FB54" s="200" t="e">
        <f aca="false">FB53/FB50*100</f>
        <v>#DIV/0!</v>
      </c>
      <c r="FC54" s="200" t="e">
        <f aca="false">FC53/FC50*100</f>
        <v>#DIV/0!</v>
      </c>
      <c r="FD54" s="200" t="e">
        <f aca="false">FD53/FD50*100</f>
        <v>#DIV/0!</v>
      </c>
      <c r="FE54" s="200" t="e">
        <f aca="false">FE53/FE50*100</f>
        <v>#DIV/0!</v>
      </c>
      <c r="FF54" s="200" t="e">
        <f aca="false">FF53/FF50*100</f>
        <v>#DIV/0!</v>
      </c>
      <c r="FG54" s="200" t="n">
        <f aca="false">FG53/FG50*100</f>
        <v>0</v>
      </c>
      <c r="FH54" s="200" t="n">
        <f aca="false">FH53/FH50*100</f>
        <v>0</v>
      </c>
      <c r="FI54" s="200" t="e">
        <f aca="false">FI53/FI50*100</f>
        <v>#DIV/0!</v>
      </c>
    </row>
    <row r="58" s="203" customFormat="true" ht="15" hidden="false" customHeight="false" outlineLevel="0" collapsed="false">
      <c r="A58" s="201"/>
      <c r="B58" s="202"/>
      <c r="C58" s="202"/>
      <c r="D58" s="202"/>
      <c r="E58" s="202"/>
      <c r="F58" s="202"/>
      <c r="G58" s="202"/>
      <c r="H58" s="202"/>
      <c r="I58" s="202"/>
      <c r="J58" s="202"/>
      <c r="K58" s="202"/>
      <c r="L58" s="202"/>
      <c r="M58" s="202"/>
      <c r="N58" s="202"/>
      <c r="O58" s="202"/>
      <c r="P58" s="202"/>
      <c r="Q58" s="202"/>
      <c r="R58" s="202"/>
      <c r="S58" s="202"/>
      <c r="T58" s="202"/>
      <c r="U58" s="202"/>
      <c r="V58" s="202"/>
      <c r="W58" s="202"/>
      <c r="X58" s="202"/>
      <c r="Y58" s="202"/>
      <c r="Z58" s="202"/>
      <c r="AA58" s="202"/>
      <c r="AB58" s="202"/>
      <c r="AC58" s="202"/>
      <c r="AD58" s="202"/>
      <c r="AE58" s="202"/>
      <c r="AF58" s="202"/>
      <c r="AG58" s="202"/>
      <c r="AH58" s="202"/>
      <c r="AI58" s="202"/>
      <c r="AJ58" s="202"/>
      <c r="AK58" s="203" t="s">
        <v>387</v>
      </c>
      <c r="BL58" s="203" t="s">
        <v>387</v>
      </c>
      <c r="CU58" s="203" t="s">
        <v>387</v>
      </c>
      <c r="DK58" s="203" t="s">
        <v>387</v>
      </c>
      <c r="ED58" s="203" t="s">
        <v>387</v>
      </c>
      <c r="EQ58" s="203" t="s">
        <v>387</v>
      </c>
      <c r="ES58" s="203" t="s">
        <v>387</v>
      </c>
      <c r="FK58" s="203" t="s">
        <v>387</v>
      </c>
      <c r="FU58" s="203" t="s">
        <v>388</v>
      </c>
      <c r="FV58" s="203" t="s">
        <v>388</v>
      </c>
      <c r="FW58" s="203" t="s">
        <v>388</v>
      </c>
      <c r="FX58" s="203" t="s">
        <v>388</v>
      </c>
      <c r="FY58" s="204"/>
      <c r="GN58" s="203" t="s">
        <v>387</v>
      </c>
      <c r="GQ58" s="203" t="s">
        <v>387</v>
      </c>
      <c r="HC58" s="203" t="s">
        <v>387</v>
      </c>
      <c r="HI58" s="203" t="s">
        <v>387</v>
      </c>
      <c r="HJ58" s="203" t="s">
        <v>387</v>
      </c>
      <c r="HK58" s="203" t="s">
        <v>387</v>
      </c>
      <c r="HL58" s="203" t="s">
        <v>387</v>
      </c>
      <c r="HM58" s="203" t="s">
        <v>387</v>
      </c>
      <c r="HN58" s="203" t="s">
        <v>387</v>
      </c>
      <c r="HT58" s="203" t="n">
        <v>203</v>
      </c>
    </row>
    <row r="66" customFormat="false" ht="15" hidden="false" customHeight="false" outlineLevel="0" collapsed="false">
      <c r="AY66" s="179"/>
      <c r="AZ66" s="179"/>
      <c r="BA66" s="179"/>
      <c r="BB66" s="179"/>
      <c r="BD66" s="179"/>
      <c r="BE66" s="179"/>
      <c r="FN66" s="179"/>
      <c r="FS66" s="179"/>
    </row>
    <row r="67" customFormat="false" ht="15" hidden="false" customHeight="false" outlineLevel="0" collapsed="false">
      <c r="AY67" s="179"/>
      <c r="AZ67" s="179"/>
      <c r="BA67" s="179"/>
      <c r="BB67" s="179"/>
      <c r="BD67" s="179"/>
      <c r="BE67" s="179"/>
      <c r="FN67" s="179"/>
      <c r="FS67" s="179"/>
    </row>
    <row r="109" customFormat="false" ht="15" hidden="false" customHeight="false" outlineLevel="0" collapsed="false">
      <c r="AY109" s="179"/>
      <c r="AZ109" s="179"/>
      <c r="BA109" s="179"/>
      <c r="BB109" s="179"/>
      <c r="BD109" s="179"/>
      <c r="BE109" s="179"/>
      <c r="FN109" s="179"/>
      <c r="FS109" s="179"/>
    </row>
    <row r="110" customFormat="false" ht="15" hidden="false" customHeight="false" outlineLevel="0" collapsed="false">
      <c r="AY110" s="179"/>
      <c r="AZ110" s="179"/>
      <c r="BA110" s="179"/>
      <c r="BB110" s="179"/>
      <c r="BD110" s="179"/>
      <c r="BE110" s="179"/>
      <c r="FN110" s="179"/>
      <c r="FS110" s="179"/>
    </row>
    <row r="122" customFormat="false" ht="15" hidden="false" customHeight="false" outlineLevel="0" collapsed="false">
      <c r="AY122" s="179"/>
      <c r="AZ122" s="179"/>
      <c r="BA122" s="179"/>
      <c r="BB122" s="179"/>
      <c r="BD122" s="179"/>
      <c r="BE122" s="179"/>
      <c r="FN122" s="179"/>
      <c r="FS122" s="179"/>
    </row>
    <row r="123" customFormat="false" ht="15" hidden="false" customHeight="false" outlineLevel="0" collapsed="false">
      <c r="AY123" s="179"/>
      <c r="AZ123" s="179"/>
      <c r="BA123" s="179"/>
      <c r="BB123" s="179"/>
      <c r="BD123" s="179"/>
      <c r="BE123" s="179"/>
      <c r="FN123" s="179"/>
      <c r="FS123" s="179"/>
    </row>
    <row r="128" customFormat="false" ht="15" hidden="false" customHeight="false" outlineLevel="0" collapsed="false">
      <c r="AY128" s="179"/>
      <c r="AZ128" s="179"/>
      <c r="BA128" s="179"/>
      <c r="BB128" s="179"/>
      <c r="BD128" s="179"/>
      <c r="BE128" s="179"/>
      <c r="FN128" s="179"/>
      <c r="FS128" s="179"/>
    </row>
    <row r="129" customFormat="false" ht="15" hidden="false" customHeight="false" outlineLevel="0" collapsed="false">
      <c r="AY129" s="179"/>
      <c r="AZ129" s="179"/>
      <c r="BA129" s="179"/>
      <c r="BB129" s="179"/>
      <c r="BD129" s="179"/>
      <c r="BE129" s="179"/>
      <c r="FN129" s="179"/>
      <c r="FS129" s="179"/>
    </row>
    <row r="140" customFormat="false" ht="15" hidden="false" customHeight="false" outlineLevel="0" collapsed="false">
      <c r="AY140" s="179"/>
      <c r="AZ140" s="179"/>
      <c r="BA140" s="179"/>
      <c r="BB140" s="179"/>
      <c r="BD140" s="179"/>
      <c r="BE140" s="179"/>
      <c r="FN140" s="179"/>
      <c r="FS140" s="179"/>
    </row>
    <row r="141" customFormat="false" ht="15" hidden="false" customHeight="false" outlineLevel="0" collapsed="false">
      <c r="AY141" s="179"/>
      <c r="AZ141" s="179"/>
      <c r="BA141" s="179"/>
      <c r="BB141" s="179"/>
      <c r="BD141" s="179"/>
      <c r="BE141" s="179"/>
      <c r="FN141" s="179"/>
      <c r="FS141" s="179"/>
    </row>
    <row r="147" customFormat="false" ht="15" hidden="false" customHeight="false" outlineLevel="0" collapsed="false">
      <c r="AY147" s="179"/>
      <c r="AZ147" s="179"/>
      <c r="BA147" s="179"/>
      <c r="BB147" s="179"/>
      <c r="BD147" s="179"/>
      <c r="BE147" s="179"/>
      <c r="FN147" s="179"/>
      <c r="FS147" s="179"/>
    </row>
    <row r="148" customFormat="false" ht="15" hidden="false" customHeight="false" outlineLevel="0" collapsed="false">
      <c r="AY148" s="179"/>
      <c r="AZ148" s="179"/>
      <c r="BA148" s="179"/>
      <c r="BB148" s="179"/>
      <c r="BD148" s="179"/>
      <c r="BE148" s="179"/>
      <c r="FN148" s="179"/>
      <c r="FS148" s="179"/>
    </row>
    <row r="149" customFormat="false" ht="15" hidden="false" customHeight="false" outlineLevel="0" collapsed="false">
      <c r="AY149" s="179"/>
      <c r="AZ149" s="179"/>
      <c r="BA149" s="179"/>
      <c r="BB149" s="179"/>
      <c r="BD149" s="179"/>
      <c r="BE149" s="179"/>
      <c r="FN149" s="179"/>
      <c r="FS149" s="179"/>
    </row>
    <row r="153" customFormat="false" ht="15" hidden="false" customHeight="false" outlineLevel="0" collapsed="false">
      <c r="AY153" s="179"/>
      <c r="AZ153" s="179"/>
      <c r="BA153" s="179"/>
      <c r="BB153" s="179"/>
      <c r="BD153" s="179"/>
      <c r="BE153" s="179"/>
      <c r="FN153" s="179"/>
      <c r="FS153" s="179"/>
    </row>
    <row r="154" customFormat="false" ht="15" hidden="false" customHeight="false" outlineLevel="0" collapsed="false">
      <c r="AY154" s="179"/>
      <c r="AZ154" s="179"/>
      <c r="BA154" s="179"/>
      <c r="BB154" s="179"/>
      <c r="BD154" s="179"/>
      <c r="BE154" s="179"/>
      <c r="FN154" s="179"/>
      <c r="FS154" s="179"/>
    </row>
    <row r="155" customFormat="false" ht="15" hidden="false" customHeight="false" outlineLevel="0" collapsed="false">
      <c r="AY155" s="179"/>
      <c r="AZ155" s="179"/>
      <c r="BA155" s="179"/>
      <c r="BB155" s="179"/>
      <c r="BD155" s="179"/>
      <c r="BE155" s="179"/>
      <c r="FN155" s="179"/>
      <c r="FS155" s="179"/>
    </row>
    <row r="162" customFormat="false" ht="15" hidden="false" customHeight="false" outlineLevel="0" collapsed="false">
      <c r="AY162" s="179"/>
      <c r="AZ162" s="179"/>
      <c r="BA162" s="179"/>
      <c r="BB162" s="179"/>
      <c r="BD162" s="179"/>
      <c r="BE162" s="179"/>
      <c r="FN162" s="179"/>
      <c r="FS162" s="179"/>
    </row>
    <row r="163" customFormat="false" ht="15" hidden="false" customHeight="false" outlineLevel="0" collapsed="false">
      <c r="AY163" s="179"/>
      <c r="AZ163" s="179"/>
      <c r="BA163" s="179"/>
      <c r="BB163" s="179"/>
      <c r="BD163" s="179"/>
      <c r="BE163" s="179"/>
      <c r="FN163" s="179"/>
      <c r="FS163" s="179"/>
    </row>
    <row r="171" customFormat="false" ht="15" hidden="false" customHeight="false" outlineLevel="0" collapsed="false">
      <c r="AY171" s="179"/>
      <c r="AZ171" s="179"/>
      <c r="BA171" s="179"/>
      <c r="BB171" s="179"/>
      <c r="BD171" s="179"/>
      <c r="BE171" s="179"/>
      <c r="FN171" s="179"/>
      <c r="FS171" s="179"/>
    </row>
    <row r="172" customFormat="false" ht="15" hidden="false" customHeight="false" outlineLevel="0" collapsed="false">
      <c r="AY172" s="179"/>
      <c r="AZ172" s="179"/>
      <c r="BA172" s="179"/>
      <c r="BB172" s="179"/>
      <c r="BD172" s="179"/>
      <c r="BE172" s="179"/>
      <c r="FN172" s="179"/>
      <c r="FS172" s="17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01" r:id="rId4" name="Button 13">
              <controlPr defaultSize="0" print="false" autoFill="0" autoPict="0" macro="模块3.返回主页">
                <anchor moveWithCells="true" sizeWithCells="false">
                  <from>
                    <xdr:col>1</xdr:col>
                    <xdr:colOff>0</xdr:colOff>
                    <xdr:row>2</xdr:row>
                    <xdr:rowOff>23040</xdr:rowOff>
                  </from>
                  <to>
                    <xdr:col>2</xdr:col>
                    <xdr:colOff>-761760</xdr:colOff>
                    <xdr:row>3</xdr:row>
                    <xdr:rowOff>-60840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9"/>
  <sheetViews>
    <sheetView showFormulas="false" showGridLines="true" showRowColHeaders="true" showZeros="true" rightToLeft="false" tabSelected="false" showOutlineSymbols="true" defaultGridColor="true" view="normal" topLeftCell="A1" colorId="64" zoomScale="100" zoomScaleNormal="100" zoomScalePageLayoutView="145" workbookViewId="0">
      <pane xSplit="0" ySplit="5" topLeftCell="A6" activePane="bottomLeft" state="frozen"/>
      <selection pane="topLeft" activeCell="A1" activeCellId="0" sqref="A1"/>
      <selection pane="bottomLeft" activeCell="J34" activeCellId="0" sqref="1:1048576"/>
    </sheetView>
  </sheetViews>
  <sheetFormatPr defaultColWidth="8.50390625" defaultRowHeight="14.25" zeroHeight="false" outlineLevelRow="0" outlineLevelCol="0"/>
  <cols>
    <col collapsed="false" customWidth="true" hidden="false" outlineLevel="0" max="1" min="1" style="0" width="23.88"/>
    <col collapsed="false" customWidth="true" hidden="false" outlineLevel="0" max="2" min="2" style="0" width="7.5"/>
    <col collapsed="false" customWidth="true" hidden="false" outlineLevel="0" max="3" min="3" style="0" width="24.37"/>
    <col collapsed="false" customWidth="true" hidden="false" outlineLevel="0" max="4" min="4" style="0" width="7.75"/>
    <col collapsed="false" customWidth="true" hidden="false" outlineLevel="0" max="5" min="5" style="0" width="21.62"/>
    <col collapsed="false" customWidth="true" hidden="false" outlineLevel="0" max="6" min="6" style="0" width="7.5"/>
    <col collapsed="false" customWidth="true" hidden="false" outlineLevel="0" max="7" min="7" style="0" width="29.38"/>
  </cols>
  <sheetData>
    <row r="1" customFormat="false" ht="15" hidden="false" customHeight="false" outlineLevel="0" collapsed="false">
      <c r="A1" s="0" t="s">
        <v>389</v>
      </c>
      <c r="B1" s="27" t="s">
        <v>275</v>
      </c>
      <c r="C1" s="205" t="s">
        <v>390</v>
      </c>
      <c r="D1" s="205"/>
      <c r="E1" s="206" t="s">
        <v>389</v>
      </c>
      <c r="F1" s="27" t="s">
        <v>275</v>
      </c>
      <c r="G1" s="205" t="s">
        <v>391</v>
      </c>
    </row>
    <row r="2" customFormat="false" ht="15" hidden="false" customHeight="false" outlineLevel="0" collapsed="false">
      <c r="A2" s="27" t="s">
        <v>187</v>
      </c>
      <c r="B2" s="205"/>
      <c r="C2" s="205" t="s">
        <v>392</v>
      </c>
      <c r="D2" s="205"/>
      <c r="E2" s="27" t="s">
        <v>187</v>
      </c>
      <c r="F2" s="205"/>
      <c r="G2" s="205" t="s">
        <v>393</v>
      </c>
    </row>
    <row r="3" customFormat="false" ht="15" hidden="false" customHeight="false" outlineLevel="0" collapsed="false">
      <c r="A3" s="207" t="s">
        <v>181</v>
      </c>
      <c r="B3" s="205"/>
      <c r="C3" s="205" t="s">
        <v>394</v>
      </c>
      <c r="D3" s="205"/>
      <c r="E3" s="207" t="s">
        <v>181</v>
      </c>
      <c r="F3" s="205"/>
      <c r="G3" s="205" t="s">
        <v>394</v>
      </c>
    </row>
    <row r="4" customFormat="false" ht="15" hidden="false" customHeight="false" outlineLevel="0" collapsed="false">
      <c r="A4" s="207" t="s">
        <v>395</v>
      </c>
      <c r="B4" s="205"/>
      <c r="C4" s="208" t="str">
        <f aca="false">CONCATENATE("Φ",C17*1000,"×",C20*1000,"（T-T）")</f>
        <v>Φ4600×22000（T-T）</v>
      </c>
      <c r="D4" s="208"/>
      <c r="E4" s="207" t="s">
        <v>395</v>
      </c>
      <c r="F4" s="205"/>
      <c r="G4" s="209" t="str">
        <f aca="false">CONCATENATE("Φ",G19*1000,"×",G30*1000,"（T-T）")</f>
        <v>Φ4600×21940（T-T）</v>
      </c>
    </row>
    <row r="5" customFormat="false" ht="15" hidden="false" customHeight="false" outlineLevel="0" collapsed="false">
      <c r="A5" s="207" t="s">
        <v>396</v>
      </c>
      <c r="B5" s="206" t="s">
        <v>397</v>
      </c>
      <c r="C5" s="205" t="n">
        <v>2</v>
      </c>
      <c r="D5" s="205"/>
      <c r="E5" s="207" t="s">
        <v>396</v>
      </c>
      <c r="F5" s="206" t="s">
        <v>397</v>
      </c>
      <c r="G5" s="205" t="n">
        <v>1</v>
      </c>
    </row>
    <row r="6" customFormat="false" ht="15" hidden="false" customHeight="false" outlineLevel="0" collapsed="false">
      <c r="A6" s="0" t="s">
        <v>398</v>
      </c>
      <c r="B6" s="205"/>
      <c r="C6" s="205" t="s">
        <v>399</v>
      </c>
      <c r="D6" s="210"/>
      <c r="E6" s="206" t="s">
        <v>398</v>
      </c>
      <c r="F6" s="205"/>
      <c r="G6" s="205" t="s">
        <v>400</v>
      </c>
    </row>
    <row r="7" customFormat="false" ht="15" hidden="false" customHeight="false" outlineLevel="0" collapsed="false">
      <c r="A7" s="211" t="s">
        <v>401</v>
      </c>
      <c r="B7" s="49" t="s">
        <v>402</v>
      </c>
      <c r="C7" s="212" t="n">
        <f aca="false">物流参数!FM4</f>
        <v>0</v>
      </c>
      <c r="D7" s="210"/>
      <c r="E7" s="211" t="s">
        <v>401</v>
      </c>
      <c r="F7" s="49" t="s">
        <v>402</v>
      </c>
      <c r="G7" s="212" t="n">
        <f aca="false">物流参数!DT4</f>
        <v>124.47</v>
      </c>
    </row>
    <row r="8" customFormat="false" ht="15" hidden="false" customHeight="false" outlineLevel="0" collapsed="false">
      <c r="A8" s="211" t="s">
        <v>403</v>
      </c>
      <c r="B8" s="49" t="s">
        <v>200</v>
      </c>
      <c r="C8" s="213" t="n">
        <f aca="false">输入!C31</f>
        <v>13.25</v>
      </c>
      <c r="D8" s="210"/>
      <c r="E8" s="211" t="s">
        <v>403</v>
      </c>
      <c r="F8" s="49" t="s">
        <v>200</v>
      </c>
      <c r="G8" s="212" t="n">
        <f aca="false">物流参数!DT5-0.1</f>
        <v>223.71</v>
      </c>
    </row>
    <row r="9" customFormat="false" ht="15" hidden="false" customHeight="false" outlineLevel="0" collapsed="false">
      <c r="A9" s="211" t="s">
        <v>404</v>
      </c>
      <c r="B9" s="49" t="s">
        <v>402</v>
      </c>
      <c r="C9" s="212" t="n">
        <f aca="false">物流参数!FM4</f>
        <v>0</v>
      </c>
      <c r="D9" s="205"/>
      <c r="E9" s="211" t="s">
        <v>404</v>
      </c>
      <c r="F9" s="49" t="s">
        <v>402</v>
      </c>
      <c r="G9" s="212" t="n">
        <f aca="false">物流参数!M4</f>
        <v>752.77</v>
      </c>
    </row>
    <row r="10" customFormat="false" ht="15" hidden="false" customHeight="false" outlineLevel="0" collapsed="false">
      <c r="A10" s="211" t="s">
        <v>405</v>
      </c>
      <c r="B10" s="49" t="s">
        <v>200</v>
      </c>
      <c r="C10" s="213" t="n">
        <f aca="false">C8</f>
        <v>13.25</v>
      </c>
      <c r="D10" s="205"/>
      <c r="E10" s="211" t="s">
        <v>405</v>
      </c>
      <c r="F10" s="49" t="s">
        <v>200</v>
      </c>
      <c r="G10" s="212" t="n">
        <f aca="false">物流参数!M5-0.1</f>
        <v>187.37</v>
      </c>
    </row>
    <row r="11" customFormat="false" ht="15" hidden="false" customHeight="false" outlineLevel="0" collapsed="false">
      <c r="A11" s="211" t="s">
        <v>406</v>
      </c>
      <c r="B11" s="49" t="s">
        <v>200</v>
      </c>
      <c r="C11" s="214" t="n">
        <v>13.9</v>
      </c>
      <c r="D11" s="210"/>
      <c r="E11" s="211" t="s">
        <v>406</v>
      </c>
      <c r="F11" s="49" t="s">
        <v>200</v>
      </c>
      <c r="G11" s="214" t="n">
        <v>13.9</v>
      </c>
    </row>
    <row r="12" customFormat="false" ht="15" hidden="false" customHeight="false" outlineLevel="0" collapsed="false">
      <c r="A12" s="211" t="s">
        <v>407</v>
      </c>
      <c r="B12" s="49" t="s">
        <v>402</v>
      </c>
      <c r="C12" s="214" t="n">
        <v>460</v>
      </c>
      <c r="D12" s="210"/>
      <c r="E12" s="211" t="s">
        <v>407</v>
      </c>
      <c r="F12" s="49" t="s">
        <v>402</v>
      </c>
      <c r="G12" s="214" t="n">
        <v>420</v>
      </c>
    </row>
    <row r="13" customFormat="false" ht="15" hidden="false" customHeight="false" outlineLevel="0" collapsed="false">
      <c r="A13" s="27" t="s">
        <v>408</v>
      </c>
      <c r="B13" s="206" t="s">
        <v>409</v>
      </c>
      <c r="C13" s="210" t="e">
        <f aca="false">#REF!/2</f>
        <v>#REF!</v>
      </c>
      <c r="D13" s="205"/>
      <c r="E13" s="27" t="s">
        <v>410</v>
      </c>
      <c r="F13" s="206" t="s">
        <v>409</v>
      </c>
      <c r="G13" s="212" t="e">
        <f aca="false">#REF!</f>
        <v>#REF!</v>
      </c>
    </row>
    <row r="14" customFormat="false" ht="15" hidden="false" customHeight="false" outlineLevel="0" collapsed="false">
      <c r="A14" s="27" t="s">
        <v>411</v>
      </c>
      <c r="B14" s="27" t="s">
        <v>412</v>
      </c>
      <c r="C14" s="210" t="e">
        <f aca="false">#REF!/2</f>
        <v>#REF!</v>
      </c>
      <c r="D14" s="210"/>
      <c r="E14" s="27" t="s">
        <v>411</v>
      </c>
      <c r="F14" s="27" t="s">
        <v>412</v>
      </c>
      <c r="G14" s="212" t="n">
        <f aca="false">物流参数!DT7/1000</f>
        <v>-1.68987</v>
      </c>
    </row>
    <row r="15" customFormat="false" ht="15" hidden="false" customHeight="false" outlineLevel="0" collapsed="false">
      <c r="A15" s="27" t="s">
        <v>413</v>
      </c>
      <c r="B15" s="27" t="s">
        <v>414</v>
      </c>
      <c r="C15" s="205" t="n">
        <v>1</v>
      </c>
      <c r="D15" s="210"/>
      <c r="E15" s="27" t="s">
        <v>415</v>
      </c>
      <c r="F15" s="27" t="s">
        <v>416</v>
      </c>
      <c r="G15" s="205" t="n">
        <v>14</v>
      </c>
    </row>
    <row r="16" customFormat="false" ht="15" hidden="false" customHeight="false" outlineLevel="0" collapsed="false">
      <c r="A16" s="27" t="s">
        <v>417</v>
      </c>
      <c r="B16" s="27" t="s">
        <v>418</v>
      </c>
      <c r="C16" s="210" t="e">
        <f aca="false">C13/C15</f>
        <v>#REF!</v>
      </c>
      <c r="D16" s="210"/>
      <c r="E16" s="27" t="s">
        <v>413</v>
      </c>
      <c r="F16" s="27" t="s">
        <v>414</v>
      </c>
      <c r="G16" s="205" t="n">
        <v>1</v>
      </c>
    </row>
    <row r="17" customFormat="false" ht="15" hidden="false" customHeight="false" outlineLevel="0" collapsed="false">
      <c r="A17" s="27" t="s">
        <v>419</v>
      </c>
      <c r="B17" s="206" t="s">
        <v>420</v>
      </c>
      <c r="C17" s="205" t="n">
        <v>4.6</v>
      </c>
      <c r="D17" s="210"/>
      <c r="E17" s="27" t="s">
        <v>417</v>
      </c>
      <c r="F17" s="27" t="s">
        <v>418</v>
      </c>
      <c r="G17" s="215" t="n">
        <v>118</v>
      </c>
    </row>
    <row r="18" customFormat="false" ht="15" hidden="false" customHeight="false" outlineLevel="0" collapsed="false">
      <c r="A18" s="27" t="s">
        <v>421</v>
      </c>
      <c r="B18" s="206" t="s">
        <v>420</v>
      </c>
      <c r="C18" s="210" t="e">
        <f aca="false">C13/C15/(0.785*C17^2)</f>
        <v>#REF!</v>
      </c>
      <c r="D18" s="205"/>
      <c r="E18" s="27" t="s">
        <v>422</v>
      </c>
      <c r="F18" s="206" t="s">
        <v>420</v>
      </c>
      <c r="G18" s="210" t="e">
        <f aca="false">SQRT(G14/G15)</f>
        <v>#VALUE!</v>
      </c>
    </row>
    <row r="19" customFormat="false" ht="15" hidden="false" customHeight="false" outlineLevel="0" collapsed="false">
      <c r="A19" s="27" t="s">
        <v>423</v>
      </c>
      <c r="B19" s="27" t="s">
        <v>420</v>
      </c>
      <c r="C19" s="205" t="n">
        <v>20</v>
      </c>
      <c r="D19" s="205"/>
      <c r="E19" s="27" t="s">
        <v>419</v>
      </c>
      <c r="F19" s="206" t="s">
        <v>420</v>
      </c>
      <c r="G19" s="205" t="n">
        <v>4.6</v>
      </c>
    </row>
    <row r="20" customFormat="false" ht="15" hidden="false" customHeight="false" outlineLevel="0" collapsed="false">
      <c r="A20" s="27" t="s">
        <v>424</v>
      </c>
      <c r="B20" s="206" t="s">
        <v>420</v>
      </c>
      <c r="C20" s="205" t="n">
        <v>22</v>
      </c>
      <c r="D20" s="216"/>
      <c r="E20" s="27" t="s">
        <v>425</v>
      </c>
      <c r="F20" s="206" t="s">
        <v>420</v>
      </c>
      <c r="G20" s="210" t="n">
        <f aca="false">G17/(0.785*G19*G19)</f>
        <v>7.10389751122777</v>
      </c>
      <c r="H20" s="206" t="n">
        <f aca="false">G21/G22</f>
        <v>4.97633333333333</v>
      </c>
    </row>
    <row r="21" customFormat="false" ht="15" hidden="false" customHeight="false" outlineLevel="0" collapsed="false">
      <c r="A21" s="27" t="s">
        <v>426</v>
      </c>
      <c r="C21" s="216" t="n">
        <f aca="false">C20/C17</f>
        <v>4.78260869565218</v>
      </c>
      <c r="D21" s="217"/>
      <c r="E21" s="27" t="s">
        <v>427</v>
      </c>
      <c r="F21" s="27" t="s">
        <v>420</v>
      </c>
      <c r="G21" s="215" t="n">
        <f aca="false">(H21+I21+J21)/1000</f>
        <v>14.929</v>
      </c>
      <c r="H21" s="218" t="n">
        <v>1493</v>
      </c>
      <c r="I21" s="218" t="n">
        <v>6270</v>
      </c>
      <c r="J21" s="218" t="n">
        <v>7166</v>
      </c>
    </row>
    <row r="22" customFormat="false" ht="15" hidden="false" customHeight="false" outlineLevel="0" collapsed="false">
      <c r="A22" s="27" t="s">
        <v>277</v>
      </c>
      <c r="C22" s="219" t="s">
        <v>428</v>
      </c>
      <c r="E22" s="27" t="s">
        <v>429</v>
      </c>
      <c r="G22" s="205" t="n">
        <v>3</v>
      </c>
    </row>
    <row r="23" customFormat="false" ht="15" hidden="false" customHeight="false" outlineLevel="0" collapsed="false">
      <c r="C23" s="27"/>
      <c r="E23" s="27" t="s">
        <v>430</v>
      </c>
      <c r="F23" s="27" t="s">
        <v>420</v>
      </c>
      <c r="G23" s="205" t="n">
        <v>1.58</v>
      </c>
    </row>
    <row r="24" customFormat="false" ht="15" hidden="false" customHeight="false" outlineLevel="0" collapsed="false">
      <c r="E24" s="27" t="s">
        <v>431</v>
      </c>
      <c r="F24" s="27" t="s">
        <v>420</v>
      </c>
      <c r="G24" s="220" t="n">
        <v>1.1</v>
      </c>
    </row>
    <row r="25" customFormat="false" ht="15" hidden="false" customHeight="false" outlineLevel="0" collapsed="false">
      <c r="E25" s="27" t="s">
        <v>432</v>
      </c>
      <c r="F25" s="27" t="s">
        <v>420</v>
      </c>
      <c r="G25" s="220" t="n">
        <v>0</v>
      </c>
    </row>
    <row r="26" customFormat="false" ht="15" hidden="false" customHeight="false" outlineLevel="0" collapsed="false">
      <c r="E26" s="27" t="s">
        <v>433</v>
      </c>
      <c r="F26" s="27" t="s">
        <v>420</v>
      </c>
      <c r="G26" s="205" t="n">
        <v>2.986</v>
      </c>
    </row>
    <row r="27" customFormat="false" ht="15" hidden="false" customHeight="false" outlineLevel="0" collapsed="false">
      <c r="E27" s="27" t="s">
        <v>434</v>
      </c>
      <c r="F27" s="27" t="s">
        <v>420</v>
      </c>
      <c r="G27" s="221" t="n">
        <f aca="false">G21+G24+G25+G26+(G22-1)*G23</f>
        <v>22.175</v>
      </c>
    </row>
    <row r="28" customFormat="false" ht="15" hidden="false" customHeight="false" outlineLevel="0" collapsed="false">
      <c r="E28" s="27" t="s">
        <v>426</v>
      </c>
      <c r="G28" s="222" t="n">
        <f aca="false">G21/G19</f>
        <v>3.2454347826087</v>
      </c>
    </row>
    <row r="29" customFormat="false" ht="15" hidden="false" customHeight="false" outlineLevel="0" collapsed="false">
      <c r="E29" s="27" t="s">
        <v>435</v>
      </c>
      <c r="F29" s="206" t="s">
        <v>420</v>
      </c>
      <c r="G29" s="205" t="n">
        <v>0.235</v>
      </c>
    </row>
    <row r="30" customFormat="false" ht="15" hidden="false" customHeight="false" outlineLevel="0" collapsed="false">
      <c r="E30" s="27" t="s">
        <v>436</v>
      </c>
      <c r="F30" s="206" t="s">
        <v>420</v>
      </c>
      <c r="G30" s="222" t="n">
        <f aca="false">G27-G29</f>
        <v>21.94</v>
      </c>
    </row>
    <row r="31" customFormat="false" ht="15" hidden="false" customHeight="false" outlineLevel="0" collapsed="false">
      <c r="E31" s="219" t="s">
        <v>437</v>
      </c>
      <c r="F31" s="219" t="s">
        <v>418</v>
      </c>
      <c r="G31" s="222" t="n">
        <f aca="false">0.785*G19*G19*(0.4*G22-G29)+3.14*G19*G19*G19/12</f>
        <v>41.4988156666667</v>
      </c>
    </row>
    <row r="32" customFormat="false" ht="15" hidden="false" customHeight="false" outlineLevel="0" collapsed="false">
      <c r="E32" s="27" t="s">
        <v>438</v>
      </c>
      <c r="F32" s="27" t="s">
        <v>439</v>
      </c>
      <c r="G32" s="205" t="n">
        <v>1700</v>
      </c>
    </row>
    <row r="33" customFormat="false" ht="15" hidden="false" customHeight="false" outlineLevel="0" collapsed="false">
      <c r="E33" s="27" t="s">
        <v>437</v>
      </c>
      <c r="F33" s="27" t="s">
        <v>440</v>
      </c>
      <c r="G33" s="222" t="n">
        <f aca="false">G32*G31/1000</f>
        <v>70.5479866333333</v>
      </c>
    </row>
    <row r="34" customFormat="false" ht="15" hidden="false" customHeight="false" outlineLevel="0" collapsed="false">
      <c r="E34" s="27" t="s">
        <v>441</v>
      </c>
      <c r="F34" s="27" t="s">
        <v>439</v>
      </c>
      <c r="G34" s="205" t="n">
        <v>900</v>
      </c>
    </row>
    <row r="35" customFormat="false" ht="15" hidden="false" customHeight="false" outlineLevel="0" collapsed="false">
      <c r="E35" s="27" t="s">
        <v>442</v>
      </c>
      <c r="F35" s="27" t="s">
        <v>440</v>
      </c>
      <c r="G35" s="221" t="n">
        <f aca="false">G17*G34/1000</f>
        <v>106.2</v>
      </c>
    </row>
    <row r="36" customFormat="false" ht="15" hidden="false" customHeight="false" outlineLevel="0" collapsed="false">
      <c r="A36" s="27" t="s">
        <v>443</v>
      </c>
      <c r="B36" s="27" t="s">
        <v>444</v>
      </c>
      <c r="C36" s="210" t="e">
        <f aca="false">C13/(0.785*C17*C17)</f>
        <v>#REF!</v>
      </c>
      <c r="E36" s="27" t="s">
        <v>443</v>
      </c>
      <c r="F36" s="27" t="s">
        <v>444</v>
      </c>
      <c r="G36" s="210" t="e">
        <f aca="false">G13/(0.785*G19*G19)</f>
        <v>#REF!</v>
      </c>
    </row>
    <row r="37" customFormat="false" ht="15" hidden="false" customHeight="false" outlineLevel="0" collapsed="false">
      <c r="A37" s="27" t="s">
        <v>445</v>
      </c>
      <c r="B37" s="27" t="s">
        <v>166</v>
      </c>
      <c r="C37" s="212" t="n">
        <f aca="false">物流参数!FM26</f>
        <v>0</v>
      </c>
      <c r="E37" s="27" t="s">
        <v>445</v>
      </c>
      <c r="F37" s="27" t="s">
        <v>166</v>
      </c>
      <c r="G37" s="212" t="n">
        <f aca="false">物流参数!DT26</f>
        <v>0</v>
      </c>
    </row>
    <row r="38" customFormat="false" ht="15" hidden="false" customHeight="false" outlineLevel="0" collapsed="false">
      <c r="A38" s="27" t="s">
        <v>446</v>
      </c>
      <c r="C38" s="223" t="n">
        <f aca="false">物流参数!FM32</f>
        <v>0</v>
      </c>
      <c r="E38" s="27" t="s">
        <v>446</v>
      </c>
      <c r="G38" s="212" t="n">
        <f aca="false">物流参数!DT32</f>
        <v>0</v>
      </c>
    </row>
    <row r="39" customFormat="false" ht="15" hidden="false" customHeight="false" outlineLevel="0" collapsed="false">
      <c r="A39" s="27" t="s">
        <v>447</v>
      </c>
      <c r="B39" s="27" t="s">
        <v>439</v>
      </c>
      <c r="C39" s="212" t="n">
        <f aca="false">物流参数!FM28</f>
        <v>0</v>
      </c>
      <c r="E39" s="27" t="s">
        <v>447</v>
      </c>
      <c r="F39" s="27" t="s">
        <v>439</v>
      </c>
      <c r="G39" s="212" t="n">
        <f aca="false">物流参数!DT28</f>
        <v>0</v>
      </c>
    </row>
    <row r="40" customFormat="false" ht="15" hidden="false" customHeight="false" outlineLevel="0" collapsed="false">
      <c r="A40" s="27" t="s">
        <v>448</v>
      </c>
      <c r="B40" s="27" t="s">
        <v>439</v>
      </c>
      <c r="C40" s="212" t="n">
        <f aca="false">物流参数!FM29</f>
        <v>0</v>
      </c>
      <c r="E40" s="27" t="s">
        <v>448</v>
      </c>
      <c r="F40" s="27" t="s">
        <v>439</v>
      </c>
      <c r="G40" s="212" t="n">
        <f aca="false">物流参数!DT29</f>
        <v>0</v>
      </c>
    </row>
    <row r="41" customFormat="false" ht="15" hidden="false" customHeight="false" outlineLevel="0" collapsed="false">
      <c r="A41" s="27" t="s">
        <v>449</v>
      </c>
      <c r="B41" s="27" t="s">
        <v>376</v>
      </c>
      <c r="C41" s="212" t="e">
        <f aca="false">物流参数!FM25/物流参数!FM27*1000</f>
        <v>#DIV/0!</v>
      </c>
      <c r="E41" s="27" t="s">
        <v>449</v>
      </c>
      <c r="F41" s="27" t="s">
        <v>376</v>
      </c>
      <c r="G41" s="212" t="e">
        <f aca="false">物流参数!DT25/物流参数!DT27*1000</f>
        <v>#DIV/0!</v>
      </c>
    </row>
    <row r="42" customFormat="false" ht="15" hidden="false" customHeight="false" outlineLevel="0" collapsed="false">
      <c r="A42" s="27" t="s">
        <v>450</v>
      </c>
      <c r="B42" s="27" t="s">
        <v>166</v>
      </c>
      <c r="C42" s="212" t="n">
        <f aca="false">物流参数!FM17</f>
        <v>0</v>
      </c>
      <c r="E42" s="27" t="s">
        <v>450</v>
      </c>
      <c r="F42" s="27" t="s">
        <v>166</v>
      </c>
      <c r="G42" s="212" t="n">
        <f aca="false">物流参数!DT17</f>
        <v>818.54</v>
      </c>
    </row>
    <row r="43" customFormat="false" ht="15" hidden="false" customHeight="false" outlineLevel="0" collapsed="false">
      <c r="A43" s="27" t="s">
        <v>451</v>
      </c>
      <c r="C43" s="212" t="n">
        <f aca="false">物流参数!FM21</f>
        <v>0</v>
      </c>
      <c r="E43" s="27" t="s">
        <v>451</v>
      </c>
      <c r="G43" s="212" t="n">
        <f aca="false">物流参数!DT21</f>
        <v>0.1</v>
      </c>
    </row>
    <row r="44" customFormat="false" ht="15" hidden="false" customHeight="false" outlineLevel="0" collapsed="false">
      <c r="A44" s="27" t="s">
        <v>452</v>
      </c>
      <c r="B44" s="27" t="s">
        <v>439</v>
      </c>
      <c r="C44" s="212" t="n">
        <f aca="false">物流参数!FM18</f>
        <v>0</v>
      </c>
      <c r="E44" s="27" t="s">
        <v>452</v>
      </c>
      <c r="F44" s="27" t="s">
        <v>439</v>
      </c>
      <c r="G44" s="212" t="n">
        <f aca="false">物流参数!DT18</f>
        <v>41.2</v>
      </c>
    </row>
    <row r="45" customFormat="false" ht="15" hidden="false" customHeight="false" outlineLevel="0" collapsed="false">
      <c r="A45" s="27" t="s">
        <v>453</v>
      </c>
      <c r="B45" s="27" t="s">
        <v>372</v>
      </c>
      <c r="C45" s="212" t="n">
        <f aca="false">物流参数!FM14*物流参数!FM5</f>
        <v>0</v>
      </c>
      <c r="E45" s="27" t="s">
        <v>453</v>
      </c>
      <c r="F45" s="27" t="s">
        <v>372</v>
      </c>
      <c r="G45" s="212" t="n">
        <f aca="false">物流参数!DT14*物流参数!DT5</f>
        <v>9207.5434</v>
      </c>
    </row>
    <row r="46" customFormat="false" ht="15" hidden="false" customHeight="false" outlineLevel="0" collapsed="false">
      <c r="A46" s="27" t="s">
        <v>454</v>
      </c>
      <c r="B46" s="27" t="s">
        <v>374</v>
      </c>
      <c r="C46" s="224" t="n">
        <f aca="false">物流参数!FM15</f>
        <v>0</v>
      </c>
      <c r="E46" s="27" t="s">
        <v>454</v>
      </c>
      <c r="F46" s="27" t="s">
        <v>374</v>
      </c>
      <c r="G46" s="224" t="n">
        <f aca="false">物流参数!DT15</f>
        <v>33.12</v>
      </c>
    </row>
    <row r="47" customFormat="false" ht="15" hidden="false" customHeight="false" outlineLevel="0" collapsed="false">
      <c r="A47" s="27" t="s">
        <v>455</v>
      </c>
      <c r="B47" s="27" t="s">
        <v>166</v>
      </c>
      <c r="C47" s="212" t="n">
        <f aca="false">物流参数!H26</f>
        <v>0</v>
      </c>
      <c r="E47" s="27" t="s">
        <v>455</v>
      </c>
      <c r="F47" s="27" t="s">
        <v>166</v>
      </c>
      <c r="G47" s="212" t="n">
        <f aca="false">物流参数!DS26</f>
        <v>0</v>
      </c>
    </row>
    <row r="48" customFormat="false" ht="15" hidden="false" customHeight="false" outlineLevel="0" collapsed="false">
      <c r="A48" s="27" t="s">
        <v>456</v>
      </c>
      <c r="C48" s="223" t="n">
        <f aca="false">物流参数!H32</f>
        <v>0</v>
      </c>
      <c r="E48" s="27" t="s">
        <v>456</v>
      </c>
      <c r="G48" s="212" t="n">
        <f aca="false">物流参数!DS32</f>
        <v>0</v>
      </c>
    </row>
    <row r="49" customFormat="false" ht="15" hidden="false" customHeight="false" outlineLevel="0" collapsed="false">
      <c r="A49" s="27" t="s">
        <v>457</v>
      </c>
      <c r="B49" s="27" t="s">
        <v>439</v>
      </c>
      <c r="C49" s="212" t="n">
        <f aca="false">物流参数!H28</f>
        <v>0</v>
      </c>
      <c r="E49" s="27" t="s">
        <v>457</v>
      </c>
      <c r="F49" s="27" t="s">
        <v>439</v>
      </c>
      <c r="G49" s="212" t="n">
        <f aca="false">物流参数!DS28</f>
        <v>0</v>
      </c>
    </row>
    <row r="50" customFormat="false" ht="15" hidden="false" customHeight="false" outlineLevel="0" collapsed="false">
      <c r="A50" s="27" t="s">
        <v>458</v>
      </c>
      <c r="B50" s="27" t="s">
        <v>439</v>
      </c>
      <c r="C50" s="212" t="n">
        <f aca="false">物流参数!H29</f>
        <v>0</v>
      </c>
      <c r="E50" s="27" t="s">
        <v>458</v>
      </c>
      <c r="F50" s="27" t="s">
        <v>439</v>
      </c>
      <c r="G50" s="212" t="n">
        <f aca="false">物流参数!DS29</f>
        <v>0</v>
      </c>
    </row>
    <row r="51" customFormat="false" ht="15" hidden="false" customHeight="false" outlineLevel="0" collapsed="false">
      <c r="A51" s="27" t="s">
        <v>459</v>
      </c>
      <c r="B51" s="27" t="s">
        <v>376</v>
      </c>
      <c r="C51" s="212" t="e">
        <f aca="false">物流参数!H25/物流参数!H27*1000</f>
        <v>#DIV/0!</v>
      </c>
      <c r="E51" s="27" t="s">
        <v>459</v>
      </c>
      <c r="F51" s="27" t="s">
        <v>376</v>
      </c>
      <c r="G51" s="212" t="e">
        <f aca="false">物流参数!DS25/物流参数!DS27*1000</f>
        <v>#DIV/0!</v>
      </c>
    </row>
    <row r="52" customFormat="false" ht="15" hidden="false" customHeight="false" outlineLevel="0" collapsed="false">
      <c r="A52" s="27" t="s">
        <v>460</v>
      </c>
      <c r="B52" s="27" t="s">
        <v>166</v>
      </c>
      <c r="C52" s="212" t="n">
        <f aca="false">物流参数!G17</f>
        <v>911.73</v>
      </c>
      <c r="E52" s="27" t="s">
        <v>460</v>
      </c>
      <c r="F52" s="27" t="s">
        <v>166</v>
      </c>
      <c r="G52" s="212" t="n">
        <f aca="false">物流参数!DS17</f>
        <v>818.54</v>
      </c>
    </row>
    <row r="53" customFormat="false" ht="15" hidden="false" customHeight="false" outlineLevel="0" collapsed="false">
      <c r="A53" s="27" t="s">
        <v>461</v>
      </c>
      <c r="C53" s="212" t="n">
        <f aca="false">物流参数!G21</f>
        <v>0.12</v>
      </c>
      <c r="E53" s="27" t="s">
        <v>461</v>
      </c>
      <c r="G53" s="212" t="n">
        <f aca="false">物流参数!DS21</f>
        <v>0.1</v>
      </c>
    </row>
    <row r="54" customFormat="false" ht="15" hidden="false" customHeight="false" outlineLevel="0" collapsed="false">
      <c r="A54" s="27" t="s">
        <v>462</v>
      </c>
      <c r="B54" s="27" t="s">
        <v>439</v>
      </c>
      <c r="C54" s="212" t="n">
        <f aca="false">物流参数!G18</f>
        <v>23.55</v>
      </c>
      <c r="E54" s="27" t="s">
        <v>462</v>
      </c>
      <c r="F54" s="27" t="s">
        <v>439</v>
      </c>
      <c r="G54" s="212" t="n">
        <f aca="false">物流参数!DS18</f>
        <v>41.2</v>
      </c>
    </row>
    <row r="55" customFormat="false" ht="15" hidden="false" customHeight="false" outlineLevel="0" collapsed="false">
      <c r="A55" s="27" t="s">
        <v>463</v>
      </c>
      <c r="B55" s="27" t="s">
        <v>372</v>
      </c>
      <c r="C55" s="212" t="n">
        <f aca="false">物流参数!G14*物流参数!G5</f>
        <v>4859.6127</v>
      </c>
      <c r="E55" s="27" t="s">
        <v>463</v>
      </c>
      <c r="F55" s="27" t="s">
        <v>372</v>
      </c>
      <c r="G55" s="212" t="n">
        <f aca="false">物流参数!DS14*物流参数!DS5</f>
        <v>9205.7625</v>
      </c>
    </row>
    <row r="56" customFormat="false" ht="15" hidden="false" customHeight="false" outlineLevel="0" collapsed="false">
      <c r="A56" s="27" t="s">
        <v>464</v>
      </c>
      <c r="B56" s="27" t="s">
        <v>374</v>
      </c>
      <c r="C56" s="224" t="n">
        <f aca="false">物流参数!G15</f>
        <v>50.92</v>
      </c>
      <c r="E56" s="27" t="s">
        <v>464</v>
      </c>
      <c r="F56" s="27" t="s">
        <v>374</v>
      </c>
      <c r="G56" s="224" t="n">
        <f aca="false">物流参数!DS15</f>
        <v>33.12</v>
      </c>
    </row>
    <row r="57" customFormat="false" ht="15" hidden="false" customHeight="false" outlineLevel="0" collapsed="false">
      <c r="A57" s="27" t="s">
        <v>465</v>
      </c>
      <c r="B57" s="27" t="s">
        <v>439</v>
      </c>
      <c r="C57" s="212" t="n">
        <f aca="false">物流参数!FM10</f>
        <v>0</v>
      </c>
      <c r="E57" s="27" t="s">
        <v>465</v>
      </c>
      <c r="F57" s="27" t="s">
        <v>439</v>
      </c>
      <c r="G57" s="212" t="n">
        <f aca="false">物流参数!DT10</f>
        <v>437.51</v>
      </c>
    </row>
    <row r="58" customFormat="false" ht="15" hidden="false" customHeight="false" outlineLevel="0" collapsed="false">
      <c r="A58" s="27" t="s">
        <v>466</v>
      </c>
      <c r="B58" s="27" t="s">
        <v>439</v>
      </c>
      <c r="C58" s="212" t="n">
        <f aca="false">物流参数!FL10</f>
        <v>0</v>
      </c>
      <c r="E58" s="27" t="s">
        <v>466</v>
      </c>
      <c r="F58" s="27" t="s">
        <v>439</v>
      </c>
      <c r="G58" s="212" t="n">
        <f aca="false">物流参数!M10</f>
        <v>596.82</v>
      </c>
    </row>
    <row r="59" customFormat="false" ht="15" hidden="false" customHeight="false" outlineLevel="0" collapsed="false">
      <c r="A59" s="27" t="s">
        <v>467</v>
      </c>
      <c r="B59" s="27" t="s">
        <v>468</v>
      </c>
      <c r="C59" s="210" t="n">
        <f aca="false">0.785*C17*C17*C19*(C57+C58)/2</f>
        <v>0</v>
      </c>
      <c r="E59" s="27" t="s">
        <v>467</v>
      </c>
      <c r="F59" s="27" t="s">
        <v>468</v>
      </c>
      <c r="G59" s="210" t="n">
        <f aca="false">(0.785*G19*G19*G30-G17*(1-泄放量!C7))*(G57+G58)/2</f>
        <v>170166.19462106</v>
      </c>
    </row>
  </sheetData>
  <dataValidations count="1">
    <dataValidation allowBlank="true" errorStyle="stop" operator="between" showDropDown="false" showErrorMessage="true" showInputMessage="true" sqref="C3 G3" type="list">
      <formula1>"立式 Vertical,卧式 Horizontal"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01" r:id="rId4" name="Button 1">
              <controlPr defaultSize="0" print="false" autoFill="0" autoPict="0" macro="模块3.返回主页">
                <anchor moveWithCells="true" sizeWithCells="false">
                  <from>
                    <xdr:col>0</xdr:col>
                    <xdr:colOff>830520</xdr:colOff>
                    <xdr:row>0</xdr:row>
                    <xdr:rowOff>23040</xdr:rowOff>
                  </from>
                  <to>
                    <xdr:col>1</xdr:col>
                    <xdr:colOff>-432720</xdr:colOff>
                    <xdr:row>1</xdr:row>
                    <xdr:rowOff>-60840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X42"/>
  <sheetViews>
    <sheetView showFormulas="false" showGridLines="true" showRowColHeaders="true" showZeros="true" rightToLeft="false" tabSelected="false" showOutlineSymbols="true" defaultGridColor="true" view="normal" topLeftCell="A7" colorId="64" zoomScale="100" zoomScaleNormal="100" zoomScalePageLayoutView="100" workbookViewId="0">
      <selection pane="topLeft" activeCell="H30" activeCellId="0" sqref="1:1048576"/>
    </sheetView>
  </sheetViews>
  <sheetFormatPr defaultColWidth="9.00390625" defaultRowHeight="14.25" zeroHeight="false" outlineLevelRow="0" outlineLevelCol="0"/>
  <cols>
    <col collapsed="false" customWidth="true" hidden="false" outlineLevel="0" max="2" min="2" style="0" width="33.75"/>
    <col collapsed="false" customWidth="true" hidden="false" outlineLevel="0" max="3" min="3" style="225" width="16.25"/>
    <col collapsed="false" customWidth="true" hidden="false" outlineLevel="0" max="4" min="4" style="225" width="15.62"/>
    <col collapsed="false" customWidth="true" hidden="false" outlineLevel="0" max="5" min="5" style="225" width="17.25"/>
    <col collapsed="false" customWidth="true" hidden="false" outlineLevel="0" max="8" min="6" style="225" width="16.75"/>
    <col collapsed="false" customWidth="true" hidden="false" outlineLevel="0" max="9" min="9" style="225" width="17.75"/>
    <col collapsed="false" customWidth="true" hidden="false" outlineLevel="0" max="10" min="10" style="225" width="15.87"/>
    <col collapsed="false" customWidth="true" hidden="false" outlineLevel="0" max="11" min="11" style="225" width="14.38"/>
    <col collapsed="false" customWidth="true" hidden="false" outlineLevel="0" max="12" min="12" style="225" width="17.63"/>
    <col collapsed="false" customWidth="true" hidden="false" outlineLevel="0" max="13" min="13" style="0" width="12.62"/>
    <col collapsed="false" customWidth="true" hidden="false" outlineLevel="0" max="14" min="14" style="0" width="11.5"/>
  </cols>
  <sheetData>
    <row r="1" customFormat="false" ht="15" hidden="false" customHeight="false" outlineLevel="0" collapsed="false"/>
    <row r="2" customFormat="false" ht="15" hidden="false" customHeight="false" outlineLevel="0" collapsed="false">
      <c r="B2" s="226" t="s">
        <v>469</v>
      </c>
      <c r="C2" s="227" t="s">
        <v>470</v>
      </c>
      <c r="D2" s="227" t="s">
        <v>471</v>
      </c>
      <c r="E2" s="227" t="s">
        <v>472</v>
      </c>
      <c r="F2" s="228" t="s">
        <v>473</v>
      </c>
      <c r="G2" s="228"/>
      <c r="H2" s="228"/>
      <c r="I2" s="229"/>
    </row>
    <row r="3" customFormat="false" ht="15" hidden="false" customHeight="false" outlineLevel="0" collapsed="false">
      <c r="B3" s="226" t="s">
        <v>474</v>
      </c>
      <c r="C3" s="227" t="n">
        <v>33.02</v>
      </c>
      <c r="D3" s="230" t="n">
        <v>1829</v>
      </c>
      <c r="E3" s="231" t="n">
        <v>2200</v>
      </c>
    </row>
    <row r="4" customFormat="false" ht="15" hidden="false" customHeight="false" outlineLevel="0" collapsed="false">
      <c r="B4" s="226" t="s">
        <v>475</v>
      </c>
      <c r="C4" s="227" t="n">
        <v>80.92</v>
      </c>
      <c r="D4" s="230" t="n">
        <v>2896</v>
      </c>
      <c r="E4" s="230" t="n">
        <v>3200</v>
      </c>
    </row>
    <row r="5" customFormat="false" ht="15" hidden="false" customHeight="false" outlineLevel="0" collapsed="false">
      <c r="B5" s="226" t="s">
        <v>476</v>
      </c>
      <c r="C5" s="230" t="n">
        <v>27.18</v>
      </c>
      <c r="D5" s="230" t="n">
        <v>1829</v>
      </c>
      <c r="E5" s="230" t="n">
        <v>1600</v>
      </c>
    </row>
    <row r="6" customFormat="false" ht="15" hidden="false" customHeight="false" outlineLevel="0" collapsed="false">
      <c r="B6" s="226"/>
      <c r="C6" s="227"/>
      <c r="D6" s="230"/>
      <c r="E6" s="230"/>
    </row>
    <row r="7" customFormat="false" ht="15" hidden="false" customHeight="false" outlineLevel="0" collapsed="false">
      <c r="B7" s="226" t="s">
        <v>477</v>
      </c>
      <c r="C7" s="227" t="n">
        <v>11.95</v>
      </c>
      <c r="D7" s="230" t="n">
        <v>609.6</v>
      </c>
      <c r="E7" s="230" t="n">
        <v>1000</v>
      </c>
      <c r="J7" s="232"/>
    </row>
    <row r="8" customFormat="false" ht="15" hidden="false" customHeight="false" outlineLevel="0" collapsed="false"/>
    <row r="9" customFormat="false" ht="15" hidden="false" customHeight="false" outlineLevel="0" collapsed="false"/>
    <row r="10" customFormat="false" ht="15" hidden="false" customHeight="false" outlineLevel="0" collapsed="false"/>
    <row r="11" customFormat="false" ht="15" hidden="false" customHeight="false" outlineLevel="0" collapsed="false">
      <c r="B11" s="226" t="s">
        <v>469</v>
      </c>
      <c r="C11" s="227" t="s">
        <v>474</v>
      </c>
      <c r="D11" s="227" t="s">
        <v>475</v>
      </c>
      <c r="E11" s="227" t="s">
        <v>476</v>
      </c>
      <c r="F11" s="227"/>
      <c r="G11" s="227" t="s">
        <v>478</v>
      </c>
      <c r="H11" s="233"/>
      <c r="I11" s="233"/>
      <c r="J11" s="233"/>
      <c r="K11" s="233"/>
      <c r="L11" s="233"/>
    </row>
    <row r="12" customFormat="false" ht="15" hidden="false" customHeight="false" outlineLevel="0" collapsed="false">
      <c r="B12" s="226" t="s">
        <v>479</v>
      </c>
      <c r="C12" s="227" t="s">
        <v>480</v>
      </c>
      <c r="D12" s="227" t="s">
        <v>481</v>
      </c>
      <c r="E12" s="227" t="s">
        <v>482</v>
      </c>
      <c r="F12" s="227"/>
      <c r="G12" s="227" t="s">
        <v>483</v>
      </c>
      <c r="H12" s="233"/>
      <c r="I12" s="233"/>
      <c r="J12" s="233"/>
      <c r="K12" s="233"/>
      <c r="L12" s="233"/>
    </row>
    <row r="13" customFormat="false" ht="15" hidden="false" customHeight="false" outlineLevel="0" collapsed="false">
      <c r="B13" s="226" t="s">
        <v>484</v>
      </c>
      <c r="C13" s="234" t="n">
        <v>2400</v>
      </c>
      <c r="D13" s="230" t="n">
        <v>3200</v>
      </c>
      <c r="E13" s="230" t="n">
        <v>1400</v>
      </c>
      <c r="F13" s="230"/>
      <c r="G13" s="230" t="n">
        <v>1800</v>
      </c>
      <c r="H13" s="235"/>
      <c r="I13" s="235"/>
      <c r="J13" s="233"/>
      <c r="K13" s="235"/>
      <c r="L13" s="235"/>
    </row>
    <row r="14" customFormat="false" ht="15" hidden="false" customHeight="false" outlineLevel="0" collapsed="false">
      <c r="B14" s="236" t="s">
        <v>485</v>
      </c>
      <c r="C14" s="237" t="n">
        <v>2.6</v>
      </c>
      <c r="D14" s="237" t="n">
        <v>1.05</v>
      </c>
      <c r="E14" s="237" t="n">
        <v>2.6</v>
      </c>
      <c r="F14" s="237"/>
      <c r="G14" s="238" t="n">
        <v>2</v>
      </c>
      <c r="H14" s="237"/>
      <c r="I14" s="237"/>
      <c r="J14" s="237"/>
      <c r="K14" s="237"/>
      <c r="L14" s="237"/>
    </row>
    <row r="15" customFormat="false" ht="15" hidden="false" customHeight="false" outlineLevel="0" collapsed="false">
      <c r="B15" s="239" t="s">
        <v>486</v>
      </c>
      <c r="C15" s="227" t="s">
        <v>487</v>
      </c>
      <c r="D15" s="227" t="s">
        <v>160</v>
      </c>
      <c r="E15" s="227" t="s">
        <v>159</v>
      </c>
      <c r="F15" s="227"/>
      <c r="G15" s="227" t="s">
        <v>488</v>
      </c>
      <c r="H15" s="233"/>
      <c r="I15" s="233"/>
      <c r="J15" s="233"/>
      <c r="K15" s="233"/>
      <c r="L15" s="233"/>
    </row>
    <row r="16" customFormat="false" ht="15" hidden="false" customHeight="false" outlineLevel="0" collapsed="false">
      <c r="B16" s="239" t="s">
        <v>489</v>
      </c>
      <c r="C16" s="230" t="n">
        <v>205</v>
      </c>
      <c r="D16" s="230" t="n">
        <v>346</v>
      </c>
      <c r="E16" s="230" t="n">
        <v>241</v>
      </c>
      <c r="F16" s="230"/>
      <c r="G16" s="230" t="n">
        <v>56</v>
      </c>
      <c r="H16" s="235"/>
      <c r="I16" s="235"/>
      <c r="J16" s="235"/>
      <c r="K16" s="235"/>
      <c r="L16" s="235"/>
    </row>
    <row r="17" customFormat="false" ht="15" hidden="false" customHeight="false" outlineLevel="0" collapsed="false">
      <c r="B17" s="239" t="s">
        <v>490</v>
      </c>
      <c r="C17" s="230" t="n">
        <f aca="false">物流参数!AI5-0.1</f>
        <v>109.35</v>
      </c>
      <c r="D17" s="230" t="n">
        <f aca="false">物流参数!DU5-0.1</f>
        <v>129.24</v>
      </c>
      <c r="E17" s="230" t="n">
        <f aca="false">物流参数!DI5-0.1</f>
        <v>39.9</v>
      </c>
      <c r="F17" s="227"/>
      <c r="G17" s="230" t="n">
        <v>11.9</v>
      </c>
      <c r="H17" s="235"/>
      <c r="I17" s="235"/>
      <c r="J17" s="235"/>
      <c r="K17" s="235"/>
      <c r="L17" s="235"/>
    </row>
    <row r="18" customFormat="false" ht="15" hidden="false" customHeight="false" outlineLevel="0" collapsed="false">
      <c r="B18" s="239" t="s">
        <v>491</v>
      </c>
      <c r="C18" s="230" t="n">
        <f aca="false">物流参数!AI7</f>
        <v>1184.49</v>
      </c>
      <c r="D18" s="230" t="n">
        <f aca="false">物流参数!DU7</f>
        <v>-1934.21</v>
      </c>
      <c r="E18" s="230" t="n">
        <f aca="false">物流参数!DI7</f>
        <v>-2192.73</v>
      </c>
      <c r="F18" s="230"/>
      <c r="G18" s="240" t="n">
        <f aca="false">G42/0.3</f>
        <v>58605.5555555556</v>
      </c>
      <c r="H18" s="241"/>
      <c r="I18" s="241"/>
      <c r="J18" s="241"/>
      <c r="K18" s="242"/>
      <c r="L18" s="242"/>
      <c r="M18" s="243"/>
      <c r="N18" s="243"/>
      <c r="O18" s="243"/>
      <c r="P18" s="243"/>
      <c r="Q18" s="243"/>
      <c r="R18" s="243"/>
      <c r="S18" s="243"/>
      <c r="T18" s="243"/>
      <c r="U18" s="243"/>
      <c r="V18" s="243"/>
      <c r="W18" s="243"/>
      <c r="X18" s="243"/>
    </row>
    <row r="19" customFormat="false" ht="15" hidden="false" customHeight="false" outlineLevel="0" collapsed="false">
      <c r="B19" s="239" t="s">
        <v>492</v>
      </c>
      <c r="C19" s="230" t="n">
        <f aca="false">物流参数!AI10</f>
        <v>-239.55</v>
      </c>
      <c r="D19" s="230" t="n">
        <f aca="false">物流参数!DU10</f>
        <v>437.51</v>
      </c>
      <c r="E19" s="230" t="n">
        <f aca="false">物流参数!DI10</f>
        <v>296.27</v>
      </c>
      <c r="F19" s="230"/>
      <c r="G19" s="230" t="n">
        <v>1009</v>
      </c>
      <c r="H19" s="241"/>
      <c r="I19" s="241"/>
      <c r="J19" s="241"/>
      <c r="K19" s="241"/>
      <c r="L19" s="241"/>
      <c r="M19" s="243"/>
      <c r="N19" s="243"/>
      <c r="O19" s="243"/>
      <c r="P19" s="243"/>
      <c r="Q19" s="243"/>
      <c r="R19" s="243"/>
      <c r="S19" s="243"/>
      <c r="T19" s="243"/>
      <c r="U19" s="243"/>
      <c r="V19" s="243"/>
      <c r="W19" s="243"/>
      <c r="X19" s="243"/>
    </row>
    <row r="20" customFormat="false" ht="15" hidden="false" customHeight="false" outlineLevel="0" collapsed="false">
      <c r="B20" s="239" t="s">
        <v>493</v>
      </c>
      <c r="C20" s="244" t="n">
        <f aca="false">C18/C19</f>
        <v>-4.94464621164684</v>
      </c>
      <c r="D20" s="244" t="n">
        <f aca="false">D18/D19</f>
        <v>-4.42095037827707</v>
      </c>
      <c r="E20" s="244" t="n">
        <f aca="false">E18/E19</f>
        <v>-7.4011205994532</v>
      </c>
      <c r="F20" s="244"/>
      <c r="G20" s="244" t="n">
        <f aca="false">G18/G19</f>
        <v>58.0828102631869</v>
      </c>
      <c r="H20" s="242"/>
      <c r="I20" s="242"/>
      <c r="J20" s="242"/>
      <c r="K20" s="242"/>
      <c r="L20" s="242"/>
      <c r="M20" s="243"/>
      <c r="N20" s="243"/>
      <c r="O20" s="243"/>
      <c r="P20" s="243"/>
      <c r="Q20" s="243"/>
      <c r="R20" s="243"/>
      <c r="S20" s="243"/>
      <c r="T20" s="243"/>
      <c r="U20" s="243"/>
      <c r="V20" s="243"/>
      <c r="W20" s="243"/>
      <c r="X20" s="243"/>
    </row>
    <row r="21" s="8" customFormat="true" ht="15" hidden="false" customHeight="false" outlineLevel="0" collapsed="false">
      <c r="B21" s="245" t="s">
        <v>494</v>
      </c>
      <c r="C21" s="246" t="n">
        <f aca="false">0.785*(C13/1000)^2*C14/C20*60</f>
        <v>-142.653198997037</v>
      </c>
      <c r="D21" s="246" t="n">
        <f aca="false">0.785*(D13/1000)^2*D14/D20*60</f>
        <v>-114.549849391741</v>
      </c>
      <c r="E21" s="246" t="n">
        <f aca="false">0.785*(E13/1000)^2*E14/E20*60</f>
        <v>-32.4304403332832</v>
      </c>
      <c r="F21" s="246"/>
      <c r="G21" s="247" t="n">
        <f aca="false">0.785*(G13/1000)^2*G14/G20*60</f>
        <v>5.25470442316807</v>
      </c>
      <c r="H21" s="248"/>
      <c r="I21" s="248"/>
      <c r="J21" s="248"/>
      <c r="K21" s="248"/>
      <c r="L21" s="248"/>
      <c r="M21" s="249"/>
      <c r="N21" s="249"/>
      <c r="O21" s="249"/>
      <c r="P21" s="249"/>
      <c r="Q21" s="249"/>
      <c r="R21" s="249"/>
      <c r="S21" s="249"/>
      <c r="T21" s="249"/>
      <c r="U21" s="249"/>
      <c r="V21" s="249"/>
      <c r="W21" s="249"/>
      <c r="X21" s="249"/>
    </row>
    <row r="22" customFormat="false" ht="15" hidden="false" customHeight="false" outlineLevel="0" collapsed="false">
      <c r="B22" s="250" t="s">
        <v>495</v>
      </c>
      <c r="C22" s="230" t="n">
        <v>5</v>
      </c>
      <c r="D22" s="230" t="n">
        <v>10</v>
      </c>
      <c r="E22" s="230" t="n">
        <v>3</v>
      </c>
      <c r="F22" s="230"/>
      <c r="G22" s="230" t="n">
        <v>5</v>
      </c>
      <c r="H22" s="241"/>
      <c r="I22" s="241"/>
      <c r="J22" s="241"/>
      <c r="K22" s="241"/>
      <c r="L22" s="241"/>
      <c r="M22" s="243"/>
      <c r="N22" s="243"/>
      <c r="O22" s="243"/>
      <c r="P22" s="243"/>
      <c r="Q22" s="243"/>
      <c r="R22" s="243"/>
      <c r="S22" s="243"/>
      <c r="T22" s="243"/>
      <c r="U22" s="243"/>
      <c r="V22" s="243"/>
      <c r="W22" s="243"/>
      <c r="X22" s="243"/>
    </row>
    <row r="23" customFormat="false" ht="15" hidden="false" customHeight="false" outlineLevel="0" collapsed="false">
      <c r="B23" s="207"/>
      <c r="C23" s="235"/>
      <c r="D23" s="235"/>
      <c r="E23" s="235"/>
      <c r="F23" s="235"/>
      <c r="G23" s="235"/>
      <c r="H23" s="241"/>
      <c r="I23" s="241"/>
      <c r="J23" s="241"/>
      <c r="K23" s="241"/>
      <c r="L23" s="241"/>
      <c r="M23" s="243"/>
      <c r="N23" s="243"/>
      <c r="O23" s="243"/>
      <c r="P23" s="243"/>
      <c r="Q23" s="243"/>
      <c r="R23" s="243"/>
      <c r="S23" s="243"/>
      <c r="T23" s="243"/>
      <c r="U23" s="243"/>
      <c r="V23" s="243"/>
      <c r="W23" s="243"/>
      <c r="X23" s="243"/>
    </row>
    <row r="24" customFormat="false" ht="15" hidden="false" customHeight="false" outlineLevel="0" collapsed="false">
      <c r="B24" s="211" t="s">
        <v>496</v>
      </c>
      <c r="C24" s="225" t="n">
        <v>20</v>
      </c>
      <c r="D24" s="225" t="n">
        <v>30</v>
      </c>
      <c r="E24" s="225" t="n">
        <v>6</v>
      </c>
      <c r="G24" s="225" t="n">
        <v>14</v>
      </c>
      <c r="H24" s="249"/>
      <c r="I24" s="249"/>
      <c r="J24" s="249"/>
      <c r="K24" s="249"/>
      <c r="L24" s="249"/>
      <c r="M24" s="243"/>
      <c r="N24" s="243"/>
      <c r="O24" s="243"/>
      <c r="P24" s="243"/>
      <c r="Q24" s="243"/>
      <c r="R24" s="243"/>
      <c r="S24" s="243"/>
      <c r="T24" s="243"/>
      <c r="U24" s="243"/>
      <c r="V24" s="243"/>
      <c r="W24" s="243"/>
      <c r="X24" s="243"/>
    </row>
    <row r="25" customFormat="false" ht="15" hidden="false" customHeight="false" outlineLevel="0" collapsed="false">
      <c r="B25" s="211" t="s">
        <v>497</v>
      </c>
      <c r="C25" s="225" t="n">
        <v>600</v>
      </c>
      <c r="D25" s="225" t="n">
        <v>600</v>
      </c>
      <c r="E25" s="225" t="n">
        <v>600</v>
      </c>
      <c r="G25" s="225" t="n">
        <v>600</v>
      </c>
      <c r="H25" s="249"/>
      <c r="I25" s="249"/>
      <c r="J25" s="249"/>
      <c r="K25" s="249"/>
      <c r="L25" s="249"/>
      <c r="M25" s="243"/>
      <c r="N25" s="243"/>
      <c r="O25" s="243"/>
      <c r="P25" s="243"/>
      <c r="Q25" s="243"/>
      <c r="R25" s="243"/>
      <c r="S25" s="243"/>
      <c r="T25" s="243"/>
      <c r="U25" s="243"/>
      <c r="V25" s="243"/>
      <c r="W25" s="243"/>
      <c r="X25" s="243"/>
    </row>
    <row r="26" customFormat="false" ht="15" hidden="false" customHeight="false" outlineLevel="0" collapsed="false">
      <c r="B26" s="211" t="s">
        <v>498</v>
      </c>
      <c r="C26" s="225" t="n">
        <v>600</v>
      </c>
      <c r="D26" s="225" t="n">
        <v>3200</v>
      </c>
      <c r="H26" s="249"/>
      <c r="I26" s="249"/>
      <c r="J26" s="249"/>
      <c r="K26" s="249"/>
      <c r="L26" s="249"/>
      <c r="M26" s="243"/>
      <c r="N26" s="243"/>
      <c r="O26" s="243"/>
      <c r="P26" s="243"/>
      <c r="Q26" s="243"/>
      <c r="R26" s="243"/>
      <c r="S26" s="243"/>
      <c r="T26" s="243"/>
      <c r="U26" s="243"/>
      <c r="V26" s="243"/>
      <c r="W26" s="243"/>
      <c r="X26" s="243"/>
    </row>
    <row r="27" customFormat="false" ht="15" hidden="false" customHeight="false" outlineLevel="0" collapsed="false">
      <c r="B27" s="211" t="s">
        <v>499</v>
      </c>
      <c r="C27" s="225" t="n">
        <v>1000</v>
      </c>
      <c r="D27" s="225" t="n">
        <v>1500</v>
      </c>
      <c r="E27" s="225" t="n">
        <v>1500</v>
      </c>
      <c r="G27" s="225" t="n">
        <v>1500</v>
      </c>
      <c r="H27" s="249"/>
      <c r="I27" s="249"/>
      <c r="J27" s="249"/>
      <c r="K27" s="249"/>
      <c r="L27" s="249"/>
      <c r="M27" s="243"/>
      <c r="N27" s="243"/>
      <c r="O27" s="243"/>
      <c r="P27" s="243"/>
      <c r="Q27" s="243"/>
      <c r="R27" s="243"/>
      <c r="S27" s="243"/>
      <c r="T27" s="243"/>
      <c r="U27" s="243"/>
      <c r="V27" s="243"/>
      <c r="W27" s="243"/>
      <c r="X27" s="243"/>
    </row>
    <row r="28" customFormat="false" ht="15" hidden="false" customHeight="false" outlineLevel="0" collapsed="false">
      <c r="B28" s="211" t="s">
        <v>500</v>
      </c>
      <c r="C28" s="225" t="n">
        <f aca="false">750+600</f>
        <v>1350</v>
      </c>
      <c r="D28" s="225" t="n">
        <f aca="false">750+600</f>
        <v>1350</v>
      </c>
      <c r="E28" s="225" t="n">
        <f aca="false">750+600</f>
        <v>1350</v>
      </c>
      <c r="G28" s="225" t="n">
        <f aca="false">750+600</f>
        <v>1350</v>
      </c>
    </row>
    <row r="29" customFormat="false" ht="15" hidden="false" customHeight="false" outlineLevel="0" collapsed="false">
      <c r="B29" s="211" t="s">
        <v>501</v>
      </c>
      <c r="C29" s="225" t="n">
        <v>2600</v>
      </c>
      <c r="D29" s="251" t="n">
        <f aca="false">D30</f>
        <v>1050</v>
      </c>
      <c r="E29" s="225" t="n">
        <v>4300</v>
      </c>
      <c r="G29" s="225" t="n">
        <v>2000</v>
      </c>
    </row>
    <row r="30" customFormat="false" ht="15" hidden="false" customHeight="false" outlineLevel="0" collapsed="false">
      <c r="B30" s="211" t="s">
        <v>502</v>
      </c>
      <c r="C30" s="251" t="n">
        <f aca="false">C14*1000</f>
        <v>2600</v>
      </c>
      <c r="D30" s="251" t="n">
        <f aca="false">D14*1000</f>
        <v>1050</v>
      </c>
      <c r="E30" s="251" t="n">
        <f aca="false">E14*1000</f>
        <v>2600</v>
      </c>
      <c r="F30" s="251"/>
      <c r="G30" s="251" t="n">
        <f aca="false">G14*1000</f>
        <v>2000</v>
      </c>
      <c r="H30" s="251"/>
      <c r="I30" s="251"/>
      <c r="J30" s="251"/>
      <c r="K30" s="251"/>
      <c r="L30" s="251"/>
    </row>
    <row r="31" customFormat="false" ht="15" hidden="false" customHeight="false" outlineLevel="0" collapsed="false">
      <c r="B31" s="211" t="s">
        <v>503</v>
      </c>
      <c r="C31" s="251" t="n">
        <v>5</v>
      </c>
      <c r="D31" s="251" t="n">
        <v>4</v>
      </c>
      <c r="E31" s="251" t="n">
        <v>2</v>
      </c>
      <c r="G31" s="225" t="n">
        <v>4</v>
      </c>
    </row>
    <row r="32" customFormat="false" ht="15" hidden="false" customHeight="false" outlineLevel="0" collapsed="false">
      <c r="B32" s="211" t="s">
        <v>504</v>
      </c>
      <c r="C32" s="225" t="n">
        <v>3</v>
      </c>
      <c r="D32" s="225" t="n">
        <v>2</v>
      </c>
      <c r="E32" s="225" t="n">
        <v>0</v>
      </c>
      <c r="G32" s="225" t="n">
        <v>2</v>
      </c>
    </row>
    <row r="33" customFormat="false" ht="15" hidden="false" customHeight="false" outlineLevel="0" collapsed="false">
      <c r="B33" s="211" t="s">
        <v>505</v>
      </c>
      <c r="C33" s="225" t="n">
        <v>800</v>
      </c>
      <c r="D33" s="225" t="n">
        <v>800</v>
      </c>
      <c r="E33" s="225" t="n">
        <v>800</v>
      </c>
      <c r="G33" s="225" t="n">
        <v>800</v>
      </c>
    </row>
    <row r="34" customFormat="false" ht="15" hidden="false" customHeight="false" outlineLevel="0" collapsed="false">
      <c r="B34" s="211" t="s">
        <v>506</v>
      </c>
      <c r="D34" s="225" t="n">
        <v>3</v>
      </c>
    </row>
    <row r="35" customFormat="false" ht="15" hidden="false" customHeight="false" outlineLevel="0" collapsed="false">
      <c r="B35" s="211" t="s">
        <v>507</v>
      </c>
      <c r="D35" s="225" t="n">
        <v>800</v>
      </c>
    </row>
    <row r="36" customFormat="false" ht="15" hidden="false" customHeight="false" outlineLevel="0" collapsed="false">
      <c r="B36" s="211" t="s">
        <v>508</v>
      </c>
      <c r="C36" s="225" t="n">
        <v>150</v>
      </c>
      <c r="D36" s="225" t="n">
        <v>150</v>
      </c>
      <c r="E36" s="225" t="n">
        <v>150</v>
      </c>
      <c r="G36" s="225" t="n">
        <v>150</v>
      </c>
    </row>
    <row r="37" customFormat="false" ht="15" hidden="false" customHeight="false" outlineLevel="0" collapsed="false">
      <c r="B37" s="211" t="s">
        <v>509</v>
      </c>
      <c r="C37" s="225" t="n">
        <f aca="false">(C24-1)*C25+C27+C28++C29+C30+(C33-C25)*C32+(C35-C25)*C34</f>
        <v>19550</v>
      </c>
      <c r="D37" s="225" t="n">
        <f aca="false">(D24-2)*D25+D26+D27+D28++D29+D30+(D33-D25)*D32+(D35-D25)*D34-100</f>
        <v>25850</v>
      </c>
      <c r="E37" s="225" t="n">
        <f aca="false">(E24-1)*E25+E27+E28++E29+E30+(E33-E25)*E32+(E35-E25)*E34</f>
        <v>12750</v>
      </c>
      <c r="G37" s="225" t="n">
        <f aca="false">(G24-1)*G25+G27+G28++G29+G30+(G33-G25)*G32+(G35-G25)*G34</f>
        <v>15050</v>
      </c>
    </row>
    <row r="38" customFormat="false" ht="15" hidden="false" customHeight="false" outlineLevel="0" collapsed="false"/>
    <row r="39" customFormat="false" ht="15" hidden="false" customHeight="false" outlineLevel="0" collapsed="false"/>
    <row r="40" customFormat="false" ht="15" hidden="false" customHeight="false" outlineLevel="0" collapsed="false"/>
    <row r="41" customFormat="false" ht="15" hidden="false" customHeight="false" outlineLevel="0" collapsed="false">
      <c r="B41" s="27" t="s">
        <v>510</v>
      </c>
      <c r="G41" s="225" t="n">
        <v>1507</v>
      </c>
    </row>
    <row r="42" customFormat="false" ht="15" hidden="false" customHeight="false" outlineLevel="0" collapsed="false">
      <c r="B42" s="252" t="s">
        <v>511</v>
      </c>
      <c r="G42" s="225" t="n">
        <f aca="false">G41/34/0.3*119</f>
        <v>17581.6666666667</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01" r:id="rId4" name="Button 1">
              <controlPr defaultSize="0" print="false" autoFill="0" autoPict="0" macro="模块3.返回主页">
                <anchor moveWithCells="true" sizeWithCells="false">
                  <from>
                    <xdr:col>0</xdr:col>
                    <xdr:colOff>510480</xdr:colOff>
                    <xdr:row>0</xdr:row>
                    <xdr:rowOff>30600</xdr:rowOff>
                  </from>
                  <to>
                    <xdr:col>2</xdr:col>
                    <xdr:colOff>342720</xdr:colOff>
                    <xdr:row>1</xdr:row>
                    <xdr:rowOff>-53280</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7" topLeftCell="B35" activePane="bottomRight" state="frozen"/>
      <selection pane="topLeft" activeCell="A1" activeCellId="0" sqref="A1"/>
      <selection pane="topRight" activeCell="B1" activeCellId="0" sqref="B1"/>
      <selection pane="bottomLeft" activeCell="A35" activeCellId="0" sqref="A35"/>
      <selection pane="bottomRight" activeCell="J26" activeCellId="0" sqref="1:1048576"/>
    </sheetView>
  </sheetViews>
  <sheetFormatPr defaultColWidth="9.00390625" defaultRowHeight="14.25" zeroHeight="false" outlineLevelRow="0" outlineLevelCol="0"/>
  <cols>
    <col collapsed="false" customWidth="true" hidden="false" outlineLevel="0" max="1" min="1" style="0" width="37.88"/>
    <col collapsed="false" customWidth="true" hidden="false" outlineLevel="0" max="4" min="2" style="0" width="26.13"/>
  </cols>
  <sheetData>
    <row r="1" customFormat="false" ht="15" hidden="false" customHeight="false" outlineLevel="0" collapsed="false">
      <c r="A1" s="253" t="s">
        <v>512</v>
      </c>
      <c r="B1" s="254" t="s">
        <v>513</v>
      </c>
      <c r="C1" s="254" t="s">
        <v>514</v>
      </c>
      <c r="D1" s="254" t="s">
        <v>515</v>
      </c>
    </row>
    <row r="2" customFormat="false" ht="15" hidden="false" customHeight="false" outlineLevel="0" collapsed="false">
      <c r="A2" s="253" t="s">
        <v>516</v>
      </c>
      <c r="B2" s="254" t="s">
        <v>517</v>
      </c>
      <c r="C2" s="254" t="s">
        <v>518</v>
      </c>
      <c r="D2" s="254" t="s">
        <v>519</v>
      </c>
    </row>
    <row r="3" customFormat="false" ht="15" hidden="false" customHeight="false" outlineLevel="0" collapsed="false">
      <c r="A3" s="253" t="s">
        <v>520</v>
      </c>
      <c r="B3" s="254" t="s">
        <v>521</v>
      </c>
      <c r="C3" s="254" t="s">
        <v>521</v>
      </c>
      <c r="D3" s="254" t="s">
        <v>521</v>
      </c>
    </row>
    <row r="4" customFormat="false" ht="15" hidden="false" customHeight="false" outlineLevel="0" collapsed="false">
      <c r="A4" s="253" t="s">
        <v>522</v>
      </c>
      <c r="B4" s="255" t="str">
        <f aca="false">CONCATENATE("Φ",B6*1000,"×",B7*1000,"（T-T）",B3)</f>
        <v>Φ2800×10500（T-T）立式</v>
      </c>
      <c r="C4" s="255" t="str">
        <f aca="false">CONCATENATE("Φ",C6*1000,"×",C7*1000,"（T-T）",C3)</f>
        <v>Φ2400×8500（T-T）立式</v>
      </c>
      <c r="D4" s="255" t="str">
        <f aca="false">CONCATENATE("Φ",D6*1000,"×",D7*1000,"（T-T）",D3)</f>
        <v>Φ2000×6500（T-T）立式</v>
      </c>
    </row>
    <row r="5" customFormat="false" ht="15" hidden="false" customHeight="false" outlineLevel="0" collapsed="false">
      <c r="A5" s="207" t="s">
        <v>523</v>
      </c>
      <c r="B5" s="255" t="str">
        <f aca="false">IF(OR(B8=0,B8=""),"",CONCATENATE("Φ",B8*1000,"×",B9*1000,"（T.L）"))</f>
        <v/>
      </c>
      <c r="C5" s="255" t="str">
        <f aca="false">IF(OR(C8=0,C8=""),"",CONCATENATE("Φ",C8*1000,"×",C9*1000,"（T.L）"))</f>
        <v/>
      </c>
      <c r="D5" s="255" t="str">
        <f aca="false">IF(OR(D8=0,D8=""),"",CONCATENATE("Φ",D8*1000,"×",D9*1000,"（T.L）"))</f>
        <v/>
      </c>
    </row>
    <row r="6" customFormat="false" ht="14.45" hidden="false" customHeight="false" outlineLevel="0" collapsed="false">
      <c r="A6" s="256" t="s">
        <v>524</v>
      </c>
      <c r="B6" s="257" t="n">
        <f aca="false">B36</f>
        <v>2.8</v>
      </c>
      <c r="C6" s="257" t="n">
        <f aca="false">C36</f>
        <v>2.4</v>
      </c>
      <c r="D6" s="257" t="n">
        <f aca="false">D36</f>
        <v>2</v>
      </c>
    </row>
    <row r="7" customFormat="false" ht="14.45" hidden="false" customHeight="false" outlineLevel="0" collapsed="false">
      <c r="A7" s="258" t="s">
        <v>525</v>
      </c>
      <c r="B7" s="257" t="n">
        <f aca="false">B46</f>
        <v>10.5</v>
      </c>
      <c r="C7" s="257" t="n">
        <f aca="false">C46</f>
        <v>8.5</v>
      </c>
      <c r="D7" s="257" t="n">
        <f aca="false">D46</f>
        <v>6.5</v>
      </c>
    </row>
    <row r="8" customFormat="false" ht="15" hidden="false" customHeight="false" outlineLevel="0" collapsed="false">
      <c r="A8" s="258" t="s">
        <v>526</v>
      </c>
      <c r="B8" s="259"/>
      <c r="C8" s="235"/>
      <c r="D8" s="259"/>
    </row>
    <row r="9" customFormat="false" ht="15" hidden="false" customHeight="false" outlineLevel="0" collapsed="false">
      <c r="A9" s="258" t="s">
        <v>527</v>
      </c>
      <c r="B9" s="259"/>
      <c r="C9" s="235"/>
      <c r="D9" s="259"/>
    </row>
    <row r="10" customFormat="false" ht="15" hidden="false" customHeight="false" outlineLevel="0" collapsed="false">
      <c r="A10" s="27" t="s">
        <v>528</v>
      </c>
      <c r="B10" s="260" t="n">
        <f aca="false">0.785*B6*B6*B7+3.14/24*2*B6^3</f>
        <v>70.3653066666667</v>
      </c>
      <c r="C10" s="260" t="n">
        <f aca="false">0.785*C6*C6*C7+3.14/24*2*C6^3</f>
        <v>42.05088</v>
      </c>
      <c r="D10" s="260" t="n">
        <f aca="false">0.785*D6*D6*D7+3.14/24*2*D6^3</f>
        <v>22.5033333333333</v>
      </c>
    </row>
    <row r="11" customFormat="false" ht="15" hidden="false" customHeight="false" outlineLevel="0" collapsed="false">
      <c r="A11" s="261" t="s">
        <v>398</v>
      </c>
      <c r="B11" s="262" t="s">
        <v>529</v>
      </c>
      <c r="C11" s="262" t="s">
        <v>529</v>
      </c>
      <c r="D11" s="262" t="s">
        <v>529</v>
      </c>
    </row>
    <row r="12" customFormat="false" ht="14.25" hidden="false" customHeight="false" outlineLevel="0" collapsed="false">
      <c r="A12" s="261" t="s">
        <v>489</v>
      </c>
      <c r="B12" s="223" t="n">
        <f aca="false">物流参数!J4</f>
        <v>752.77</v>
      </c>
      <c r="C12" s="223" t="n">
        <f aca="false">物流参数!O4</f>
        <v>972.47</v>
      </c>
      <c r="D12" s="223" t="n">
        <f aca="false">物流参数!S4</f>
        <v>105.62</v>
      </c>
    </row>
    <row r="13" customFormat="false" ht="14.25" hidden="false" customHeight="false" outlineLevel="0" collapsed="false">
      <c r="A13" s="211" t="s">
        <v>490</v>
      </c>
      <c r="B13" s="263" t="n">
        <v>12.95</v>
      </c>
      <c r="C13" s="214" t="n">
        <f aca="false">输入!F54</f>
        <v>12.2</v>
      </c>
      <c r="D13" s="214" t="n">
        <f aca="false">输入!F56</f>
        <v>12</v>
      </c>
    </row>
    <row r="14" customFormat="false" ht="15" hidden="false" customHeight="false" outlineLevel="0" collapsed="false">
      <c r="A14" s="261" t="s">
        <v>530</v>
      </c>
      <c r="B14" s="264" t="n">
        <f aca="false">反应器选型!C11</f>
        <v>13.9</v>
      </c>
      <c r="C14" s="264" t="n">
        <f aca="false">B14</f>
        <v>13.9</v>
      </c>
      <c r="D14" s="262" t="n">
        <v>12.7</v>
      </c>
    </row>
    <row r="15" customFormat="false" ht="14.25" hidden="false" customHeight="false" outlineLevel="0" collapsed="false">
      <c r="A15" s="261" t="s">
        <v>531</v>
      </c>
      <c r="B15" s="212" t="n">
        <f aca="false">物流参数!J17</f>
        <v>911.73</v>
      </c>
      <c r="C15" s="212" t="n">
        <f aca="false">物流参数!O17</f>
        <v>899.97</v>
      </c>
      <c r="D15" s="212" t="n">
        <f aca="false">物流参数!S17</f>
        <v>883.77</v>
      </c>
    </row>
    <row r="16" customFormat="false" ht="14.25" hidden="false" customHeight="false" outlineLevel="0" collapsed="false">
      <c r="A16" s="261" t="s">
        <v>532</v>
      </c>
      <c r="B16" s="212" t="n">
        <f aca="false">物流参数!J26</f>
        <v>0</v>
      </c>
      <c r="C16" s="212" t="n">
        <f aca="false">物流参数!O26</f>
        <v>0.25</v>
      </c>
      <c r="D16" s="212" t="n">
        <f aca="false">物流参数!S26</f>
        <v>0</v>
      </c>
    </row>
    <row r="17" customFormat="false" ht="15" hidden="false" customHeight="false" outlineLevel="0" collapsed="false">
      <c r="A17" s="265" t="s">
        <v>533</v>
      </c>
      <c r="B17" s="262" t="n">
        <v>1.3</v>
      </c>
      <c r="C17" s="262" t="n">
        <v>1.3</v>
      </c>
      <c r="D17" s="262" t="n">
        <v>1.3</v>
      </c>
    </row>
    <row r="18" customFormat="false" ht="15" hidden="true" customHeight="false" outlineLevel="0" collapsed="false">
      <c r="A18" s="261" t="s">
        <v>534</v>
      </c>
      <c r="B18" s="260" t="n">
        <f aca="false">B15*$B$17</f>
        <v>1185.249</v>
      </c>
      <c r="C18" s="260" t="n">
        <f aca="false">C15*$B$17</f>
        <v>1169.961</v>
      </c>
      <c r="D18" s="260" t="n">
        <f aca="false">D15*$B$17</f>
        <v>1148.901</v>
      </c>
    </row>
    <row r="19" customFormat="false" ht="15" hidden="true" customHeight="false" outlineLevel="0" collapsed="false">
      <c r="A19" s="261" t="s">
        <v>535</v>
      </c>
      <c r="B19" s="260" t="n">
        <f aca="false">B16*$B$17</f>
        <v>0</v>
      </c>
      <c r="C19" s="260" t="n">
        <f aca="false">C16*$B$17</f>
        <v>0.325</v>
      </c>
      <c r="D19" s="260" t="n">
        <f aca="false">D16*$B$17</f>
        <v>0</v>
      </c>
    </row>
    <row r="20" customFormat="false" ht="14.25" hidden="false" customHeight="false" outlineLevel="0" collapsed="false">
      <c r="A20" s="261" t="s">
        <v>536</v>
      </c>
      <c r="B20" s="212" t="n">
        <f aca="false">物流参数!J18</f>
        <v>23.55</v>
      </c>
      <c r="C20" s="212" t="n">
        <f aca="false">物流参数!O18</f>
        <v>25.57</v>
      </c>
      <c r="D20" s="212" t="n">
        <f aca="false">物流参数!S18</f>
        <v>28.45</v>
      </c>
    </row>
    <row r="21" customFormat="false" ht="14.25" hidden="false" customHeight="false" outlineLevel="0" collapsed="false">
      <c r="A21" s="261" t="s">
        <v>537</v>
      </c>
      <c r="B21" s="212" t="n">
        <f aca="false">物流参数!J29</f>
        <v>0</v>
      </c>
      <c r="C21" s="212" t="n">
        <f aca="false">物流参数!O29</f>
        <v>752.7</v>
      </c>
      <c r="D21" s="212" t="n">
        <f aca="false">物流参数!S29</f>
        <v>0</v>
      </c>
    </row>
    <row r="22" customFormat="false" ht="15" hidden="false" customHeight="false" outlineLevel="0" collapsed="false">
      <c r="A22" s="266" t="s">
        <v>538</v>
      </c>
      <c r="B22" s="267" t="n">
        <f aca="false">B18/B20/3600</f>
        <v>0.0139802901627742</v>
      </c>
      <c r="C22" s="267" t="n">
        <f aca="false">C18/C20/3600</f>
        <v>0.0127097836005736</v>
      </c>
      <c r="D22" s="267" t="n">
        <f aca="false">D18/D20/3600</f>
        <v>0.0112175454012888</v>
      </c>
    </row>
    <row r="23" customFormat="false" ht="15" hidden="false" customHeight="false" outlineLevel="0" collapsed="false">
      <c r="A23" s="266" t="s">
        <v>539</v>
      </c>
      <c r="B23" s="268" t="e">
        <f aca="false">B19/B21/3600</f>
        <v>#DIV/0!</v>
      </c>
      <c r="C23" s="268" t="n">
        <f aca="false">C19/C21/3600</f>
        <v>1.19938591441182E-007</v>
      </c>
      <c r="D23" s="268" t="e">
        <f aca="false">D19/D21/3600</f>
        <v>#DIV/0!</v>
      </c>
    </row>
    <row r="24" customFormat="false" ht="15" hidden="false" customHeight="false" outlineLevel="0" collapsed="false">
      <c r="A24" s="269" t="s">
        <v>540</v>
      </c>
      <c r="B24" s="268" t="n">
        <f aca="false">B22/0.785/B36/B36</f>
        <v>0.00227159270810708</v>
      </c>
      <c r="C24" s="268" t="n">
        <f aca="false">C22/0.785/C36/C36</f>
        <v>0.00281090401640428</v>
      </c>
      <c r="D24" s="268" t="n">
        <f aca="false">D22/0.785/D36/D36</f>
        <v>0.00357246668830854</v>
      </c>
    </row>
    <row r="25" customFormat="false" ht="15" hidden="false" customHeight="false" outlineLevel="0" collapsed="false">
      <c r="A25" s="269" t="s">
        <v>541</v>
      </c>
      <c r="B25" s="268" t="e">
        <f aca="false">B23/0.785/B36/B36</f>
        <v>#DIV/0!</v>
      </c>
      <c r="C25" s="268" t="n">
        <f aca="false">C23/0.785/C36/C36</f>
        <v>2.65256969747837E-008</v>
      </c>
      <c r="D25" s="268" t="e">
        <f aca="false">D23/0.785/D36/D36</f>
        <v>#DIV/0!</v>
      </c>
    </row>
    <row r="26" customFormat="false" ht="15" hidden="false" customHeight="false" outlineLevel="0" collapsed="false">
      <c r="A26" s="269" t="s">
        <v>542</v>
      </c>
      <c r="B26" s="268" t="n">
        <f aca="false">物流参数!J15*(B13+0.1)</f>
        <v>4430.3445</v>
      </c>
      <c r="C26" s="268" t="n">
        <f aca="false">物流参数!O15*(C13+0.1)</f>
        <v>4234.152</v>
      </c>
      <c r="D26" s="268" t="n">
        <f aca="false">物流参数!S15*(D13+0.1)</f>
        <v>552.365</v>
      </c>
    </row>
    <row r="27" customFormat="false" ht="15" hidden="false" customHeight="false" outlineLevel="0" collapsed="false">
      <c r="A27" s="269" t="s">
        <v>543</v>
      </c>
      <c r="B27" s="268" t="n">
        <f aca="false">物流参数!J14*(B13+0.1)</f>
        <v>5073.84</v>
      </c>
      <c r="C27" s="268" t="n">
        <f aca="false">物流参数!O14*(C13+0.1)</f>
        <v>4799.46</v>
      </c>
      <c r="D27" s="268" t="n">
        <f aca="false">物流参数!S14*(D13+0.1)</f>
        <v>612.865</v>
      </c>
    </row>
    <row r="28" customFormat="false" ht="15" hidden="false" customHeight="false" outlineLevel="0" collapsed="false">
      <c r="A28" s="269" t="s">
        <v>544</v>
      </c>
      <c r="B28" s="268" t="e">
        <f aca="false">物流参数!J25*100/B16</f>
        <v>#DIV/0!</v>
      </c>
      <c r="C28" s="268" t="n">
        <f aca="false">物流参数!O25*100/C16</f>
        <v>4</v>
      </c>
      <c r="D28" s="268" t="e">
        <f aca="false">物流参数!S25*100/D16</f>
        <v>#DIV/0!</v>
      </c>
    </row>
    <row r="29" customFormat="false" ht="15" hidden="false" customHeight="false" outlineLevel="0" collapsed="false">
      <c r="A29" s="270" t="s">
        <v>545</v>
      </c>
      <c r="B29" s="268"/>
      <c r="C29" s="268"/>
      <c r="D29" s="268"/>
    </row>
    <row r="30" customFormat="false" ht="15" hidden="false" customHeight="false" outlineLevel="0" collapsed="false">
      <c r="A30" s="271" t="s">
        <v>546</v>
      </c>
      <c r="B30" s="272" t="e">
        <f aca="false">0.0442*SQRT((B21-B20)/B20)</f>
        <v>#VALUE!</v>
      </c>
      <c r="C30" s="272" t="n">
        <f aca="false">0.0442*SQRT((C21-C20)/C20)</f>
        <v>0.235701820504816</v>
      </c>
      <c r="D30" s="272" t="e">
        <f aca="false">0.0442*SQRT((D21-D20)/D20)</f>
        <v>#VALUE!</v>
      </c>
    </row>
    <row r="31" customFormat="false" ht="15" hidden="false" customHeight="false" outlineLevel="0" collapsed="false">
      <c r="A31" s="271" t="s">
        <v>547</v>
      </c>
      <c r="B31" s="272" t="e">
        <f aca="false">0.8*B30</f>
        <v>#VALUE!</v>
      </c>
      <c r="C31" s="272" t="n">
        <f aca="false">0.8*C30</f>
        <v>0.188561456403853</v>
      </c>
      <c r="D31" s="272" t="e">
        <f aca="false">0.8*D30</f>
        <v>#VALUE!</v>
      </c>
    </row>
    <row r="32" customFormat="false" ht="15" hidden="false" customHeight="false" outlineLevel="0" collapsed="false">
      <c r="A32" s="271" t="s">
        <v>548</v>
      </c>
      <c r="B32" s="272" t="e">
        <f aca="false">(B22/(0.785*B31))^0.5</f>
        <v>#VALUE!</v>
      </c>
      <c r="C32" s="272" t="n">
        <f aca="false">(C22/(0.785*C31))^0.5</f>
        <v>0.293027100507915</v>
      </c>
      <c r="D32" s="272" t="e">
        <f aca="false">(D22/(0.785*D31))^0.5</f>
        <v>#VALUE!</v>
      </c>
    </row>
    <row r="33" customFormat="false" ht="15" hidden="false" customHeight="false" outlineLevel="0" collapsed="false">
      <c r="A33" s="273" t="s">
        <v>549</v>
      </c>
      <c r="B33" s="272"/>
      <c r="C33" s="272"/>
      <c r="D33" s="272"/>
    </row>
    <row r="34" customFormat="false" ht="15" hidden="false" customHeight="false" outlineLevel="0" collapsed="false">
      <c r="A34" s="271" t="s">
        <v>550</v>
      </c>
      <c r="B34" s="262" t="n">
        <f aca="false">0.9/60</f>
        <v>0.015</v>
      </c>
      <c r="C34" s="262" t="n">
        <f aca="false">B34</f>
        <v>0.015</v>
      </c>
      <c r="D34" s="262" t="n">
        <f aca="false">C34</f>
        <v>0.015</v>
      </c>
    </row>
    <row r="35" customFormat="false" ht="15" hidden="false" customHeight="false" outlineLevel="0" collapsed="false">
      <c r="A35" s="271" t="s">
        <v>551</v>
      </c>
      <c r="B35" s="272" t="e">
        <f aca="false">(B23/(0.785*B34))^0.5</f>
        <v>#DIV/0!</v>
      </c>
      <c r="C35" s="272" t="n">
        <f aca="false">(C23/(0.785*C34))^0.5</f>
        <v>0.00319153061058749</v>
      </c>
      <c r="D35" s="272" t="e">
        <f aca="false">(D23/(0.785*D34))^0.5</f>
        <v>#DIV/0!</v>
      </c>
    </row>
    <row r="36" customFormat="false" ht="15" hidden="false" customHeight="false" outlineLevel="0" collapsed="false">
      <c r="A36" s="211" t="s">
        <v>552</v>
      </c>
      <c r="B36" s="262" t="n">
        <v>2.8</v>
      </c>
      <c r="C36" s="262" t="n">
        <v>2.4</v>
      </c>
      <c r="D36" s="262" t="n">
        <v>2</v>
      </c>
    </row>
    <row r="37" customFormat="false" ht="15" hidden="false" customHeight="false" outlineLevel="0" collapsed="false">
      <c r="A37" s="273" t="s">
        <v>553</v>
      </c>
      <c r="B37" s="272"/>
      <c r="C37" s="272"/>
      <c r="D37" s="272"/>
    </row>
    <row r="38" customFormat="false" ht="15" hidden="false" customHeight="false" outlineLevel="0" collapsed="false">
      <c r="A38" s="274" t="s">
        <v>554</v>
      </c>
      <c r="B38" s="262" t="n">
        <v>4</v>
      </c>
      <c r="C38" s="262" t="n">
        <v>2</v>
      </c>
      <c r="D38" s="262" t="n">
        <v>2</v>
      </c>
    </row>
    <row r="39" customFormat="false" ht="15" hidden="false" customHeight="false" outlineLevel="0" collapsed="false">
      <c r="A39" s="274" t="s">
        <v>555</v>
      </c>
      <c r="B39" s="272" t="e">
        <f aca="false">B23*60/(0.785*B36*B36)</f>
        <v>#DIV/0!</v>
      </c>
      <c r="C39" s="272" t="n">
        <f aca="false">C23*60/(0.785*C36*C36)</f>
        <v>1.59154181848702E-006</v>
      </c>
      <c r="D39" s="272" t="e">
        <f aca="false">D23*60/(0.785*D36*D36)</f>
        <v>#DIV/0!</v>
      </c>
    </row>
    <row r="40" customFormat="false" ht="15" hidden="false" customHeight="false" outlineLevel="0" collapsed="false">
      <c r="A40" s="274" t="s">
        <v>556</v>
      </c>
      <c r="B40" s="262" t="n">
        <v>1</v>
      </c>
      <c r="C40" s="262" t="n">
        <v>1</v>
      </c>
      <c r="D40" s="262" t="n">
        <v>1</v>
      </c>
    </row>
    <row r="41" customFormat="false" ht="15" hidden="false" customHeight="false" outlineLevel="0" collapsed="false">
      <c r="A41" s="274" t="s">
        <v>557</v>
      </c>
      <c r="B41" s="225" t="n">
        <f aca="false">B40</f>
        <v>1</v>
      </c>
      <c r="C41" s="225" t="n">
        <f aca="false">C40</f>
        <v>1</v>
      </c>
      <c r="D41" s="225" t="n">
        <f aca="false">D40</f>
        <v>1</v>
      </c>
    </row>
    <row r="42" customFormat="false" ht="15" hidden="false" customHeight="false" outlineLevel="0" collapsed="false">
      <c r="A42" s="274" t="s">
        <v>558</v>
      </c>
      <c r="B42" s="272" t="e">
        <f aca="false">B39*3</f>
        <v>#DIV/0!</v>
      </c>
      <c r="C42" s="272" t="n">
        <f aca="false">C39*3</f>
        <v>4.77462545546107E-006</v>
      </c>
      <c r="D42" s="272" t="e">
        <f aca="false">D39*3</f>
        <v>#DIV/0!</v>
      </c>
    </row>
    <row r="43" customFormat="false" ht="15" hidden="false" customHeight="false" outlineLevel="0" collapsed="false">
      <c r="A43" s="274" t="s">
        <v>559</v>
      </c>
      <c r="B43" s="262" t="n">
        <v>2.5</v>
      </c>
      <c r="C43" s="262" t="n">
        <v>2.5</v>
      </c>
      <c r="D43" s="262" t="n">
        <v>0.5</v>
      </c>
    </row>
    <row r="44" customFormat="false" ht="15" hidden="false" customHeight="false" outlineLevel="0" collapsed="false">
      <c r="A44" s="274" t="s">
        <v>560</v>
      </c>
      <c r="B44" s="225" t="n">
        <f aca="false">B40</f>
        <v>1</v>
      </c>
      <c r="C44" s="225" t="n">
        <f aca="false">C40</f>
        <v>1</v>
      </c>
      <c r="D44" s="225" t="n">
        <f aca="false">D40</f>
        <v>1</v>
      </c>
    </row>
    <row r="45" customFormat="false" ht="15" hidden="false" customHeight="false" outlineLevel="0" collapsed="false">
      <c r="A45" s="274" t="s">
        <v>561</v>
      </c>
      <c r="B45" s="225" t="n">
        <f aca="false">B40</f>
        <v>1</v>
      </c>
      <c r="C45" s="225" t="n">
        <f aca="false">C40</f>
        <v>1</v>
      </c>
      <c r="D45" s="225" t="n">
        <f aca="false">D40</f>
        <v>1</v>
      </c>
    </row>
    <row r="46" customFormat="false" ht="15" hidden="false" customHeight="false" outlineLevel="0" collapsed="false">
      <c r="A46" s="274" t="s">
        <v>562</v>
      </c>
      <c r="B46" s="225" t="n">
        <f aca="false">SUM(B38,B40,B41,B43,B44,B45)</f>
        <v>10.5</v>
      </c>
      <c r="C46" s="225" t="n">
        <f aca="false">SUM(C38,C40,C41,C43,C44,C45)</f>
        <v>8.5</v>
      </c>
      <c r="D46" s="225" t="n">
        <f aca="false">SUM(D38,D40,D41,D43,D44,D45)</f>
        <v>6.5</v>
      </c>
    </row>
    <row r="47" customFormat="false" ht="15" hidden="false" customHeight="false" outlineLevel="0" collapsed="false">
      <c r="A47" s="197" t="s">
        <v>563</v>
      </c>
      <c r="B47" s="222" t="n">
        <f aca="false">B7/B6</f>
        <v>3.75</v>
      </c>
      <c r="C47" s="222" t="n">
        <f aca="false">C7/C6</f>
        <v>3.54166666666667</v>
      </c>
      <c r="D47" s="222" t="n">
        <f aca="false">D7/D6</f>
        <v>3.25</v>
      </c>
    </row>
    <row r="48" customFormat="false" ht="15" hidden="false" customHeight="false" outlineLevel="0" collapsed="false">
      <c r="A48" s="197" t="s">
        <v>564</v>
      </c>
      <c r="B48" s="222" t="n">
        <f aca="false">0.785*B6*B6*B7+PI()/6*B6^3</f>
        <v>76.1152403219339</v>
      </c>
      <c r="C48" s="222" t="n">
        <f aca="false">0.785*C6*C6*C7+PI()/6*C6^3</f>
        <v>45.6718294738709</v>
      </c>
      <c r="D48" s="222" t="n">
        <f aca="false">0.785*D6*D6*D7+PI()/6*D6^3</f>
        <v>24.5987902047864</v>
      </c>
    </row>
    <row r="49" customFormat="false" ht="15" hidden="false" customHeight="false" outlineLevel="0" collapsed="false">
      <c r="A49" s="197" t="s">
        <v>565</v>
      </c>
      <c r="B49" s="222" t="n">
        <f aca="false">0.785*B6*B6*(0.5*B43+B44+B45)+PI()/12*B6^3</f>
        <v>25.7488201609669</v>
      </c>
      <c r="C49" s="222" t="n">
        <f aca="false">0.785*C6*C6*(0.5*C43+C44+C45)+PI()/12*C6^3</f>
        <v>18.3143147369354</v>
      </c>
      <c r="D49" s="222" t="n">
        <f aca="false">0.785*D6*D6*(0.5*D43+D44+D45)+PI()/12*D6^3</f>
        <v>9.1593951023932</v>
      </c>
    </row>
    <row r="50" customFormat="false" ht="15" hidden="false" customHeight="false" outlineLevel="0" collapsed="false">
      <c r="A50" s="197" t="s">
        <v>566</v>
      </c>
      <c r="B50" s="222" t="n">
        <f aca="false">0.5*B43+B44+B45+0.5*B6</f>
        <v>4.65</v>
      </c>
      <c r="C50" s="222" t="n">
        <f aca="false">0.5*C43+C44+C45+0.5*C6</f>
        <v>4.45</v>
      </c>
      <c r="D50" s="222" t="n">
        <f aca="false">0.5*D43+D44+D45+0.5*D6</f>
        <v>3.25</v>
      </c>
    </row>
    <row r="51" customFormat="false" ht="15" hidden="false" customHeight="false" outlineLevel="0" collapsed="false">
      <c r="A51" s="273" t="s">
        <v>567</v>
      </c>
    </row>
    <row r="52" customFormat="false" ht="15" hidden="false" customHeight="false" outlineLevel="0" collapsed="false">
      <c r="A52" s="274" t="s">
        <v>568</v>
      </c>
      <c r="B52" s="222" t="n">
        <f aca="false">0.785*B6*B6*(B44+B45)+PI()/12*B6^3</f>
        <v>18.0558201609669</v>
      </c>
      <c r="C52" s="222" t="n">
        <f aca="false">0.785*C6*C6*(C44+C45)+PI()/12*C6^3</f>
        <v>12.6623147369354</v>
      </c>
      <c r="D52" s="222" t="n">
        <f aca="false">0.785*D6*D6*(D44+D45)+PI()/12*D6^3</f>
        <v>8.3743951023932</v>
      </c>
    </row>
    <row r="53" customFormat="false" ht="15" hidden="false" customHeight="false" outlineLevel="0" collapsed="false">
      <c r="A53" s="274" t="s">
        <v>569</v>
      </c>
      <c r="B53" s="222" t="n">
        <f aca="false">0.785*B6*B6*(B43+B44+B45)+PI()/12*B6^3</f>
        <v>33.4418201609669</v>
      </c>
      <c r="C53" s="222" t="n">
        <f aca="false">0.785*C6*C6*(C43+C44+C45)+PI()/12*C6^3</f>
        <v>23.9663147369354</v>
      </c>
      <c r="D53" s="222" t="n">
        <f aca="false">0.785*D6*D6*(D43+D44+D45)+PI()/12*D6^3</f>
        <v>9.9443951023932</v>
      </c>
    </row>
    <row r="54" customFormat="false" ht="15" hidden="false" customHeight="false" outlineLevel="0" collapsed="false">
      <c r="A54" s="197" t="s">
        <v>570</v>
      </c>
      <c r="B54" s="222" t="e">
        <f aca="false">B49/B23/60</f>
        <v>#DIV/0!</v>
      </c>
      <c r="C54" s="222" t="n">
        <f aca="false">C49/C23/60</f>
        <v>2544957.17584455</v>
      </c>
      <c r="D54" s="222" t="e">
        <f aca="false">D49/D23/60</f>
        <v>#DIV/0!</v>
      </c>
    </row>
    <row r="55" customFormat="false" ht="15" hidden="false" customHeight="false" outlineLevel="0" collapsed="false"/>
    <row r="56" customFormat="false" ht="15" hidden="false" customHeight="false" outlineLevel="0" collapsed="false">
      <c r="A56" s="27" t="s">
        <v>571</v>
      </c>
      <c r="B56" s="275" t="n">
        <f aca="false">B49*B21+(B48-B49)*B20</f>
        <v>1186.12919479077</v>
      </c>
      <c r="C56" s="275" t="n">
        <f aca="false">C49*C21+(C48-C49)*C20</f>
        <v>14484.7163543147</v>
      </c>
      <c r="D56" s="275" t="n">
        <f aca="false">D49*D21+(D48-D49)*D20</f>
        <v>439.250790663086</v>
      </c>
    </row>
  </sheetData>
  <dataValidations count="1">
    <dataValidation allowBlank="true" errorStyle="stop" operator="between" showDropDown="false" showErrorMessage="true" showInputMessage="true" sqref="B3:D3" type="list">
      <formula1>"立式,卧式"</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01" r:id="rId4" name="Button 1">
              <controlPr defaultSize="0" print="false" autoFill="0" autoPict="0" macro="模块3.返回主页">
                <anchor moveWithCells="true" sizeWithCells="false">
                  <from>
                    <xdr:col>0</xdr:col>
                    <xdr:colOff>1379520</xdr:colOff>
                    <xdr:row>0</xdr:row>
                    <xdr:rowOff>30600</xdr:rowOff>
                  </from>
                  <to>
                    <xdr:col>1</xdr:col>
                    <xdr:colOff>-950400</xdr:colOff>
                    <xdr:row>1</xdr:row>
                    <xdr:rowOff>-53280</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6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G26" activeCellId="0" sqref="1:1048576"/>
    </sheetView>
  </sheetViews>
  <sheetFormatPr defaultColWidth="9.00390625" defaultRowHeight="14.25" zeroHeight="false" outlineLevelRow="0" outlineLevelCol="0"/>
  <cols>
    <col collapsed="false" customWidth="true" hidden="false" outlineLevel="0" max="1" min="1" style="0" width="37.88"/>
    <col collapsed="false" customWidth="true" hidden="false" outlineLevel="0" max="2" min="2" style="243" width="26.13"/>
    <col collapsed="false" customWidth="true" hidden="false" outlineLevel="0" max="3" min="3" style="0" width="26.13"/>
    <col collapsed="false" customWidth="true" hidden="false" outlineLevel="0" max="4" min="4" style="243" width="26.13"/>
    <col collapsed="false" customWidth="true" hidden="false" outlineLevel="0" max="5" min="5" style="243" width="23"/>
    <col collapsed="false" customWidth="true" hidden="false" outlineLevel="0" max="7" min="6" style="243" width="25"/>
    <col collapsed="false" customWidth="true" hidden="false" outlineLevel="0" max="8" min="8" style="243" width="11.63"/>
    <col collapsed="false" customWidth="true" hidden="false" outlineLevel="0" max="9" min="9" style="0" width="26.13"/>
    <col collapsed="false" customWidth="true" hidden="true" outlineLevel="0" max="10" min="10" style="0" width="26.13"/>
    <col collapsed="false" customWidth="true" hidden="false" outlineLevel="0" max="13" min="11" style="0" width="26.13"/>
    <col collapsed="false" customWidth="true" hidden="false" outlineLevel="0" max="18" min="15" style="0" width="26.13"/>
    <col collapsed="false" customWidth="true" hidden="false" outlineLevel="0" max="19" min="19" style="276" width="26.13"/>
    <col collapsed="false" customWidth="true" hidden="false" outlineLevel="0" max="20" min="20" style="277" width="26.13"/>
    <col collapsed="false" customWidth="true" hidden="false" outlineLevel="0" max="22" min="21" style="277" width="25"/>
  </cols>
  <sheetData>
    <row r="1" customFormat="false" ht="15" hidden="false" customHeight="false" outlineLevel="0" collapsed="false">
      <c r="A1" s="253" t="s">
        <v>512</v>
      </c>
      <c r="B1" s="278" t="s">
        <v>572</v>
      </c>
      <c r="C1" s="279" t="s">
        <v>573</v>
      </c>
      <c r="D1" s="278" t="s">
        <v>574</v>
      </c>
      <c r="E1" s="278" t="s">
        <v>575</v>
      </c>
      <c r="F1" s="278" t="s">
        <v>576</v>
      </c>
      <c r="G1" s="278" t="s">
        <v>577</v>
      </c>
      <c r="H1" s="280"/>
      <c r="I1" s="279" t="s">
        <v>578</v>
      </c>
      <c r="J1" s="279"/>
      <c r="K1" s="279" t="s">
        <v>579</v>
      </c>
      <c r="L1" s="279" t="s">
        <v>580</v>
      </c>
      <c r="M1" s="279" t="s">
        <v>581</v>
      </c>
      <c r="N1" s="281"/>
      <c r="O1" s="279" t="s">
        <v>582</v>
      </c>
      <c r="P1" s="279" t="s">
        <v>583</v>
      </c>
      <c r="Q1" s="279" t="s">
        <v>584</v>
      </c>
      <c r="R1" s="279" t="s">
        <v>585</v>
      </c>
      <c r="S1" s="282" t="s">
        <v>581</v>
      </c>
      <c r="T1" s="283" t="s">
        <v>586</v>
      </c>
      <c r="U1" s="283" t="s">
        <v>587</v>
      </c>
      <c r="V1" s="283" t="s">
        <v>588</v>
      </c>
    </row>
    <row r="2" customFormat="false" ht="15" hidden="false" customHeight="false" outlineLevel="0" collapsed="false">
      <c r="A2" s="253" t="s">
        <v>516</v>
      </c>
      <c r="B2" s="278" t="s">
        <v>589</v>
      </c>
      <c r="C2" s="279" t="s">
        <v>590</v>
      </c>
      <c r="D2" s="278" t="s">
        <v>591</v>
      </c>
      <c r="E2" s="278" t="s">
        <v>592</v>
      </c>
      <c r="F2" s="278" t="s">
        <v>593</v>
      </c>
      <c r="G2" s="278" t="s">
        <v>594</v>
      </c>
      <c r="H2" s="280"/>
      <c r="I2" s="279" t="s">
        <v>595</v>
      </c>
      <c r="J2" s="278" t="s">
        <v>596</v>
      </c>
      <c r="K2" s="279" t="s">
        <v>597</v>
      </c>
      <c r="L2" s="279" t="s">
        <v>598</v>
      </c>
      <c r="M2" s="279" t="s">
        <v>599</v>
      </c>
      <c r="N2" s="281"/>
      <c r="O2" s="279" t="s">
        <v>600</v>
      </c>
      <c r="P2" s="279" t="s">
        <v>600</v>
      </c>
      <c r="Q2" s="279" t="s">
        <v>600</v>
      </c>
      <c r="R2" s="279"/>
      <c r="S2" s="282" t="s">
        <v>601</v>
      </c>
      <c r="T2" s="283" t="s">
        <v>602</v>
      </c>
      <c r="U2" s="283" t="s">
        <v>603</v>
      </c>
      <c r="V2" s="283" t="s">
        <v>593</v>
      </c>
    </row>
    <row r="3" customFormat="false" ht="15" hidden="false" customHeight="false" outlineLevel="0" collapsed="false">
      <c r="A3" s="253" t="s">
        <v>520</v>
      </c>
      <c r="B3" s="278" t="s">
        <v>521</v>
      </c>
      <c r="C3" s="279" t="s">
        <v>521</v>
      </c>
      <c r="D3" s="278" t="s">
        <v>521</v>
      </c>
      <c r="E3" s="278" t="s">
        <v>521</v>
      </c>
      <c r="F3" s="278" t="s">
        <v>521</v>
      </c>
      <c r="G3" s="278" t="s">
        <v>521</v>
      </c>
      <c r="H3" s="280"/>
      <c r="I3" s="279" t="s">
        <v>604</v>
      </c>
      <c r="J3" s="279" t="s">
        <v>604</v>
      </c>
      <c r="K3" s="279" t="s">
        <v>604</v>
      </c>
      <c r="L3" s="279" t="s">
        <v>604</v>
      </c>
      <c r="M3" s="279" t="s">
        <v>604</v>
      </c>
      <c r="N3" s="281"/>
      <c r="O3" s="279" t="s">
        <v>604</v>
      </c>
      <c r="P3" s="279" t="s">
        <v>604</v>
      </c>
      <c r="Q3" s="279" t="s">
        <v>604</v>
      </c>
      <c r="R3" s="279"/>
      <c r="S3" s="282" t="s">
        <v>604</v>
      </c>
      <c r="T3" s="283" t="s">
        <v>604</v>
      </c>
      <c r="U3" s="283" t="s">
        <v>604</v>
      </c>
      <c r="V3" s="283" t="s">
        <v>521</v>
      </c>
    </row>
    <row r="4" customFormat="false" ht="36.75" hidden="false" customHeight="true" outlineLevel="0" collapsed="false">
      <c r="A4" s="253" t="s">
        <v>522</v>
      </c>
      <c r="B4" s="284" t="str">
        <f aca="false">CONCATENATE("Φ",B6*1000,"×",B7*1000,"（T-T）",B3)</f>
        <v>Φ4600×18300（T-T）立式</v>
      </c>
      <c r="C4" s="285" t="str">
        <f aca="false">CONCATENATE("Φ",C6*1000,"×",C7*1000,"（T-T）",C3)</f>
        <v>Φ1400×4200（T-T）立式</v>
      </c>
      <c r="D4" s="284" t="str">
        <f aca="false">CONCATENATE("Φ",D6*1000,"×",D7*1000,"（T-T）",D3)</f>
        <v>Φ4000×12200（T-T）立式</v>
      </c>
      <c r="E4" s="284" t="str">
        <f aca="false">CONCATENATE("Φ",E6*1000,"×",E7*1000,"（T-T）",E3)</f>
        <v>Φ1000×3000（T-T）立式</v>
      </c>
      <c r="F4" s="284" t="str">
        <f aca="false">CONCATENATE("Φ",F6*1000,"×",F7*1000,"（T-T）",F3)</f>
        <v>Φ1400×4000（T-T）立式</v>
      </c>
      <c r="G4" s="284" t="str">
        <f aca="false">CONCATENATE("Φ",G6*1000,"×",G7*1000,"（T-T）",G3)</f>
        <v>Φ1400×4000（T-T）立式</v>
      </c>
      <c r="H4" s="286"/>
      <c r="I4" s="287" t="str">
        <f aca="false">CONCATENATE("Φ",I6*1000,"×",I7*1000,"（T-T）",I3)</f>
        <v>Φ2000×5100（T-T）卧式</v>
      </c>
      <c r="J4" s="287" t="str">
        <f aca="false">CONCATENATE("Φ",J6*1000,"×",J7*1000,"（T-T）",J3)</f>
        <v>Φ2200×4000（T-T）卧式</v>
      </c>
      <c r="K4" s="287" t="str">
        <f aca="false">CONCATENATE("Φ",K6*1000,"×",K7*1000,"（T-T）",K3)</f>
        <v>Φ3600×8000（T-T）卧式</v>
      </c>
      <c r="L4" s="287" t="str">
        <f aca="false">CONCATENATE("Φ",L6*1000,"×",L7*1000,"（T-T）",L3)</f>
        <v>Φ2200×4000（T-T）卧式</v>
      </c>
      <c r="M4" s="287" t="str">
        <f aca="false">CONCATENATE("Φ",M6*1000,"×",M7*1000,"（T-T）",M3)</f>
        <v>Φ2200×4000（T-T）卧式</v>
      </c>
      <c r="N4" s="281"/>
      <c r="O4" s="287" t="str">
        <f aca="false">CONCATENATE("Φ",O6*1000,"×",O7*1000,"（T-T）",O3)</f>
        <v>Φ2200×8250（T-T）卧式</v>
      </c>
      <c r="P4" s="287" t="str">
        <f aca="false">CONCATENATE("Φ",P6*1000,"×",P7*1000,"（T-T）",P3)</f>
        <v>Φ1500×4000（T-T）卧式</v>
      </c>
      <c r="Q4" s="287" t="str">
        <f aca="false">CONCATENATE("Φ",Q6*1000,"×",Q7*1000,"（T-T）",Q3)</f>
        <v>Φ1500×4000（T-T）卧式</v>
      </c>
      <c r="R4" s="287"/>
      <c r="S4" s="288" t="str">
        <f aca="false">CONCATENATE("Φ",S6*1000,"×",S7*1000,"（T-T）",S3)</f>
        <v>Φ3600×8000（T-T）卧式</v>
      </c>
      <c r="T4" s="289" t="str">
        <f aca="false">CONCATENATE("Φ",T6*1000,"×",T7*1000,"（T-T）",T3)</f>
        <v>Φ2200×6000（T-T）卧式</v>
      </c>
      <c r="U4" s="289" t="str">
        <f aca="false">CONCATENATE("Φ",U6*1000,"×",U7*1000,"（T-T）",U3)</f>
        <v>Φ3000×8400（T-T）卧式</v>
      </c>
      <c r="V4" s="289" t="str">
        <f aca="false">CONCATENATE("Φ",V6*1000,"×",V7*1000,"（T-T）",V3)</f>
        <v>Φ1400×4000（T-T）立式</v>
      </c>
    </row>
    <row r="5" customFormat="false" ht="15" hidden="false" customHeight="false" outlineLevel="0" collapsed="false">
      <c r="A5" s="207" t="s">
        <v>523</v>
      </c>
      <c r="B5" s="286" t="str">
        <f aca="false">IF(OR(B8=0,B8=""),"",CONCATENATE("Φ",B8*1000,"×",B9*1000,"（T-T）"))</f>
        <v/>
      </c>
      <c r="C5" s="255" t="str">
        <f aca="false">IF(OR(C8=0,C8=""),"",CONCATENATE("Φ",C8*1000,"×",C9*1000,"（T-T）"))</f>
        <v/>
      </c>
      <c r="D5" s="286" t="str">
        <f aca="false">IF(OR(D8=0,D8=""),"",CONCATENATE("Φ",D8*1000,"×",D9*1000,"（T-T）"))</f>
        <v/>
      </c>
      <c r="E5" s="286" t="str">
        <f aca="false">IF(OR(E8=0,E8=""),"",CONCATENATE("Φ",E8*1000,"×",E9*1000,"（T-T）"))</f>
        <v/>
      </c>
      <c r="F5" s="286" t="str">
        <f aca="false">IF(OR(F8=0,F8=""),"",CONCATENATE("Φ",F8*1000,"×",F9*1000,"（T-T）"))</f>
        <v/>
      </c>
      <c r="G5" s="286" t="str">
        <f aca="false">IF(OR(G8=0,G8=""),"",CONCATENATE("Φ",G8*1000,"×",G9*1000,"（T-T）"))</f>
        <v/>
      </c>
      <c r="H5" s="286"/>
      <c r="I5" s="255" t="str">
        <f aca="false">IF(OR(I8=0,I8=""),"",CONCATENATE("Φ",I8*1000,"×",I9*1000,"（T-T）"))</f>
        <v/>
      </c>
      <c r="J5" s="255"/>
      <c r="K5" s="255" t="str">
        <f aca="false">IF(OR(K8=0,K8=""),"",CONCATENATE("Φ",K8*1000,"×",K9*1000,"（T-T）"))</f>
        <v>Φ600×1100（T-T）</v>
      </c>
      <c r="L5" s="255" t="str">
        <f aca="false">IF(OR(L8=0,L8=""),"",CONCATENATE("Φ",L8*1000,"×",L9*1000,"（T-T）"))</f>
        <v/>
      </c>
      <c r="M5" s="255" t="str">
        <f aca="false">IF(OR(M8=0,M8=""),"",CONCATENATE("Φ",M8*1000,"×",M9*1000,"（T-T）"))</f>
        <v/>
      </c>
      <c r="O5" s="255" t="str">
        <f aca="false">IF(OR(O8=0,O8=""),"",CONCATENATE("Φ",O8*1000,"×",O9*1000,"（T-T）"))</f>
        <v/>
      </c>
      <c r="P5" s="255" t="str">
        <f aca="false">IF(OR(P8=0,P8=""),"",CONCATENATE("Φ",P8*1000,"×",P9*1000,"（T-T）"))</f>
        <v/>
      </c>
      <c r="Q5" s="255" t="str">
        <f aca="false">IF(OR(Q8=0,Q8=""),"",CONCATENATE("Φ",Q8*1000,"×",Q9*1000,"（T-T）"))</f>
        <v/>
      </c>
      <c r="R5" s="255"/>
      <c r="S5" s="288" t="str">
        <f aca="false">IF(OR(S8=0,S8=""),"",CONCATENATE("Φ",S8*1000,"×",S9*1000,"（T-T）"))</f>
        <v>Φ600×1100（T-T）</v>
      </c>
      <c r="T5" s="289"/>
      <c r="U5" s="289" t="str">
        <f aca="false">IF(OR(U8=0,U8=""),"",CONCATENATE("Φ",U8*1000,"×",U9*1000,"（T-T）"))</f>
        <v/>
      </c>
      <c r="V5" s="289" t="str">
        <f aca="false">IF(OR(V8=0,V8=""),"",CONCATENATE("Φ",V8*1000,"×",V9*1000,"（T-T）"))</f>
        <v/>
      </c>
    </row>
    <row r="6" customFormat="false" ht="15" hidden="false" customHeight="false" outlineLevel="0" collapsed="false">
      <c r="A6" s="256" t="s">
        <v>524</v>
      </c>
      <c r="B6" s="290" t="n">
        <v>4.6</v>
      </c>
      <c r="C6" s="262" t="n">
        <v>1.4</v>
      </c>
      <c r="D6" s="290" t="n">
        <v>4</v>
      </c>
      <c r="E6" s="290" t="n">
        <v>1</v>
      </c>
      <c r="F6" s="290" t="n">
        <v>1.4</v>
      </c>
      <c r="G6" s="290" t="n">
        <v>1.4</v>
      </c>
      <c r="H6" s="290"/>
      <c r="I6" s="291" t="n">
        <v>2</v>
      </c>
      <c r="J6" s="262" t="n">
        <v>2.2</v>
      </c>
      <c r="K6" s="262" t="n">
        <v>3.6</v>
      </c>
      <c r="L6" s="262" t="n">
        <v>2.2</v>
      </c>
      <c r="M6" s="262" t="n">
        <v>2.2</v>
      </c>
      <c r="O6" s="262" t="n">
        <v>2.2</v>
      </c>
      <c r="P6" s="262" t="n">
        <v>1.5</v>
      </c>
      <c r="Q6" s="262" t="n">
        <v>1.5</v>
      </c>
      <c r="R6" s="262"/>
      <c r="S6" s="292" t="n">
        <v>3.6</v>
      </c>
      <c r="T6" s="293" t="n">
        <v>2.2</v>
      </c>
      <c r="U6" s="293" t="n">
        <v>3</v>
      </c>
      <c r="V6" s="293" t="n">
        <v>1.4</v>
      </c>
    </row>
    <row r="7" customFormat="false" ht="15" hidden="false" customHeight="false" outlineLevel="0" collapsed="false">
      <c r="A7" s="258" t="s">
        <v>525</v>
      </c>
      <c r="B7" s="290" t="n">
        <v>18.3</v>
      </c>
      <c r="C7" s="262" t="n">
        <v>4.2</v>
      </c>
      <c r="D7" s="290" t="n">
        <v>12.2</v>
      </c>
      <c r="E7" s="290" t="n">
        <v>3</v>
      </c>
      <c r="F7" s="290" t="n">
        <v>4</v>
      </c>
      <c r="G7" s="290" t="n">
        <v>4</v>
      </c>
      <c r="H7" s="290"/>
      <c r="I7" s="291" t="n">
        <v>5.1</v>
      </c>
      <c r="J7" s="262" t="n">
        <v>4</v>
      </c>
      <c r="K7" s="262" t="n">
        <v>8</v>
      </c>
      <c r="L7" s="262" t="n">
        <v>4</v>
      </c>
      <c r="M7" s="262" t="n">
        <v>4</v>
      </c>
      <c r="O7" s="262" t="n">
        <v>8.25</v>
      </c>
      <c r="P7" s="262" t="n">
        <v>4</v>
      </c>
      <c r="Q7" s="262" t="n">
        <v>4</v>
      </c>
      <c r="R7" s="262"/>
      <c r="S7" s="292" t="n">
        <v>8</v>
      </c>
      <c r="T7" s="293" t="n">
        <v>6</v>
      </c>
      <c r="U7" s="293" t="n">
        <v>8.4</v>
      </c>
      <c r="V7" s="293" t="n">
        <v>4</v>
      </c>
    </row>
    <row r="8" customFormat="false" ht="15" hidden="false" customHeight="false" outlineLevel="0" collapsed="false">
      <c r="A8" s="258" t="s">
        <v>526</v>
      </c>
      <c r="B8" s="294"/>
      <c r="C8" s="259"/>
      <c r="D8" s="294"/>
      <c r="E8" s="294"/>
      <c r="F8" s="294"/>
      <c r="G8" s="294"/>
      <c r="H8" s="294"/>
      <c r="I8" s="259"/>
      <c r="J8" s="259"/>
      <c r="K8" s="259" t="n">
        <v>0.6</v>
      </c>
      <c r="L8" s="259"/>
      <c r="M8" s="259"/>
      <c r="O8" s="259"/>
      <c r="P8" s="259"/>
      <c r="Q8" s="259"/>
      <c r="R8" s="259"/>
      <c r="S8" s="282" t="n">
        <v>0.6</v>
      </c>
      <c r="T8" s="295"/>
      <c r="U8" s="295"/>
      <c r="V8" s="295"/>
    </row>
    <row r="9" customFormat="false" ht="15" hidden="false" customHeight="false" outlineLevel="0" collapsed="false">
      <c r="A9" s="258" t="s">
        <v>527</v>
      </c>
      <c r="B9" s="294"/>
      <c r="C9" s="259"/>
      <c r="D9" s="294"/>
      <c r="E9" s="294"/>
      <c r="F9" s="294"/>
      <c r="G9" s="294"/>
      <c r="H9" s="294"/>
      <c r="I9" s="259"/>
      <c r="J9" s="259"/>
      <c r="K9" s="259" t="n">
        <v>1.1</v>
      </c>
      <c r="L9" s="259"/>
      <c r="M9" s="259"/>
      <c r="O9" s="259"/>
      <c r="P9" s="259"/>
      <c r="Q9" s="259"/>
      <c r="R9" s="259"/>
      <c r="S9" s="282" t="n">
        <v>1.1</v>
      </c>
      <c r="T9" s="295"/>
      <c r="U9" s="295"/>
      <c r="V9" s="295"/>
    </row>
    <row r="10" customFormat="false" ht="15" hidden="false" customHeight="false" outlineLevel="0" collapsed="false">
      <c r="A10" s="27" t="s">
        <v>528</v>
      </c>
      <c r="B10" s="260" t="n">
        <f aca="false">0.785*B6*B6*B7+3.14/24*2*B6^3</f>
        <v>329.443566666667</v>
      </c>
      <c r="C10" s="260" t="n">
        <f aca="false">0.785*C6*C6*C7+3.14/24*2*C6^3</f>
        <v>7.18013333333333</v>
      </c>
      <c r="D10" s="260" t="n">
        <f aca="false">0.785*D6*D6*D7+3.14/24*2*D6^3</f>
        <v>169.978666666667</v>
      </c>
      <c r="E10" s="260" t="n">
        <f aca="false">0.785*E6*E6*E7+3.14/24*2*E6^3</f>
        <v>2.61666666666667</v>
      </c>
      <c r="F10" s="260" t="n">
        <f aca="false">0.785*F6*F6*F7+3.14/24*2*F6^3</f>
        <v>6.87241333333333</v>
      </c>
      <c r="G10" s="260" t="n">
        <f aca="false">0.785*G6*G6*G7+3.14/24*2*G6^3</f>
        <v>6.87241333333333</v>
      </c>
      <c r="H10" s="260"/>
      <c r="I10" s="260" t="n">
        <f aca="false">0.785*I6*I6*I7+2*3.14/24*I6^3</f>
        <v>18.1073333333333</v>
      </c>
      <c r="J10" s="260"/>
      <c r="K10" s="260" t="n">
        <f aca="false">0.785*K6*K6*K7+3.14/24*2*K6^3</f>
        <v>93.59712</v>
      </c>
      <c r="L10" s="260" t="n">
        <f aca="false">0.785*L6*L6*L7+3.14/24*2*L6^3</f>
        <v>17.9838266666667</v>
      </c>
      <c r="M10" s="260" t="n">
        <f aca="false">0.785*M6*M6*M7+3.14/24*2*M6^3</f>
        <v>17.9838266666667</v>
      </c>
      <c r="O10" s="260" t="n">
        <f aca="false">0.785*O6*O6*O7+3.14/24*2*O6^3</f>
        <v>34.1312766666667</v>
      </c>
      <c r="P10" s="260" t="n">
        <f aca="false">0.785*P6*P6*P7+3.14/24*2*P6^3</f>
        <v>7.948125</v>
      </c>
      <c r="Q10" s="260" t="n">
        <f aca="false">0.785*Q6*Q6*Q7+3.14/24*2*Q6^3</f>
        <v>7.948125</v>
      </c>
      <c r="R10" s="260"/>
      <c r="S10" s="296" t="n">
        <f aca="false">0.785*S6*S6*S7+3.14/24*2*S6^3</f>
        <v>93.59712</v>
      </c>
      <c r="T10" s="297"/>
      <c r="U10" s="297" t="n">
        <f aca="false">0.785*U6*U6*U7+3.14/24*2*U6^3</f>
        <v>66.411</v>
      </c>
      <c r="V10" s="297" t="n">
        <f aca="false">0.785*V6*V6*V7+3.14/24*2*V6^3</f>
        <v>6.87241333333333</v>
      </c>
    </row>
    <row r="11" customFormat="false" ht="15" hidden="false" customHeight="false" outlineLevel="0" collapsed="false">
      <c r="A11" s="261" t="s">
        <v>398</v>
      </c>
      <c r="B11" s="290" t="s">
        <v>529</v>
      </c>
      <c r="C11" s="262" t="s">
        <v>605</v>
      </c>
      <c r="D11" s="290" t="s">
        <v>606</v>
      </c>
      <c r="E11" s="290" t="s">
        <v>607</v>
      </c>
      <c r="F11" s="290" t="s">
        <v>608</v>
      </c>
      <c r="G11" s="290" t="s">
        <v>609</v>
      </c>
      <c r="H11" s="290"/>
      <c r="I11" s="262" t="s">
        <v>529</v>
      </c>
      <c r="J11" s="262" t="s">
        <v>610</v>
      </c>
      <c r="K11" s="262" t="s">
        <v>529</v>
      </c>
      <c r="L11" s="262" t="s">
        <v>611</v>
      </c>
      <c r="M11" s="262" t="s">
        <v>611</v>
      </c>
      <c r="O11" s="262" t="s">
        <v>612</v>
      </c>
      <c r="P11" s="262" t="s">
        <v>612</v>
      </c>
      <c r="Q11" s="262" t="s">
        <v>612</v>
      </c>
      <c r="R11" s="262"/>
      <c r="S11" s="292" t="s">
        <v>529</v>
      </c>
      <c r="T11" s="293" t="s">
        <v>610</v>
      </c>
      <c r="U11" s="293" t="s">
        <v>613</v>
      </c>
      <c r="V11" s="293" t="s">
        <v>608</v>
      </c>
    </row>
    <row r="12" s="300" customFormat="true" ht="15" hidden="false" customHeight="false" outlineLevel="0" collapsed="false">
      <c r="A12" s="298" t="s">
        <v>489</v>
      </c>
      <c r="B12" s="299" t="n">
        <v>285</v>
      </c>
      <c r="C12" s="299" t="n">
        <f aca="false">物流参数!BA4</f>
        <v>491.5</v>
      </c>
      <c r="D12" s="299" t="n">
        <v>335</v>
      </c>
      <c r="E12" s="299" t="n">
        <v>56</v>
      </c>
      <c r="F12" s="290" t="n">
        <v>40</v>
      </c>
      <c r="G12" s="290" t="n">
        <v>40</v>
      </c>
      <c r="H12" s="299"/>
      <c r="I12" s="299" t="n">
        <v>40</v>
      </c>
      <c r="J12" s="299" t="n">
        <v>152</v>
      </c>
      <c r="K12" s="299" t="n">
        <v>60</v>
      </c>
      <c r="L12" s="299" t="n">
        <v>60</v>
      </c>
      <c r="M12" s="299" t="n">
        <v>60</v>
      </c>
      <c r="O12" s="299" t="n">
        <v>199</v>
      </c>
      <c r="P12" s="299" t="n">
        <v>199</v>
      </c>
      <c r="Q12" s="299" t="n">
        <v>168</v>
      </c>
      <c r="R12" s="299"/>
      <c r="S12" s="301" t="n">
        <v>60</v>
      </c>
      <c r="T12" s="302" t="n">
        <v>188</v>
      </c>
      <c r="U12" s="293" t="n">
        <v>150</v>
      </c>
      <c r="V12" s="293" t="str">
        <f aca="false">项目信息!B55</f>
        <v>常温</v>
      </c>
    </row>
    <row r="13" customFormat="false" ht="15" hidden="false" customHeight="false" outlineLevel="0" collapsed="false">
      <c r="A13" s="261" t="s">
        <v>490</v>
      </c>
      <c r="B13" s="212" t="n">
        <v>2.99</v>
      </c>
      <c r="C13" s="262" t="n">
        <v>2.4</v>
      </c>
      <c r="D13" s="212" t="n">
        <v>0.2</v>
      </c>
      <c r="E13" s="212" t="n">
        <v>2.78</v>
      </c>
      <c r="F13" s="212" t="n">
        <v>0.5</v>
      </c>
      <c r="G13" s="212" t="n">
        <v>0.7</v>
      </c>
      <c r="H13" s="212"/>
      <c r="I13" s="212" t="n">
        <v>2.81</v>
      </c>
      <c r="J13" s="212" t="n">
        <v>0.4</v>
      </c>
      <c r="K13" s="212" t="n">
        <v>0.1</v>
      </c>
      <c r="L13" s="212" t="n">
        <v>0.1</v>
      </c>
      <c r="M13" s="212" t="n">
        <v>0.1</v>
      </c>
      <c r="O13" s="212" t="n">
        <v>1.43</v>
      </c>
      <c r="P13" s="212" t="n">
        <v>1.43</v>
      </c>
      <c r="Q13" s="212" t="n">
        <v>0.66</v>
      </c>
      <c r="R13" s="212"/>
      <c r="S13" s="303" t="n">
        <v>0.4</v>
      </c>
      <c r="T13" s="304" t="n">
        <v>1</v>
      </c>
      <c r="U13" s="304" t="n">
        <v>0.06</v>
      </c>
      <c r="V13" s="304" t="n">
        <f aca="false">项目信息!B54</f>
        <v>0.5</v>
      </c>
    </row>
    <row r="14" customFormat="false" ht="15" hidden="false" customHeight="false" outlineLevel="0" collapsed="false">
      <c r="A14" s="261" t="s">
        <v>530</v>
      </c>
      <c r="B14" s="214"/>
      <c r="C14" s="214"/>
      <c r="D14" s="214"/>
      <c r="E14" s="214"/>
      <c r="F14" s="214" t="n">
        <v>0.6</v>
      </c>
      <c r="G14" s="214" t="n">
        <v>0.8</v>
      </c>
      <c r="H14" s="214"/>
      <c r="I14" s="214"/>
      <c r="J14" s="214" t="n">
        <v>0.5</v>
      </c>
      <c r="K14" s="214"/>
      <c r="L14" s="214"/>
      <c r="M14" s="214"/>
      <c r="O14" s="214"/>
      <c r="P14" s="214"/>
      <c r="Q14" s="214"/>
      <c r="R14" s="214"/>
      <c r="S14" s="305"/>
      <c r="T14" s="306" t="n">
        <v>1.3</v>
      </c>
      <c r="U14" s="306" t="n">
        <v>0.3</v>
      </c>
      <c r="V14" s="306" t="n">
        <v>0.6</v>
      </c>
    </row>
    <row r="15" customFormat="false" ht="15" hidden="false" customHeight="false" outlineLevel="0" collapsed="false">
      <c r="A15" s="261" t="s">
        <v>531</v>
      </c>
      <c r="B15" s="212" t="n">
        <v>12588</v>
      </c>
      <c r="C15" s="212" t="n">
        <v>4045</v>
      </c>
      <c r="D15" s="212" t="n">
        <v>7799</v>
      </c>
      <c r="E15" s="212" t="n">
        <v>6068</v>
      </c>
      <c r="F15" s="307" t="n">
        <v>1708.9</v>
      </c>
      <c r="G15" s="307" t="n">
        <f aca="false">700/22.4*29.2</f>
        <v>912.5</v>
      </c>
      <c r="H15" s="212"/>
      <c r="I15" s="212" t="n">
        <v>11805</v>
      </c>
      <c r="J15" s="212" t="n">
        <v>3461</v>
      </c>
      <c r="K15" s="212" t="n">
        <v>15000</v>
      </c>
      <c r="L15" s="212" t="n">
        <v>10000</v>
      </c>
      <c r="M15" s="212" t="n">
        <v>10000</v>
      </c>
      <c r="O15" s="212" t="n">
        <v>26881</v>
      </c>
      <c r="P15" s="212" t="n">
        <v>4018</v>
      </c>
      <c r="Q15" s="212" t="n">
        <v>5215</v>
      </c>
      <c r="R15" s="212"/>
      <c r="S15" s="303" t="n">
        <v>15000</v>
      </c>
      <c r="T15" s="304" t="n">
        <f aca="false">SUM(物流参数!CK7:CN7)</f>
        <v>-11205.44</v>
      </c>
      <c r="U15" s="304" t="n">
        <f aca="false">'安全阀选型(基础设计)'!V39</f>
        <v>0</v>
      </c>
      <c r="V15" s="308" t="n">
        <v>2450</v>
      </c>
    </row>
    <row r="16" customFormat="false" ht="15" hidden="false" customHeight="false" outlineLevel="0" collapsed="false">
      <c r="A16" s="261" t="s">
        <v>532</v>
      </c>
      <c r="B16" s="212" t="n">
        <v>300044</v>
      </c>
      <c r="C16" s="212" t="n">
        <f aca="false">C15*0.01</f>
        <v>40.45</v>
      </c>
      <c r="D16" s="212" t="n">
        <v>293018</v>
      </c>
      <c r="E16" s="212" t="n">
        <v>2</v>
      </c>
      <c r="F16" s="212" t="n">
        <f aca="false">F15*0.01</f>
        <v>17.089</v>
      </c>
      <c r="G16" s="212" t="n">
        <f aca="false">G15*0.01</f>
        <v>9.125</v>
      </c>
      <c r="H16" s="212"/>
      <c r="I16" s="212" t="n">
        <v>15912</v>
      </c>
      <c r="J16" s="212" t="n">
        <f aca="false">J15/15*85</f>
        <v>19612.3333333333</v>
      </c>
      <c r="K16" s="212" t="n">
        <v>10000</v>
      </c>
      <c r="L16" s="212" t="n">
        <v>20000</v>
      </c>
      <c r="M16" s="212" t="n">
        <v>20000</v>
      </c>
      <c r="O16" s="212" t="n">
        <f aca="false">O15*19</f>
        <v>510739</v>
      </c>
      <c r="P16" s="212" t="n">
        <f aca="false">P15*19</f>
        <v>76342</v>
      </c>
      <c r="Q16" s="212" t="n">
        <f aca="false">Q15*19</f>
        <v>99085</v>
      </c>
      <c r="R16" s="212"/>
      <c r="S16" s="303" t="n">
        <v>15000</v>
      </c>
      <c r="T16" s="304" t="n">
        <f aca="false">T15</f>
        <v>-11205.44</v>
      </c>
      <c r="U16" s="304" t="n">
        <f aca="false">U15*0.01</f>
        <v>0</v>
      </c>
      <c r="V16" s="304" t="n">
        <f aca="false">V15*0.01</f>
        <v>24.5</v>
      </c>
    </row>
    <row r="17" customFormat="false" ht="15" hidden="false" customHeight="false" outlineLevel="0" collapsed="false">
      <c r="A17" s="265" t="s">
        <v>533</v>
      </c>
      <c r="B17" s="290" t="n">
        <v>1.1</v>
      </c>
      <c r="C17" s="262" t="n">
        <v>1.3</v>
      </c>
      <c r="D17" s="290" t="n">
        <v>1.1</v>
      </c>
      <c r="E17" s="290" t="n">
        <v>1.1</v>
      </c>
      <c r="F17" s="290" t="n">
        <v>1.3</v>
      </c>
      <c r="G17" s="290" t="n">
        <v>1.3</v>
      </c>
      <c r="H17" s="290"/>
      <c r="I17" s="262" t="n">
        <v>1.1</v>
      </c>
      <c r="J17" s="262" t="n">
        <v>1.3</v>
      </c>
      <c r="K17" s="262" t="n">
        <v>1.1</v>
      </c>
      <c r="L17" s="262" t="n">
        <v>1.1</v>
      </c>
      <c r="M17" s="262" t="n">
        <v>1.1</v>
      </c>
      <c r="O17" s="262" t="n">
        <v>1.1</v>
      </c>
      <c r="P17" s="262" t="n">
        <v>1.1</v>
      </c>
      <c r="Q17" s="262" t="n">
        <v>1.1</v>
      </c>
      <c r="R17" s="262"/>
      <c r="S17" s="292" t="n">
        <v>1.1</v>
      </c>
      <c r="T17" s="293" t="n">
        <v>1.3</v>
      </c>
      <c r="U17" s="293" t="n">
        <v>1</v>
      </c>
      <c r="V17" s="293" t="n">
        <v>1.3</v>
      </c>
    </row>
    <row r="18" customFormat="false" ht="15" hidden="false" customHeight="false" outlineLevel="0" collapsed="false">
      <c r="A18" s="261" t="s">
        <v>534</v>
      </c>
      <c r="B18" s="260" t="n">
        <f aca="false">B15*B$17</f>
        <v>13846.8</v>
      </c>
      <c r="C18" s="260" t="n">
        <f aca="false">C15*C$17</f>
        <v>5258.5</v>
      </c>
      <c r="D18" s="260" t="n">
        <f aca="false">D15*D$17</f>
        <v>8578.9</v>
      </c>
      <c r="E18" s="260" t="n">
        <f aca="false">E15*E$17</f>
        <v>6674.8</v>
      </c>
      <c r="F18" s="260" t="n">
        <f aca="false">F15*F$17</f>
        <v>2221.57</v>
      </c>
      <c r="G18" s="260" t="n">
        <f aca="false">G15*G$17</f>
        <v>1186.25</v>
      </c>
      <c r="H18" s="260"/>
      <c r="I18" s="260" t="n">
        <f aca="false">I15*I$17</f>
        <v>12985.5</v>
      </c>
      <c r="J18" s="260" t="n">
        <f aca="false">J15*J$17</f>
        <v>4499.3</v>
      </c>
      <c r="K18" s="260" t="n">
        <f aca="false">K15*K$17</f>
        <v>16500</v>
      </c>
      <c r="L18" s="260" t="n">
        <f aca="false">L15*L$17</f>
        <v>11000</v>
      </c>
      <c r="M18" s="260" t="n">
        <f aca="false">M15*M$17</f>
        <v>11000</v>
      </c>
      <c r="O18" s="260" t="n">
        <f aca="false">O15*O$17</f>
        <v>29569.1</v>
      </c>
      <c r="P18" s="260" t="n">
        <f aca="false">P15*P$17</f>
        <v>4419.8</v>
      </c>
      <c r="Q18" s="260" t="n">
        <f aca="false">Q15*Q$17</f>
        <v>5736.5</v>
      </c>
      <c r="R18" s="260"/>
      <c r="S18" s="296" t="n">
        <f aca="false">S15*S$17</f>
        <v>16500</v>
      </c>
      <c r="T18" s="297" t="n">
        <f aca="false">T15*T$17</f>
        <v>-14567.072</v>
      </c>
      <c r="U18" s="297" t="n">
        <f aca="false">U15*U$17</f>
        <v>0</v>
      </c>
      <c r="V18" s="297" t="n">
        <f aca="false">V15*V$17</f>
        <v>3185</v>
      </c>
    </row>
    <row r="19" customFormat="false" ht="15" hidden="false" customHeight="false" outlineLevel="0" collapsed="false">
      <c r="A19" s="261" t="s">
        <v>535</v>
      </c>
      <c r="B19" s="260" t="n">
        <f aca="false">B16*B$17</f>
        <v>330048.4</v>
      </c>
      <c r="C19" s="260" t="n">
        <f aca="false">C16*C$17</f>
        <v>52.585</v>
      </c>
      <c r="D19" s="260" t="n">
        <f aca="false">D16*D$17</f>
        <v>322319.8</v>
      </c>
      <c r="E19" s="260" t="n">
        <f aca="false">E16*E$17</f>
        <v>2.2</v>
      </c>
      <c r="F19" s="260" t="n">
        <f aca="false">F16*F$17</f>
        <v>22.2157</v>
      </c>
      <c r="G19" s="260" t="n">
        <f aca="false">G16*G$17</f>
        <v>11.8625</v>
      </c>
      <c r="H19" s="260"/>
      <c r="I19" s="260" t="n">
        <f aca="false">I16*I$17</f>
        <v>17503.2</v>
      </c>
      <c r="J19" s="260" t="n">
        <f aca="false">J16*J$17</f>
        <v>25496.0333333333</v>
      </c>
      <c r="K19" s="260" t="n">
        <f aca="false">K16*K$17</f>
        <v>11000</v>
      </c>
      <c r="L19" s="260" t="n">
        <f aca="false">L16*L$17</f>
        <v>22000</v>
      </c>
      <c r="M19" s="260" t="n">
        <f aca="false">M16*M$17</f>
        <v>22000</v>
      </c>
      <c r="O19" s="260" t="n">
        <f aca="false">O16*O$17</f>
        <v>561812.9</v>
      </c>
      <c r="P19" s="260" t="n">
        <f aca="false">P16*P$17</f>
        <v>83976.2</v>
      </c>
      <c r="Q19" s="260" t="n">
        <f aca="false">Q16*Q$17</f>
        <v>108993.5</v>
      </c>
      <c r="R19" s="260"/>
      <c r="S19" s="296" t="n">
        <f aca="false">S16*S$17</f>
        <v>16500</v>
      </c>
      <c r="T19" s="297" t="n">
        <f aca="false">T16*T$17</f>
        <v>-14567.072</v>
      </c>
      <c r="U19" s="297" t="n">
        <f aca="false">U16*U$17</f>
        <v>0</v>
      </c>
      <c r="V19" s="297" t="n">
        <f aca="false">V16*V$17</f>
        <v>31.85</v>
      </c>
    </row>
    <row r="20" customFormat="false" ht="15" hidden="false" customHeight="false" outlineLevel="0" collapsed="false">
      <c r="A20" s="261" t="s">
        <v>536</v>
      </c>
      <c r="B20" s="212" t="n">
        <v>17.4</v>
      </c>
      <c r="C20" s="212" t="n">
        <v>1.9</v>
      </c>
      <c r="D20" s="212" t="n">
        <v>6.2</v>
      </c>
      <c r="E20" s="212" t="n">
        <v>9.2</v>
      </c>
      <c r="F20" s="212" t="n">
        <v>3.6</v>
      </c>
      <c r="G20" s="212" t="n">
        <v>3.6</v>
      </c>
      <c r="H20" s="212"/>
      <c r="I20" s="212" t="n">
        <v>15.5</v>
      </c>
      <c r="J20" s="212" t="n">
        <v>2.63</v>
      </c>
      <c r="K20" s="212" t="n">
        <v>15.5</v>
      </c>
      <c r="L20" s="212" t="n">
        <v>15.5</v>
      </c>
      <c r="M20" s="212" t="n">
        <v>15.5</v>
      </c>
      <c r="O20" s="212" t="n">
        <v>7.7408</v>
      </c>
      <c r="P20" s="212" t="n">
        <v>7.7408</v>
      </c>
      <c r="Q20" s="212" t="n">
        <v>3.9091</v>
      </c>
      <c r="R20" s="212"/>
      <c r="S20" s="303" t="n">
        <v>15.5</v>
      </c>
      <c r="T20" s="304" t="n">
        <f aca="false">物流参数!CK10</f>
        <v>244.03</v>
      </c>
      <c r="U20" s="304" t="n">
        <v>3.6</v>
      </c>
      <c r="V20" s="304" t="n">
        <v>3.6</v>
      </c>
    </row>
    <row r="21" customFormat="false" ht="15" hidden="false" customHeight="false" outlineLevel="0" collapsed="false">
      <c r="A21" s="261" t="s">
        <v>537</v>
      </c>
      <c r="B21" s="212" t="n">
        <v>658.3</v>
      </c>
      <c r="C21" s="309" t="n">
        <v>510</v>
      </c>
      <c r="D21" s="212" t="n">
        <v>632.8</v>
      </c>
      <c r="E21" s="212" t="n">
        <v>984.4</v>
      </c>
      <c r="F21" s="307" t="n">
        <v>600</v>
      </c>
      <c r="G21" s="307" t="n">
        <v>998</v>
      </c>
      <c r="H21" s="212"/>
      <c r="I21" s="212" t="n">
        <f aca="false">(11307+4605)/(11307/974.3+4605/496.2)</f>
        <v>761.857809092909</v>
      </c>
      <c r="J21" s="309" t="n">
        <v>902</v>
      </c>
      <c r="K21" s="212" t="n">
        <v>800</v>
      </c>
      <c r="L21" s="212" t="n">
        <v>800</v>
      </c>
      <c r="M21" s="212" t="n">
        <v>850</v>
      </c>
      <c r="O21" s="212" t="n">
        <v>865.34</v>
      </c>
      <c r="P21" s="212" t="n">
        <v>865.34</v>
      </c>
      <c r="Q21" s="212" t="n">
        <v>899.38</v>
      </c>
      <c r="R21" s="212"/>
      <c r="S21" s="303" t="n">
        <v>976.8</v>
      </c>
      <c r="T21" s="308" t="n">
        <v>866.3</v>
      </c>
      <c r="U21" s="308" t="n">
        <v>870</v>
      </c>
      <c r="V21" s="308" t="n">
        <f aca="false">J21</f>
        <v>902</v>
      </c>
    </row>
    <row r="22" customFormat="false" ht="15" hidden="false" customHeight="false" outlineLevel="0" collapsed="false">
      <c r="A22" s="266" t="s">
        <v>538</v>
      </c>
      <c r="B22" s="267" t="n">
        <f aca="false">B18/B20/3600</f>
        <v>0.221053639846743</v>
      </c>
      <c r="C22" s="267" t="n">
        <f aca="false">C18/C20/3600</f>
        <v>0.768786549707602</v>
      </c>
      <c r="D22" s="267" t="n">
        <f aca="false">D18/D20/3600</f>
        <v>0.384359318996416</v>
      </c>
      <c r="E22" s="267" t="n">
        <f aca="false">E18/E20/3600</f>
        <v>0.201533816425121</v>
      </c>
      <c r="F22" s="267" t="n">
        <f aca="false">F18/F20/3600</f>
        <v>0.171417438271605</v>
      </c>
      <c r="G22" s="267" t="n">
        <f aca="false">G18/G20/3600</f>
        <v>0.0915316358024692</v>
      </c>
      <c r="H22" s="267"/>
      <c r="I22" s="267" t="n">
        <f aca="false">I18/I20/3600</f>
        <v>0.232715053763441</v>
      </c>
      <c r="J22" s="267" t="n">
        <f aca="false">J18/J20/3600</f>
        <v>0.475211237853823</v>
      </c>
      <c r="K22" s="267" t="n">
        <f aca="false">K18/K20/3600</f>
        <v>0.295698924731183</v>
      </c>
      <c r="L22" s="267" t="n">
        <f aca="false">L18/L20/3600</f>
        <v>0.197132616487455</v>
      </c>
      <c r="M22" s="267" t="n">
        <f aca="false">M18/M20/3600</f>
        <v>0.197132616487455</v>
      </c>
      <c r="O22" s="267" t="n">
        <f aca="false">O18/O20/3600</f>
        <v>1.06108398213219</v>
      </c>
      <c r="P22" s="267" t="n">
        <f aca="false">P18/P20/3600</f>
        <v>0.158604048964218</v>
      </c>
      <c r="Q22" s="267" t="n">
        <f aca="false">Q18/Q20/3600</f>
        <v>0.40763148096038</v>
      </c>
      <c r="R22" s="267"/>
      <c r="S22" s="310" t="n">
        <f aca="false">S18/S20/3600</f>
        <v>0.295698924731183</v>
      </c>
      <c r="T22" s="311" t="n">
        <f aca="false">T18/T20/3600</f>
        <v>-0.0165816042654136</v>
      </c>
      <c r="U22" s="311" t="n">
        <f aca="false">U18/U20/3600</f>
        <v>0</v>
      </c>
      <c r="V22" s="311" t="n">
        <f aca="false">V18/V20/3600</f>
        <v>0.245756172839506</v>
      </c>
    </row>
    <row r="23" customFormat="false" ht="15" hidden="false" customHeight="false" outlineLevel="0" collapsed="false">
      <c r="A23" s="266" t="s">
        <v>539</v>
      </c>
      <c r="B23" s="268" t="n">
        <f aca="false">B19/B21/3600</f>
        <v>0.139267979813324</v>
      </c>
      <c r="C23" s="268" t="n">
        <f aca="false">C19/C21/3600</f>
        <v>2.86410675381264E-005</v>
      </c>
      <c r="D23" s="268" t="n">
        <f aca="false">D19/D21/3600</f>
        <v>0.14148748068549</v>
      </c>
      <c r="E23" s="268" t="n">
        <f aca="false">E19/E21/3600</f>
        <v>6.20795521242494E-007</v>
      </c>
      <c r="F23" s="268" t="n">
        <f aca="false">F19/F21/3600</f>
        <v>1.02850462962963E-005</v>
      </c>
      <c r="G23" s="268" t="n">
        <f aca="false">G19/G21/3600</f>
        <v>3.30174237363616E-006</v>
      </c>
      <c r="H23" s="268"/>
      <c r="I23" s="312" t="n">
        <f aca="false">I19/I21/3600</f>
        <v>0.00638176828007952</v>
      </c>
      <c r="J23" s="268" t="n">
        <f aca="false">J19/J21/3600</f>
        <v>0.00785169787303934</v>
      </c>
      <c r="K23" s="268" t="n">
        <f aca="false">K19/K21/3600</f>
        <v>0.00381944444444444</v>
      </c>
      <c r="L23" s="268" t="n">
        <f aca="false">L19/L21/3600</f>
        <v>0.00763888888888889</v>
      </c>
      <c r="M23" s="268" t="n">
        <f aca="false">M19/M21/3600</f>
        <v>0.00718954248366013</v>
      </c>
      <c r="O23" s="268" t="n">
        <f aca="false">O19/O21/3600</f>
        <v>0.180344302688988</v>
      </c>
      <c r="P23" s="268" t="n">
        <f aca="false">P19/P21/3600</f>
        <v>0.0269567132251164</v>
      </c>
      <c r="Q23" s="268" t="n">
        <f aca="false">Q19/Q21/3600</f>
        <v>0.0336631593122176</v>
      </c>
      <c r="R23" s="268"/>
      <c r="S23" s="313" t="n">
        <f aca="false">S19/S21/3600</f>
        <v>0.00469219219219219</v>
      </c>
      <c r="T23" s="314" t="n">
        <f aca="false">T19/T21/3600</f>
        <v>-0.00467090948734721</v>
      </c>
      <c r="U23" s="314" t="n">
        <f aca="false">U19/U21/3600</f>
        <v>0</v>
      </c>
      <c r="V23" s="314" t="n">
        <f aca="false">V19/V21/3600</f>
        <v>9.80845035723084E-006</v>
      </c>
    </row>
    <row r="24" customFormat="false" ht="15" hidden="false" customHeight="false" outlineLevel="0" collapsed="false">
      <c r="A24" s="211" t="s">
        <v>546</v>
      </c>
      <c r="B24" s="272" t="n">
        <f aca="false">0.048*SQRT((B21-B20)/B20)</f>
        <v>0.29131426329653</v>
      </c>
      <c r="C24" s="272" t="n">
        <f aca="false">0.048*SQRT((C21-C20)/C20)</f>
        <v>0.784944651082583</v>
      </c>
      <c r="D24" s="272" t="n">
        <f aca="false">0.048*SQRT((D21-D20)/D20)</f>
        <v>0.482548075492267</v>
      </c>
      <c r="E24" s="272" t="n">
        <f aca="false">0.048*SQRT((E21-E20)/E20)</f>
        <v>0.494190246767376</v>
      </c>
      <c r="F24" s="272" t="n">
        <f aca="false">0.048*SQRT((F21-F20)/F20)</f>
        <v>0.61781550644185</v>
      </c>
      <c r="G24" s="272" t="n">
        <f aca="false">0.048*SQRT((G21-G20)/G20)</f>
        <v>0.797756855188346</v>
      </c>
      <c r="H24" s="272"/>
      <c r="I24" s="272" t="n">
        <f aca="false">0.048*SQRT((I21-I20)/I20)</f>
        <v>0.333080285986588</v>
      </c>
      <c r="J24" s="272" t="n">
        <f aca="false">0.048*SQRT((J21-J20)/J20)</f>
        <v>0.887631204889472</v>
      </c>
      <c r="K24" s="272" t="n">
        <f aca="false">0.048*SQRT((K21-K20)/K20)</f>
        <v>0.341485181277692</v>
      </c>
      <c r="L24" s="272" t="n">
        <f aca="false">0.048*SQRT((L21-L20)/L20)</f>
        <v>0.341485181277692</v>
      </c>
      <c r="M24" s="272" t="n">
        <f aca="false">0.048*SQRT((M21-M20)/M20)</f>
        <v>0.352199357036287</v>
      </c>
      <c r="O24" s="272" t="n">
        <f aca="false">0.048*SQRT((O21-O20)/O20)</f>
        <v>0.505231590363059</v>
      </c>
      <c r="P24" s="272" t="n">
        <f aca="false">0.048*SQRT((P21-P20)/P20)</f>
        <v>0.505231590363059</v>
      </c>
      <c r="Q24" s="272" t="n">
        <f aca="false">0.048*SQRT((Q21-Q20)/Q20)</f>
        <v>0.726488235329197</v>
      </c>
      <c r="R24" s="272"/>
      <c r="S24" s="315" t="n">
        <f aca="false">0.048*SQRT((S21-S20)/S20)</f>
        <v>0.378011366956587</v>
      </c>
      <c r="T24" s="316" t="n">
        <f aca="false">0.048*SQRT((T21-T20)/T20)</f>
        <v>0.0766494529040896</v>
      </c>
      <c r="U24" s="316" t="n">
        <f aca="false">0.048*SQRT((U21-U20)/U20)</f>
        <v>0.744644881806086</v>
      </c>
      <c r="V24" s="316" t="n">
        <f aca="false">0.048*SQRT((V21-V20)/V20)</f>
        <v>0.758271719108658</v>
      </c>
    </row>
    <row r="25" customFormat="false" ht="15" hidden="false" customHeight="false" outlineLevel="0" collapsed="false">
      <c r="A25" s="317" t="s">
        <v>614</v>
      </c>
      <c r="B25" s="290" t="s">
        <v>615</v>
      </c>
      <c r="C25" s="262" t="s">
        <v>615</v>
      </c>
      <c r="D25" s="290" t="s">
        <v>615</v>
      </c>
      <c r="E25" s="290" t="s">
        <v>615</v>
      </c>
      <c r="F25" s="290" t="s">
        <v>615</v>
      </c>
      <c r="G25" s="290" t="s">
        <v>615</v>
      </c>
      <c r="H25" s="290"/>
      <c r="I25" s="262" t="s">
        <v>615</v>
      </c>
      <c r="J25" s="262" t="s">
        <v>615</v>
      </c>
      <c r="K25" s="262" t="s">
        <v>615</v>
      </c>
      <c r="L25" s="262" t="s">
        <v>615</v>
      </c>
      <c r="M25" s="262" t="s">
        <v>615</v>
      </c>
      <c r="O25" s="262" t="s">
        <v>615</v>
      </c>
      <c r="P25" s="262" t="s">
        <v>615</v>
      </c>
      <c r="Q25" s="262" t="s">
        <v>615</v>
      </c>
      <c r="R25" s="262"/>
      <c r="S25" s="292" t="s">
        <v>615</v>
      </c>
      <c r="T25" s="293" t="s">
        <v>615</v>
      </c>
      <c r="U25" s="293" t="s">
        <v>616</v>
      </c>
      <c r="V25" s="293" t="s">
        <v>615</v>
      </c>
    </row>
    <row r="26" customFormat="false" ht="15" hidden="false" customHeight="false" outlineLevel="0" collapsed="false">
      <c r="A26" s="317" t="s">
        <v>617</v>
      </c>
      <c r="B26" s="290" t="s">
        <v>615</v>
      </c>
      <c r="C26" s="262" t="s">
        <v>615</v>
      </c>
      <c r="D26" s="290" t="s">
        <v>615</v>
      </c>
      <c r="E26" s="290" t="s">
        <v>615</v>
      </c>
      <c r="F26" s="290" t="s">
        <v>615</v>
      </c>
      <c r="G26" s="290" t="s">
        <v>615</v>
      </c>
      <c r="H26" s="290"/>
      <c r="I26" s="262" t="s">
        <v>615</v>
      </c>
      <c r="J26" s="262" t="s">
        <v>615</v>
      </c>
      <c r="K26" s="262" t="s">
        <v>615</v>
      </c>
      <c r="L26" s="262" t="s">
        <v>615</v>
      </c>
      <c r="M26" s="262" t="s">
        <v>615</v>
      </c>
      <c r="O26" s="262" t="s">
        <v>616</v>
      </c>
      <c r="P26" s="262" t="s">
        <v>616</v>
      </c>
      <c r="Q26" s="262" t="s">
        <v>616</v>
      </c>
      <c r="R26" s="262"/>
      <c r="S26" s="292" t="s">
        <v>615</v>
      </c>
      <c r="T26" s="293" t="s">
        <v>615</v>
      </c>
      <c r="U26" s="293" t="s">
        <v>615</v>
      </c>
      <c r="V26" s="293" t="s">
        <v>615</v>
      </c>
    </row>
    <row r="27" customFormat="false" ht="15" hidden="false" customHeight="false" outlineLevel="0" collapsed="false">
      <c r="A27" s="211" t="s">
        <v>547</v>
      </c>
      <c r="B27" s="272" t="n">
        <f aca="false">IF(B26="是",B24,(IF(B25="是",B24*1.7,B24*0.8)))</f>
        <v>0.233051410637224</v>
      </c>
      <c r="C27" s="272" t="n">
        <f aca="false">IF(C26="是",C24,(IF(C25="是",C24*1.7,C24*0.8)))</f>
        <v>0.627955720866066</v>
      </c>
      <c r="D27" s="272" t="n">
        <f aca="false">IF(D26="是",D24,(IF(D25="是",D24*1.7,D24*0.8)))</f>
        <v>0.386038460393813</v>
      </c>
      <c r="E27" s="272" t="n">
        <f aca="false">IF(E26="是",E24,(IF(E25="是",E24*1.7,E24*0.8)))</f>
        <v>0.395352197413901</v>
      </c>
      <c r="F27" s="272" t="n">
        <f aca="false">IF(F26="是",F24,(IF(F25="是",F24*1.7,F24*0.8)))</f>
        <v>0.49425240515348</v>
      </c>
      <c r="G27" s="272" t="n">
        <f aca="false">IF(G26="是",G24,(IF(G25="是",G24*1.7,G24*0.8)))</f>
        <v>0.638205484150677</v>
      </c>
      <c r="H27" s="272"/>
      <c r="I27" s="272" t="n">
        <f aca="false">IF(I26="是",I24,(IF(I25="是",I24*1.7,I24*0.8)))</f>
        <v>0.26646422878927</v>
      </c>
      <c r="J27" s="272" t="n">
        <f aca="false">IF(J26="是",J24,(IF(J25="是",J24*1.7,J24*0.8)))</f>
        <v>0.710104963911578</v>
      </c>
      <c r="K27" s="272" t="n">
        <f aca="false">IF(K26="是",K24,(IF(K25="是",K24*1.7,K24*0.8)))</f>
        <v>0.273188145022154</v>
      </c>
      <c r="L27" s="272" t="n">
        <f aca="false">IF(L26="是",L24,(IF(L25="是",L24*1.7,L24*0.8)))</f>
        <v>0.273188145022154</v>
      </c>
      <c r="M27" s="272" t="n">
        <f aca="false">IF(M26="是",M24,(IF(M25="是",M24*1.7,M24*0.8)))</f>
        <v>0.28175948562903</v>
      </c>
      <c r="O27" s="272" t="n">
        <f aca="false">IF(O26="是",O24,(IF(O25="是",O24*1.7,O24*0.8)))</f>
        <v>0.505231590363059</v>
      </c>
      <c r="P27" s="272" t="n">
        <f aca="false">IF(P26="是",P24,(IF(P25="是",P24*1.7,P24*0.8)))</f>
        <v>0.505231590363059</v>
      </c>
      <c r="Q27" s="272" t="n">
        <f aca="false">IF(Q26="是",Q24,(IF(Q25="是",Q24*1.7,Q24*0.8)))</f>
        <v>0.726488235329197</v>
      </c>
      <c r="R27" s="272"/>
      <c r="S27" s="315" t="n">
        <f aca="false">IF(S26="是",S24,(IF(S25="是",S24*1.7,S24*0.8)))</f>
        <v>0.302409093565269</v>
      </c>
      <c r="T27" s="316" t="n">
        <f aca="false">IF(T26="是",T24,(IF(T25="是",T24*1.7,T24*0.8)))</f>
        <v>0.0613195623232717</v>
      </c>
      <c r="U27" s="316" t="n">
        <f aca="false">IF(U26="是",U24,(IF(U25="是",U24*1.7,U24*0.8)))</f>
        <v>1.26589629907035</v>
      </c>
      <c r="V27" s="316" t="n">
        <f aca="false">IF(V26="是",V24,(IF(V25="是",V24*1.7,V24*0.8)))</f>
        <v>0.606617375286927</v>
      </c>
    </row>
    <row r="28" customFormat="false" ht="15" hidden="false" customHeight="false" outlineLevel="0" collapsed="false">
      <c r="A28" s="273" t="s">
        <v>618</v>
      </c>
      <c r="B28" s="318" t="n">
        <f aca="false">IF(B3="立式",1,0.3)</f>
        <v>1</v>
      </c>
      <c r="C28" s="318" t="n">
        <f aca="false">IF(C3="立式",1,0.3)</f>
        <v>1</v>
      </c>
      <c r="D28" s="318" t="n">
        <f aca="false">IF(D3="立式",1,0.3)</f>
        <v>1</v>
      </c>
      <c r="E28" s="318" t="n">
        <f aca="false">IF(E3="立式",1,0.3)</f>
        <v>1</v>
      </c>
      <c r="F28" s="318" t="n">
        <f aca="false">IF(F3="立式",1,0.3)</f>
        <v>1</v>
      </c>
      <c r="G28" s="318" t="n">
        <f aca="false">IF(G3="立式",1,0.3)</f>
        <v>1</v>
      </c>
      <c r="H28" s="318"/>
      <c r="I28" s="318" t="n">
        <f aca="false">IF(I3="立式",1,0.49)</f>
        <v>0.49</v>
      </c>
      <c r="J28" s="318" t="n">
        <v>0.3</v>
      </c>
      <c r="K28" s="318" t="n">
        <v>0.5</v>
      </c>
      <c r="L28" s="318" t="n">
        <v>0.5</v>
      </c>
      <c r="M28" s="318" t="n">
        <v>0.5</v>
      </c>
      <c r="O28" s="318" t="n">
        <v>0.5</v>
      </c>
      <c r="P28" s="318" t="n">
        <v>0.5</v>
      </c>
      <c r="Q28" s="318" t="n">
        <v>0.5</v>
      </c>
      <c r="R28" s="318"/>
      <c r="S28" s="282" t="n">
        <f aca="false">IF(S3="立式",1,0.49)</f>
        <v>0.49</v>
      </c>
      <c r="T28" s="319" t="n">
        <v>0.5</v>
      </c>
      <c r="U28" s="319" t="n">
        <v>0.8</v>
      </c>
      <c r="V28" s="319" t="n">
        <f aca="false">IF(V3="立式",1,0.3)</f>
        <v>1</v>
      </c>
    </row>
    <row r="29" customFormat="false" ht="15" hidden="false" customHeight="false" outlineLevel="0" collapsed="false">
      <c r="A29" s="253" t="s">
        <v>619</v>
      </c>
      <c r="B29" s="280" t="n">
        <f aca="false">0.785*B6^2*B28</f>
        <v>16.6106</v>
      </c>
      <c r="C29" s="254" t="n">
        <f aca="false">0.785*C6^2*C28</f>
        <v>1.5386</v>
      </c>
      <c r="D29" s="280" t="n">
        <f aca="false">0.785*D6^2*D28</f>
        <v>12.56</v>
      </c>
      <c r="E29" s="280" t="n">
        <f aca="false">0.785*E6^2*E28</f>
        <v>0.785</v>
      </c>
      <c r="F29" s="280" t="n">
        <f aca="false">0.785*F6^2*F28</f>
        <v>1.5386</v>
      </c>
      <c r="G29" s="280" t="n">
        <f aca="false">0.785*G6^2*G28</f>
        <v>1.5386</v>
      </c>
      <c r="H29" s="280"/>
      <c r="I29" s="254" t="n">
        <f aca="false">0.785*I6^2*I28</f>
        <v>1.5386</v>
      </c>
      <c r="J29" s="254" t="n">
        <f aca="false">0.785*J6^2*J28</f>
        <v>1.13982</v>
      </c>
      <c r="K29" s="254" t="n">
        <f aca="false">0.785*K6^2*K28</f>
        <v>5.0868</v>
      </c>
      <c r="L29" s="254" t="n">
        <f aca="false">0.785*L6^2*L28</f>
        <v>1.8997</v>
      </c>
      <c r="M29" s="254" t="n">
        <f aca="false">0.785*M6^2*M28</f>
        <v>1.8997</v>
      </c>
      <c r="O29" s="254" t="n">
        <f aca="false">0.785*O6^2*O28</f>
        <v>1.8997</v>
      </c>
      <c r="P29" s="254" t="n">
        <f aca="false">0.785*P6^2*P28</f>
        <v>0.883125</v>
      </c>
      <c r="Q29" s="254" t="n">
        <f aca="false">0.785*Q6^2*Q28</f>
        <v>0.883125</v>
      </c>
      <c r="R29" s="254"/>
      <c r="S29" s="282" t="n">
        <f aca="false">0.785*S6^2*S28</f>
        <v>4.985064</v>
      </c>
      <c r="T29" s="283" t="n">
        <f aca="false">0.785*T6^2*T28</f>
        <v>1.8997</v>
      </c>
      <c r="U29" s="283" t="n">
        <f aca="false">0.785*U6^2*U28</f>
        <v>5.652</v>
      </c>
      <c r="V29" s="283" t="n">
        <f aca="false">0.785*V6^2*V28</f>
        <v>1.5386</v>
      </c>
    </row>
    <row r="30" customFormat="false" ht="15" hidden="false" customHeight="false" outlineLevel="0" collapsed="false">
      <c r="A30" s="261" t="s">
        <v>620</v>
      </c>
      <c r="B30" s="272" t="n">
        <f aca="false">B22/B29</f>
        <v>0.0133079864572468</v>
      </c>
      <c r="C30" s="272" t="n">
        <f aca="false">C22/C29</f>
        <v>0.499666287344081</v>
      </c>
      <c r="D30" s="272" t="n">
        <f aca="false">D22/D29</f>
        <v>0.0306018566079949</v>
      </c>
      <c r="E30" s="272" t="n">
        <f aca="false">E22/E29</f>
        <v>0.256730976337734</v>
      </c>
      <c r="F30" s="272" t="n">
        <f aca="false">F22/F29</f>
        <v>0.111411307858836</v>
      </c>
      <c r="G30" s="272" t="n">
        <f aca="false">G22/G29</f>
        <v>0.0594902091527812</v>
      </c>
      <c r="H30" s="272"/>
      <c r="I30" s="272" t="n">
        <f aca="false">I22/I29</f>
        <v>0.151251172340726</v>
      </c>
      <c r="J30" s="272" t="n">
        <f aca="false">J22/J29</f>
        <v>0.416917792154747</v>
      </c>
      <c r="K30" s="272" t="n">
        <f aca="false">K22/K29</f>
        <v>0.0581306370864164</v>
      </c>
      <c r="L30" s="272" t="n">
        <f aca="false">L22/L29</f>
        <v>0.103770393476578</v>
      </c>
      <c r="M30" s="272" t="n">
        <f aca="false">M22/M29</f>
        <v>0.103770393476578</v>
      </c>
      <c r="O30" s="272" t="n">
        <f aca="false">O22/O29</f>
        <v>0.558553446403219</v>
      </c>
      <c r="P30" s="272" t="n">
        <f aca="false">P22/P29</f>
        <v>0.179594110645966</v>
      </c>
      <c r="Q30" s="272" t="n">
        <f aca="false">Q22/Q29</f>
        <v>0.46157846393249</v>
      </c>
      <c r="R30" s="272"/>
      <c r="S30" s="315" t="n">
        <f aca="false">S22/S29</f>
        <v>0.0593169766187922</v>
      </c>
      <c r="T30" s="316" t="n">
        <f aca="false">T22/T29</f>
        <v>-0.00872853832995401</v>
      </c>
      <c r="U30" s="316" t="n">
        <f aca="false">U22/U29</f>
        <v>0</v>
      </c>
      <c r="V30" s="316" t="n">
        <f aca="false">V22/V29</f>
        <v>0.159727136903358</v>
      </c>
    </row>
    <row r="31" customFormat="false" ht="15" hidden="false" customHeight="false" outlineLevel="0" collapsed="false">
      <c r="A31" s="273" t="s">
        <v>621</v>
      </c>
      <c r="B31" s="318" t="str">
        <f aca="false">IF(B30&lt;B27,"是","否")</f>
        <v>是</v>
      </c>
      <c r="C31" s="318" t="str">
        <f aca="false">IF(C30&lt;C27,"是","否")</f>
        <v>是</v>
      </c>
      <c r="D31" s="318" t="str">
        <f aca="false">IF(D30&lt;D27,"是","否")</f>
        <v>是</v>
      </c>
      <c r="E31" s="318" t="str">
        <f aca="false">IF(E30&lt;E27,"是","否")</f>
        <v>是</v>
      </c>
      <c r="F31" s="318" t="str">
        <f aca="false">IF(F30&lt;F27,"是","否")</f>
        <v>是</v>
      </c>
      <c r="G31" s="318" t="str">
        <f aca="false">IF(G30&lt;G27,"是","否")</f>
        <v>是</v>
      </c>
      <c r="H31" s="318"/>
      <c r="I31" s="318" t="str">
        <f aca="false">IF(I30&lt;I27,"是","否")</f>
        <v>是</v>
      </c>
      <c r="J31" s="318" t="str">
        <f aca="false">IF(J30&lt;J27,"是","否")</f>
        <v>是</v>
      </c>
      <c r="K31" s="318" t="str">
        <f aca="false">IF(K30&lt;K27,"是","否")</f>
        <v>是</v>
      </c>
      <c r="L31" s="318" t="str">
        <f aca="false">IF(L30&lt;L27,"是","否")</f>
        <v>是</v>
      </c>
      <c r="M31" s="318" t="str">
        <f aca="false">IF(M30&lt;M27,"是","否")</f>
        <v>是</v>
      </c>
      <c r="O31" s="318" t="str">
        <f aca="false">IF(O30&lt;O27,"是","否")</f>
        <v>否</v>
      </c>
      <c r="P31" s="318" t="str">
        <f aca="false">IF(P30&lt;P27,"是","否")</f>
        <v>是</v>
      </c>
      <c r="Q31" s="318" t="str">
        <f aca="false">IF(Q30&lt;Q27,"是","否")</f>
        <v>是</v>
      </c>
      <c r="R31" s="318"/>
      <c r="S31" s="282" t="str">
        <f aca="false">IF(S30&lt;S27,"是","否")</f>
        <v>是</v>
      </c>
      <c r="T31" s="319" t="str">
        <f aca="false">IF(T30&lt;T27,"是","否")</f>
        <v>是</v>
      </c>
      <c r="U31" s="319" t="str">
        <f aca="false">IF(U30&lt;U27,"是","否")</f>
        <v>是</v>
      </c>
      <c r="V31" s="319" t="str">
        <f aca="false">IF(V30&lt;V27,"是","否")</f>
        <v>是</v>
      </c>
    </row>
    <row r="32" customFormat="false" ht="15" hidden="false" customHeight="false" outlineLevel="0" collapsed="false">
      <c r="A32" s="253" t="s">
        <v>622</v>
      </c>
      <c r="B32" s="280" t="n">
        <f aca="false">B7-B33</f>
        <v>10.5</v>
      </c>
      <c r="C32" s="254" t="n">
        <f aca="false">C7-C33</f>
        <v>3.6</v>
      </c>
      <c r="D32" s="280" t="n">
        <f aca="false">IF(D3="立式",MAX(1.5,1.2*D6),MAX(0.3,0.25*D6))</f>
        <v>4.8</v>
      </c>
      <c r="E32" s="280" t="n">
        <f aca="false">IF(E3="立式",MAX(1.5,1.2*E6),MAX(0.3,0.25*E6))</f>
        <v>1.5</v>
      </c>
      <c r="F32" s="280" t="n">
        <f aca="false">F7-F33</f>
        <v>3.25</v>
      </c>
      <c r="G32" s="280" t="n">
        <f aca="false">G7-G33</f>
        <v>3.25</v>
      </c>
      <c r="H32" s="280"/>
      <c r="I32" s="254" t="n">
        <f aca="false">I6-I33</f>
        <v>0.9</v>
      </c>
      <c r="J32" s="254" t="n">
        <f aca="false">IF(J3="立式",MAX(1.5,1.2*J6),MAX(0.3,0.25*J6))</f>
        <v>0.55</v>
      </c>
      <c r="K32" s="254" t="n">
        <f aca="false">K28*K6</f>
        <v>1.8</v>
      </c>
      <c r="L32" s="254" t="n">
        <v>1.1</v>
      </c>
      <c r="M32" s="254" t="n">
        <v>1.1</v>
      </c>
      <c r="O32" s="254" t="n">
        <v>1.1</v>
      </c>
      <c r="P32" s="254" t="n">
        <v>1.1</v>
      </c>
      <c r="Q32" s="254" t="n">
        <v>1.1</v>
      </c>
      <c r="R32" s="254"/>
      <c r="S32" s="282" t="n">
        <f aca="false">IF(S3="立式",MAX(1.5,1.2*S6),MAX(0.3,0.25*S6))</f>
        <v>0.9</v>
      </c>
      <c r="T32" s="283" t="n">
        <f aca="false">IF(T3="立式",MAX(1.5,1.2*T6),MAX(0.3,0.25*T6))</f>
        <v>0.55</v>
      </c>
      <c r="U32" s="283" t="n">
        <f aca="false">IF(U3="立式",MAX(1.5,1.2*U6),MAX(0.3,0.25*U6))</f>
        <v>0.75</v>
      </c>
      <c r="V32" s="283" t="n">
        <f aca="false">IF(V3="立式",MAX(1.5,1.2*V6),MAX(0.3,0.25*V6))</f>
        <v>1.68</v>
      </c>
    </row>
    <row r="33" customFormat="false" ht="15" hidden="false" customHeight="false" outlineLevel="0" collapsed="false">
      <c r="A33" s="253" t="s">
        <v>623</v>
      </c>
      <c r="B33" s="320" t="n">
        <v>7.8</v>
      </c>
      <c r="C33" s="254" t="n">
        <v>0.6</v>
      </c>
      <c r="D33" s="280" t="n">
        <f aca="false">IF(D3="立式",D7-D32,D6-D32)</f>
        <v>7.4</v>
      </c>
      <c r="E33" s="280" t="n">
        <f aca="false">IF(E3="立式",E7-E32,E6-E32)</f>
        <v>1.5</v>
      </c>
      <c r="F33" s="280" t="n">
        <v>0.75</v>
      </c>
      <c r="G33" s="280" t="n">
        <v>0.75</v>
      </c>
      <c r="H33" s="280"/>
      <c r="I33" s="320" t="n">
        <v>1.1</v>
      </c>
      <c r="J33" s="254" t="n">
        <f aca="false">IF(J3="立式",J7-J32,J6-J32)</f>
        <v>1.65</v>
      </c>
      <c r="K33" s="254" t="n">
        <f aca="false">IF(K3="立式",K7-K32,K6-K32)</f>
        <v>1.8</v>
      </c>
      <c r="L33" s="254" t="n">
        <f aca="false">IF(L3="立式",L7-L32,L6-L32)</f>
        <v>1.1</v>
      </c>
      <c r="M33" s="254" t="n">
        <f aca="false">IF(M3="立式",M7-M32,M6-M32)</f>
        <v>1.1</v>
      </c>
      <c r="O33" s="254" t="n">
        <f aca="false">IF(O3="立式",O7-O32,O6-O32)</f>
        <v>1.1</v>
      </c>
      <c r="P33" s="254" t="n">
        <f aca="false">IF(P3="立式",P7-P32,P6-P32)</f>
        <v>0.4</v>
      </c>
      <c r="Q33" s="254" t="n">
        <f aca="false">IF(Q3="立式",Q7-Q32,Q6-Q32)</f>
        <v>0.4</v>
      </c>
      <c r="R33" s="254"/>
      <c r="S33" s="282" t="n">
        <f aca="false">IF(S3="立式",S7-S32,S6-S32)</f>
        <v>2.7</v>
      </c>
      <c r="T33" s="283" t="n">
        <f aca="false">IF(T3="立式",T7-T32,T6-T32)</f>
        <v>1.65</v>
      </c>
      <c r="U33" s="283" t="n">
        <f aca="false">IF(U3="立式",U7-U32,U6-U32)</f>
        <v>2.25</v>
      </c>
      <c r="V33" s="283" t="n">
        <f aca="false">IF(V3="立式",V7-V32,V6-V32)</f>
        <v>2.32</v>
      </c>
    </row>
    <row r="34" customFormat="false" ht="15" hidden="false" customHeight="false" outlineLevel="0" collapsed="false">
      <c r="A34" s="207" t="s">
        <v>624</v>
      </c>
      <c r="B34" s="321" t="n">
        <f aca="false">IF(B3="立式",0.785*B6^2*B33,0.785*B6^2*(1-B28)*B7)</f>
        <v>129.56268</v>
      </c>
      <c r="C34" s="322" t="n">
        <f aca="false">IF(C3="立式",0.785*C6^2*C33,0.785*C6^2*(1-C28)*C7)</f>
        <v>0.92316</v>
      </c>
      <c r="D34" s="321" t="n">
        <f aca="false">IF(D3="立式",0.785*D6^2*D33,0.785*D6^2*(1-D28)*D7)</f>
        <v>92.944</v>
      </c>
      <c r="E34" s="321" t="n">
        <f aca="false">IF(E3="立式",0.785*E6^2*E33,0.785*E6^2*(1-E28)*E7)</f>
        <v>1.1775</v>
      </c>
      <c r="F34" s="321" t="n">
        <f aca="false">IF(F3="立式",0.785*F6^2*F33,0.785*F6^2*(1-F28)*F7)</f>
        <v>1.15395</v>
      </c>
      <c r="G34" s="321" t="n">
        <f aca="false">IF(G3="立式",0.785*G6^2*G33,0.785*G6^2*(1-G28)*G7)</f>
        <v>1.15395</v>
      </c>
      <c r="H34" s="321"/>
      <c r="I34" s="322" t="n">
        <f aca="false">IF(I3="立式",0.785*I6^2*I33,0.785*I6^2*(1-I28)*I7)</f>
        <v>8.16714</v>
      </c>
      <c r="J34" s="322" t="n">
        <f aca="false">IF(J3="立式",0.785*J6^2*J33,0.785*J6^2*(1-J28)*J7)</f>
        <v>10.63832</v>
      </c>
      <c r="K34" s="322" t="n">
        <f aca="false">IF(K3="立式",0.785*K6^2*K33,0.785*K6^2*(1-K28)*K7)</f>
        <v>40.6944</v>
      </c>
      <c r="L34" s="322" t="n">
        <f aca="false">IF(L3="立式",0.785*L6^2*L33,0.785*L6^2*(1-L28)*L7)</f>
        <v>7.5988</v>
      </c>
      <c r="M34" s="322" t="n">
        <f aca="false">IF(M3="立式",0.785*M6^2*M33,0.785*M6^2*(1-M28)*M7)</f>
        <v>7.5988</v>
      </c>
      <c r="O34" s="322" t="n">
        <f aca="false">IF(O3="立式",0.785*O6^2*O33,0.785*O6^2*(1-O28)*O7)</f>
        <v>15.672525</v>
      </c>
      <c r="P34" s="322" t="n">
        <f aca="false">IF(P3="立式",0.785*P6^2*P33,0.785*P6^2*(1-P28)*P7)</f>
        <v>3.5325</v>
      </c>
      <c r="Q34" s="322" t="n">
        <f aca="false">IF(Q3="立式",0.785*Q6^2*Q33,0.785*Q6^2*(1-Q28)*Q7)</f>
        <v>3.5325</v>
      </c>
      <c r="R34" s="322"/>
      <c r="S34" s="323" t="n">
        <f aca="false">IF(S3="立式",0.785*S6^2*S33,0.785*S6^2*(1-S28)*S7)</f>
        <v>41.508288</v>
      </c>
      <c r="T34" s="324" t="n">
        <f aca="false">IF(T3="立式",0.785*T6^2*T33,0.785*T6^2*(1-T28)*T7)</f>
        <v>11.3982</v>
      </c>
      <c r="U34" s="324" t="n">
        <f aca="false">IF(U3="立式",0.785*U6^2*U33,0.785*U6^2*(1-U28)*U7)</f>
        <v>11.8692</v>
      </c>
      <c r="V34" s="324" t="n">
        <f aca="false">IF(V3="立式",0.785*V6^2*V33,0.785*V6^2*(1-V28)*V7)</f>
        <v>3.569552</v>
      </c>
    </row>
    <row r="35" customFormat="false" ht="15" hidden="false" customHeight="false" outlineLevel="0" collapsed="false">
      <c r="A35" s="317" t="s">
        <v>625</v>
      </c>
      <c r="B35" s="290" t="s">
        <v>626</v>
      </c>
      <c r="C35" s="262" t="s">
        <v>626</v>
      </c>
      <c r="D35" s="290" t="s">
        <v>626</v>
      </c>
      <c r="E35" s="290" t="s">
        <v>626</v>
      </c>
      <c r="F35" s="290" t="s">
        <v>626</v>
      </c>
      <c r="G35" s="290" t="s">
        <v>626</v>
      </c>
      <c r="H35" s="290"/>
      <c r="I35" s="262" t="s">
        <v>626</v>
      </c>
      <c r="J35" s="262" t="s">
        <v>626</v>
      </c>
      <c r="K35" s="262" t="s">
        <v>626</v>
      </c>
      <c r="L35" s="262" t="s">
        <v>626</v>
      </c>
      <c r="M35" s="262" t="s">
        <v>626</v>
      </c>
      <c r="O35" s="262" t="s">
        <v>626</v>
      </c>
      <c r="P35" s="262" t="s">
        <v>626</v>
      </c>
      <c r="Q35" s="262" t="s">
        <v>626</v>
      </c>
      <c r="R35" s="262"/>
      <c r="S35" s="292" t="s">
        <v>626</v>
      </c>
      <c r="T35" s="293" t="s">
        <v>626</v>
      </c>
      <c r="U35" s="293" t="s">
        <v>626</v>
      </c>
      <c r="V35" s="293" t="s">
        <v>626</v>
      </c>
    </row>
    <row r="36" customFormat="false" ht="15" hidden="false" customHeight="false" outlineLevel="0" collapsed="false">
      <c r="A36" s="207" t="s">
        <v>627</v>
      </c>
      <c r="B36" s="325" t="n">
        <f aca="false">IF(B23&lt;&gt;0,B34/B23/60,"")</f>
        <v>15.5052008573288</v>
      </c>
      <c r="C36" s="326" t="n">
        <f aca="false">IF(C23&lt;&gt;0,C34/C23/60,"")</f>
        <v>537.200646572216</v>
      </c>
      <c r="D36" s="327" t="n">
        <f aca="false">IF(D23&lt;&gt;0,D34/D23/60,"")</f>
        <v>10.9484362797445</v>
      </c>
      <c r="E36" s="325" t="n">
        <f aca="false">IF(E23&lt;&gt;0,E34/E23/60,"")</f>
        <v>31612.6636363636</v>
      </c>
      <c r="F36" s="325" t="n">
        <f aca="false">IF(F23&lt;&gt;0,F34/F23/60,"")</f>
        <v>1869.94782968801</v>
      </c>
      <c r="G36" s="325" t="n">
        <f aca="false">IF(G23&lt;&gt;0,G34/G23/60,"")</f>
        <v>5824.95477344573</v>
      </c>
      <c r="H36" s="325"/>
      <c r="I36" s="326" t="n">
        <f aca="false">IF(I23&lt;&gt;0,I34/I23/60,"")</f>
        <v>21.3293548161081</v>
      </c>
      <c r="J36" s="326" t="n">
        <f aca="false">IF(J23&lt;&gt;0,J34/J23/60,"")</f>
        <v>22.5817824628929</v>
      </c>
      <c r="K36" s="326" t="n">
        <f aca="false">IF(K23&lt;&gt;0,K34/K23/60,"")</f>
        <v>177.575563636364</v>
      </c>
      <c r="L36" s="326" t="n">
        <f aca="false">IF(L23&lt;&gt;0,L34/L23/60,"")</f>
        <v>16.5792</v>
      </c>
      <c r="M36" s="326" t="n">
        <f aca="false">IF(M23&lt;&gt;0,M34/M23/60,"")</f>
        <v>17.6154</v>
      </c>
      <c r="O36" s="326" t="n">
        <f aca="false">IF(O23&lt;&gt;0,O34/O23/60,"")</f>
        <v>1.44838925380674</v>
      </c>
      <c r="P36" s="326" t="n">
        <f aca="false">IF(P23&lt;&gt;0,P34/P23/60,"")</f>
        <v>2.18405706616875</v>
      </c>
      <c r="Q36" s="326" t="n">
        <f aca="false">IF(Q23&lt;&gt;0,Q34/Q23/60,"")</f>
        <v>1.7489445792639</v>
      </c>
      <c r="R36" s="326"/>
      <c r="S36" s="296" t="n">
        <f aca="false">IF(S23&lt;&gt;0,S34/S23/60,"")</f>
        <v>147.437438976</v>
      </c>
      <c r="T36" s="327" t="n">
        <f aca="false">IF(T23&lt;&gt;0,T34/T23/60,"")</f>
        <v>-40.6708801604056</v>
      </c>
      <c r="U36" s="327" t="str">
        <f aca="false">IF(U23&lt;&gt;0,U34/U23/60,"")</f>
        <v/>
      </c>
      <c r="V36" s="327" t="n">
        <f aca="false">IF(V23&lt;&gt;0,V34/V23/60,"")</f>
        <v>6065.43655384616</v>
      </c>
    </row>
    <row r="37" customFormat="false" ht="15" hidden="false" customHeight="false" outlineLevel="0" collapsed="false">
      <c r="A37" s="273" t="s">
        <v>628</v>
      </c>
      <c r="B37" s="318" t="str">
        <f aca="false">IF(OR(AND(B35="储罐",B36&gt;3),AND(B35="下一工序",B36&gt;15),B35="其他装置进料"),"是","否")</f>
        <v>是</v>
      </c>
      <c r="C37" s="318" t="str">
        <f aca="false">IF(OR(AND(C35="储罐",C36&gt;3),AND(C35="下一工序",C36&gt;15),C35="其他装置进料"),"是","否")</f>
        <v>是</v>
      </c>
      <c r="D37" s="318" t="str">
        <f aca="false">IF(OR(AND(D35="储罐",D36&gt;3),AND(D35="下一工序",D36&gt;10),D35="其他装置进料"),"是","否")</f>
        <v>是</v>
      </c>
      <c r="E37" s="318" t="str">
        <f aca="false">IF(OR(AND(E35="储罐",E36&gt;3),AND(E35="下一工序",E36&gt;15),E35="其他装置进料"),"是","否")</f>
        <v>是</v>
      </c>
      <c r="F37" s="318" t="str">
        <f aca="false">IF(OR(AND(F35="储罐",F36&gt;3),AND(F35="下一工序",F36&gt;15),F35="其他装置进料"),"是","否")</f>
        <v>是</v>
      </c>
      <c r="G37" s="318" t="str">
        <f aca="false">IF(OR(AND(G35="储罐",G36&gt;3),AND(G35="下一工序",G36&gt;15),G35="其他装置进料"),"是","否")</f>
        <v>是</v>
      </c>
      <c r="H37" s="318"/>
      <c r="I37" s="318" t="str">
        <f aca="false">IF(OR(AND(I35="储罐",I36&gt;3),AND(I35="下一工序",I36&gt;15),I35="其他装置进料"),"是","否")</f>
        <v>是</v>
      </c>
      <c r="J37" s="318" t="str">
        <f aca="false">IF(OR(AND(J35="储罐",J36&gt;3),AND(J35="下一工序",J36&gt;15),J35="其他装置进料"),"是","否")</f>
        <v>是</v>
      </c>
      <c r="K37" s="318" t="str">
        <f aca="false">IF(OR(AND(K35="储罐",K36&gt;3),AND(K35="下一工序",K36&gt;15),K35="其他装置进料"),"是","否")</f>
        <v>是</v>
      </c>
      <c r="L37" s="318" t="str">
        <f aca="false">IF(OR(AND(L35="储罐",L36&gt;3),AND(L35="下一工序",L36&gt;15),L35="其他装置进料"),"是","否")</f>
        <v>是</v>
      </c>
      <c r="M37" s="318" t="str">
        <f aca="false">IF(OR(AND(M35="储罐",M36&gt;3),AND(M35="下一工序",M36&gt;15),M35="其他装置进料"),"是","否")</f>
        <v>是</v>
      </c>
      <c r="O37" s="318" t="str">
        <f aca="false">IF(OR(AND(O35="储罐",O36&gt;3),AND(O35="下一工序",O36&gt;15),O35="其他装置进料"),"是","否")</f>
        <v>否</v>
      </c>
      <c r="P37" s="318" t="str">
        <f aca="false">IF(OR(AND(P35="储罐",P36&gt;3),AND(P35="下一工序",P36&gt;15),P35="其他装置进料"),"是","否")</f>
        <v>否</v>
      </c>
      <c r="Q37" s="318" t="str">
        <f aca="false">IF(OR(AND(Q35="储罐",Q36&gt;3),AND(Q35="下一工序",Q36&gt;15),Q35="其他装置进料"),"是","否")</f>
        <v>否</v>
      </c>
      <c r="R37" s="318"/>
      <c r="S37" s="282" t="str">
        <f aca="false">IF(OR(AND(S35="储罐",S36&gt;3),AND(S35="下一工序",S36&gt;15),S35="其他装置进料"),"是","否")</f>
        <v>是</v>
      </c>
      <c r="T37" s="319" t="str">
        <f aca="false">IF(OR(AND(T35="储罐",T36&gt;3),AND(T35="下一工序",T36&gt;15),T35="其他装置进料"),"是","否")</f>
        <v>否</v>
      </c>
      <c r="U37" s="319" t="str">
        <f aca="false">IF(OR(AND(U35="储罐",U36&gt;3),AND(U35="下一工序",U36&gt;15),U35="其他装置进料"),"是","否")</f>
        <v>是</v>
      </c>
      <c r="V37" s="319" t="str">
        <f aca="false">IF(OR(AND(V35="储罐",V36&gt;3),AND(V35="下一工序",V36&gt;15),V35="其他装置进料"),"是","否")</f>
        <v>是</v>
      </c>
    </row>
    <row r="38" customFormat="false" ht="15" hidden="false" customHeight="false" outlineLevel="0" collapsed="false">
      <c r="A38" s="328" t="s">
        <v>629</v>
      </c>
      <c r="B38" s="329" t="str">
        <f aca="false">IF(OR(B31="否",B37="否"),"核算未通过","核算通过")</f>
        <v>核算通过</v>
      </c>
      <c r="C38" s="329" t="str">
        <f aca="false">IF(OR(C31="否",C37="否"),"核算未通过","核算通过")</f>
        <v>核算通过</v>
      </c>
      <c r="D38" s="329" t="str">
        <f aca="false">IF(OR(D31="否",D37="否"),"核算未通过","核算通过")</f>
        <v>核算通过</v>
      </c>
      <c r="E38" s="329" t="str">
        <f aca="false">IF(OR(E31="否",E37="否"),"核算未通过","核算通过")</f>
        <v>核算通过</v>
      </c>
      <c r="F38" s="329" t="str">
        <f aca="false">IF(OR(F31="否",F37="否"),"核算未通过","核算通过")</f>
        <v>核算通过</v>
      </c>
      <c r="G38" s="329" t="str">
        <f aca="false">IF(OR(G31="否",G37="否"),"核算未通过","核算通过")</f>
        <v>核算通过</v>
      </c>
      <c r="H38" s="329"/>
      <c r="I38" s="329" t="str">
        <f aca="false">IF(OR(I31="否",I37="否"),"核算未通过","核算通过")</f>
        <v>核算通过</v>
      </c>
      <c r="J38" s="329" t="str">
        <f aca="false">IF(OR(J31="否",J37="否"),"核算未通过","核算通过")</f>
        <v>核算通过</v>
      </c>
      <c r="K38" s="329" t="str">
        <f aca="false">IF(OR(K31="否",K37="否"),"核算未通过","核算通过")</f>
        <v>核算通过</v>
      </c>
      <c r="L38" s="329" t="str">
        <f aca="false">IF(OR(L31="否",L37="否"),"核算未通过","核算通过")</f>
        <v>核算通过</v>
      </c>
      <c r="M38" s="329" t="str">
        <f aca="false">IF(OR(M31="否",M37="否"),"核算未通过","核算通过")</f>
        <v>核算通过</v>
      </c>
      <c r="O38" s="329" t="str">
        <f aca="false">IF(OR(O31="否",O37="否"),"核算未通过","核算通过")</f>
        <v>核算未通过</v>
      </c>
      <c r="P38" s="329" t="str">
        <f aca="false">IF(OR(P31="否",P37="否"),"核算未通过","核算通过")</f>
        <v>核算未通过</v>
      </c>
      <c r="Q38" s="329" t="str">
        <f aca="false">IF(OR(Q31="否",Q37="否"),"核算未通过","核算通过")</f>
        <v>核算未通过</v>
      </c>
      <c r="R38" s="329"/>
      <c r="S38" s="330" t="str">
        <f aca="false">IF(OR(S31="否",S37="否"),"核算未通过","核算通过")</f>
        <v>核算通过</v>
      </c>
      <c r="T38" s="331" t="str">
        <f aca="false">IF(OR(T31="否",T37="否"),"核算未通过","核算通过")</f>
        <v>核算未通过</v>
      </c>
      <c r="U38" s="331" t="str">
        <f aca="false">IF(OR(U31="否",U37="否"),"核算未通过","核算通过")</f>
        <v>核算通过</v>
      </c>
      <c r="V38" s="331" t="str">
        <f aca="false">IF(OR(V31="否",V37="否"),"核算未通过","核算通过")</f>
        <v>核算通过</v>
      </c>
    </row>
    <row r="39" s="27" customFormat="true" ht="15" hidden="false" customHeight="false" outlineLevel="0" collapsed="false">
      <c r="A39" s="211" t="s">
        <v>277</v>
      </c>
      <c r="B39" s="325"/>
      <c r="C39" s="325"/>
      <c r="D39" s="325"/>
      <c r="E39" s="325"/>
      <c r="F39" s="325"/>
      <c r="G39" s="325"/>
      <c r="H39" s="325"/>
      <c r="I39" s="325"/>
      <c r="J39" s="325"/>
      <c r="K39" s="325"/>
      <c r="L39" s="325"/>
      <c r="M39" s="325"/>
      <c r="O39" s="325"/>
      <c r="P39" s="325"/>
      <c r="Q39" s="325"/>
      <c r="R39" s="325"/>
      <c r="S39" s="296"/>
      <c r="T39" s="327"/>
      <c r="U39" s="327"/>
      <c r="V39" s="327"/>
    </row>
    <row r="40" customFormat="false" ht="15" hidden="false" customHeight="false" outlineLevel="0" collapsed="false">
      <c r="A40" s="27" t="s">
        <v>426</v>
      </c>
      <c r="B40" s="332" t="n">
        <f aca="false">B7/B6</f>
        <v>3.97826086956522</v>
      </c>
      <c r="C40" s="222" t="n">
        <f aca="false">C7/C6</f>
        <v>3</v>
      </c>
      <c r="D40" s="332" t="n">
        <f aca="false">D7/D6</f>
        <v>3.05</v>
      </c>
      <c r="E40" s="332" t="n">
        <f aca="false">E7/E6</f>
        <v>3</v>
      </c>
      <c r="F40" s="332" t="n">
        <f aca="false">F7/F6</f>
        <v>2.85714285714286</v>
      </c>
      <c r="G40" s="332" t="n">
        <f aca="false">G7/G6</f>
        <v>2.85714285714286</v>
      </c>
      <c r="H40" s="332"/>
      <c r="I40" s="222" t="n">
        <f aca="false">I7/I6</f>
        <v>2.55</v>
      </c>
      <c r="J40" s="222" t="n">
        <f aca="false">J7/J6</f>
        <v>1.81818181818182</v>
      </c>
      <c r="K40" s="222" t="n">
        <f aca="false">K7/K6</f>
        <v>2.22222222222222</v>
      </c>
      <c r="L40" s="222" t="n">
        <f aca="false">L7/L6</f>
        <v>1.81818181818182</v>
      </c>
      <c r="M40" s="222" t="n">
        <f aca="false">M7/M6</f>
        <v>1.81818181818182</v>
      </c>
      <c r="O40" s="222" t="n">
        <f aca="false">O7/O6</f>
        <v>3.75</v>
      </c>
      <c r="P40" s="222" t="n">
        <f aca="false">P7/P6</f>
        <v>2.66666666666667</v>
      </c>
      <c r="Q40" s="222" t="n">
        <f aca="false">Q7/Q6</f>
        <v>2.66666666666667</v>
      </c>
      <c r="R40" s="222"/>
      <c r="S40" s="333" t="n">
        <f aca="false">S7/S6</f>
        <v>2.22222222222222</v>
      </c>
      <c r="T40" s="334" t="n">
        <f aca="false">T7/T6</f>
        <v>2.72727272727273</v>
      </c>
      <c r="U40" s="334" t="n">
        <f aca="false">U7/U6</f>
        <v>2.8</v>
      </c>
      <c r="V40" s="334" t="n">
        <f aca="false">V7/V6</f>
        <v>2.85714285714286</v>
      </c>
    </row>
    <row r="41" customFormat="false" ht="14.25" hidden="false" customHeight="true" outlineLevel="0" collapsed="false">
      <c r="A41" s="27"/>
      <c r="B41" s="249"/>
      <c r="C41" s="225"/>
      <c r="D41" s="249"/>
      <c r="E41" s="249"/>
      <c r="F41" s="249"/>
      <c r="G41" s="249"/>
      <c r="H41" s="335" t="s">
        <v>630</v>
      </c>
      <c r="I41" s="336" t="n">
        <f aca="false">0.785*I6^2*0.32*(5.1-1.8)/(4605/496.2+11307/947.3)/1.1*60</f>
        <v>8.52466156385648</v>
      </c>
      <c r="U41" s="337"/>
      <c r="V41" s="337"/>
    </row>
    <row r="42" customFormat="false" ht="15" hidden="false" customHeight="false" outlineLevel="0" collapsed="false">
      <c r="A42" s="134"/>
      <c r="H42" s="335"/>
      <c r="I42" s="336"/>
    </row>
    <row r="43" customFormat="false" ht="15" hidden="false" customHeight="false" outlineLevel="0" collapsed="false">
      <c r="A43" s="269" t="s">
        <v>542</v>
      </c>
    </row>
    <row r="44" customFormat="false" ht="15" hidden="false" customHeight="false" outlineLevel="0" collapsed="false">
      <c r="A44" s="269" t="s">
        <v>543</v>
      </c>
    </row>
    <row r="45" customFormat="false" ht="15" hidden="false" customHeight="false" outlineLevel="0" collapsed="false">
      <c r="A45" s="269" t="s">
        <v>544</v>
      </c>
    </row>
    <row r="46" customFormat="false" ht="15" hidden="false" customHeight="false" outlineLevel="0" collapsed="false"/>
    <row r="47" customFormat="false" ht="15" hidden="false" customHeight="false" outlineLevel="0" collapsed="false">
      <c r="A47" s="269" t="s">
        <v>631</v>
      </c>
    </row>
    <row r="48" customFormat="false" ht="15" hidden="false" customHeight="false" outlineLevel="0" collapsed="false"/>
    <row r="49" customFormat="false" ht="15" hidden="false" customHeight="false" outlineLevel="0" collapsed="false">
      <c r="A49" s="269" t="s">
        <v>632</v>
      </c>
    </row>
    <row r="50" customFormat="false" ht="15" hidden="false" customHeight="false" outlineLevel="0" collapsed="false">
      <c r="A50" s="27" t="s">
        <v>633</v>
      </c>
      <c r="B50" s="243" t="n">
        <f aca="false">B33/B7</f>
        <v>0.426229508196721</v>
      </c>
      <c r="C50" s="243" t="n">
        <f aca="false">C33/C7</f>
        <v>0.142857142857143</v>
      </c>
      <c r="D50" s="243" t="n">
        <f aca="false">D33/D7</f>
        <v>0.60655737704918</v>
      </c>
      <c r="E50" s="243" t="n">
        <f aca="false">E33/E7</f>
        <v>0.5</v>
      </c>
      <c r="F50" s="243" t="n">
        <f aca="false">F33/F7</f>
        <v>0.1875</v>
      </c>
      <c r="G50" s="243" t="n">
        <f aca="false">G33/G7</f>
        <v>0.1875</v>
      </c>
      <c r="I50" s="243" t="n">
        <f aca="false">1-I28</f>
        <v>0.51</v>
      </c>
      <c r="K50" s="243" t="n">
        <f aca="false">1-K28</f>
        <v>0.5</v>
      </c>
      <c r="L50" s="243" t="n">
        <f aca="false">1-L28</f>
        <v>0.5</v>
      </c>
      <c r="M50" s="243" t="n">
        <f aca="false">1-M28</f>
        <v>0.5</v>
      </c>
      <c r="O50" s="243" t="n">
        <f aca="false">1-O28</f>
        <v>0.5</v>
      </c>
      <c r="P50" s="243" t="n">
        <f aca="false">1-P28</f>
        <v>0.5</v>
      </c>
      <c r="Q50" s="243" t="n">
        <f aca="false">1-Q28</f>
        <v>0.5</v>
      </c>
      <c r="R50" s="243"/>
      <c r="S50" s="276" t="n">
        <f aca="false">1-S28</f>
        <v>0.51</v>
      </c>
    </row>
    <row r="51" customFormat="false" ht="15" hidden="false" customHeight="false" outlineLevel="0" collapsed="false">
      <c r="C51" s="243"/>
    </row>
    <row r="52" customFormat="false" ht="15" hidden="false" customHeight="false" outlineLevel="0" collapsed="false">
      <c r="A52" s="27" t="s">
        <v>634</v>
      </c>
      <c r="B52" s="243" t="n">
        <f aca="false">(B50*0.785*B6*B6*B7+3.14/24*B6*B6*B6)*B21</f>
        <v>93674.4266953333</v>
      </c>
      <c r="C52" s="243" t="n">
        <f aca="false">(C50*0.785*C6*C6*C7+3.14/24*C6*C6*C6)*C21</f>
        <v>653.905</v>
      </c>
      <c r="D52" s="243" t="n">
        <f aca="false">(D50*0.785*D6*D6*D7+3.14/24*D6*D6*D6)*D21</f>
        <v>64113.6085333333</v>
      </c>
      <c r="E52" s="243" t="n">
        <f aca="false">(E50*0.785*E6*E6*E7+3.14/24*E6*E6*E6)*E21</f>
        <v>1287.92333333333</v>
      </c>
      <c r="F52" s="243" t="n">
        <f aca="false">(F50*0.785*F6*F6*F7+3.14/24*F6*F6*F6)*F21</f>
        <v>907.774</v>
      </c>
      <c r="G52" s="243" t="n">
        <f aca="false">(G50*0.785*G6*G6*G7+3.14/24*G6*G6*G6)*G21</f>
        <v>1509.93075333333</v>
      </c>
      <c r="I52" s="206" t="n">
        <f aca="false">I50*I10*I21</f>
        <v>7035.55878394265</v>
      </c>
      <c r="K52" s="206" t="n">
        <f aca="false">K50*K10*K21</f>
        <v>37438.848</v>
      </c>
      <c r="L52" s="206" t="n">
        <f aca="false">L50*L10*L21</f>
        <v>7193.53066666667</v>
      </c>
      <c r="M52" s="206" t="n">
        <f aca="false">M50*M10*M21</f>
        <v>7643.12633333333</v>
      </c>
      <c r="O52" s="206" t="n">
        <f aca="false">O50*O10*O21</f>
        <v>14767.5794753667</v>
      </c>
      <c r="P52" s="206" t="n">
        <f aca="false">P50*P10*P21</f>
        <v>3438.91524375</v>
      </c>
      <c r="Q52" s="206" t="n">
        <f aca="false">Q50*Q10*Q21</f>
        <v>3574.19233125</v>
      </c>
      <c r="S52" s="276" t="n">
        <f aca="false">S50*S10*S21</f>
        <v>46627.09007616</v>
      </c>
    </row>
    <row r="53" customFormat="false" ht="15" hidden="false" customHeight="false" outlineLevel="0" collapsed="false"/>
    <row r="54" customFormat="false" ht="15" hidden="false" customHeight="false" outlineLevel="0" collapsed="false"/>
    <row r="55" customFormat="false" ht="15" hidden="false" customHeight="false" outlineLevel="0" collapsed="false"/>
    <row r="56" customFormat="false" ht="15" hidden="false" customHeight="false" outlineLevel="0" collapsed="false">
      <c r="A56" s="261" t="s">
        <v>635</v>
      </c>
    </row>
    <row r="57" customFormat="false" ht="15" hidden="false" customHeight="false" outlineLevel="0" collapsed="false">
      <c r="A57" s="265" t="s">
        <v>533</v>
      </c>
    </row>
    <row r="58" customFormat="false" ht="15" hidden="false" customHeight="false" outlineLevel="0" collapsed="false">
      <c r="A58" s="261" t="s">
        <v>636</v>
      </c>
    </row>
    <row r="59" customFormat="false" ht="15" hidden="false" customHeight="false" outlineLevel="0" collapsed="false">
      <c r="A59" s="338" t="s">
        <v>637</v>
      </c>
      <c r="I59" s="325"/>
      <c r="K59" s="325"/>
      <c r="L59" s="325"/>
      <c r="M59" s="325"/>
      <c r="O59" s="325"/>
      <c r="P59" s="325"/>
      <c r="Q59" s="325"/>
      <c r="R59" s="325"/>
      <c r="S59" s="296"/>
    </row>
    <row r="60" customFormat="false" ht="15" hidden="false" customHeight="false" outlineLevel="0" collapsed="false">
      <c r="A60" s="253" t="s">
        <v>638</v>
      </c>
      <c r="I60" s="254"/>
      <c r="K60" s="254"/>
      <c r="L60" s="254"/>
      <c r="M60" s="254"/>
      <c r="O60" s="254"/>
      <c r="P60" s="254"/>
      <c r="Q60" s="254"/>
      <c r="R60" s="254"/>
      <c r="S60" s="282"/>
    </row>
    <row r="61" customFormat="false" ht="15" hidden="false" customHeight="false" outlineLevel="0" collapsed="false">
      <c r="A61" s="273" t="s">
        <v>639</v>
      </c>
      <c r="I61" s="318"/>
      <c r="K61" s="318"/>
      <c r="L61" s="318"/>
      <c r="M61" s="318"/>
      <c r="O61" s="318"/>
      <c r="P61" s="318"/>
      <c r="Q61" s="318"/>
      <c r="R61" s="318"/>
      <c r="S61" s="282"/>
    </row>
    <row r="62" customFormat="false" ht="14.25" hidden="false" customHeight="false" outlineLevel="0" collapsed="false">
      <c r="A62" s="27"/>
      <c r="B62" s="249"/>
      <c r="C62" s="225"/>
      <c r="D62" s="249"/>
      <c r="E62" s="249"/>
      <c r="H62" s="249"/>
      <c r="I62" s="225"/>
      <c r="J62" s="225"/>
      <c r="K62" s="225"/>
      <c r="L62" s="225"/>
      <c r="M62" s="225"/>
      <c r="O62" s="225"/>
      <c r="P62" s="225"/>
      <c r="Q62" s="225"/>
      <c r="R62" s="225"/>
      <c r="S62" s="339"/>
      <c r="T62" s="337"/>
    </row>
    <row r="63" customFormat="false" ht="14.25" hidden="false" customHeight="false" outlineLevel="0" collapsed="false">
      <c r="A63" s="134"/>
    </row>
  </sheetData>
  <mergeCells count="2">
    <mergeCell ref="H41:H42"/>
    <mergeCell ref="I41:I42"/>
  </mergeCells>
  <conditionalFormatting sqref="O39:R39">
    <cfRule type="cellIs" priority="2" operator="equal" aboveAverage="0" equalAverage="0" bottom="0" percent="0" rank="0" text="" dxfId="59">
      <formula>"核算未通过"</formula>
    </cfRule>
  </conditionalFormatting>
  <conditionalFormatting sqref="O38:R38">
    <cfRule type="cellIs" priority="3" operator="equal" aboveAverage="0" equalAverage="0" bottom="0" percent="0" rank="0" text="" dxfId="60">
      <formula>"核算未通过"</formula>
    </cfRule>
  </conditionalFormatting>
  <conditionalFormatting sqref="M39">
    <cfRule type="cellIs" priority="4" operator="equal" aboveAverage="0" equalAverage="0" bottom="0" percent="0" rank="0" text="" dxfId="61">
      <formula>"核算未通过"</formula>
    </cfRule>
  </conditionalFormatting>
  <conditionalFormatting sqref="M38">
    <cfRule type="cellIs" priority="5" operator="equal" aboveAverage="0" equalAverage="0" bottom="0" percent="0" rank="0" text="" dxfId="62">
      <formula>"核算未通过"</formula>
    </cfRule>
  </conditionalFormatting>
  <conditionalFormatting sqref="F39">
    <cfRule type="cellIs" priority="6" operator="equal" aboveAverage="0" equalAverage="0" bottom="0" percent="0" rank="0" text="" dxfId="63">
      <formula>"核算未通过"</formula>
    </cfRule>
  </conditionalFormatting>
  <conditionalFormatting sqref="F38">
    <cfRule type="cellIs" priority="7" operator="equal" aboveAverage="0" equalAverage="0" bottom="0" percent="0" rank="0" text="" dxfId="64">
      <formula>"核算未通过"</formula>
    </cfRule>
  </conditionalFormatting>
  <conditionalFormatting sqref="G39">
    <cfRule type="cellIs" priority="8" operator="equal" aboveAverage="0" equalAverage="0" bottom="0" percent="0" rank="0" text="" dxfId="65">
      <formula>"核算未通过"</formula>
    </cfRule>
  </conditionalFormatting>
  <conditionalFormatting sqref="G38">
    <cfRule type="cellIs" priority="9" operator="equal" aboveAverage="0" equalAverage="0" bottom="0" percent="0" rank="0" text="" dxfId="66">
      <formula>"核算未通过"</formula>
    </cfRule>
  </conditionalFormatting>
  <conditionalFormatting sqref="S39">
    <cfRule type="cellIs" priority="10" operator="equal" aboveAverage="0" equalAverage="0" bottom="0" percent="0" rank="0" text="" dxfId="67">
      <formula>"核算未通过"</formula>
    </cfRule>
  </conditionalFormatting>
  <conditionalFormatting sqref="S38">
    <cfRule type="cellIs" priority="11" operator="equal" aboveAverage="0" equalAverage="0" bottom="0" percent="0" rank="0" text="" dxfId="68">
      <formula>"核算未通过"</formula>
    </cfRule>
  </conditionalFormatting>
  <conditionalFormatting sqref="L39">
    <cfRule type="cellIs" priority="12" operator="equal" aboveAverage="0" equalAverage="0" bottom="0" percent="0" rank="0" text="" dxfId="69">
      <formula>"核算未通过"</formula>
    </cfRule>
  </conditionalFormatting>
  <conditionalFormatting sqref="L38">
    <cfRule type="cellIs" priority="13" operator="equal" aboveAverage="0" equalAverage="0" bottom="0" percent="0" rank="0" text="" dxfId="70">
      <formula>"核算未通过"</formula>
    </cfRule>
  </conditionalFormatting>
  <conditionalFormatting sqref="K39">
    <cfRule type="cellIs" priority="14" operator="equal" aboveAverage="0" equalAverage="0" bottom="0" percent="0" rank="0" text="" dxfId="71">
      <formula>"核算未通过"</formula>
    </cfRule>
  </conditionalFormatting>
  <conditionalFormatting sqref="K38">
    <cfRule type="cellIs" priority="15" operator="equal" aboveAverage="0" equalAverage="0" bottom="0" percent="0" rank="0" text="" dxfId="72">
      <formula>"核算未通过"</formula>
    </cfRule>
  </conditionalFormatting>
  <conditionalFormatting sqref="E39 H39">
    <cfRule type="cellIs" priority="16" operator="equal" aboveAverage="0" equalAverage="0" bottom="0" percent="0" rank="0" text="" dxfId="73">
      <formula>"核算未通过"</formula>
    </cfRule>
  </conditionalFormatting>
  <conditionalFormatting sqref="E38 H38">
    <cfRule type="cellIs" priority="17" operator="equal" aboveAverage="0" equalAverage="0" bottom="0" percent="0" rank="0" text="" dxfId="74">
      <formula>"核算未通过"</formula>
    </cfRule>
  </conditionalFormatting>
  <conditionalFormatting sqref="D39">
    <cfRule type="cellIs" priority="18" operator="equal" aboveAverage="0" equalAverage="0" bottom="0" percent="0" rank="0" text="" dxfId="75">
      <formula>"核算未通过"</formula>
    </cfRule>
  </conditionalFormatting>
  <conditionalFormatting sqref="D38">
    <cfRule type="cellIs" priority="19" operator="equal" aboveAverage="0" equalAverage="0" bottom="0" percent="0" rank="0" text="" dxfId="76">
      <formula>"核算未通过"</formula>
    </cfRule>
  </conditionalFormatting>
  <conditionalFormatting sqref="B39">
    <cfRule type="cellIs" priority="20" operator="equal" aboveAverage="0" equalAverage="0" bottom="0" percent="0" rank="0" text="" dxfId="77">
      <formula>"核算未通过"</formula>
    </cfRule>
  </conditionalFormatting>
  <conditionalFormatting sqref="U39">
    <cfRule type="cellIs" priority="21" operator="equal" aboveAverage="0" equalAverage="0" bottom="0" percent="0" rank="0" text="" dxfId="78">
      <formula>"核算未通过"</formula>
    </cfRule>
  </conditionalFormatting>
  <conditionalFormatting sqref="V39">
    <cfRule type="cellIs" priority="22" operator="equal" aboveAverage="0" equalAverage="0" bottom="0" percent="0" rank="0" text="" dxfId="79">
      <formula>"核算未通过"</formula>
    </cfRule>
  </conditionalFormatting>
  <conditionalFormatting sqref="J39 T39">
    <cfRule type="cellIs" priority="23" operator="equal" aboveAverage="0" equalAverage="0" bottom="0" percent="0" rank="0" text="" dxfId="80">
      <formula>"核算未通过"</formula>
    </cfRule>
  </conditionalFormatting>
  <conditionalFormatting sqref="C39">
    <cfRule type="cellIs" priority="24" operator="equal" aboveAverage="0" equalAverage="0" bottom="0" percent="0" rank="0" text="" dxfId="81">
      <formula>"核算未通过"</formula>
    </cfRule>
  </conditionalFormatting>
  <conditionalFormatting sqref="I39">
    <cfRule type="cellIs" priority="25" operator="equal" aboveAverage="0" equalAverage="0" bottom="0" percent="0" rank="0" text="" dxfId="82">
      <formula>"核算未通过"</formula>
    </cfRule>
  </conditionalFormatting>
  <conditionalFormatting sqref="B38">
    <cfRule type="cellIs" priority="26" operator="equal" aboveAverage="0" equalAverage="0" bottom="0" percent="0" rank="0" text="" dxfId="83">
      <formula>"核算未通过"</formula>
    </cfRule>
  </conditionalFormatting>
  <conditionalFormatting sqref="U38">
    <cfRule type="cellIs" priority="27" operator="equal" aboveAverage="0" equalAverage="0" bottom="0" percent="0" rank="0" text="" dxfId="84">
      <formula>"核算未通过"</formula>
    </cfRule>
  </conditionalFormatting>
  <conditionalFormatting sqref="V38">
    <cfRule type="cellIs" priority="28" operator="equal" aboveAverage="0" equalAverage="0" bottom="0" percent="0" rank="0" text="" dxfId="85">
      <formula>"核算未通过"</formula>
    </cfRule>
  </conditionalFormatting>
  <conditionalFormatting sqref="J25 T25">
    <cfRule type="cellIs" priority="29" operator="equal" aboveAverage="0" equalAverage="0" bottom="0" percent="0" rank="0" text="" dxfId="86">
      <formula>"核算未通过"</formula>
    </cfRule>
    <cfRule type="cellIs" priority="30" operator="equal" aboveAverage="0" equalAverage="0" bottom="0" percent="0" rank="0" text="" dxfId="87">
      <formula>"核算未通过"</formula>
    </cfRule>
  </conditionalFormatting>
  <conditionalFormatting sqref="J38 T38">
    <cfRule type="cellIs" priority="31" operator="equal" aboveAverage="0" equalAverage="0" bottom="0" percent="0" rank="0" text="" dxfId="88">
      <formula>"核算未通过"</formula>
    </cfRule>
  </conditionalFormatting>
  <conditionalFormatting sqref="C38">
    <cfRule type="cellIs" priority="32" operator="equal" aboveAverage="0" equalAverage="0" bottom="0" percent="0" rank="0" text="" dxfId="89">
      <formula>"核算未通过"</formula>
    </cfRule>
  </conditionalFormatting>
  <conditionalFormatting sqref="I38 J38:J39 T38:T39">
    <cfRule type="cellIs" priority="33" operator="equal" aboveAverage="0" equalAverage="0" bottom="0" percent="0" rank="0" text="" dxfId="90">
      <formula>"核算未通过"</formula>
    </cfRule>
  </conditionalFormatting>
  <dataValidations count="4">
    <dataValidation allowBlank="true" errorStyle="stop" operator="between" showDropDown="false" showErrorMessage="true" showInputMessage="true" sqref="B26:M26 O26:V26" type="list">
      <formula1>"是,否,"</formula1>
      <formula2>0</formula2>
    </dataValidation>
    <dataValidation allowBlank="true" errorStyle="stop" operator="between" showDropDown="false" showErrorMessage="true" showInputMessage="true" sqref="B25:M25 O25:V25" type="list">
      <formula1>"是,否"</formula1>
      <formula2>0</formula2>
    </dataValidation>
    <dataValidation allowBlank="true" errorStyle="stop" operator="between" showDropDown="false" showErrorMessage="true" showInputMessage="true" sqref="B35:M35 O35:V35" type="list">
      <formula1>"下一工序,储罐,其他装置进料"</formula1>
      <formula2>0</formula2>
    </dataValidation>
    <dataValidation allowBlank="true" errorStyle="stop" operator="between" showDropDown="false" showErrorMessage="true" showInputMessage="true" sqref="B3:M3 O3:V3" type="list">
      <formula1>"立式,卧式"</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01" r:id="rId4" name="Button 1">
              <controlPr defaultSize="0" print="false" autoFill="0" autoPict="0" macro="模块3.返回主页">
                <anchor moveWithCells="true" sizeWithCells="false">
                  <from>
                    <xdr:col>0</xdr:col>
                    <xdr:colOff>1379520</xdr:colOff>
                    <xdr:row>0</xdr:row>
                    <xdr:rowOff>30600</xdr:rowOff>
                  </from>
                  <to>
                    <xdr:col>1</xdr:col>
                    <xdr:colOff>-950400</xdr:colOff>
                    <xdr:row>1</xdr:row>
                    <xdr:rowOff>-53280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7" topLeftCell="B20" activePane="bottomRight" state="frozen"/>
      <selection pane="topLeft" activeCell="A1" activeCellId="0" sqref="A1"/>
      <selection pane="topRight" activeCell="B1" activeCellId="0" sqref="B1"/>
      <selection pane="bottomLeft" activeCell="A20" activeCellId="0" sqref="A20"/>
      <selection pane="bottomRight" activeCell="G33" activeCellId="0" sqref="1:1048576"/>
    </sheetView>
  </sheetViews>
  <sheetFormatPr defaultColWidth="9.00390625" defaultRowHeight="14.25" zeroHeight="false" outlineLevelRow="0" outlineLevelCol="0"/>
  <cols>
    <col collapsed="false" customWidth="true" hidden="false" outlineLevel="0" max="1" min="1" style="0" width="37.88"/>
    <col collapsed="false" customWidth="true" hidden="false" outlineLevel="0" max="3" min="2" style="0" width="26.13"/>
  </cols>
  <sheetData>
    <row r="1" customFormat="false" ht="15" hidden="false" customHeight="false" outlineLevel="0" collapsed="false">
      <c r="A1" s="253" t="s">
        <v>512</v>
      </c>
      <c r="B1" s="340" t="s">
        <v>640</v>
      </c>
      <c r="C1" s="340" t="s">
        <v>641</v>
      </c>
    </row>
    <row r="2" customFormat="false" ht="15" hidden="false" customHeight="false" outlineLevel="0" collapsed="false">
      <c r="A2" s="253" t="s">
        <v>516</v>
      </c>
      <c r="B2" s="340" t="s">
        <v>642</v>
      </c>
      <c r="C2" s="340" t="s">
        <v>643</v>
      </c>
    </row>
    <row r="3" customFormat="false" ht="15" hidden="false" customHeight="false" outlineLevel="0" collapsed="false">
      <c r="A3" s="253" t="s">
        <v>520</v>
      </c>
      <c r="B3" s="340" t="s">
        <v>604</v>
      </c>
      <c r="C3" s="340" t="s">
        <v>604</v>
      </c>
    </row>
    <row r="4" customFormat="false" ht="15" hidden="false" customHeight="false" outlineLevel="0" collapsed="false">
      <c r="A4" s="253" t="s">
        <v>522</v>
      </c>
      <c r="B4" s="340" t="str">
        <f aca="false">CONCATENATE("Φ",B5*1000,"×",B6*1000,"（T-T）",B3)</f>
        <v>Φ2200×3500（T-T）卧式</v>
      </c>
      <c r="C4" s="340" t="str">
        <f aca="false">CONCATENATE("Φ",C5*1000,"×",C6*1000,"（T-T）",C3)</f>
        <v>Φ3000×5100（T-T）卧式</v>
      </c>
    </row>
    <row r="5" customFormat="false" ht="15" hidden="false" customHeight="false" outlineLevel="0" collapsed="false">
      <c r="A5" s="256" t="s">
        <v>524</v>
      </c>
      <c r="B5" s="290" t="n">
        <v>2.2</v>
      </c>
      <c r="C5" s="290" t="n">
        <v>3</v>
      </c>
    </row>
    <row r="6" customFormat="false" ht="15" hidden="false" customHeight="false" outlineLevel="0" collapsed="false">
      <c r="A6" s="258" t="s">
        <v>525</v>
      </c>
      <c r="B6" s="290" t="n">
        <v>3.5</v>
      </c>
      <c r="C6" s="290" t="n">
        <v>5.1</v>
      </c>
    </row>
    <row r="7" customFormat="false" ht="15" hidden="false" customHeight="false" outlineLevel="0" collapsed="false">
      <c r="A7" s="207" t="s">
        <v>523</v>
      </c>
      <c r="B7" s="255" t="str">
        <f aca="false">CONCATENATE("Φ",B8*1000,"×",B9*1000,"（T-T）")</f>
        <v>Φ1100×2200（T-T）</v>
      </c>
      <c r="C7" s="255" t="str">
        <f aca="false">CONCATENATE("Φ",C8*1000,"×",C9*1000,"（T-T）")</f>
        <v>Φ1400×2800（T-T）</v>
      </c>
    </row>
    <row r="8" customFormat="false" ht="15" hidden="false" customHeight="false" outlineLevel="0" collapsed="false">
      <c r="A8" s="258" t="s">
        <v>526</v>
      </c>
      <c r="B8" s="262" t="n">
        <v>1.1</v>
      </c>
      <c r="C8" s="262" t="n">
        <v>1.4</v>
      </c>
    </row>
    <row r="9" customFormat="false" ht="15" hidden="false" customHeight="false" outlineLevel="0" collapsed="false">
      <c r="A9" s="258" t="s">
        <v>527</v>
      </c>
      <c r="B9" s="262" t="n">
        <v>2.2</v>
      </c>
      <c r="C9" s="262" t="n">
        <v>2.8</v>
      </c>
    </row>
    <row r="10" customFormat="false" ht="15" hidden="false" customHeight="false" outlineLevel="0" collapsed="false">
      <c r="A10" s="261" t="s">
        <v>398</v>
      </c>
      <c r="B10" s="262" t="s">
        <v>644</v>
      </c>
      <c r="C10" s="262" t="s">
        <v>645</v>
      </c>
    </row>
    <row r="11" customFormat="false" ht="14.25" hidden="false" customHeight="false" outlineLevel="0" collapsed="false">
      <c r="A11" s="261" t="s">
        <v>489</v>
      </c>
      <c r="B11" s="223" t="n">
        <v>40</v>
      </c>
      <c r="C11" s="223" t="n">
        <v>40</v>
      </c>
    </row>
    <row r="12" customFormat="false" ht="15" hidden="false" customHeight="false" outlineLevel="0" collapsed="false">
      <c r="A12" s="261" t="s">
        <v>490</v>
      </c>
      <c r="B12" s="262" t="n">
        <v>1.06</v>
      </c>
      <c r="C12" s="262" t="n">
        <v>0.04</v>
      </c>
    </row>
    <row r="13" customFormat="false" ht="15" hidden="false" customHeight="false" outlineLevel="0" collapsed="false">
      <c r="A13" s="261" t="s">
        <v>530</v>
      </c>
      <c r="B13" s="262" t="n">
        <v>1.2</v>
      </c>
      <c r="C13" s="262" t="n">
        <v>0.4</v>
      </c>
    </row>
    <row r="14" customFormat="false" ht="14.25" hidden="false" customHeight="false" outlineLevel="0" collapsed="false">
      <c r="A14" s="261" t="s">
        <v>531</v>
      </c>
      <c r="B14" s="223" t="n">
        <v>3130</v>
      </c>
      <c r="C14" s="223" t="n">
        <v>500</v>
      </c>
    </row>
    <row r="15" customFormat="false" ht="14.25" hidden="false" customHeight="false" outlineLevel="0" collapsed="false">
      <c r="A15" s="261" t="s">
        <v>532</v>
      </c>
      <c r="B15" s="223" t="n">
        <v>15182</v>
      </c>
      <c r="C15" s="223" t="n">
        <v>54907</v>
      </c>
    </row>
    <row r="16" customFormat="false" ht="14.25" hidden="false" customHeight="false" outlineLevel="0" collapsed="false">
      <c r="A16" s="261" t="s">
        <v>646</v>
      </c>
      <c r="B16" s="212" t="n">
        <v>7350</v>
      </c>
      <c r="C16" s="212" t="n">
        <v>50827</v>
      </c>
    </row>
    <row r="17" customFormat="false" ht="14.25" hidden="false" customHeight="false" outlineLevel="0" collapsed="false">
      <c r="A17" s="261" t="s">
        <v>635</v>
      </c>
      <c r="B17" s="212" t="n">
        <v>4762</v>
      </c>
      <c r="C17" s="212" t="n">
        <v>9911</v>
      </c>
    </row>
    <row r="18" customFormat="false" ht="15" hidden="false" customHeight="false" outlineLevel="0" collapsed="false">
      <c r="A18" s="265" t="s">
        <v>533</v>
      </c>
      <c r="B18" s="262" t="n">
        <v>1.2</v>
      </c>
      <c r="C18" s="262" t="n">
        <v>1.2</v>
      </c>
    </row>
    <row r="19" customFormat="false" ht="15" hidden="false" customHeight="false" outlineLevel="0" collapsed="false">
      <c r="A19" s="261" t="s">
        <v>534</v>
      </c>
      <c r="B19" s="260" t="n">
        <f aca="false">B14*B18</f>
        <v>3756</v>
      </c>
      <c r="C19" s="260" t="n">
        <f aca="false">C14*C18</f>
        <v>600</v>
      </c>
    </row>
    <row r="20" customFormat="false" ht="15" hidden="false" customHeight="false" outlineLevel="0" collapsed="false">
      <c r="A20" s="261" t="s">
        <v>535</v>
      </c>
      <c r="B20" s="260" t="n">
        <f aca="false">B15*B18</f>
        <v>18218.4</v>
      </c>
      <c r="C20" s="260" t="n">
        <f aca="false">C15*C18</f>
        <v>65888.4</v>
      </c>
    </row>
    <row r="21" customFormat="false" ht="15" hidden="false" customHeight="false" outlineLevel="0" collapsed="false">
      <c r="A21" s="261" t="s">
        <v>647</v>
      </c>
      <c r="B21" s="260" t="n">
        <f aca="false">B16*B18</f>
        <v>8820</v>
      </c>
      <c r="C21" s="260" t="n">
        <f aca="false">C16*C18</f>
        <v>60992.4</v>
      </c>
    </row>
    <row r="22" customFormat="false" ht="15" hidden="false" customHeight="false" outlineLevel="0" collapsed="false">
      <c r="A22" s="261" t="s">
        <v>636</v>
      </c>
      <c r="B22" s="260" t="n">
        <f aca="false">B17*$B$18</f>
        <v>5714.4</v>
      </c>
      <c r="C22" s="260" t="n">
        <f aca="false">C17*$B$18</f>
        <v>11893.2</v>
      </c>
    </row>
    <row r="23" customFormat="false" ht="14.25" hidden="false" customHeight="false" outlineLevel="0" collapsed="false">
      <c r="A23" s="261" t="s">
        <v>536</v>
      </c>
      <c r="B23" s="212" t="n">
        <v>12.1</v>
      </c>
      <c r="C23" s="212" t="n">
        <v>12.1</v>
      </c>
    </row>
    <row r="24" customFormat="false" ht="14.25" hidden="false" customHeight="false" outlineLevel="0" collapsed="false">
      <c r="A24" s="261" t="s">
        <v>537</v>
      </c>
      <c r="B24" s="212" t="n">
        <v>683.8</v>
      </c>
      <c r="C24" s="212" t="n">
        <v>662.9</v>
      </c>
    </row>
    <row r="25" customFormat="false" ht="15" hidden="false" customHeight="false" outlineLevel="0" collapsed="false">
      <c r="A25" s="266" t="s">
        <v>538</v>
      </c>
      <c r="B25" s="341" t="n">
        <f aca="false">B19/B23/3600</f>
        <v>0.0862258953168044</v>
      </c>
      <c r="C25" s="341" t="n">
        <f aca="false">C19/C23/3600</f>
        <v>0.0137741046831956</v>
      </c>
    </row>
    <row r="26" customFormat="false" ht="15" hidden="false" customHeight="false" outlineLevel="0" collapsed="false">
      <c r="A26" s="266" t="s">
        <v>539</v>
      </c>
      <c r="B26" s="341" t="n">
        <f aca="false">B20/B24/3600</f>
        <v>0.00740079945403139</v>
      </c>
      <c r="C26" s="341" t="n">
        <f aca="false">C20/C24/3600</f>
        <v>0.0276094936390607</v>
      </c>
    </row>
    <row r="27" customFormat="false" ht="15" hidden="false" customHeight="false" outlineLevel="0" collapsed="false">
      <c r="A27" s="261" t="s">
        <v>648</v>
      </c>
      <c r="B27" s="342" t="n">
        <f aca="false">B21/B24/3600</f>
        <v>0.00358291898215853</v>
      </c>
      <c r="C27" s="342" t="n">
        <f aca="false">C21/C24/3600</f>
        <v>0.0255579021471313</v>
      </c>
    </row>
    <row r="28" customFormat="false" ht="15" hidden="false" customHeight="false" outlineLevel="0" collapsed="false">
      <c r="A28" s="211" t="s">
        <v>546</v>
      </c>
      <c r="B28" s="272" t="n">
        <f aca="false">0.048*SQRT((B24-B23)/B23)</f>
        <v>0.357631880546843</v>
      </c>
      <c r="C28" s="272" t="n">
        <f aca="false">0.048*SQRT((C24-C23)/C23)</f>
        <v>0.352024041252632</v>
      </c>
    </row>
    <row r="29" customFormat="false" ht="15" hidden="false" customHeight="false" outlineLevel="0" collapsed="false">
      <c r="A29" s="317" t="s">
        <v>614</v>
      </c>
      <c r="B29" s="262" t="s">
        <v>615</v>
      </c>
      <c r="C29" s="262" t="s">
        <v>615</v>
      </c>
    </row>
    <row r="30" customFormat="false" ht="15" hidden="false" customHeight="false" outlineLevel="0" collapsed="false">
      <c r="A30" s="317" t="s">
        <v>617</v>
      </c>
      <c r="B30" s="262" t="s">
        <v>615</v>
      </c>
      <c r="C30" s="262" t="s">
        <v>615</v>
      </c>
    </row>
    <row r="31" customFormat="false" ht="15" hidden="false" customHeight="false" outlineLevel="0" collapsed="false">
      <c r="A31" s="211" t="s">
        <v>547</v>
      </c>
      <c r="B31" s="272" t="n">
        <f aca="false">IF(B30="是",B28,(IF(B29="是",B28*1.7,B28*0.8)))</f>
        <v>0.286105504437474</v>
      </c>
      <c r="C31" s="272" t="n">
        <f aca="false">IF(C30="是",C28,(IF(C29="是",C28*1.7,C28*0.8)))</f>
        <v>0.281619233002106</v>
      </c>
    </row>
    <row r="32" customFormat="false" ht="15" hidden="false" customHeight="false" outlineLevel="0" collapsed="false">
      <c r="A32" s="317" t="s">
        <v>618</v>
      </c>
      <c r="B32" s="262" t="n">
        <v>0.4</v>
      </c>
      <c r="C32" s="262" t="n">
        <v>0.3</v>
      </c>
    </row>
    <row r="33" customFormat="false" ht="15" hidden="false" customHeight="false" outlineLevel="0" collapsed="false">
      <c r="A33" s="253" t="s">
        <v>619</v>
      </c>
      <c r="B33" s="254" t="n">
        <f aca="false">0.785*B5^2*B32</f>
        <v>1.51976</v>
      </c>
      <c r="C33" s="254" t="n">
        <f aca="false">0.785*C5^2*C32</f>
        <v>2.1195</v>
      </c>
    </row>
    <row r="34" customFormat="false" ht="15" hidden="false" customHeight="false" outlineLevel="0" collapsed="false">
      <c r="A34" s="261" t="s">
        <v>620</v>
      </c>
      <c r="B34" s="272" t="n">
        <f aca="false">B25/B33</f>
        <v>0.0567365211064934</v>
      </c>
      <c r="C34" s="272" t="n">
        <f aca="false">C25/C33</f>
        <v>0.00649875191469478</v>
      </c>
    </row>
    <row r="35" customFormat="false" ht="15" hidden="false" customHeight="false" outlineLevel="0" collapsed="false">
      <c r="A35" s="273" t="s">
        <v>621</v>
      </c>
      <c r="B35" s="318" t="str">
        <f aca="false">IF(B34&lt;B31,"是","否")</f>
        <v>是</v>
      </c>
      <c r="C35" s="318" t="str">
        <f aca="false">IF(C34&lt;C31,"是","否")</f>
        <v>是</v>
      </c>
    </row>
    <row r="36" customFormat="false" ht="15" hidden="false" customHeight="false" outlineLevel="0" collapsed="false">
      <c r="A36" s="253" t="s">
        <v>649</v>
      </c>
      <c r="B36" s="254" t="n">
        <f aca="false">0.785*B5^2*(1-B32)</f>
        <v>2.27964</v>
      </c>
      <c r="C36" s="254" t="n">
        <f aca="false">0.785*C5^2*(1-C32)</f>
        <v>4.9455</v>
      </c>
    </row>
    <row r="37" customFormat="false" ht="15" hidden="false" customHeight="false" outlineLevel="0" collapsed="false">
      <c r="A37" s="317" t="s">
        <v>625</v>
      </c>
      <c r="B37" s="262" t="s">
        <v>626</v>
      </c>
      <c r="C37" s="262" t="s">
        <v>626</v>
      </c>
    </row>
    <row r="38" customFormat="false" ht="15" hidden="false" customHeight="false" outlineLevel="0" collapsed="false">
      <c r="A38" s="253" t="s">
        <v>494</v>
      </c>
      <c r="B38" s="326" t="n">
        <f aca="false">IF(B26&lt;&gt;0,B36*B6/B26/60,"")</f>
        <v>17.9681939533658</v>
      </c>
      <c r="C38" s="326" t="n">
        <f aca="false">IF(C26&lt;&gt;0,C36*C6/C26/60,"")</f>
        <v>15.2254693800426</v>
      </c>
    </row>
    <row r="39" customFormat="false" ht="15" hidden="false" customHeight="false" outlineLevel="0" collapsed="false">
      <c r="A39" s="253" t="s">
        <v>650</v>
      </c>
      <c r="B39" s="326" t="n">
        <f aca="false">B36*B6/B27/60</f>
        <v>37.1147102857143</v>
      </c>
      <c r="C39" s="326" t="n">
        <f aca="false">C36*C6/C27/60</f>
        <v>16.4476527682137</v>
      </c>
    </row>
    <row r="40" customFormat="false" ht="15" hidden="false" customHeight="false" outlineLevel="0" collapsed="false">
      <c r="A40" s="261" t="s">
        <v>651</v>
      </c>
      <c r="B40" s="280" t="str">
        <f aca="false">IF(B37="储罐","液体产品3min或回流5min",IF(B37="下一工序","液体产品15min或回流5min",20))</f>
        <v>液体产品15min或回流5min</v>
      </c>
      <c r="C40" s="280" t="str">
        <f aca="false">IF(C37="储罐","液体产品3min或回流5min",IF(C37="下一工序","液体产品15min或回流5min",20))</f>
        <v>液体产品15min或回流5min</v>
      </c>
    </row>
    <row r="41" customFormat="false" ht="15" hidden="false" customHeight="false" outlineLevel="0" collapsed="false">
      <c r="A41" s="273" t="s">
        <v>628</v>
      </c>
      <c r="B41" s="318" t="str">
        <f aca="false">IF(OR(AND(B37="储罐",B38&gt;3,B39&gt;5),AND(B37="下一工序",B38&gt;15,B39&gt;5),AND(B37="其他装置进料",B36*B6/(B27+B22)/60&gt;20)),"是","否")</f>
        <v>是</v>
      </c>
      <c r="C41" s="318" t="str">
        <f aca="false">IF(OR(AND(C37="储罐",C38&gt;3,C39&gt;5),AND(C37="下一工序",C38&gt;15,C39&gt;5),AND(C37="其他装置进料",C36*C6/(C27+C22)/60&gt;20)),"是","否")</f>
        <v>是</v>
      </c>
    </row>
    <row r="42" customFormat="false" ht="15" hidden="false" customHeight="false" outlineLevel="0" collapsed="false">
      <c r="A42" s="338" t="s">
        <v>637</v>
      </c>
      <c r="B42" s="325" t="n">
        <f aca="false">0.785*B8*B8*(B9-0.2)/(B22/1000)*60</f>
        <v>19.9464510709786</v>
      </c>
      <c r="C42" s="325" t="n">
        <f aca="false">0.785*C8*C8*(C9-0.2)/(C22/1000)*60</f>
        <v>20.1814145898497</v>
      </c>
    </row>
    <row r="43" customFormat="false" ht="15" hidden="false" customHeight="false" outlineLevel="0" collapsed="false">
      <c r="A43" s="253" t="s">
        <v>638</v>
      </c>
      <c r="B43" s="254" t="n">
        <v>5</v>
      </c>
      <c r="C43" s="254" t="n">
        <v>5</v>
      </c>
    </row>
    <row r="44" customFormat="false" ht="15" hidden="false" customHeight="false" outlineLevel="0" collapsed="false">
      <c r="A44" s="273" t="s">
        <v>639</v>
      </c>
      <c r="B44" s="318" t="str">
        <f aca="false">IF(B43&lt;B42,"是","否")</f>
        <v>是</v>
      </c>
      <c r="C44" s="318" t="str">
        <f aca="false">IF(C43&lt;C42,"是","否")</f>
        <v>是</v>
      </c>
    </row>
    <row r="45" customFormat="false" ht="15" hidden="false" customHeight="false" outlineLevel="0" collapsed="false">
      <c r="A45" s="328" t="s">
        <v>629</v>
      </c>
      <c r="B45" s="329" t="str">
        <f aca="false">IF(OR(B35="否",B41="否",B44="否"),"核算未通过","核算通过")</f>
        <v>核算通过</v>
      </c>
      <c r="C45" s="329" t="str">
        <f aca="false">IF(OR(C35="否",C41="否",C44="否"),"核算未通过","核算通过")</f>
        <v>核算通过</v>
      </c>
    </row>
    <row r="46" customFormat="false" ht="15" hidden="false" customHeight="false" outlineLevel="0" collapsed="false">
      <c r="A46" s="253" t="s">
        <v>277</v>
      </c>
      <c r="B46" s="343" t="str">
        <f aca="false">IF(AND(B29="是",B30="是"),"允许液沫夹带时一般不安装破沫网","")</f>
        <v/>
      </c>
      <c r="C46" s="343" t="str">
        <f aca="false">IF(AND(C29="是",C30="是"),"允许液沫夹带时一般不安装破沫网","")</f>
        <v/>
      </c>
    </row>
    <row r="47" customFormat="false" ht="15" hidden="false" customHeight="false" outlineLevel="0" collapsed="false">
      <c r="B47" s="225"/>
      <c r="C47" s="225"/>
    </row>
    <row r="48" customFormat="false" ht="15" hidden="false" customHeight="false" outlineLevel="0" collapsed="false">
      <c r="A48" s="27" t="s">
        <v>652</v>
      </c>
      <c r="B48" s="254" t="n">
        <f aca="false">0.785*B5*B5*B6+3.14/24*2*B5^3</f>
        <v>16.0841266666667</v>
      </c>
      <c r="C48" s="254" t="n">
        <f aca="false">0.785*C5*C5*C6+3.14/24*2*C5^3</f>
        <v>43.0965</v>
      </c>
    </row>
    <row r="49" customFormat="false" ht="15" hidden="false" customHeight="false" outlineLevel="0" collapsed="false">
      <c r="A49" s="27"/>
    </row>
    <row r="50" customFormat="false" ht="15" hidden="false" customHeight="false" outlineLevel="0" collapsed="false">
      <c r="A50" s="134"/>
    </row>
    <row r="51" customFormat="false" ht="15" hidden="false" customHeight="false" outlineLevel="0" collapsed="false">
      <c r="A51" s="269" t="s">
        <v>542</v>
      </c>
    </row>
    <row r="52" customFormat="false" ht="15" hidden="false" customHeight="false" outlineLevel="0" collapsed="false">
      <c r="A52" s="269" t="s">
        <v>543</v>
      </c>
    </row>
    <row r="53" customFormat="false" ht="15" hidden="false" customHeight="false" outlineLevel="0" collapsed="false">
      <c r="A53" s="269" t="s">
        <v>544</v>
      </c>
    </row>
    <row r="54" customFormat="false" ht="15" hidden="false" customHeight="false" outlineLevel="0" collapsed="false">
      <c r="A54" s="269" t="s">
        <v>653</v>
      </c>
    </row>
    <row r="55" customFormat="false" ht="15" hidden="false" customHeight="false" outlineLevel="0" collapsed="false"/>
    <row r="56" customFormat="false" ht="15" hidden="false" customHeight="false" outlineLevel="0" collapsed="false">
      <c r="A56" s="269" t="s">
        <v>634</v>
      </c>
      <c r="B56" s="206" t="n">
        <f aca="false">B23*B48*B32+B24*B48*(1-B32)+B22/60*B42</f>
        <v>8576.54266186667</v>
      </c>
      <c r="C56" s="206" t="n">
        <f aca="false">C23*C48*C32+C24*C48*(1-C32)+C22/60*C42</f>
        <v>24154.86919</v>
      </c>
    </row>
    <row r="57" customFormat="false" ht="14.25" hidden="false" customHeight="false" outlineLevel="0" collapsed="false">
      <c r="A57" s="27"/>
    </row>
    <row r="58" customFormat="false" ht="14.25" hidden="false" customHeight="false" outlineLevel="0" collapsed="false">
      <c r="A58" s="134"/>
    </row>
  </sheetData>
  <conditionalFormatting sqref="C45">
    <cfRule type="cellIs" priority="2" operator="equal" aboveAverage="0" equalAverage="0" bottom="0" percent="0" rank="0" text="" dxfId="91">
      <formula>"核算未通过"</formula>
    </cfRule>
  </conditionalFormatting>
  <conditionalFormatting sqref="B45">
    <cfRule type="cellIs" priority="3" operator="equal" aboveAverage="0" equalAverage="0" bottom="0" percent="0" rank="0" text="" dxfId="92">
      <formula>"核算未通过"</formula>
    </cfRule>
  </conditionalFormatting>
  <dataValidations count="3">
    <dataValidation allowBlank="true" errorStyle="stop" operator="between" showDropDown="false" showErrorMessage="true" showInputMessage="true" sqref="B37:C37" type="list">
      <formula1>"下一工序,储罐,其他装置进料"</formula1>
      <formula2>0</formula2>
    </dataValidation>
    <dataValidation allowBlank="true" errorStyle="stop" operator="between" showDropDown="false" showErrorMessage="true" showInputMessage="true" sqref="B29:C29" type="list">
      <formula1>"是,否"</formula1>
      <formula2>0</formula2>
    </dataValidation>
    <dataValidation allowBlank="true" errorStyle="stop" operator="between" showDropDown="false" showErrorMessage="true" showInputMessage="true" sqref="B30:C30" type="list">
      <formula1>"是,否,"</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01" r:id="rId4" name="Button 1080">
              <controlPr defaultSize="0" print="false" autoFill="0" autoPict="0" macro="模块3.返回主页">
                <anchor moveWithCells="true" sizeWithCells="false">
                  <from>
                    <xdr:col>0</xdr:col>
                    <xdr:colOff>1379520</xdr:colOff>
                    <xdr:row>0</xdr:row>
                    <xdr:rowOff>30600</xdr:rowOff>
                  </from>
                  <to>
                    <xdr:col>1</xdr:col>
                    <xdr:colOff>-950400</xdr:colOff>
                    <xdr:row>1</xdr:row>
                    <xdr:rowOff>-53280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48"/>
  <sheetViews>
    <sheetView showFormulas="false" showGridLines="true" showRowColHeaders="true" showZeros="true" rightToLeft="false" tabSelected="true" showOutlineSymbols="true" defaultGridColor="true" view="normal" topLeftCell="A22" colorId="64" zoomScale="100" zoomScaleNormal="100" zoomScalePageLayoutView="100" workbookViewId="0">
      <pane xSplit="1" ySplit="0" topLeftCell="G22" activePane="topRight" state="frozen"/>
      <selection pane="topLeft" activeCell="A22" activeCellId="0" sqref="A22"/>
      <selection pane="topRight" activeCell="K48" activeCellId="0" sqref="1:1048576"/>
    </sheetView>
  </sheetViews>
  <sheetFormatPr defaultColWidth="9.00390625" defaultRowHeight="14.25" zeroHeight="false" outlineLevelRow="0" outlineLevelCol="0"/>
  <cols>
    <col collapsed="false" customWidth="true" hidden="false" outlineLevel="0" max="1" min="1" style="0" width="26"/>
    <col collapsed="false" customWidth="true" hidden="false" outlineLevel="0" max="7" min="2" style="0" width="26.13"/>
    <col collapsed="false" customWidth="true" hidden="false" outlineLevel="0" max="11" min="8" style="243" width="26.13"/>
    <col collapsed="false" customWidth="true" hidden="false" outlineLevel="0" max="13" min="12" style="0" width="26.13"/>
    <col collapsed="false" customWidth="true" hidden="true" outlineLevel="0" max="14" min="14" style="0" width="26.13"/>
    <col collapsed="false" customWidth="true" hidden="false" outlineLevel="0" max="20" min="15" style="0" width="26.13"/>
    <col collapsed="false" customWidth="true" hidden="false" outlineLevel="0" max="24" min="21" style="0" width="26"/>
  </cols>
  <sheetData>
    <row r="1" customFormat="false" ht="15" hidden="false" customHeight="false" outlineLevel="0" collapsed="false">
      <c r="A1" s="208" t="s">
        <v>512</v>
      </c>
      <c r="B1" s="340" t="s">
        <v>654</v>
      </c>
      <c r="C1" s="340" t="s">
        <v>655</v>
      </c>
      <c r="D1" s="340" t="s">
        <v>656</v>
      </c>
      <c r="E1" s="344" t="s">
        <v>657</v>
      </c>
      <c r="F1" s="344" t="s">
        <v>658</v>
      </c>
      <c r="G1" s="344" t="s">
        <v>659</v>
      </c>
      <c r="H1" s="340" t="s">
        <v>660</v>
      </c>
      <c r="I1" s="340" t="s">
        <v>661</v>
      </c>
      <c r="J1" s="340" t="s">
        <v>662</v>
      </c>
      <c r="K1" s="340" t="s">
        <v>663</v>
      </c>
      <c r="L1" s="344"/>
      <c r="M1" s="340"/>
      <c r="N1" s="340"/>
      <c r="O1" s="340"/>
      <c r="P1" s="340"/>
      <c r="Q1" s="340"/>
      <c r="R1" s="340"/>
      <c r="S1" s="340"/>
      <c r="T1" s="340"/>
      <c r="U1" s="340"/>
      <c r="V1" s="340"/>
      <c r="W1" s="340"/>
      <c r="X1" s="340"/>
    </row>
    <row r="2" customFormat="false" ht="15" hidden="false" customHeight="false" outlineLevel="0" collapsed="false">
      <c r="A2" s="208" t="s">
        <v>516</v>
      </c>
      <c r="B2" s="340" t="s">
        <v>664</v>
      </c>
      <c r="C2" s="340" t="s">
        <v>665</v>
      </c>
      <c r="D2" s="340" t="s">
        <v>666</v>
      </c>
      <c r="E2" s="344" t="s">
        <v>667</v>
      </c>
      <c r="F2" s="344" t="s">
        <v>668</v>
      </c>
      <c r="G2" s="344" t="s">
        <v>669</v>
      </c>
      <c r="H2" s="340" t="s">
        <v>670</v>
      </c>
      <c r="I2" s="340" t="s">
        <v>671</v>
      </c>
      <c r="J2" s="340" t="s">
        <v>672</v>
      </c>
      <c r="K2" s="340" t="s">
        <v>673</v>
      </c>
      <c r="L2" s="344"/>
      <c r="M2" s="340"/>
      <c r="N2" s="340"/>
      <c r="O2" s="340"/>
      <c r="P2" s="340"/>
      <c r="Q2" s="340"/>
      <c r="R2" s="340"/>
      <c r="S2" s="340"/>
      <c r="T2" s="340"/>
      <c r="U2" s="340"/>
      <c r="V2" s="340"/>
      <c r="W2" s="340"/>
      <c r="X2" s="340"/>
    </row>
    <row r="3" customFormat="false" ht="15" hidden="false" customHeight="false" outlineLevel="0" collapsed="false">
      <c r="A3" s="208" t="s">
        <v>520</v>
      </c>
      <c r="B3" s="340" t="s">
        <v>521</v>
      </c>
      <c r="C3" s="340" t="s">
        <v>521</v>
      </c>
      <c r="D3" s="340" t="s">
        <v>521</v>
      </c>
      <c r="E3" s="344" t="s">
        <v>521</v>
      </c>
      <c r="F3" s="344" t="s">
        <v>521</v>
      </c>
      <c r="G3" s="344" t="s">
        <v>521</v>
      </c>
      <c r="H3" s="340" t="s">
        <v>521</v>
      </c>
      <c r="I3" s="340" t="s">
        <v>604</v>
      </c>
      <c r="J3" s="340" t="s">
        <v>521</v>
      </c>
      <c r="K3" s="340" t="s">
        <v>604</v>
      </c>
      <c r="L3" s="344"/>
      <c r="M3" s="340"/>
      <c r="N3" s="340"/>
      <c r="O3" s="340"/>
      <c r="P3" s="340"/>
      <c r="Q3" s="340"/>
      <c r="R3" s="340"/>
      <c r="S3" s="340"/>
      <c r="T3" s="340"/>
      <c r="U3" s="340"/>
      <c r="V3" s="340"/>
      <c r="W3" s="340"/>
      <c r="X3" s="340"/>
    </row>
    <row r="4" s="208" customFormat="true" ht="15" hidden="false" customHeight="false" outlineLevel="0" collapsed="false">
      <c r="A4" s="208" t="s">
        <v>522</v>
      </c>
      <c r="B4" s="208" t="str">
        <f aca="false">CONCATENATE("Φ",B5*1000,"×",B6*1000,"（T-T）",B3)</f>
        <v>Φ4000×12300（T-T）立式</v>
      </c>
      <c r="C4" s="208" t="str">
        <f aca="false">CONCATENATE("Φ",C5*1000,"×",C6*1000,"（T-T）",C3)</f>
        <v>Φ4000×12300（T-T）立式</v>
      </c>
      <c r="D4" s="345" t="str">
        <f aca="false">CONCATENATE("Φ",D5*1000,"×",D6*1000,"（T-T）",D3)</f>
        <v>Φ1400×4000（T-T）立式</v>
      </c>
      <c r="E4" s="208" t="str">
        <f aca="false">CONCATENATE("Φ",E5*1000,"×",E6*1000,"（T-T）",E3)</f>
        <v>Φ1800×5700（T-T）立式</v>
      </c>
      <c r="F4" s="208" t="str">
        <f aca="false">CONCATENATE("Φ",F5*1000,"×",F6*1000,"（T-T）",F3)</f>
        <v>Φ3000×9000（T-T）立式</v>
      </c>
      <c r="G4" s="208" t="str">
        <f aca="false">CONCATENATE("Φ",G5*1000,"×",G6*1000,"（T-T）",G3)</f>
        <v>Φ2200×6000（T-T）立式</v>
      </c>
      <c r="H4" s="346" t="str">
        <f aca="false">CONCATENATE("Φ",H5*1000,"×",H6*1000,"（T-T）",H3)</f>
        <v>Φ2000×4000（T-T）立式</v>
      </c>
      <c r="I4" s="346" t="str">
        <f aca="false">CONCATENATE("Φ",I5*1000,"×",I6*1000,"（T-T）",I3)</f>
        <v>Φ1000×2500（T-T）卧式</v>
      </c>
      <c r="J4" s="346" t="str">
        <f aca="false">CONCATENATE("Φ",J5*1000,"×",J6*1000,"（T-T）",J3)</f>
        <v>Φ2000×2635（T-T）立式</v>
      </c>
      <c r="K4" s="346" t="str">
        <f aca="false">CONCATENATE("Φ",K5*1000,"×",K6*1000,"（T-T）",K3)</f>
        <v>Φ1800×4000（T-T）卧式</v>
      </c>
      <c r="M4" s="346"/>
      <c r="N4" s="346"/>
      <c r="O4" s="346"/>
      <c r="P4" s="346"/>
      <c r="Q4" s="346"/>
      <c r="R4" s="346"/>
      <c r="S4" s="346"/>
      <c r="T4" s="346"/>
      <c r="U4" s="346"/>
      <c r="V4" s="346"/>
      <c r="W4" s="346"/>
      <c r="X4" s="346"/>
    </row>
    <row r="5" customFormat="false" ht="15" hidden="false" customHeight="false" outlineLevel="0" collapsed="false">
      <c r="A5" s="347" t="s">
        <v>674</v>
      </c>
      <c r="B5" s="344" t="n">
        <v>4</v>
      </c>
      <c r="C5" s="344" t="n">
        <v>4</v>
      </c>
      <c r="D5" s="348" t="n">
        <v>1.4</v>
      </c>
      <c r="E5" s="344" t="n">
        <v>1.8</v>
      </c>
      <c r="F5" s="344" t="n">
        <v>3</v>
      </c>
      <c r="G5" s="344" t="n">
        <v>2.2</v>
      </c>
      <c r="H5" s="340" t="n">
        <v>2</v>
      </c>
      <c r="I5" s="340" t="n">
        <v>1</v>
      </c>
      <c r="J5" s="340" t="n">
        <v>2</v>
      </c>
      <c r="K5" s="340" t="n">
        <v>1.8</v>
      </c>
      <c r="L5" s="344"/>
      <c r="M5" s="340"/>
      <c r="N5" s="340"/>
      <c r="O5" s="340"/>
      <c r="P5" s="340"/>
      <c r="Q5" s="340"/>
      <c r="R5" s="340"/>
      <c r="S5" s="340"/>
      <c r="T5" s="340"/>
      <c r="U5" s="340"/>
      <c r="V5" s="340"/>
      <c r="W5" s="340"/>
      <c r="X5" s="340"/>
    </row>
    <row r="6" customFormat="false" ht="15" hidden="false" customHeight="false" outlineLevel="0" collapsed="false">
      <c r="A6" s="347" t="s">
        <v>675</v>
      </c>
      <c r="B6" s="344" t="n">
        <v>12.3</v>
      </c>
      <c r="C6" s="344" t="n">
        <v>12.3</v>
      </c>
      <c r="D6" s="348" t="n">
        <v>4</v>
      </c>
      <c r="E6" s="344" t="n">
        <v>5.7</v>
      </c>
      <c r="F6" s="344" t="n">
        <v>9</v>
      </c>
      <c r="G6" s="344" t="n">
        <v>6</v>
      </c>
      <c r="H6" s="340" t="n">
        <v>4</v>
      </c>
      <c r="I6" s="340" t="n">
        <v>2.5</v>
      </c>
      <c r="J6" s="340" t="n">
        <v>2.635</v>
      </c>
      <c r="K6" s="340" t="n">
        <v>4</v>
      </c>
      <c r="L6" s="344"/>
      <c r="M6" s="340"/>
      <c r="N6" s="340"/>
      <c r="O6" s="340"/>
      <c r="P6" s="340"/>
      <c r="Q6" s="340"/>
      <c r="R6" s="340"/>
      <c r="S6" s="340"/>
      <c r="T6" s="340"/>
      <c r="U6" s="340"/>
      <c r="V6" s="340"/>
      <c r="W6" s="340"/>
      <c r="X6" s="340"/>
    </row>
    <row r="7" customFormat="false" ht="15" hidden="false" customHeight="false" outlineLevel="0" collapsed="false">
      <c r="A7" s="207" t="s">
        <v>523</v>
      </c>
      <c r="B7" s="349"/>
      <c r="C7" s="349"/>
      <c r="D7" s="349"/>
      <c r="E7" s="349"/>
      <c r="F7" s="349"/>
      <c r="G7" s="349"/>
      <c r="H7" s="350"/>
      <c r="I7" s="350"/>
      <c r="J7" s="350"/>
      <c r="K7" s="350"/>
      <c r="L7" s="349"/>
      <c r="M7" s="350"/>
      <c r="N7" s="350"/>
      <c r="O7" s="350"/>
      <c r="P7" s="350"/>
      <c r="Q7" s="350"/>
      <c r="R7" s="350"/>
      <c r="S7" s="350"/>
      <c r="T7" s="350"/>
      <c r="U7" s="350"/>
      <c r="V7" s="350"/>
      <c r="W7" s="350"/>
      <c r="X7" s="350"/>
    </row>
    <row r="8" customFormat="false" ht="15" hidden="false" customHeight="false" outlineLevel="0" collapsed="false">
      <c r="A8" s="351" t="s">
        <v>526</v>
      </c>
      <c r="B8" s="349"/>
      <c r="C8" s="349"/>
      <c r="D8" s="349"/>
      <c r="E8" s="349"/>
      <c r="F8" s="349"/>
      <c r="G8" s="349"/>
      <c r="H8" s="350"/>
      <c r="I8" s="350"/>
      <c r="J8" s="350"/>
      <c r="K8" s="350"/>
      <c r="L8" s="349"/>
      <c r="M8" s="350"/>
      <c r="N8" s="350"/>
      <c r="O8" s="350"/>
      <c r="P8" s="350"/>
      <c r="Q8" s="350"/>
      <c r="R8" s="350"/>
      <c r="S8" s="350"/>
      <c r="T8" s="350"/>
      <c r="U8" s="350"/>
      <c r="V8" s="350"/>
      <c r="W8" s="350"/>
      <c r="X8" s="350"/>
    </row>
    <row r="9" customFormat="false" ht="15" hidden="false" customHeight="false" outlineLevel="0" collapsed="false">
      <c r="A9" s="351" t="s">
        <v>527</v>
      </c>
      <c r="B9" s="352"/>
      <c r="C9" s="352"/>
      <c r="D9" s="352"/>
      <c r="E9" s="352"/>
      <c r="F9" s="352"/>
      <c r="G9" s="352"/>
      <c r="H9" s="353"/>
      <c r="I9" s="353"/>
      <c r="J9" s="353"/>
      <c r="K9" s="353"/>
      <c r="L9" s="352"/>
      <c r="M9" s="353"/>
      <c r="N9" s="353"/>
      <c r="O9" s="353"/>
      <c r="P9" s="353"/>
      <c r="Q9" s="353"/>
      <c r="R9" s="353"/>
      <c r="S9" s="353"/>
      <c r="T9" s="353"/>
      <c r="U9" s="353"/>
      <c r="V9" s="353"/>
      <c r="W9" s="353"/>
      <c r="X9" s="353"/>
    </row>
    <row r="10" customFormat="false" ht="15" hidden="false" customHeight="false" outlineLevel="0" collapsed="false">
      <c r="A10" s="208" t="s">
        <v>398</v>
      </c>
      <c r="B10" s="344" t="s">
        <v>676</v>
      </c>
      <c r="C10" s="344" t="s">
        <v>676</v>
      </c>
      <c r="D10" s="344" t="s">
        <v>677</v>
      </c>
      <c r="E10" s="344" t="s">
        <v>678</v>
      </c>
      <c r="F10" s="344" t="s">
        <v>679</v>
      </c>
      <c r="G10" s="344" t="s">
        <v>680</v>
      </c>
      <c r="H10" s="340" t="s">
        <v>681</v>
      </c>
      <c r="I10" s="340" t="s">
        <v>682</v>
      </c>
      <c r="J10" s="340" t="s">
        <v>683</v>
      </c>
      <c r="K10" s="340" t="s">
        <v>684</v>
      </c>
      <c r="L10" s="344"/>
      <c r="M10" s="340"/>
      <c r="N10" s="340"/>
      <c r="O10" s="340"/>
      <c r="P10" s="340"/>
      <c r="Q10" s="340"/>
      <c r="R10" s="340"/>
      <c r="S10" s="340"/>
      <c r="T10" s="340"/>
      <c r="U10" s="340"/>
      <c r="V10" s="340"/>
      <c r="W10" s="340"/>
      <c r="X10" s="340"/>
    </row>
    <row r="11" customFormat="false" ht="15" hidden="false" customHeight="false" outlineLevel="0" collapsed="false">
      <c r="A11" s="346" t="s">
        <v>489</v>
      </c>
      <c r="B11" s="223" t="n">
        <v>185</v>
      </c>
      <c r="C11" s="223" t="n">
        <v>185</v>
      </c>
      <c r="D11" s="223" t="n">
        <v>104</v>
      </c>
      <c r="E11" s="223" t="n">
        <v>50</v>
      </c>
      <c r="F11" s="223" t="n">
        <v>55</v>
      </c>
      <c r="G11" s="223" t="n">
        <v>40</v>
      </c>
      <c r="H11" s="223" t="n">
        <v>185</v>
      </c>
      <c r="I11" s="223" t="n">
        <v>60</v>
      </c>
      <c r="J11" s="223" t="n">
        <v>43</v>
      </c>
      <c r="K11" s="223" t="n">
        <v>40</v>
      </c>
      <c r="L11" s="223"/>
      <c r="M11" s="354"/>
      <c r="N11" s="340"/>
      <c r="O11" s="340"/>
      <c r="P11" s="340"/>
      <c r="Q11" s="340"/>
      <c r="R11" s="340"/>
      <c r="S11" s="340"/>
      <c r="T11" s="340"/>
      <c r="U11" s="340"/>
      <c r="V11" s="340"/>
      <c r="W11" s="340"/>
      <c r="X11" s="340"/>
    </row>
    <row r="12" customFormat="false" ht="15" hidden="false" customHeight="false" outlineLevel="0" collapsed="false">
      <c r="A12" s="346" t="s">
        <v>685</v>
      </c>
      <c r="B12" s="344" t="n">
        <v>0.2</v>
      </c>
      <c r="C12" s="344" t="n">
        <v>0.4</v>
      </c>
      <c r="D12" s="344" t="n">
        <v>0.4</v>
      </c>
      <c r="E12" s="344" t="n">
        <v>0.2</v>
      </c>
      <c r="F12" s="344" t="n">
        <v>0.4</v>
      </c>
      <c r="G12" s="344" t="n">
        <v>0.6</v>
      </c>
      <c r="H12" s="340" t="n">
        <v>0.15</v>
      </c>
      <c r="I12" s="340" t="n">
        <v>0.1</v>
      </c>
      <c r="J12" s="340" t="n">
        <v>0</v>
      </c>
      <c r="K12" s="340" t="n">
        <v>0.1</v>
      </c>
      <c r="L12" s="212"/>
      <c r="M12" s="340"/>
      <c r="N12" s="340"/>
      <c r="O12" s="340"/>
      <c r="P12" s="340"/>
      <c r="Q12" s="340"/>
      <c r="R12" s="340"/>
      <c r="S12" s="340"/>
      <c r="T12" s="340"/>
      <c r="U12" s="340"/>
      <c r="V12" s="340"/>
      <c r="W12" s="340"/>
      <c r="X12" s="340"/>
    </row>
    <row r="13" customFormat="false" ht="15" hidden="false" customHeight="false" outlineLevel="0" collapsed="false">
      <c r="A13" s="261" t="s">
        <v>530</v>
      </c>
      <c r="B13" s="344" t="n">
        <v>1</v>
      </c>
      <c r="C13" s="344" t="n">
        <v>1.8</v>
      </c>
      <c r="D13" s="344" t="n">
        <v>0.5</v>
      </c>
      <c r="E13" s="344" t="n">
        <v>1</v>
      </c>
      <c r="F13" s="344" t="n">
        <v>1</v>
      </c>
      <c r="G13" s="344" t="n">
        <v>0.7</v>
      </c>
      <c r="H13" s="340" t="n">
        <v>0.2</v>
      </c>
      <c r="I13" s="340" t="n">
        <v>0.8</v>
      </c>
      <c r="J13" s="340"/>
      <c r="K13" s="340"/>
      <c r="L13" s="344"/>
      <c r="M13" s="340"/>
      <c r="N13" s="340"/>
      <c r="O13" s="340"/>
      <c r="P13" s="340"/>
      <c r="Q13" s="340"/>
      <c r="R13" s="340"/>
      <c r="S13" s="340"/>
      <c r="T13" s="340"/>
      <c r="U13" s="340"/>
      <c r="V13" s="340"/>
      <c r="W13" s="340"/>
      <c r="X13" s="340"/>
    </row>
    <row r="14" customFormat="false" ht="15" hidden="false" customHeight="false" outlineLevel="0" collapsed="false">
      <c r="A14" s="355" t="s">
        <v>686</v>
      </c>
      <c r="B14" s="223" t="n">
        <v>309524</v>
      </c>
      <c r="C14" s="223" t="n">
        <v>309524</v>
      </c>
      <c r="D14" s="223" t="n">
        <v>13100</v>
      </c>
      <c r="E14" s="223"/>
      <c r="F14" s="223" t="n">
        <v>164000</v>
      </c>
      <c r="G14" s="223" t="n">
        <v>6000</v>
      </c>
      <c r="H14" s="223" t="n">
        <v>30850</v>
      </c>
      <c r="I14" s="223" t="n">
        <v>100</v>
      </c>
      <c r="J14" s="223" t="n">
        <v>18602</v>
      </c>
      <c r="K14" s="223" t="n">
        <v>20000</v>
      </c>
      <c r="L14" s="223"/>
      <c r="M14" s="223"/>
      <c r="N14" s="340"/>
      <c r="O14" s="356"/>
      <c r="P14" s="340"/>
      <c r="Q14" s="340"/>
      <c r="R14" s="223"/>
      <c r="S14" s="357"/>
      <c r="T14" s="223"/>
      <c r="U14" s="340"/>
      <c r="V14" s="223"/>
      <c r="W14" s="223"/>
      <c r="X14" s="223"/>
    </row>
    <row r="15" customFormat="false" ht="15" hidden="false" customHeight="false" outlineLevel="0" collapsed="false">
      <c r="A15" s="347" t="s">
        <v>533</v>
      </c>
      <c r="B15" s="237" t="n">
        <v>1.1</v>
      </c>
      <c r="C15" s="237" t="n">
        <v>1.1</v>
      </c>
      <c r="D15" s="237" t="n">
        <v>1.1</v>
      </c>
      <c r="E15" s="237" t="n">
        <v>1.1</v>
      </c>
      <c r="F15" s="237" t="n">
        <v>1.1</v>
      </c>
      <c r="G15" s="237" t="n">
        <v>1.1</v>
      </c>
      <c r="H15" s="357" t="n">
        <v>1.1</v>
      </c>
      <c r="I15" s="357" t="n">
        <v>1.1</v>
      </c>
      <c r="J15" s="357" t="n">
        <v>1.1</v>
      </c>
      <c r="K15" s="357" t="n">
        <v>1.1</v>
      </c>
      <c r="L15" s="237"/>
      <c r="M15" s="357"/>
      <c r="N15" s="357"/>
      <c r="O15" s="357"/>
      <c r="P15" s="357"/>
      <c r="Q15" s="357"/>
      <c r="R15" s="357"/>
      <c r="S15" s="357"/>
      <c r="T15" s="357"/>
      <c r="U15" s="357"/>
      <c r="V15" s="357"/>
      <c r="W15" s="357"/>
      <c r="X15" s="357"/>
    </row>
    <row r="16" customFormat="false" ht="15" hidden="false" customHeight="false" outlineLevel="0" collapsed="false">
      <c r="A16" s="208" t="s">
        <v>687</v>
      </c>
      <c r="B16" s="209" t="n">
        <f aca="false">B14*B15</f>
        <v>340476.4</v>
      </c>
      <c r="C16" s="209" t="n">
        <f aca="false">C14*C15</f>
        <v>340476.4</v>
      </c>
      <c r="D16" s="209" t="n">
        <f aca="false">D14*D15</f>
        <v>14410</v>
      </c>
      <c r="E16" s="209" t="n">
        <f aca="false">E14*E15</f>
        <v>0</v>
      </c>
      <c r="F16" s="209" t="n">
        <f aca="false">F14*F15</f>
        <v>180400</v>
      </c>
      <c r="G16" s="209" t="n">
        <f aca="false">G14*G15</f>
        <v>6600</v>
      </c>
      <c r="H16" s="358" t="n">
        <f aca="false">H14*H15</f>
        <v>33935</v>
      </c>
      <c r="I16" s="358" t="n">
        <f aca="false">I14*I15</f>
        <v>110</v>
      </c>
      <c r="J16" s="358" t="n">
        <f aca="false">J14*J15</f>
        <v>20462.2</v>
      </c>
      <c r="K16" s="358" t="n">
        <f aca="false">K14*K15</f>
        <v>22000</v>
      </c>
      <c r="L16" s="209"/>
      <c r="M16" s="358"/>
      <c r="N16" s="358"/>
      <c r="O16" s="358"/>
      <c r="P16" s="358"/>
      <c r="Q16" s="358"/>
      <c r="R16" s="358"/>
      <c r="S16" s="358"/>
      <c r="T16" s="358"/>
      <c r="U16" s="358"/>
      <c r="V16" s="358"/>
      <c r="W16" s="358"/>
      <c r="X16" s="358"/>
    </row>
    <row r="17" customFormat="false" ht="15" hidden="false" customHeight="false" outlineLevel="0" collapsed="false">
      <c r="A17" s="355" t="s">
        <v>688</v>
      </c>
      <c r="B17" s="212" t="n">
        <v>796.1</v>
      </c>
      <c r="C17" s="212" t="n">
        <v>796.1</v>
      </c>
      <c r="D17" s="212" t="n">
        <v>953.7</v>
      </c>
      <c r="E17" s="212" t="n">
        <v>900</v>
      </c>
      <c r="F17" s="212" t="n">
        <v>1009.8</v>
      </c>
      <c r="G17" s="212" t="n">
        <v>1020</v>
      </c>
      <c r="H17" s="212" t="n">
        <v>796.2</v>
      </c>
      <c r="I17" s="212" t="n">
        <v>850</v>
      </c>
      <c r="J17" s="212" t="n">
        <v>960</v>
      </c>
      <c r="K17" s="212" t="n">
        <v>1010</v>
      </c>
      <c r="L17" s="212"/>
      <c r="M17" s="212"/>
      <c r="N17" s="340"/>
      <c r="O17" s="340"/>
      <c r="P17" s="340"/>
      <c r="Q17" s="340"/>
      <c r="R17" s="357"/>
      <c r="S17" s="357"/>
      <c r="T17" s="357"/>
      <c r="U17" s="357"/>
      <c r="V17" s="357"/>
      <c r="W17" s="357"/>
      <c r="X17" s="357"/>
    </row>
    <row r="18" customFormat="false" ht="15" hidden="false" customHeight="false" outlineLevel="0" collapsed="false">
      <c r="A18" s="355" t="s">
        <v>689</v>
      </c>
      <c r="B18" s="359" t="n">
        <f aca="false">B16/B17</f>
        <v>427.680442155508</v>
      </c>
      <c r="C18" s="359" t="n">
        <f aca="false">C16/C17</f>
        <v>427.680442155508</v>
      </c>
      <c r="D18" s="359" t="n">
        <f aca="false">D16/D17</f>
        <v>15.1095732410611</v>
      </c>
      <c r="E18" s="360" t="n">
        <v>10</v>
      </c>
      <c r="F18" s="359" t="n">
        <f aca="false">F16/F17</f>
        <v>178.649237472767</v>
      </c>
      <c r="G18" s="359" t="n">
        <f aca="false">G16/G17</f>
        <v>6.47058823529412</v>
      </c>
      <c r="H18" s="361" t="n">
        <f aca="false">H16/H17</f>
        <v>42.6212007033409</v>
      </c>
      <c r="I18" s="361" t="n">
        <f aca="false">I16/I17</f>
        <v>0.129411764705882</v>
      </c>
      <c r="J18" s="361" t="n">
        <f aca="false">J16/J17</f>
        <v>21.3147916666667</v>
      </c>
      <c r="K18" s="361" t="n">
        <f aca="false">K16/K17</f>
        <v>21.7821782178218</v>
      </c>
      <c r="L18" s="359"/>
      <c r="M18" s="361"/>
      <c r="N18" s="361"/>
      <c r="O18" s="361"/>
      <c r="P18" s="361"/>
      <c r="Q18" s="361"/>
      <c r="R18" s="361"/>
      <c r="S18" s="361"/>
      <c r="T18" s="361"/>
      <c r="U18" s="361"/>
      <c r="V18" s="361"/>
      <c r="W18" s="361"/>
      <c r="X18" s="361"/>
    </row>
    <row r="19" customFormat="false" ht="15" hidden="false" customHeight="false" outlineLevel="0" collapsed="false">
      <c r="A19" s="355" t="s">
        <v>690</v>
      </c>
      <c r="B19" s="362" t="n">
        <f aca="false">0.785*B5*B5</f>
        <v>12.56</v>
      </c>
      <c r="C19" s="362" t="n">
        <f aca="false">0.785*C5*C5</f>
        <v>12.56</v>
      </c>
      <c r="D19" s="362" t="n">
        <f aca="false">0.785*D5*D5</f>
        <v>1.5386</v>
      </c>
      <c r="E19" s="362" t="n">
        <f aca="false">0.785*E5*E5</f>
        <v>2.5434</v>
      </c>
      <c r="F19" s="362" t="n">
        <f aca="false">0.785*F5*F5</f>
        <v>7.065</v>
      </c>
      <c r="G19" s="362" t="n">
        <f aca="false">0.785*G5*G5</f>
        <v>3.7994</v>
      </c>
      <c r="H19" s="363" t="n">
        <f aca="false">0.785*H5*H5</f>
        <v>3.14</v>
      </c>
      <c r="I19" s="363" t="n">
        <f aca="false">0.785*I5*I5</f>
        <v>0.785</v>
      </c>
      <c r="J19" s="363" t="n">
        <f aca="false">0.785*J5*J5</f>
        <v>3.14</v>
      </c>
      <c r="K19" s="363" t="n">
        <f aca="false">0.785*K5*K5</f>
        <v>2.5434</v>
      </c>
      <c r="L19" s="362"/>
      <c r="M19" s="363"/>
      <c r="N19" s="363"/>
      <c r="O19" s="363"/>
      <c r="P19" s="363"/>
      <c r="Q19" s="363"/>
      <c r="R19" s="363"/>
      <c r="S19" s="363"/>
      <c r="T19" s="363"/>
      <c r="U19" s="363"/>
      <c r="V19" s="363"/>
      <c r="W19" s="363"/>
      <c r="X19" s="363"/>
    </row>
    <row r="20" customFormat="false" ht="15" hidden="false" customHeight="false" outlineLevel="0" collapsed="false">
      <c r="A20" s="364" t="s">
        <v>691</v>
      </c>
      <c r="B20" s="365" t="n">
        <f aca="false">B18/B19/3600</f>
        <v>0.00945860850485466</v>
      </c>
      <c r="C20" s="365" t="n">
        <f aca="false">C18/C19/3600</f>
        <v>0.00945860850485466</v>
      </c>
      <c r="D20" s="365" t="n">
        <f aca="false">D18/D19/3600</f>
        <v>0.00272787188227774</v>
      </c>
      <c r="E20" s="365" t="n">
        <f aca="false">E18/E19/3600</f>
        <v>0.00109215136344176</v>
      </c>
      <c r="F20" s="365" t="n">
        <f aca="false">F18/F19/3600</f>
        <v>0.00702403229821369</v>
      </c>
      <c r="G20" s="365" t="n">
        <f aca="false">G18/G19/3600</f>
        <v>0.000473070911437341</v>
      </c>
      <c r="H20" s="365" t="n">
        <f aca="false">H18/H19/3600</f>
        <v>0.00377045299923398</v>
      </c>
      <c r="I20" s="365" t="n">
        <f aca="false">I18/I19/3600</f>
        <v>4.57932642271346E-005</v>
      </c>
      <c r="J20" s="365" t="n">
        <f aca="false">J18/J19/3600</f>
        <v>0.0018855972811984</v>
      </c>
      <c r="K20" s="365" t="n">
        <f aca="false">K18/K19/3600</f>
        <v>0.00237894356393255</v>
      </c>
      <c r="L20" s="365"/>
      <c r="M20" s="365"/>
      <c r="N20" s="365"/>
      <c r="O20" s="365"/>
      <c r="P20" s="365"/>
      <c r="Q20" s="365"/>
      <c r="R20" s="365"/>
      <c r="S20" s="365"/>
      <c r="T20" s="365"/>
      <c r="U20" s="365"/>
      <c r="V20" s="365"/>
      <c r="W20" s="365"/>
      <c r="X20" s="365"/>
    </row>
    <row r="21" customFormat="false" ht="15" hidden="false" customHeight="false" outlineLevel="0" collapsed="false">
      <c r="A21" s="347" t="s">
        <v>692</v>
      </c>
      <c r="B21" s="344" t="n">
        <v>0.015</v>
      </c>
      <c r="C21" s="344" t="n">
        <v>0.015</v>
      </c>
      <c r="D21" s="344" t="n">
        <v>0.015</v>
      </c>
      <c r="E21" s="344" t="n">
        <v>0.015</v>
      </c>
      <c r="F21" s="344" t="n">
        <v>0.015</v>
      </c>
      <c r="G21" s="344" t="n">
        <v>0.015</v>
      </c>
      <c r="H21" s="340" t="n">
        <v>0.015</v>
      </c>
      <c r="I21" s="340" t="n">
        <v>0.015</v>
      </c>
      <c r="J21" s="340" t="n">
        <v>0.015</v>
      </c>
      <c r="K21" s="340" t="n">
        <v>0.015</v>
      </c>
      <c r="L21" s="344"/>
      <c r="M21" s="340"/>
      <c r="N21" s="340"/>
      <c r="O21" s="340"/>
      <c r="P21" s="340"/>
      <c r="Q21" s="340"/>
      <c r="R21" s="340"/>
      <c r="S21" s="340"/>
      <c r="T21" s="340"/>
      <c r="U21" s="340"/>
      <c r="V21" s="340"/>
      <c r="W21" s="340"/>
      <c r="X21" s="340"/>
    </row>
    <row r="22" customFormat="false" ht="15" hidden="false" customHeight="false" outlineLevel="0" collapsed="false">
      <c r="A22" s="208" t="s">
        <v>693</v>
      </c>
      <c r="B22" s="362" t="n">
        <f aca="false">B19*B6*B30</f>
        <v>113.04</v>
      </c>
      <c r="C22" s="362" t="n">
        <f aca="false">C19*C6*C30</f>
        <v>113.04</v>
      </c>
      <c r="D22" s="362" t="n">
        <f aca="false">D19*D6*D30</f>
        <v>4.92352</v>
      </c>
      <c r="E22" s="362" t="n">
        <f aca="false">E19*E6*E30</f>
        <v>6.371217</v>
      </c>
      <c r="F22" s="362" t="n">
        <f aca="false">F19*F6*F30</f>
        <v>50.868</v>
      </c>
      <c r="G22" s="362" t="n">
        <f aca="false">G19*G6*G30</f>
        <v>18.23712</v>
      </c>
      <c r="H22" s="363" t="n">
        <f aca="false">H19*H6*H30</f>
        <v>10.048</v>
      </c>
      <c r="I22" s="363" t="n">
        <f aca="false">I19*I6*I30</f>
        <v>1.57</v>
      </c>
      <c r="J22" s="363" t="n">
        <f aca="false">J19*J6*J30</f>
        <v>5.295296</v>
      </c>
      <c r="K22" s="363" t="n">
        <f aca="false">K19*K6*K30</f>
        <v>8.13888</v>
      </c>
      <c r="L22" s="362"/>
      <c r="M22" s="363"/>
      <c r="N22" s="363"/>
      <c r="O22" s="363"/>
      <c r="P22" s="363"/>
      <c r="Q22" s="363"/>
      <c r="R22" s="363"/>
      <c r="S22" s="363"/>
      <c r="T22" s="363"/>
      <c r="U22" s="363"/>
      <c r="V22" s="363"/>
      <c r="W22" s="363"/>
      <c r="X22" s="363"/>
    </row>
    <row r="23" customFormat="false" ht="15" hidden="false" customHeight="false" outlineLevel="0" collapsed="false">
      <c r="A23" s="364" t="s">
        <v>694</v>
      </c>
      <c r="B23" s="361" t="n">
        <f aca="false">B22/B18*60</f>
        <v>15.858569463258</v>
      </c>
      <c r="C23" s="361" t="n">
        <f aca="false">C22/C18*60</f>
        <v>15.858569463258</v>
      </c>
      <c r="D23" s="361" t="n">
        <f aca="false">D22/D18*60</f>
        <v>19.5512603358779</v>
      </c>
      <c r="E23" s="361" t="n">
        <f aca="false">E22/E18*60</f>
        <v>38.227302</v>
      </c>
      <c r="F23" s="361" t="n">
        <f aca="false">F22/F18*60</f>
        <v>17.084203902439</v>
      </c>
      <c r="G23" s="361" t="n">
        <f aca="false">G22/G18*60</f>
        <v>169.10784</v>
      </c>
      <c r="H23" s="361" t="n">
        <f aca="false">H22/H18*60</f>
        <v>14.145073110358</v>
      </c>
      <c r="I23" s="361" t="n">
        <f aca="false">I22/I18*60</f>
        <v>727.909090909091</v>
      </c>
      <c r="J23" s="361" t="n">
        <f aca="false">J22/J18*60</f>
        <v>14.9059753887656</v>
      </c>
      <c r="K23" s="361" t="n">
        <f aca="false">K22/K18*60</f>
        <v>22.4189149090909</v>
      </c>
      <c r="L23" s="361"/>
      <c r="M23" s="361"/>
      <c r="N23" s="361"/>
      <c r="O23" s="361"/>
      <c r="P23" s="361"/>
      <c r="Q23" s="361"/>
      <c r="R23" s="361"/>
      <c r="S23" s="361"/>
      <c r="T23" s="361"/>
      <c r="U23" s="361"/>
      <c r="V23" s="361"/>
      <c r="W23" s="361"/>
      <c r="X23" s="361"/>
    </row>
    <row r="24" customFormat="false" ht="15" hidden="false" customHeight="false" outlineLevel="0" collapsed="false">
      <c r="A24" s="347" t="s">
        <v>695</v>
      </c>
      <c r="B24" s="344" t="n">
        <v>15</v>
      </c>
      <c r="C24" s="344" t="n">
        <v>15</v>
      </c>
      <c r="D24" s="344" t="n">
        <v>15</v>
      </c>
      <c r="E24" s="344" t="n">
        <v>15</v>
      </c>
      <c r="F24" s="344" t="n">
        <v>15</v>
      </c>
      <c r="G24" s="344" t="n">
        <v>15</v>
      </c>
      <c r="H24" s="340" t="n">
        <v>14</v>
      </c>
      <c r="I24" s="340" t="n">
        <v>15</v>
      </c>
      <c r="J24" s="340" t="n">
        <v>14</v>
      </c>
      <c r="K24" s="340" t="n">
        <v>14</v>
      </c>
      <c r="L24" s="344"/>
      <c r="M24" s="340"/>
      <c r="N24" s="340"/>
      <c r="O24" s="340"/>
      <c r="P24" s="340"/>
      <c r="Q24" s="340"/>
      <c r="R24" s="340"/>
      <c r="S24" s="340"/>
      <c r="T24" s="340"/>
      <c r="U24" s="340"/>
      <c r="V24" s="340"/>
      <c r="W24" s="340"/>
      <c r="X24" s="340"/>
    </row>
    <row r="25" s="369" customFormat="true" ht="15" hidden="false" customHeight="false" outlineLevel="0" collapsed="false">
      <c r="A25" s="366" t="s">
        <v>629</v>
      </c>
      <c r="B25" s="367" t="str">
        <f aca="false">IF(AND(B20&lt;B21,B23&gt;B24),"核算通过","核算未通过")</f>
        <v>核算通过</v>
      </c>
      <c r="C25" s="367" t="str">
        <f aca="false">IF(AND(C20&lt;C21,C23&gt;C24),"核算通过","核算未通过")</f>
        <v>核算通过</v>
      </c>
      <c r="D25" s="367" t="str">
        <f aca="false">IF(AND(D20&lt;D21,D23&gt;D24),"核算通过","核算未通过")</f>
        <v>核算通过</v>
      </c>
      <c r="E25" s="367" t="str">
        <f aca="false">IF(AND(E20&lt;E21,E23&gt;E24),"核算通过","核算未通过")</f>
        <v>核算通过</v>
      </c>
      <c r="F25" s="367" t="str">
        <f aca="false">IF(AND(F20&lt;F21,F23&gt;F24),"核算通过","核算未通过")</f>
        <v>核算通过</v>
      </c>
      <c r="G25" s="367" t="str">
        <f aca="false">IF(AND(G20&lt;G21,G23&gt;G24),"核算通过","核算未通过")</f>
        <v>核算通过</v>
      </c>
      <c r="H25" s="368" t="str">
        <f aca="false">IF(AND(H20&lt;H21,H23&gt;H24),"核算通过","核算未通过")</f>
        <v>核算通过</v>
      </c>
      <c r="I25" s="368" t="str">
        <f aca="false">IF(AND(I20&lt;I21,I23&gt;I24),"核算通过","核算未通过")</f>
        <v>核算通过</v>
      </c>
      <c r="J25" s="368" t="str">
        <f aca="false">IF(AND(J20&lt;J21,J23&gt;J24),"核算通过","核算未通过")</f>
        <v>核算通过</v>
      </c>
      <c r="K25" s="368" t="str">
        <f aca="false">IF(AND(K20&lt;K21,K23&gt;K24),"核算通过","核算未通过")</f>
        <v>核算通过</v>
      </c>
      <c r="L25" s="367"/>
      <c r="M25" s="368"/>
      <c r="N25" s="368"/>
      <c r="O25" s="368"/>
      <c r="P25" s="368"/>
      <c r="Q25" s="368"/>
      <c r="R25" s="368"/>
      <c r="S25" s="368"/>
      <c r="T25" s="368"/>
      <c r="U25" s="368"/>
      <c r="V25" s="368"/>
      <c r="W25" s="368"/>
      <c r="X25" s="368"/>
    </row>
    <row r="26" customFormat="false" ht="15" hidden="false" customHeight="false" outlineLevel="0" collapsed="false">
      <c r="A26" s="355" t="s">
        <v>277</v>
      </c>
      <c r="M26" s="243"/>
      <c r="N26" s="243"/>
      <c r="O26" s="243"/>
      <c r="P26" s="370"/>
      <c r="Q26" s="243"/>
      <c r="R26" s="243"/>
      <c r="S26" s="243"/>
      <c r="T26" s="243"/>
      <c r="U26" s="243"/>
      <c r="V26" s="243"/>
      <c r="W26" s="243"/>
      <c r="X26" s="243"/>
    </row>
    <row r="27" customFormat="false" ht="15" hidden="false" customHeight="false" outlineLevel="0" collapsed="false">
      <c r="A27" s="355"/>
      <c r="M27" s="243"/>
      <c r="N27" s="243"/>
      <c r="O27" s="243"/>
      <c r="P27" s="243"/>
      <c r="Q27" s="243"/>
      <c r="R27" s="243"/>
      <c r="S27" s="243"/>
      <c r="T27" s="243"/>
      <c r="U27" s="243"/>
      <c r="V27" s="243"/>
      <c r="W27" s="243"/>
      <c r="X27" s="243"/>
    </row>
    <row r="28" customFormat="false" ht="15" hidden="false" customHeight="false" outlineLevel="0" collapsed="false">
      <c r="A28" s="27" t="s">
        <v>652</v>
      </c>
      <c r="B28" s="206" t="n">
        <f aca="false">0.785*B5*B5*B6+3.14/24*2*B5^3</f>
        <v>171.234666666667</v>
      </c>
      <c r="C28" s="206" t="n">
        <f aca="false">0.785*C5*C5*C6+3.14/24*2*C5^3</f>
        <v>171.234666666667</v>
      </c>
      <c r="D28" s="206" t="n">
        <f aca="false">0.785*D5*D5*D6+3.14/24*2*D5^3</f>
        <v>6.87241333333333</v>
      </c>
      <c r="E28" s="206" t="n">
        <f aca="false">0.785*E5*E5*E6+3.14/24*2*E5^3</f>
        <v>16.02342</v>
      </c>
      <c r="F28" s="206" t="n">
        <f aca="false">0.785*F5*F5*F6+3.14/24*2*F5^3</f>
        <v>70.65</v>
      </c>
      <c r="G28" s="206" t="n">
        <f aca="false">0.785*G5*G5*G6+3.14/24*2*G5^3</f>
        <v>25.5826266666667</v>
      </c>
      <c r="H28" s="243" t="n">
        <f aca="false">0.785*H5*H5*H6+3.14/24*2*H5^3</f>
        <v>14.6533333333333</v>
      </c>
      <c r="I28" s="243" t="n">
        <f aca="false">0.785*I5*I5*I6+3.14/24*2*I5^3</f>
        <v>2.22416666666667</v>
      </c>
      <c r="J28" s="243" t="n">
        <f aca="false">0.785*J5*J5*J6+3.14/24*2*J5^3</f>
        <v>10.3672333333333</v>
      </c>
      <c r="K28" s="243" t="n">
        <f aca="false">0.785*K5*K5*K6+3.14/24*2*K5^3</f>
        <v>11.69964</v>
      </c>
      <c r="M28" s="243"/>
      <c r="N28" s="243"/>
      <c r="O28" s="243"/>
      <c r="P28" s="243"/>
      <c r="Q28" s="243"/>
      <c r="R28" s="243"/>
      <c r="S28" s="243"/>
      <c r="T28" s="243"/>
      <c r="U28" s="243"/>
      <c r="V28" s="243"/>
      <c r="W28" s="243"/>
      <c r="X28" s="243"/>
    </row>
    <row r="29" customFormat="false" ht="15" hidden="false" customHeight="false" outlineLevel="0" collapsed="false">
      <c r="A29" s="355"/>
      <c r="M29" s="243"/>
      <c r="N29" s="243"/>
      <c r="O29" s="243"/>
      <c r="P29" s="243"/>
      <c r="Q29" s="243"/>
      <c r="R29" s="243"/>
      <c r="S29" s="243"/>
      <c r="T29" s="243"/>
      <c r="U29" s="243"/>
      <c r="V29" s="243"/>
      <c r="W29" s="243"/>
      <c r="X29" s="243"/>
    </row>
    <row r="30" customFormat="false" ht="15" hidden="false" customHeight="false" outlineLevel="0" collapsed="false">
      <c r="A30" s="355" t="s">
        <v>633</v>
      </c>
      <c r="B30" s="206" t="n">
        <f aca="false">9000/12300</f>
        <v>0.731707317073171</v>
      </c>
      <c r="C30" s="206" t="n">
        <f aca="false">9000/12300</f>
        <v>0.731707317073171</v>
      </c>
      <c r="D30" s="0" t="n">
        <v>0.8</v>
      </c>
      <c r="E30" s="206" t="n">
        <f aca="false">2.505/5.7</f>
        <v>0.439473684210526</v>
      </c>
      <c r="F30" s="0" t="n">
        <v>0.8</v>
      </c>
      <c r="G30" s="0" t="n">
        <v>0.8</v>
      </c>
      <c r="H30" s="243" t="n">
        <v>0.8</v>
      </c>
      <c r="I30" s="243" t="n">
        <v>0.8</v>
      </c>
      <c r="J30" s="243" t="n">
        <v>0.64</v>
      </c>
      <c r="K30" s="243" t="n">
        <v>0.8</v>
      </c>
      <c r="M30" s="243"/>
      <c r="N30" s="243"/>
      <c r="O30" s="243"/>
      <c r="P30" s="243"/>
      <c r="Q30" s="243"/>
      <c r="R30" s="243"/>
      <c r="S30" s="243"/>
      <c r="T30" s="243"/>
      <c r="U30" s="243"/>
      <c r="V30" s="243"/>
      <c r="W30" s="243"/>
      <c r="X30" s="243"/>
    </row>
    <row r="31" customFormat="false" ht="15" hidden="false" customHeight="false" outlineLevel="0" collapsed="false">
      <c r="A31" s="355"/>
      <c r="M31" s="243"/>
      <c r="N31" s="243"/>
      <c r="O31" s="243"/>
      <c r="P31" s="243"/>
      <c r="Q31" s="243"/>
      <c r="R31" s="243"/>
      <c r="S31" s="243"/>
      <c r="T31" s="243"/>
      <c r="U31" s="243"/>
      <c r="V31" s="243"/>
      <c r="W31" s="243"/>
      <c r="X31" s="243"/>
    </row>
    <row r="32" customFormat="false" ht="15" hidden="false" customHeight="false" outlineLevel="0" collapsed="false">
      <c r="A32" s="371" t="s">
        <v>696</v>
      </c>
      <c r="B32" s="277" t="n">
        <v>10</v>
      </c>
      <c r="C32" s="277" t="n">
        <v>10</v>
      </c>
      <c r="D32" s="277" t="n">
        <v>3.4</v>
      </c>
      <c r="E32" s="277" t="n">
        <v>4.5</v>
      </c>
      <c r="F32" s="277" t="n">
        <v>8</v>
      </c>
      <c r="G32" s="277" t="n">
        <v>5.4</v>
      </c>
      <c r="H32" s="277" t="n">
        <v>3.6</v>
      </c>
      <c r="I32" s="277" t="n">
        <v>2</v>
      </c>
      <c r="J32" s="277" t="n">
        <v>2.1</v>
      </c>
      <c r="K32" s="277" t="n">
        <v>3.6</v>
      </c>
      <c r="M32" s="243"/>
      <c r="N32" s="243"/>
      <c r="O32" s="243"/>
      <c r="P32" s="243"/>
      <c r="Q32" s="243"/>
      <c r="R32" s="243"/>
      <c r="S32" s="243"/>
      <c r="T32" s="243"/>
      <c r="U32" s="243"/>
      <c r="V32" s="243"/>
      <c r="W32" s="243"/>
      <c r="X32" s="243"/>
    </row>
    <row r="33" customFormat="false" ht="15" hidden="false" customHeight="false" outlineLevel="0" collapsed="false">
      <c r="A33" s="371" t="s">
        <v>697</v>
      </c>
      <c r="B33" s="277" t="n">
        <v>1.35</v>
      </c>
      <c r="C33" s="277" t="n">
        <v>1.35</v>
      </c>
      <c r="D33" s="277" t="n">
        <v>0.8</v>
      </c>
      <c r="E33" s="277" t="n">
        <v>0.55</v>
      </c>
      <c r="F33" s="277" t="n">
        <v>0.3</v>
      </c>
      <c r="G33" s="277" t="n">
        <v>0.4</v>
      </c>
      <c r="H33" s="277" t="n">
        <v>0.4</v>
      </c>
      <c r="I33" s="277" t="n">
        <v>0.1</v>
      </c>
      <c r="J33" s="277" t="n">
        <v>0.4</v>
      </c>
      <c r="K33" s="277" t="n">
        <v>0.2</v>
      </c>
      <c r="M33" s="243"/>
      <c r="N33" s="243"/>
      <c r="O33" s="243"/>
      <c r="P33" s="243"/>
      <c r="Q33" s="243"/>
      <c r="R33" s="243"/>
      <c r="S33" s="243"/>
      <c r="T33" s="243"/>
      <c r="U33" s="243"/>
      <c r="V33" s="243"/>
      <c r="W33" s="243"/>
      <c r="X33" s="243"/>
    </row>
    <row r="34" customFormat="false" ht="15" hidden="false" customHeight="false" outlineLevel="0" collapsed="false">
      <c r="A34" s="371" t="s">
        <v>698</v>
      </c>
      <c r="B34" s="277" t="n">
        <f aca="false">B32-B33</f>
        <v>8.65</v>
      </c>
      <c r="C34" s="277" t="n">
        <f aca="false">C32-C33</f>
        <v>8.65</v>
      </c>
      <c r="D34" s="277" t="n">
        <f aca="false">D32-D33</f>
        <v>2.6</v>
      </c>
      <c r="E34" s="277" t="n">
        <f aca="false">E32-E33</f>
        <v>3.95</v>
      </c>
      <c r="F34" s="277" t="n">
        <f aca="false">F32-F33</f>
        <v>7.7</v>
      </c>
      <c r="G34" s="277" t="n">
        <f aca="false">G32-G33</f>
        <v>5</v>
      </c>
      <c r="H34" s="277" t="n">
        <f aca="false">H32-H33</f>
        <v>3.2</v>
      </c>
      <c r="I34" s="277" t="n">
        <f aca="false">I32-I33</f>
        <v>1.9</v>
      </c>
      <c r="J34" s="277" t="n">
        <f aca="false">J32-J33</f>
        <v>1.7</v>
      </c>
      <c r="K34" s="277" t="n">
        <f aca="false">K32-K33</f>
        <v>3.4</v>
      </c>
      <c r="M34" s="243"/>
      <c r="N34" s="243"/>
      <c r="O34" s="243"/>
      <c r="P34" s="243"/>
      <c r="Q34" s="243"/>
      <c r="R34" s="243"/>
      <c r="S34" s="243"/>
      <c r="T34" s="243"/>
      <c r="U34" s="243"/>
      <c r="V34" s="243"/>
      <c r="W34" s="243"/>
      <c r="X34" s="243"/>
    </row>
    <row r="35" customFormat="false" ht="15" hidden="false" customHeight="false" outlineLevel="0" collapsed="false">
      <c r="A35" s="371" t="s">
        <v>699</v>
      </c>
      <c r="B35" s="372" t="n">
        <f aca="false">B34*B19/B18*60</f>
        <v>15.2418473174646</v>
      </c>
      <c r="C35" s="372" t="n">
        <f aca="false">C34*C19/C18*60</f>
        <v>15.2418473174646</v>
      </c>
      <c r="D35" s="372" t="n">
        <f aca="false">D34*D19/D18*60</f>
        <v>15.8853990229008</v>
      </c>
      <c r="E35" s="372" t="n">
        <f aca="false">E34*E19/E18*60</f>
        <v>60.27858</v>
      </c>
      <c r="F35" s="372" t="n">
        <f aca="false">F34*F19/F18*60</f>
        <v>18.2706069512195</v>
      </c>
      <c r="G35" s="372" t="n">
        <f aca="false">G34*G19/G18*60</f>
        <v>176.154</v>
      </c>
      <c r="H35" s="372" t="n">
        <f aca="false">H34*H19/H18*60</f>
        <v>14.145073110358</v>
      </c>
      <c r="I35" s="372" t="n">
        <f aca="false">I34*I19/I18*60</f>
        <v>691.513636363636</v>
      </c>
      <c r="J35" s="372" t="n">
        <f aca="false">J34*J19/J18*60</f>
        <v>15.0261848677073</v>
      </c>
      <c r="K35" s="372" t="n">
        <f aca="false">K34*K19/K18*60</f>
        <v>23.8200970909091</v>
      </c>
      <c r="M35" s="243"/>
      <c r="N35" s="243"/>
      <c r="O35" s="243"/>
      <c r="P35" s="243"/>
      <c r="Q35" s="243"/>
      <c r="R35" s="243"/>
      <c r="S35" s="243"/>
      <c r="T35" s="243"/>
      <c r="U35" s="243"/>
      <c r="V35" s="243"/>
      <c r="W35" s="243"/>
      <c r="X35" s="243"/>
    </row>
    <row r="36" customFormat="false" ht="15" hidden="false" customHeight="false" outlineLevel="0" collapsed="false">
      <c r="A36" s="371"/>
      <c r="B36" s="277"/>
      <c r="C36" s="277"/>
      <c r="D36" s="277"/>
      <c r="E36" s="277"/>
      <c r="F36" s="277"/>
      <c r="G36" s="277"/>
      <c r="H36" s="277"/>
      <c r="I36" s="277"/>
      <c r="J36" s="277"/>
      <c r="K36" s="277"/>
      <c r="M36" s="243"/>
      <c r="N36" s="243"/>
      <c r="O36" s="243"/>
      <c r="P36" s="243"/>
      <c r="Q36" s="243"/>
      <c r="R36" s="243"/>
      <c r="S36" s="243"/>
      <c r="T36" s="243"/>
      <c r="U36" s="243"/>
      <c r="V36" s="243"/>
      <c r="W36" s="243"/>
      <c r="X36" s="243"/>
    </row>
    <row r="37" customFormat="false" ht="15" hidden="false" customHeight="false" outlineLevel="0" collapsed="false">
      <c r="A37" s="269" t="s">
        <v>542</v>
      </c>
      <c r="M37" s="243"/>
      <c r="N37" s="243"/>
      <c r="O37" s="243"/>
      <c r="P37" s="243"/>
      <c r="Q37" s="243"/>
      <c r="R37" s="243"/>
      <c r="S37" s="243"/>
      <c r="T37" s="243"/>
      <c r="U37" s="243"/>
      <c r="V37" s="243"/>
      <c r="W37" s="243"/>
      <c r="X37" s="243"/>
    </row>
    <row r="38" customFormat="false" ht="15" hidden="false" customHeight="false" outlineLevel="0" collapsed="false">
      <c r="A38" s="269" t="s">
        <v>543</v>
      </c>
      <c r="M38" s="243"/>
      <c r="N38" s="243"/>
      <c r="O38" s="243"/>
      <c r="P38" s="243"/>
      <c r="Q38" s="243"/>
      <c r="R38" s="243"/>
    </row>
    <row r="39" customFormat="false" ht="15" hidden="false" customHeight="false" outlineLevel="0" collapsed="false">
      <c r="A39" s="269" t="s">
        <v>544</v>
      </c>
    </row>
    <row r="40" customFormat="false" ht="15" hidden="false" customHeight="false" outlineLevel="0" collapsed="false"/>
    <row r="41" customFormat="false" ht="15" hidden="false" customHeight="false" outlineLevel="0" collapsed="false">
      <c r="A41" s="355" t="s">
        <v>700</v>
      </c>
    </row>
    <row r="42" customFormat="false" ht="15" hidden="false" customHeight="false" outlineLevel="0" collapsed="false">
      <c r="A42" s="347" t="s">
        <v>533</v>
      </c>
    </row>
    <row r="43" customFormat="false" ht="15" hidden="false" customHeight="false" outlineLevel="0" collapsed="false">
      <c r="A43" s="355" t="s">
        <v>701</v>
      </c>
    </row>
    <row r="44" customFormat="false" ht="15" hidden="false" customHeight="false" outlineLevel="0" collapsed="false">
      <c r="A44" s="355" t="s">
        <v>702</v>
      </c>
    </row>
    <row r="45" customFormat="false" ht="15" hidden="false" customHeight="false" outlineLevel="0" collapsed="false">
      <c r="A45" s="355" t="s">
        <v>703</v>
      </c>
    </row>
    <row r="46" customFormat="false" ht="15" hidden="false" customHeight="false" outlineLevel="0" collapsed="false">
      <c r="A46" s="364" t="s">
        <v>704</v>
      </c>
    </row>
    <row r="47" customFormat="false" ht="15" hidden="false" customHeight="false" outlineLevel="0" collapsed="false"/>
    <row r="48" customFormat="false" ht="15" hidden="false" customHeight="false" outlineLevel="0" collapsed="false">
      <c r="A48" s="364" t="s">
        <v>634</v>
      </c>
      <c r="B48" s="206" t="n">
        <f aca="false">B17*B22+3.14/24*B5^3*B17</f>
        <v>96657.1546666667</v>
      </c>
      <c r="C48" s="206" t="n">
        <f aca="false">C17*C22+3.14/24*C5^3*C17</f>
        <v>96657.1546666667</v>
      </c>
      <c r="D48" s="206" t="n">
        <f aca="false">D17*D22+3.14/24*D5^3*D17</f>
        <v>5037.945682</v>
      </c>
      <c r="E48" s="206" t="n">
        <f aca="false">E17*E22+3.14/24*E5^3*E17</f>
        <v>6420.8133</v>
      </c>
      <c r="F48" s="206" t="n">
        <f aca="false">F17*F22+3.14/24*F5^3*F17</f>
        <v>54933.6249</v>
      </c>
      <c r="G48" s="206" t="n">
        <f aca="false">G17*G22+3.14/24*G5^3*G17</f>
        <v>20022.838</v>
      </c>
      <c r="H48" s="243" t="n">
        <f aca="false">H17*H22+3.14/24*H5^3*H17</f>
        <v>8833.5736</v>
      </c>
      <c r="I48" s="243" t="n">
        <f aca="false">I17*I22+3.14/24*I5^3*I17</f>
        <v>1445.70833333333</v>
      </c>
      <c r="J48" s="243" t="n">
        <f aca="false">J17*J22+3.14/24*J5^3*J17</f>
        <v>6088.28416</v>
      </c>
      <c r="K48" s="243" t="n">
        <f aca="false">K17*K22+3.14/24*K5^3*K17</f>
        <v>8990.919</v>
      </c>
      <c r="N48" s="0" t="n">
        <f aca="false">N17*N22</f>
        <v>0</v>
      </c>
      <c r="O48" s="0" t="n">
        <f aca="false">O17*O22</f>
        <v>0</v>
      </c>
      <c r="P48" s="0" t="n">
        <f aca="false">P17*P22</f>
        <v>0</v>
      </c>
      <c r="Q48" s="0" t="n">
        <f aca="false">Q17*Q22</f>
        <v>0</v>
      </c>
      <c r="R48" s="0" t="n">
        <f aca="false">R17*R22</f>
        <v>0</v>
      </c>
      <c r="S48" s="0" t="n">
        <f aca="false">S17*S22</f>
        <v>0</v>
      </c>
      <c r="T48" s="0" t="n">
        <f aca="false">T17*T22</f>
        <v>0</v>
      </c>
      <c r="U48" s="0" t="n">
        <f aca="false">U17*U22</f>
        <v>0</v>
      </c>
      <c r="V48" s="0" t="n">
        <f aca="false">V17*V22</f>
        <v>0</v>
      </c>
      <c r="W48" s="0" t="n">
        <f aca="false">W17*W22</f>
        <v>0</v>
      </c>
      <c r="X48" s="0" t="n">
        <f aca="false">X17*X22</f>
        <v>0</v>
      </c>
    </row>
  </sheetData>
  <conditionalFormatting sqref="K25">
    <cfRule type="cellIs" priority="2" operator="equal" aboveAverage="0" equalAverage="0" bottom="0" percent="0" rank="0" text="" dxfId="93">
      <formula>"核算未通过"</formula>
    </cfRule>
  </conditionalFormatting>
  <conditionalFormatting sqref="J25">
    <cfRule type="cellIs" priority="3" operator="equal" aboveAverage="0" equalAverage="0" bottom="0" percent="0" rank="0" text="" dxfId="94">
      <formula>"核算未通过"</formula>
    </cfRule>
  </conditionalFormatting>
  <conditionalFormatting sqref="B25">
    <cfRule type="cellIs" priority="4" operator="equal" aboveAverage="0" equalAverage="0" bottom="0" percent="0" rank="0" text="" dxfId="95">
      <formula>"核算未通过"</formula>
    </cfRule>
  </conditionalFormatting>
  <conditionalFormatting sqref="I25">
    <cfRule type="cellIs" priority="5" operator="equal" aboveAverage="0" equalAverage="0" bottom="0" percent="0" rank="0" text="" dxfId="96">
      <formula>"核算未通过"</formula>
    </cfRule>
  </conditionalFormatting>
  <conditionalFormatting sqref="H25">
    <cfRule type="cellIs" priority="6" operator="equal" aboveAverage="0" equalAverage="0" bottom="0" percent="0" rank="0" text="" dxfId="97">
      <formula>"核算未通过"</formula>
    </cfRule>
  </conditionalFormatting>
  <conditionalFormatting sqref="G25">
    <cfRule type="cellIs" priority="7" operator="equal" aboveAverage="0" equalAverage="0" bottom="0" percent="0" rank="0" text="" dxfId="98">
      <formula>"核算未通过"</formula>
    </cfRule>
  </conditionalFormatting>
  <conditionalFormatting sqref="E25">
    <cfRule type="cellIs" priority="8" operator="equal" aboveAverage="0" equalAverage="0" bottom="0" percent="0" rank="0" text="" dxfId="99">
      <formula>"核算未通过"</formula>
    </cfRule>
  </conditionalFormatting>
  <conditionalFormatting sqref="F25">
    <cfRule type="cellIs" priority="9" operator="equal" aboveAverage="0" equalAverage="0" bottom="0" percent="0" rank="0" text="" dxfId="100">
      <formula>"核算未通过"</formula>
    </cfRule>
  </conditionalFormatting>
  <conditionalFormatting sqref="X25">
    <cfRule type="cellIs" priority="10" operator="equal" aboveAverage="0" equalAverage="0" bottom="0" percent="0" rank="0" text="" dxfId="101">
      <formula>"核算未通过"</formula>
    </cfRule>
  </conditionalFormatting>
  <conditionalFormatting sqref="W25">
    <cfRule type="cellIs" priority="11" operator="equal" aboveAverage="0" equalAverage="0" bottom="0" percent="0" rank="0" text="" dxfId="102">
      <formula>"核算未通过"</formula>
    </cfRule>
  </conditionalFormatting>
  <conditionalFormatting sqref="S25">
    <cfRule type="cellIs" priority="12" operator="equal" aboveAverage="0" equalAverage="0" bottom="0" percent="0" rank="0" text="" dxfId="103">
      <formula>"核算未通过"</formula>
    </cfRule>
  </conditionalFormatting>
  <conditionalFormatting sqref="T25">
    <cfRule type="cellIs" priority="13" operator="equal" aboveAverage="0" equalAverage="0" bottom="0" percent="0" rank="0" text="" dxfId="104">
      <formula>"核算未通过"</formula>
    </cfRule>
  </conditionalFormatting>
  <conditionalFormatting sqref="Q25">
    <cfRule type="cellIs" priority="14" operator="equal" aboveAverage="0" equalAverage="0" bottom="0" percent="0" rank="0" text="" dxfId="105">
      <formula>"核算未通过"</formula>
    </cfRule>
  </conditionalFormatting>
  <conditionalFormatting sqref="P25">
    <cfRule type="cellIs" priority="15" operator="equal" aboveAverage="0" equalAverage="0" bottom="0" percent="0" rank="0" text="" dxfId="106">
      <formula>"核算未通过"</formula>
    </cfRule>
  </conditionalFormatting>
  <conditionalFormatting sqref="O25">
    <cfRule type="cellIs" priority="16" operator="equal" aboveAverage="0" equalAverage="0" bottom="0" percent="0" rank="0" text="" dxfId="107">
      <formula>"核算未通过"</formula>
    </cfRule>
  </conditionalFormatting>
  <conditionalFormatting sqref="N25">
    <cfRule type="cellIs" priority="17" operator="equal" aboveAverage="0" equalAverage="0" bottom="0" percent="0" rank="0" text="" dxfId="108">
      <formula>"核算未通过"</formula>
    </cfRule>
  </conditionalFormatting>
  <conditionalFormatting sqref="D25">
    <cfRule type="cellIs" priority="18" operator="equal" aboveAverage="0" equalAverage="0" bottom="0" percent="0" rank="0" text="" dxfId="109">
      <formula>"核算未通过"</formula>
    </cfRule>
  </conditionalFormatting>
  <conditionalFormatting sqref="C25">
    <cfRule type="cellIs" priority="19" operator="equal" aboveAverage="0" equalAverage="0" bottom="0" percent="0" rank="0" text="" dxfId="110">
      <formula>"核算未通过"</formula>
    </cfRule>
  </conditionalFormatting>
  <conditionalFormatting sqref="L25:M25 R25 U25:V25">
    <cfRule type="cellIs" priority="20" operator="equal" aboveAverage="0" equalAverage="0" bottom="0" percent="0" rank="0" text="" dxfId="111">
      <formula>"核算未通过"</formula>
    </cfRule>
  </conditionalFormatting>
  <dataValidations count="1">
    <dataValidation allowBlank="true" errorStyle="stop" operator="between" showDropDown="false" showErrorMessage="true" showInputMessage="true" sqref="B3:X3" type="list">
      <formula1>"卧式,立式"</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01" r:id="rId4" name="Button 49">
              <controlPr defaultSize="0" print="false" autoFill="0" autoPict="0" macro="模块3.返回主页">
                <anchor moveWithCells="true" sizeWithCells="false">
                  <from>
                    <xdr:col>0</xdr:col>
                    <xdr:colOff>861120</xdr:colOff>
                    <xdr:row>0</xdr:row>
                    <xdr:rowOff>30600</xdr:rowOff>
                  </from>
                  <to>
                    <xdr:col>1</xdr:col>
                    <xdr:colOff>-563760</xdr:colOff>
                    <xdr:row>1</xdr:row>
                    <xdr:rowOff>-53280</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3" activeCellId="0" sqref="1:1048576"/>
    </sheetView>
  </sheetViews>
  <sheetFormatPr defaultColWidth="8.50390625" defaultRowHeight="14.25" zeroHeight="false" outlineLevelRow="0" outlineLevelCol="0"/>
  <cols>
    <col collapsed="false" customWidth="true" hidden="false" outlineLevel="0" max="1" min="1" style="0" width="25.37"/>
    <col collapsed="false" customWidth="true" hidden="false" outlineLevel="0" max="2" min="2" style="0" width="22.37"/>
  </cols>
  <sheetData>
    <row r="1" customFormat="false" ht="15" hidden="false" customHeight="false" outlineLevel="0" collapsed="false">
      <c r="A1" s="208" t="s">
        <v>512</v>
      </c>
      <c r="B1" s="373" t="s">
        <v>705</v>
      </c>
    </row>
    <row r="2" customFormat="false" ht="15" hidden="false" customHeight="false" outlineLevel="0" collapsed="false">
      <c r="A2" s="208" t="s">
        <v>516</v>
      </c>
      <c r="B2" s="373" t="s">
        <v>706</v>
      </c>
    </row>
    <row r="3" customFormat="false" ht="15" hidden="false" customHeight="false" outlineLevel="0" collapsed="false">
      <c r="A3" s="208" t="s">
        <v>520</v>
      </c>
      <c r="B3" s="373" t="s">
        <v>521</v>
      </c>
    </row>
    <row r="4" customFormat="false" ht="15" hidden="false" customHeight="false" outlineLevel="0" collapsed="false">
      <c r="A4" s="208" t="s">
        <v>522</v>
      </c>
      <c r="B4" s="255" t="str">
        <f aca="false">CONCATENATE("Φ",B5*1000,"×",B6*1000,"（T.L）")</f>
        <v>Φ1600×4650（T.L）</v>
      </c>
    </row>
    <row r="5" customFormat="false" ht="15" hidden="false" customHeight="false" outlineLevel="0" collapsed="false">
      <c r="A5" s="347" t="s">
        <v>674</v>
      </c>
      <c r="B5" s="349" t="n">
        <v>1.6</v>
      </c>
    </row>
    <row r="6" customFormat="false" ht="15" hidden="false" customHeight="false" outlineLevel="0" collapsed="false">
      <c r="A6" s="347" t="s">
        <v>675</v>
      </c>
      <c r="B6" s="349" t="n">
        <v>4.65</v>
      </c>
    </row>
    <row r="7" customFormat="false" ht="15" hidden="false" customHeight="false" outlineLevel="0" collapsed="false">
      <c r="A7" s="208" t="s">
        <v>398</v>
      </c>
      <c r="B7" s="373" t="s">
        <v>707</v>
      </c>
    </row>
    <row r="8" customFormat="false" ht="15" hidden="false" customHeight="false" outlineLevel="0" collapsed="false">
      <c r="A8" s="346" t="s">
        <v>489</v>
      </c>
      <c r="B8" s="349" t="n">
        <v>40</v>
      </c>
    </row>
    <row r="9" customFormat="false" ht="15" hidden="false" customHeight="false" outlineLevel="0" collapsed="false">
      <c r="A9" s="346" t="s">
        <v>685</v>
      </c>
      <c r="B9" s="349" t="n">
        <v>0.6</v>
      </c>
    </row>
    <row r="10" customFormat="false" ht="15" hidden="false" customHeight="false" outlineLevel="0" collapsed="false">
      <c r="A10" s="211" t="s">
        <v>530</v>
      </c>
      <c r="B10" s="349" t="n">
        <f aca="false">B9*1.2</f>
        <v>0.72</v>
      </c>
    </row>
    <row r="11" customFormat="false" ht="15" hidden="false" customHeight="false" outlineLevel="0" collapsed="false">
      <c r="A11" s="355" t="s">
        <v>708</v>
      </c>
      <c r="B11" s="349" t="n">
        <v>80</v>
      </c>
    </row>
    <row r="12" customFormat="false" ht="14.25" hidden="false" customHeight="false" outlineLevel="0" collapsed="false">
      <c r="A12" s="355" t="s">
        <v>709</v>
      </c>
      <c r="B12" s="374" t="n">
        <f aca="false">B11*1.29</f>
        <v>103.2</v>
      </c>
    </row>
    <row r="13" customFormat="false" ht="15" hidden="false" customHeight="false" outlineLevel="0" collapsed="false">
      <c r="A13" s="355" t="s">
        <v>710</v>
      </c>
      <c r="B13" s="349" t="n">
        <v>7.816</v>
      </c>
    </row>
    <row r="14" customFormat="false" ht="15" hidden="false" customHeight="false" outlineLevel="0" collapsed="false">
      <c r="A14" s="355" t="s">
        <v>711</v>
      </c>
      <c r="B14" s="359" t="n">
        <f aca="false">B12/B13</f>
        <v>13.2036847492323</v>
      </c>
    </row>
    <row r="15" customFormat="false" ht="15" hidden="false" customHeight="false" outlineLevel="0" collapsed="false">
      <c r="A15" s="355" t="s">
        <v>712</v>
      </c>
      <c r="B15" s="362" t="n">
        <f aca="false">0.785*B5*B5</f>
        <v>2.0096</v>
      </c>
    </row>
    <row r="16" customFormat="false" ht="15" hidden="false" customHeight="false" outlineLevel="0" collapsed="false">
      <c r="A16" s="364" t="s">
        <v>713</v>
      </c>
      <c r="B16" s="365" t="n">
        <f aca="false">B14/B15/3600</f>
        <v>0.00182508469751199</v>
      </c>
    </row>
    <row r="17" customFormat="false" ht="15" hidden="false" customHeight="false" outlineLevel="0" collapsed="false">
      <c r="A17" s="347" t="s">
        <v>714</v>
      </c>
      <c r="B17" s="362" t="n">
        <f aca="false">0.048*((1000-B13)/B13)^0.5</f>
        <v>0.540810446078395</v>
      </c>
    </row>
    <row r="18" customFormat="false" ht="15" hidden="false" customHeight="false" outlineLevel="0" collapsed="false">
      <c r="A18" s="355" t="s">
        <v>715</v>
      </c>
      <c r="B18" s="362" t="n">
        <f aca="false">B15*B6</f>
        <v>9.34464</v>
      </c>
    </row>
    <row r="19" customFormat="false" ht="15" hidden="false" customHeight="false" outlineLevel="0" collapsed="false">
      <c r="A19" s="355" t="s">
        <v>716</v>
      </c>
      <c r="B19" s="362" t="n">
        <f aca="false">B18+PI()/24*2*B5^3</f>
        <v>10.4169702924253</v>
      </c>
    </row>
    <row r="20" customFormat="false" ht="15" hidden="false" customHeight="false" outlineLevel="0" collapsed="false">
      <c r="A20" s="364" t="s">
        <v>717</v>
      </c>
      <c r="B20" s="361" t="n">
        <f aca="false">B18/B14*60</f>
        <v>42.4637826976744</v>
      </c>
    </row>
    <row r="21" customFormat="false" ht="15" hidden="false" customHeight="false" outlineLevel="0" collapsed="false">
      <c r="A21" s="355" t="s">
        <v>718</v>
      </c>
      <c r="B21" s="349" t="n">
        <v>0.4</v>
      </c>
    </row>
    <row r="22" customFormat="false" ht="15" hidden="false" customHeight="false" outlineLevel="0" collapsed="false">
      <c r="A22" s="347" t="s">
        <v>695</v>
      </c>
      <c r="B22" s="349" t="n">
        <v>15</v>
      </c>
    </row>
    <row r="23" customFormat="false" ht="15" hidden="false" customHeight="false" outlineLevel="0" collapsed="false">
      <c r="A23" s="355" t="s">
        <v>719</v>
      </c>
      <c r="B23" s="375" t="n">
        <f aca="false">B11*B22/60*0.1/(B9-B21)</f>
        <v>10</v>
      </c>
    </row>
    <row r="24" customFormat="false" ht="15" hidden="false" customHeight="false" outlineLevel="0" collapsed="false">
      <c r="A24" s="366" t="s">
        <v>629</v>
      </c>
      <c r="B24" s="367" t="str">
        <f aca="false">IF(AND(B16&lt;B17,B19&gt;B23),"核算通过","核算未通过")</f>
        <v>核算通过</v>
      </c>
    </row>
    <row r="25" customFormat="false" ht="15" hidden="false" customHeight="false" outlineLevel="0" collapsed="false">
      <c r="A25" s="355" t="s">
        <v>277</v>
      </c>
    </row>
    <row r="26" customFormat="false" ht="15" hidden="false" customHeight="false" outlineLevel="0" collapsed="false">
      <c r="A26" s="355"/>
    </row>
    <row r="27" customFormat="false" ht="15" hidden="false" customHeight="false" outlineLevel="0" collapsed="false">
      <c r="A27" s="208"/>
    </row>
    <row r="28" customFormat="false" ht="15" hidden="false" customHeight="false" outlineLevel="0" collapsed="false"/>
    <row r="29" customFormat="false" ht="15" hidden="false" customHeight="false" outlineLevel="0" collapsed="false">
      <c r="A29" s="27" t="s">
        <v>652</v>
      </c>
    </row>
  </sheetData>
  <conditionalFormatting sqref="B24">
    <cfRule type="cellIs" priority="2" operator="equal" aboveAverage="0" equalAverage="0" bottom="0" percent="0" rank="0" text="" dxfId="112">
      <formula>"核算未通过"</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34" activeCellId="0" sqref="1:1048576"/>
    </sheetView>
  </sheetViews>
  <sheetFormatPr defaultColWidth="9.00390625" defaultRowHeight="14.25" zeroHeight="false" outlineLevelRow="0" outlineLevelCol="0"/>
  <cols>
    <col collapsed="false" customWidth="true" hidden="false" outlineLevel="0" max="1" min="1" style="376" width="5.38"/>
    <col collapsed="false" customWidth="true" hidden="false" outlineLevel="0" max="2" min="2" style="376" width="28.37"/>
    <col collapsed="false" customWidth="true" hidden="false" outlineLevel="0" max="3" min="3" style="376" width="9.87"/>
    <col collapsed="false" customWidth="true" hidden="false" outlineLevel="0" max="4" min="4" style="376" width="13.25"/>
    <col collapsed="false" customWidth="true" hidden="false" outlineLevel="0" max="5" min="5" style="376" width="10.25"/>
    <col collapsed="false" customWidth="true" hidden="false" outlineLevel="0" max="6" min="6" style="376" width="5.38"/>
    <col collapsed="false" customWidth="false" hidden="false" outlineLevel="0" max="250" min="7" style="376" width="9"/>
    <col collapsed="false" customWidth="true" hidden="false" outlineLevel="0" max="251" min="251" style="376" width="5.38"/>
    <col collapsed="false" customWidth="true" hidden="false" outlineLevel="0" max="252" min="252" style="376" width="15"/>
    <col collapsed="false" customWidth="true" hidden="false" outlineLevel="0" max="253" min="253" style="376" width="9.87"/>
    <col collapsed="false" customWidth="true" hidden="false" outlineLevel="0" max="254" min="254" style="376" width="13.25"/>
    <col collapsed="false" customWidth="true" hidden="false" outlineLevel="0" max="255" min="255" style="376" width="10.25"/>
    <col collapsed="false" customWidth="true" hidden="false" outlineLevel="0" max="256" min="256" style="376" width="5.38"/>
    <col collapsed="false" customWidth="true" hidden="false" outlineLevel="0" max="257" min="257" style="376" width="12.75"/>
    <col collapsed="false" customWidth="true" hidden="false" outlineLevel="0" max="258" min="258" style="376" width="12.12"/>
    <col collapsed="false" customWidth="true" hidden="false" outlineLevel="0" max="259" min="259" style="376" width="12.87"/>
    <col collapsed="false" customWidth="true" hidden="false" outlineLevel="0" max="260" min="260" style="376" width="9.75"/>
    <col collapsed="false" customWidth="false" hidden="false" outlineLevel="0" max="506" min="261" style="376" width="9"/>
    <col collapsed="false" customWidth="true" hidden="false" outlineLevel="0" max="507" min="507" style="376" width="5.38"/>
    <col collapsed="false" customWidth="true" hidden="false" outlineLevel="0" max="508" min="508" style="376" width="15"/>
    <col collapsed="false" customWidth="true" hidden="false" outlineLevel="0" max="509" min="509" style="376" width="9.87"/>
    <col collapsed="false" customWidth="true" hidden="false" outlineLevel="0" max="510" min="510" style="376" width="13.25"/>
    <col collapsed="false" customWidth="true" hidden="false" outlineLevel="0" max="511" min="511" style="376" width="10.25"/>
    <col collapsed="false" customWidth="true" hidden="false" outlineLevel="0" max="512" min="512" style="376" width="5.38"/>
    <col collapsed="false" customWidth="true" hidden="false" outlineLevel="0" max="513" min="513" style="376" width="12.75"/>
    <col collapsed="false" customWidth="true" hidden="false" outlineLevel="0" max="514" min="514" style="376" width="12.12"/>
    <col collapsed="false" customWidth="true" hidden="false" outlineLevel="0" max="515" min="515" style="376" width="12.87"/>
    <col collapsed="false" customWidth="true" hidden="false" outlineLevel="0" max="516" min="516" style="376" width="9.75"/>
    <col collapsed="false" customWidth="false" hidden="false" outlineLevel="0" max="762" min="517" style="376" width="9"/>
    <col collapsed="false" customWidth="true" hidden="false" outlineLevel="0" max="763" min="763" style="376" width="5.38"/>
    <col collapsed="false" customWidth="true" hidden="false" outlineLevel="0" max="764" min="764" style="376" width="15"/>
    <col collapsed="false" customWidth="true" hidden="false" outlineLevel="0" max="765" min="765" style="376" width="9.87"/>
    <col collapsed="false" customWidth="true" hidden="false" outlineLevel="0" max="766" min="766" style="376" width="13.25"/>
    <col collapsed="false" customWidth="true" hidden="false" outlineLevel="0" max="767" min="767" style="376" width="10.25"/>
    <col collapsed="false" customWidth="true" hidden="false" outlineLevel="0" max="768" min="768" style="376" width="5.38"/>
    <col collapsed="false" customWidth="true" hidden="false" outlineLevel="0" max="769" min="769" style="376" width="12.75"/>
    <col collapsed="false" customWidth="true" hidden="false" outlineLevel="0" max="770" min="770" style="376" width="12.12"/>
    <col collapsed="false" customWidth="true" hidden="false" outlineLevel="0" max="771" min="771" style="376" width="12.87"/>
    <col collapsed="false" customWidth="true" hidden="false" outlineLevel="0" max="772" min="772" style="376" width="9.75"/>
    <col collapsed="false" customWidth="false" hidden="false" outlineLevel="0" max="1018" min="773" style="376" width="9"/>
    <col collapsed="false" customWidth="true" hidden="false" outlineLevel="0" max="1019" min="1019" style="376" width="5.38"/>
    <col collapsed="false" customWidth="true" hidden="false" outlineLevel="0" max="1020" min="1020" style="376" width="15"/>
    <col collapsed="false" customWidth="true" hidden="false" outlineLevel="0" max="1021" min="1021" style="376" width="9.87"/>
    <col collapsed="false" customWidth="true" hidden="false" outlineLevel="0" max="1022" min="1022" style="376" width="13.25"/>
    <col collapsed="false" customWidth="true" hidden="false" outlineLevel="0" max="1023" min="1023" style="376" width="10.25"/>
    <col collapsed="false" customWidth="true" hidden="false" outlineLevel="0" max="1024" min="1024" style="376" width="5.38"/>
    <col collapsed="false" customWidth="true" hidden="false" outlineLevel="0" max="1025" min="1025" style="376" width="12.75"/>
    <col collapsed="false" customWidth="true" hidden="false" outlineLevel="0" max="1026" min="1026" style="376" width="12.12"/>
    <col collapsed="false" customWidth="true" hidden="false" outlineLevel="0" max="1027" min="1027" style="376" width="12.87"/>
    <col collapsed="false" customWidth="true" hidden="false" outlineLevel="0" max="1028" min="1028" style="376" width="9.75"/>
    <col collapsed="false" customWidth="false" hidden="false" outlineLevel="0" max="1274" min="1029" style="376" width="9"/>
    <col collapsed="false" customWidth="true" hidden="false" outlineLevel="0" max="1275" min="1275" style="376" width="5.38"/>
    <col collapsed="false" customWidth="true" hidden="false" outlineLevel="0" max="1276" min="1276" style="376" width="15"/>
    <col collapsed="false" customWidth="true" hidden="false" outlineLevel="0" max="1277" min="1277" style="376" width="9.87"/>
    <col collapsed="false" customWidth="true" hidden="false" outlineLevel="0" max="1278" min="1278" style="376" width="13.25"/>
    <col collapsed="false" customWidth="true" hidden="false" outlineLevel="0" max="1279" min="1279" style="376" width="10.25"/>
    <col collapsed="false" customWidth="true" hidden="false" outlineLevel="0" max="1280" min="1280" style="376" width="5.38"/>
    <col collapsed="false" customWidth="true" hidden="false" outlineLevel="0" max="1281" min="1281" style="376" width="12.75"/>
    <col collapsed="false" customWidth="true" hidden="false" outlineLevel="0" max="1282" min="1282" style="376" width="12.12"/>
    <col collapsed="false" customWidth="true" hidden="false" outlineLevel="0" max="1283" min="1283" style="376" width="12.87"/>
    <col collapsed="false" customWidth="true" hidden="false" outlineLevel="0" max="1284" min="1284" style="376" width="9.75"/>
    <col collapsed="false" customWidth="false" hidden="false" outlineLevel="0" max="1530" min="1285" style="376" width="9"/>
    <col collapsed="false" customWidth="true" hidden="false" outlineLevel="0" max="1531" min="1531" style="376" width="5.38"/>
    <col collapsed="false" customWidth="true" hidden="false" outlineLevel="0" max="1532" min="1532" style="376" width="15"/>
    <col collapsed="false" customWidth="true" hidden="false" outlineLevel="0" max="1533" min="1533" style="376" width="9.87"/>
    <col collapsed="false" customWidth="true" hidden="false" outlineLevel="0" max="1534" min="1534" style="376" width="13.25"/>
    <col collapsed="false" customWidth="true" hidden="false" outlineLevel="0" max="1535" min="1535" style="376" width="10.25"/>
    <col collapsed="false" customWidth="true" hidden="false" outlineLevel="0" max="1536" min="1536" style="376" width="5.38"/>
    <col collapsed="false" customWidth="true" hidden="false" outlineLevel="0" max="1537" min="1537" style="376" width="12.75"/>
    <col collapsed="false" customWidth="true" hidden="false" outlineLevel="0" max="1538" min="1538" style="376" width="12.12"/>
    <col collapsed="false" customWidth="true" hidden="false" outlineLevel="0" max="1539" min="1539" style="376" width="12.87"/>
    <col collapsed="false" customWidth="true" hidden="false" outlineLevel="0" max="1540" min="1540" style="376" width="9.75"/>
    <col collapsed="false" customWidth="false" hidden="false" outlineLevel="0" max="1786" min="1541" style="376" width="9"/>
    <col collapsed="false" customWidth="true" hidden="false" outlineLevel="0" max="1787" min="1787" style="376" width="5.38"/>
    <col collapsed="false" customWidth="true" hidden="false" outlineLevel="0" max="1788" min="1788" style="376" width="15"/>
    <col collapsed="false" customWidth="true" hidden="false" outlineLevel="0" max="1789" min="1789" style="376" width="9.87"/>
    <col collapsed="false" customWidth="true" hidden="false" outlineLevel="0" max="1790" min="1790" style="376" width="13.25"/>
    <col collapsed="false" customWidth="true" hidden="false" outlineLevel="0" max="1791" min="1791" style="376" width="10.25"/>
    <col collapsed="false" customWidth="true" hidden="false" outlineLevel="0" max="1792" min="1792" style="376" width="5.38"/>
    <col collapsed="false" customWidth="true" hidden="false" outlineLevel="0" max="1793" min="1793" style="376" width="12.75"/>
    <col collapsed="false" customWidth="true" hidden="false" outlineLevel="0" max="1794" min="1794" style="376" width="12.12"/>
    <col collapsed="false" customWidth="true" hidden="false" outlineLevel="0" max="1795" min="1795" style="376" width="12.87"/>
    <col collapsed="false" customWidth="true" hidden="false" outlineLevel="0" max="1796" min="1796" style="376" width="9.75"/>
    <col collapsed="false" customWidth="false" hidden="false" outlineLevel="0" max="2042" min="1797" style="376" width="9"/>
    <col collapsed="false" customWidth="true" hidden="false" outlineLevel="0" max="2043" min="2043" style="376" width="5.38"/>
    <col collapsed="false" customWidth="true" hidden="false" outlineLevel="0" max="2044" min="2044" style="376" width="15"/>
    <col collapsed="false" customWidth="true" hidden="false" outlineLevel="0" max="2045" min="2045" style="376" width="9.87"/>
    <col collapsed="false" customWidth="true" hidden="false" outlineLevel="0" max="2046" min="2046" style="376" width="13.25"/>
    <col collapsed="false" customWidth="true" hidden="false" outlineLevel="0" max="2047" min="2047" style="376" width="10.25"/>
    <col collapsed="false" customWidth="true" hidden="false" outlineLevel="0" max="2048" min="2048" style="376" width="5.38"/>
    <col collapsed="false" customWidth="true" hidden="false" outlineLevel="0" max="2049" min="2049" style="376" width="12.75"/>
    <col collapsed="false" customWidth="true" hidden="false" outlineLevel="0" max="2050" min="2050" style="376" width="12.12"/>
    <col collapsed="false" customWidth="true" hidden="false" outlineLevel="0" max="2051" min="2051" style="376" width="12.87"/>
    <col collapsed="false" customWidth="true" hidden="false" outlineLevel="0" max="2052" min="2052" style="376" width="9.75"/>
    <col collapsed="false" customWidth="false" hidden="false" outlineLevel="0" max="2298" min="2053" style="376" width="9"/>
    <col collapsed="false" customWidth="true" hidden="false" outlineLevel="0" max="2299" min="2299" style="376" width="5.38"/>
    <col collapsed="false" customWidth="true" hidden="false" outlineLevel="0" max="2300" min="2300" style="376" width="15"/>
    <col collapsed="false" customWidth="true" hidden="false" outlineLevel="0" max="2301" min="2301" style="376" width="9.87"/>
    <col collapsed="false" customWidth="true" hidden="false" outlineLevel="0" max="2302" min="2302" style="376" width="13.25"/>
    <col collapsed="false" customWidth="true" hidden="false" outlineLevel="0" max="2303" min="2303" style="376" width="10.25"/>
    <col collapsed="false" customWidth="true" hidden="false" outlineLevel="0" max="2304" min="2304" style="376" width="5.38"/>
    <col collapsed="false" customWidth="true" hidden="false" outlineLevel="0" max="2305" min="2305" style="376" width="12.75"/>
    <col collapsed="false" customWidth="true" hidden="false" outlineLevel="0" max="2306" min="2306" style="376" width="12.12"/>
    <col collapsed="false" customWidth="true" hidden="false" outlineLevel="0" max="2307" min="2307" style="376" width="12.87"/>
    <col collapsed="false" customWidth="true" hidden="false" outlineLevel="0" max="2308" min="2308" style="376" width="9.75"/>
    <col collapsed="false" customWidth="false" hidden="false" outlineLevel="0" max="2554" min="2309" style="376" width="9"/>
    <col collapsed="false" customWidth="true" hidden="false" outlineLevel="0" max="2555" min="2555" style="376" width="5.38"/>
    <col collapsed="false" customWidth="true" hidden="false" outlineLevel="0" max="2556" min="2556" style="376" width="15"/>
    <col collapsed="false" customWidth="true" hidden="false" outlineLevel="0" max="2557" min="2557" style="376" width="9.87"/>
    <col collapsed="false" customWidth="true" hidden="false" outlineLevel="0" max="2558" min="2558" style="376" width="13.25"/>
    <col collapsed="false" customWidth="true" hidden="false" outlineLevel="0" max="2559" min="2559" style="376" width="10.25"/>
    <col collapsed="false" customWidth="true" hidden="false" outlineLevel="0" max="2560" min="2560" style="376" width="5.38"/>
    <col collapsed="false" customWidth="true" hidden="false" outlineLevel="0" max="2561" min="2561" style="376" width="12.75"/>
    <col collapsed="false" customWidth="true" hidden="false" outlineLevel="0" max="2562" min="2562" style="376" width="12.12"/>
    <col collapsed="false" customWidth="true" hidden="false" outlineLevel="0" max="2563" min="2563" style="376" width="12.87"/>
    <col collapsed="false" customWidth="true" hidden="false" outlineLevel="0" max="2564" min="2564" style="376" width="9.75"/>
    <col collapsed="false" customWidth="false" hidden="false" outlineLevel="0" max="2810" min="2565" style="376" width="9"/>
    <col collapsed="false" customWidth="true" hidden="false" outlineLevel="0" max="2811" min="2811" style="376" width="5.38"/>
    <col collapsed="false" customWidth="true" hidden="false" outlineLevel="0" max="2812" min="2812" style="376" width="15"/>
    <col collapsed="false" customWidth="true" hidden="false" outlineLevel="0" max="2813" min="2813" style="376" width="9.87"/>
    <col collapsed="false" customWidth="true" hidden="false" outlineLevel="0" max="2814" min="2814" style="376" width="13.25"/>
    <col collapsed="false" customWidth="true" hidden="false" outlineLevel="0" max="2815" min="2815" style="376" width="10.25"/>
    <col collapsed="false" customWidth="true" hidden="false" outlineLevel="0" max="2816" min="2816" style="376" width="5.38"/>
    <col collapsed="false" customWidth="true" hidden="false" outlineLevel="0" max="2817" min="2817" style="376" width="12.75"/>
    <col collapsed="false" customWidth="true" hidden="false" outlineLevel="0" max="2818" min="2818" style="376" width="12.12"/>
    <col collapsed="false" customWidth="true" hidden="false" outlineLevel="0" max="2819" min="2819" style="376" width="12.87"/>
    <col collapsed="false" customWidth="true" hidden="false" outlineLevel="0" max="2820" min="2820" style="376" width="9.75"/>
    <col collapsed="false" customWidth="false" hidden="false" outlineLevel="0" max="3066" min="2821" style="376" width="9"/>
    <col collapsed="false" customWidth="true" hidden="false" outlineLevel="0" max="3067" min="3067" style="376" width="5.38"/>
    <col collapsed="false" customWidth="true" hidden="false" outlineLevel="0" max="3068" min="3068" style="376" width="15"/>
    <col collapsed="false" customWidth="true" hidden="false" outlineLevel="0" max="3069" min="3069" style="376" width="9.87"/>
    <col collapsed="false" customWidth="true" hidden="false" outlineLevel="0" max="3070" min="3070" style="376" width="13.25"/>
    <col collapsed="false" customWidth="true" hidden="false" outlineLevel="0" max="3071" min="3071" style="376" width="10.25"/>
    <col collapsed="false" customWidth="true" hidden="false" outlineLevel="0" max="3072" min="3072" style="376" width="5.38"/>
    <col collapsed="false" customWidth="true" hidden="false" outlineLevel="0" max="3073" min="3073" style="376" width="12.75"/>
    <col collapsed="false" customWidth="true" hidden="false" outlineLevel="0" max="3074" min="3074" style="376" width="12.12"/>
    <col collapsed="false" customWidth="true" hidden="false" outlineLevel="0" max="3075" min="3075" style="376" width="12.87"/>
    <col collapsed="false" customWidth="true" hidden="false" outlineLevel="0" max="3076" min="3076" style="376" width="9.75"/>
    <col collapsed="false" customWidth="false" hidden="false" outlineLevel="0" max="3322" min="3077" style="376" width="9"/>
    <col collapsed="false" customWidth="true" hidden="false" outlineLevel="0" max="3323" min="3323" style="376" width="5.38"/>
    <col collapsed="false" customWidth="true" hidden="false" outlineLevel="0" max="3324" min="3324" style="376" width="15"/>
    <col collapsed="false" customWidth="true" hidden="false" outlineLevel="0" max="3325" min="3325" style="376" width="9.87"/>
    <col collapsed="false" customWidth="true" hidden="false" outlineLevel="0" max="3326" min="3326" style="376" width="13.25"/>
    <col collapsed="false" customWidth="true" hidden="false" outlineLevel="0" max="3327" min="3327" style="376" width="10.25"/>
    <col collapsed="false" customWidth="true" hidden="false" outlineLevel="0" max="3328" min="3328" style="376" width="5.38"/>
    <col collapsed="false" customWidth="true" hidden="false" outlineLevel="0" max="3329" min="3329" style="376" width="12.75"/>
    <col collapsed="false" customWidth="true" hidden="false" outlineLevel="0" max="3330" min="3330" style="376" width="12.12"/>
    <col collapsed="false" customWidth="true" hidden="false" outlineLevel="0" max="3331" min="3331" style="376" width="12.87"/>
    <col collapsed="false" customWidth="true" hidden="false" outlineLevel="0" max="3332" min="3332" style="376" width="9.75"/>
    <col collapsed="false" customWidth="false" hidden="false" outlineLevel="0" max="3578" min="3333" style="376" width="9"/>
    <col collapsed="false" customWidth="true" hidden="false" outlineLevel="0" max="3579" min="3579" style="376" width="5.38"/>
    <col collapsed="false" customWidth="true" hidden="false" outlineLevel="0" max="3580" min="3580" style="376" width="15"/>
    <col collapsed="false" customWidth="true" hidden="false" outlineLevel="0" max="3581" min="3581" style="376" width="9.87"/>
    <col collapsed="false" customWidth="true" hidden="false" outlineLevel="0" max="3582" min="3582" style="376" width="13.25"/>
    <col collapsed="false" customWidth="true" hidden="false" outlineLevel="0" max="3583" min="3583" style="376" width="10.25"/>
    <col collapsed="false" customWidth="true" hidden="false" outlineLevel="0" max="3584" min="3584" style="376" width="5.38"/>
    <col collapsed="false" customWidth="true" hidden="false" outlineLevel="0" max="3585" min="3585" style="376" width="12.75"/>
    <col collapsed="false" customWidth="true" hidden="false" outlineLevel="0" max="3586" min="3586" style="376" width="12.12"/>
    <col collapsed="false" customWidth="true" hidden="false" outlineLevel="0" max="3587" min="3587" style="376" width="12.87"/>
    <col collapsed="false" customWidth="true" hidden="false" outlineLevel="0" max="3588" min="3588" style="376" width="9.75"/>
    <col collapsed="false" customWidth="false" hidden="false" outlineLevel="0" max="3834" min="3589" style="376" width="9"/>
    <col collapsed="false" customWidth="true" hidden="false" outlineLevel="0" max="3835" min="3835" style="376" width="5.38"/>
    <col collapsed="false" customWidth="true" hidden="false" outlineLevel="0" max="3836" min="3836" style="376" width="15"/>
    <col collapsed="false" customWidth="true" hidden="false" outlineLevel="0" max="3837" min="3837" style="376" width="9.87"/>
    <col collapsed="false" customWidth="true" hidden="false" outlineLevel="0" max="3838" min="3838" style="376" width="13.25"/>
    <col collapsed="false" customWidth="true" hidden="false" outlineLevel="0" max="3839" min="3839" style="376" width="10.25"/>
    <col collapsed="false" customWidth="true" hidden="false" outlineLevel="0" max="3840" min="3840" style="376" width="5.38"/>
    <col collapsed="false" customWidth="true" hidden="false" outlineLevel="0" max="3841" min="3841" style="376" width="12.75"/>
    <col collapsed="false" customWidth="true" hidden="false" outlineLevel="0" max="3842" min="3842" style="376" width="12.12"/>
    <col collapsed="false" customWidth="true" hidden="false" outlineLevel="0" max="3843" min="3843" style="376" width="12.87"/>
    <col collapsed="false" customWidth="true" hidden="false" outlineLevel="0" max="3844" min="3844" style="376" width="9.75"/>
    <col collapsed="false" customWidth="false" hidden="false" outlineLevel="0" max="4090" min="3845" style="376" width="9"/>
    <col collapsed="false" customWidth="true" hidden="false" outlineLevel="0" max="4091" min="4091" style="376" width="5.38"/>
    <col collapsed="false" customWidth="true" hidden="false" outlineLevel="0" max="4092" min="4092" style="376" width="15"/>
    <col collapsed="false" customWidth="true" hidden="false" outlineLevel="0" max="4093" min="4093" style="376" width="9.87"/>
    <col collapsed="false" customWidth="true" hidden="false" outlineLevel="0" max="4094" min="4094" style="376" width="13.25"/>
    <col collapsed="false" customWidth="true" hidden="false" outlineLevel="0" max="4095" min="4095" style="376" width="10.25"/>
    <col collapsed="false" customWidth="true" hidden="false" outlineLevel="0" max="4096" min="4096" style="376" width="5.38"/>
    <col collapsed="false" customWidth="true" hidden="false" outlineLevel="0" max="4097" min="4097" style="376" width="12.75"/>
    <col collapsed="false" customWidth="true" hidden="false" outlineLevel="0" max="4098" min="4098" style="376" width="12.12"/>
    <col collapsed="false" customWidth="true" hidden="false" outlineLevel="0" max="4099" min="4099" style="376" width="12.87"/>
    <col collapsed="false" customWidth="true" hidden="false" outlineLevel="0" max="4100" min="4100" style="376" width="9.75"/>
    <col collapsed="false" customWidth="false" hidden="false" outlineLevel="0" max="4346" min="4101" style="376" width="9"/>
    <col collapsed="false" customWidth="true" hidden="false" outlineLevel="0" max="4347" min="4347" style="376" width="5.38"/>
    <col collapsed="false" customWidth="true" hidden="false" outlineLevel="0" max="4348" min="4348" style="376" width="15"/>
    <col collapsed="false" customWidth="true" hidden="false" outlineLevel="0" max="4349" min="4349" style="376" width="9.87"/>
    <col collapsed="false" customWidth="true" hidden="false" outlineLevel="0" max="4350" min="4350" style="376" width="13.25"/>
    <col collapsed="false" customWidth="true" hidden="false" outlineLevel="0" max="4351" min="4351" style="376" width="10.25"/>
    <col collapsed="false" customWidth="true" hidden="false" outlineLevel="0" max="4352" min="4352" style="376" width="5.38"/>
    <col collapsed="false" customWidth="true" hidden="false" outlineLevel="0" max="4353" min="4353" style="376" width="12.75"/>
    <col collapsed="false" customWidth="true" hidden="false" outlineLevel="0" max="4354" min="4354" style="376" width="12.12"/>
    <col collapsed="false" customWidth="true" hidden="false" outlineLevel="0" max="4355" min="4355" style="376" width="12.87"/>
    <col collapsed="false" customWidth="true" hidden="false" outlineLevel="0" max="4356" min="4356" style="376" width="9.75"/>
    <col collapsed="false" customWidth="false" hidden="false" outlineLevel="0" max="4602" min="4357" style="376" width="9"/>
    <col collapsed="false" customWidth="true" hidden="false" outlineLevel="0" max="4603" min="4603" style="376" width="5.38"/>
    <col collapsed="false" customWidth="true" hidden="false" outlineLevel="0" max="4604" min="4604" style="376" width="15"/>
    <col collapsed="false" customWidth="true" hidden="false" outlineLevel="0" max="4605" min="4605" style="376" width="9.87"/>
    <col collapsed="false" customWidth="true" hidden="false" outlineLevel="0" max="4606" min="4606" style="376" width="13.25"/>
    <col collapsed="false" customWidth="true" hidden="false" outlineLevel="0" max="4607" min="4607" style="376" width="10.25"/>
    <col collapsed="false" customWidth="true" hidden="false" outlineLevel="0" max="4608" min="4608" style="376" width="5.38"/>
    <col collapsed="false" customWidth="true" hidden="false" outlineLevel="0" max="4609" min="4609" style="376" width="12.75"/>
    <col collapsed="false" customWidth="true" hidden="false" outlineLevel="0" max="4610" min="4610" style="376" width="12.12"/>
    <col collapsed="false" customWidth="true" hidden="false" outlineLevel="0" max="4611" min="4611" style="376" width="12.87"/>
    <col collapsed="false" customWidth="true" hidden="false" outlineLevel="0" max="4612" min="4612" style="376" width="9.75"/>
    <col collapsed="false" customWidth="false" hidden="false" outlineLevel="0" max="4858" min="4613" style="376" width="9"/>
    <col collapsed="false" customWidth="true" hidden="false" outlineLevel="0" max="4859" min="4859" style="376" width="5.38"/>
    <col collapsed="false" customWidth="true" hidden="false" outlineLevel="0" max="4860" min="4860" style="376" width="15"/>
    <col collapsed="false" customWidth="true" hidden="false" outlineLevel="0" max="4861" min="4861" style="376" width="9.87"/>
    <col collapsed="false" customWidth="true" hidden="false" outlineLevel="0" max="4862" min="4862" style="376" width="13.25"/>
    <col collapsed="false" customWidth="true" hidden="false" outlineLevel="0" max="4863" min="4863" style="376" width="10.25"/>
    <col collapsed="false" customWidth="true" hidden="false" outlineLevel="0" max="4864" min="4864" style="376" width="5.38"/>
    <col collapsed="false" customWidth="true" hidden="false" outlineLevel="0" max="4865" min="4865" style="376" width="12.75"/>
    <col collapsed="false" customWidth="true" hidden="false" outlineLevel="0" max="4866" min="4866" style="376" width="12.12"/>
    <col collapsed="false" customWidth="true" hidden="false" outlineLevel="0" max="4867" min="4867" style="376" width="12.87"/>
    <col collapsed="false" customWidth="true" hidden="false" outlineLevel="0" max="4868" min="4868" style="376" width="9.75"/>
    <col collapsed="false" customWidth="false" hidden="false" outlineLevel="0" max="5114" min="4869" style="376" width="9"/>
    <col collapsed="false" customWidth="true" hidden="false" outlineLevel="0" max="5115" min="5115" style="376" width="5.38"/>
    <col collapsed="false" customWidth="true" hidden="false" outlineLevel="0" max="5116" min="5116" style="376" width="15"/>
    <col collapsed="false" customWidth="true" hidden="false" outlineLevel="0" max="5117" min="5117" style="376" width="9.87"/>
    <col collapsed="false" customWidth="true" hidden="false" outlineLevel="0" max="5118" min="5118" style="376" width="13.25"/>
    <col collapsed="false" customWidth="true" hidden="false" outlineLevel="0" max="5119" min="5119" style="376" width="10.25"/>
    <col collapsed="false" customWidth="true" hidden="false" outlineLevel="0" max="5120" min="5120" style="376" width="5.38"/>
    <col collapsed="false" customWidth="true" hidden="false" outlineLevel="0" max="5121" min="5121" style="376" width="12.75"/>
    <col collapsed="false" customWidth="true" hidden="false" outlineLevel="0" max="5122" min="5122" style="376" width="12.12"/>
    <col collapsed="false" customWidth="true" hidden="false" outlineLevel="0" max="5123" min="5123" style="376" width="12.87"/>
    <col collapsed="false" customWidth="true" hidden="false" outlineLevel="0" max="5124" min="5124" style="376" width="9.75"/>
    <col collapsed="false" customWidth="false" hidden="false" outlineLevel="0" max="5370" min="5125" style="376" width="9"/>
    <col collapsed="false" customWidth="true" hidden="false" outlineLevel="0" max="5371" min="5371" style="376" width="5.38"/>
    <col collapsed="false" customWidth="true" hidden="false" outlineLevel="0" max="5372" min="5372" style="376" width="15"/>
    <col collapsed="false" customWidth="true" hidden="false" outlineLevel="0" max="5373" min="5373" style="376" width="9.87"/>
    <col collapsed="false" customWidth="true" hidden="false" outlineLevel="0" max="5374" min="5374" style="376" width="13.25"/>
    <col collapsed="false" customWidth="true" hidden="false" outlineLevel="0" max="5375" min="5375" style="376" width="10.25"/>
    <col collapsed="false" customWidth="true" hidden="false" outlineLevel="0" max="5376" min="5376" style="376" width="5.38"/>
    <col collapsed="false" customWidth="true" hidden="false" outlineLevel="0" max="5377" min="5377" style="376" width="12.75"/>
    <col collapsed="false" customWidth="true" hidden="false" outlineLevel="0" max="5378" min="5378" style="376" width="12.12"/>
    <col collapsed="false" customWidth="true" hidden="false" outlineLevel="0" max="5379" min="5379" style="376" width="12.87"/>
    <col collapsed="false" customWidth="true" hidden="false" outlineLevel="0" max="5380" min="5380" style="376" width="9.75"/>
    <col collapsed="false" customWidth="false" hidden="false" outlineLevel="0" max="5626" min="5381" style="376" width="9"/>
    <col collapsed="false" customWidth="true" hidden="false" outlineLevel="0" max="5627" min="5627" style="376" width="5.38"/>
    <col collapsed="false" customWidth="true" hidden="false" outlineLevel="0" max="5628" min="5628" style="376" width="15"/>
    <col collapsed="false" customWidth="true" hidden="false" outlineLevel="0" max="5629" min="5629" style="376" width="9.87"/>
    <col collapsed="false" customWidth="true" hidden="false" outlineLevel="0" max="5630" min="5630" style="376" width="13.25"/>
    <col collapsed="false" customWidth="true" hidden="false" outlineLevel="0" max="5631" min="5631" style="376" width="10.25"/>
    <col collapsed="false" customWidth="true" hidden="false" outlineLevel="0" max="5632" min="5632" style="376" width="5.38"/>
    <col collapsed="false" customWidth="true" hidden="false" outlineLevel="0" max="5633" min="5633" style="376" width="12.75"/>
    <col collapsed="false" customWidth="true" hidden="false" outlineLevel="0" max="5634" min="5634" style="376" width="12.12"/>
    <col collapsed="false" customWidth="true" hidden="false" outlineLevel="0" max="5635" min="5635" style="376" width="12.87"/>
    <col collapsed="false" customWidth="true" hidden="false" outlineLevel="0" max="5636" min="5636" style="376" width="9.75"/>
    <col collapsed="false" customWidth="false" hidden="false" outlineLevel="0" max="5882" min="5637" style="376" width="9"/>
    <col collapsed="false" customWidth="true" hidden="false" outlineLevel="0" max="5883" min="5883" style="376" width="5.38"/>
    <col collapsed="false" customWidth="true" hidden="false" outlineLevel="0" max="5884" min="5884" style="376" width="15"/>
    <col collapsed="false" customWidth="true" hidden="false" outlineLevel="0" max="5885" min="5885" style="376" width="9.87"/>
    <col collapsed="false" customWidth="true" hidden="false" outlineLevel="0" max="5886" min="5886" style="376" width="13.25"/>
    <col collapsed="false" customWidth="true" hidden="false" outlineLevel="0" max="5887" min="5887" style="376" width="10.25"/>
    <col collapsed="false" customWidth="true" hidden="false" outlineLevel="0" max="5888" min="5888" style="376" width="5.38"/>
    <col collapsed="false" customWidth="true" hidden="false" outlineLevel="0" max="5889" min="5889" style="376" width="12.75"/>
    <col collapsed="false" customWidth="true" hidden="false" outlineLevel="0" max="5890" min="5890" style="376" width="12.12"/>
    <col collapsed="false" customWidth="true" hidden="false" outlineLevel="0" max="5891" min="5891" style="376" width="12.87"/>
    <col collapsed="false" customWidth="true" hidden="false" outlineLevel="0" max="5892" min="5892" style="376" width="9.75"/>
    <col collapsed="false" customWidth="false" hidden="false" outlineLevel="0" max="6138" min="5893" style="376" width="9"/>
    <col collapsed="false" customWidth="true" hidden="false" outlineLevel="0" max="6139" min="6139" style="376" width="5.38"/>
    <col collapsed="false" customWidth="true" hidden="false" outlineLevel="0" max="6140" min="6140" style="376" width="15"/>
    <col collapsed="false" customWidth="true" hidden="false" outlineLevel="0" max="6141" min="6141" style="376" width="9.87"/>
    <col collapsed="false" customWidth="true" hidden="false" outlineLevel="0" max="6142" min="6142" style="376" width="13.25"/>
    <col collapsed="false" customWidth="true" hidden="false" outlineLevel="0" max="6143" min="6143" style="376" width="10.25"/>
    <col collapsed="false" customWidth="true" hidden="false" outlineLevel="0" max="6144" min="6144" style="376" width="5.38"/>
    <col collapsed="false" customWidth="true" hidden="false" outlineLevel="0" max="6145" min="6145" style="376" width="12.75"/>
    <col collapsed="false" customWidth="true" hidden="false" outlineLevel="0" max="6146" min="6146" style="376" width="12.12"/>
    <col collapsed="false" customWidth="true" hidden="false" outlineLevel="0" max="6147" min="6147" style="376" width="12.87"/>
    <col collapsed="false" customWidth="true" hidden="false" outlineLevel="0" max="6148" min="6148" style="376" width="9.75"/>
    <col collapsed="false" customWidth="false" hidden="false" outlineLevel="0" max="6394" min="6149" style="376" width="9"/>
    <col collapsed="false" customWidth="true" hidden="false" outlineLevel="0" max="6395" min="6395" style="376" width="5.38"/>
    <col collapsed="false" customWidth="true" hidden="false" outlineLevel="0" max="6396" min="6396" style="376" width="15"/>
    <col collapsed="false" customWidth="true" hidden="false" outlineLevel="0" max="6397" min="6397" style="376" width="9.87"/>
    <col collapsed="false" customWidth="true" hidden="false" outlineLevel="0" max="6398" min="6398" style="376" width="13.25"/>
    <col collapsed="false" customWidth="true" hidden="false" outlineLevel="0" max="6399" min="6399" style="376" width="10.25"/>
    <col collapsed="false" customWidth="true" hidden="false" outlineLevel="0" max="6400" min="6400" style="376" width="5.38"/>
    <col collapsed="false" customWidth="true" hidden="false" outlineLevel="0" max="6401" min="6401" style="376" width="12.75"/>
    <col collapsed="false" customWidth="true" hidden="false" outlineLevel="0" max="6402" min="6402" style="376" width="12.12"/>
    <col collapsed="false" customWidth="true" hidden="false" outlineLevel="0" max="6403" min="6403" style="376" width="12.87"/>
    <col collapsed="false" customWidth="true" hidden="false" outlineLevel="0" max="6404" min="6404" style="376" width="9.75"/>
    <col collapsed="false" customWidth="false" hidden="false" outlineLevel="0" max="6650" min="6405" style="376" width="9"/>
    <col collapsed="false" customWidth="true" hidden="false" outlineLevel="0" max="6651" min="6651" style="376" width="5.38"/>
    <col collapsed="false" customWidth="true" hidden="false" outlineLevel="0" max="6652" min="6652" style="376" width="15"/>
    <col collapsed="false" customWidth="true" hidden="false" outlineLevel="0" max="6653" min="6653" style="376" width="9.87"/>
    <col collapsed="false" customWidth="true" hidden="false" outlineLevel="0" max="6654" min="6654" style="376" width="13.25"/>
    <col collapsed="false" customWidth="true" hidden="false" outlineLevel="0" max="6655" min="6655" style="376" width="10.25"/>
    <col collapsed="false" customWidth="true" hidden="false" outlineLevel="0" max="6656" min="6656" style="376" width="5.38"/>
    <col collapsed="false" customWidth="true" hidden="false" outlineLevel="0" max="6657" min="6657" style="376" width="12.75"/>
    <col collapsed="false" customWidth="true" hidden="false" outlineLevel="0" max="6658" min="6658" style="376" width="12.12"/>
    <col collapsed="false" customWidth="true" hidden="false" outlineLevel="0" max="6659" min="6659" style="376" width="12.87"/>
    <col collapsed="false" customWidth="true" hidden="false" outlineLevel="0" max="6660" min="6660" style="376" width="9.75"/>
    <col collapsed="false" customWidth="false" hidden="false" outlineLevel="0" max="6906" min="6661" style="376" width="9"/>
    <col collapsed="false" customWidth="true" hidden="false" outlineLevel="0" max="6907" min="6907" style="376" width="5.38"/>
    <col collapsed="false" customWidth="true" hidden="false" outlineLevel="0" max="6908" min="6908" style="376" width="15"/>
    <col collapsed="false" customWidth="true" hidden="false" outlineLevel="0" max="6909" min="6909" style="376" width="9.87"/>
    <col collapsed="false" customWidth="true" hidden="false" outlineLevel="0" max="6910" min="6910" style="376" width="13.25"/>
    <col collapsed="false" customWidth="true" hidden="false" outlineLevel="0" max="6911" min="6911" style="376" width="10.25"/>
    <col collapsed="false" customWidth="true" hidden="false" outlineLevel="0" max="6912" min="6912" style="376" width="5.38"/>
    <col collapsed="false" customWidth="true" hidden="false" outlineLevel="0" max="6913" min="6913" style="376" width="12.75"/>
    <col collapsed="false" customWidth="true" hidden="false" outlineLevel="0" max="6914" min="6914" style="376" width="12.12"/>
    <col collapsed="false" customWidth="true" hidden="false" outlineLevel="0" max="6915" min="6915" style="376" width="12.87"/>
    <col collapsed="false" customWidth="true" hidden="false" outlineLevel="0" max="6916" min="6916" style="376" width="9.75"/>
    <col collapsed="false" customWidth="false" hidden="false" outlineLevel="0" max="7162" min="6917" style="376" width="9"/>
    <col collapsed="false" customWidth="true" hidden="false" outlineLevel="0" max="7163" min="7163" style="376" width="5.38"/>
    <col collapsed="false" customWidth="true" hidden="false" outlineLevel="0" max="7164" min="7164" style="376" width="15"/>
    <col collapsed="false" customWidth="true" hidden="false" outlineLevel="0" max="7165" min="7165" style="376" width="9.87"/>
    <col collapsed="false" customWidth="true" hidden="false" outlineLevel="0" max="7166" min="7166" style="376" width="13.25"/>
    <col collapsed="false" customWidth="true" hidden="false" outlineLevel="0" max="7167" min="7167" style="376" width="10.25"/>
    <col collapsed="false" customWidth="true" hidden="false" outlineLevel="0" max="7168" min="7168" style="376" width="5.38"/>
    <col collapsed="false" customWidth="true" hidden="false" outlineLevel="0" max="7169" min="7169" style="376" width="12.75"/>
    <col collapsed="false" customWidth="true" hidden="false" outlineLevel="0" max="7170" min="7170" style="376" width="12.12"/>
    <col collapsed="false" customWidth="true" hidden="false" outlineLevel="0" max="7171" min="7171" style="376" width="12.87"/>
    <col collapsed="false" customWidth="true" hidden="false" outlineLevel="0" max="7172" min="7172" style="376" width="9.75"/>
    <col collapsed="false" customWidth="false" hidden="false" outlineLevel="0" max="7418" min="7173" style="376" width="9"/>
    <col collapsed="false" customWidth="true" hidden="false" outlineLevel="0" max="7419" min="7419" style="376" width="5.38"/>
    <col collapsed="false" customWidth="true" hidden="false" outlineLevel="0" max="7420" min="7420" style="376" width="15"/>
    <col collapsed="false" customWidth="true" hidden="false" outlineLevel="0" max="7421" min="7421" style="376" width="9.87"/>
    <col collapsed="false" customWidth="true" hidden="false" outlineLevel="0" max="7422" min="7422" style="376" width="13.25"/>
    <col collapsed="false" customWidth="true" hidden="false" outlineLevel="0" max="7423" min="7423" style="376" width="10.25"/>
    <col collapsed="false" customWidth="true" hidden="false" outlineLevel="0" max="7424" min="7424" style="376" width="5.38"/>
    <col collapsed="false" customWidth="true" hidden="false" outlineLevel="0" max="7425" min="7425" style="376" width="12.75"/>
    <col collapsed="false" customWidth="true" hidden="false" outlineLevel="0" max="7426" min="7426" style="376" width="12.12"/>
    <col collapsed="false" customWidth="true" hidden="false" outlineLevel="0" max="7427" min="7427" style="376" width="12.87"/>
    <col collapsed="false" customWidth="true" hidden="false" outlineLevel="0" max="7428" min="7428" style="376" width="9.75"/>
    <col collapsed="false" customWidth="false" hidden="false" outlineLevel="0" max="7674" min="7429" style="376" width="9"/>
    <col collapsed="false" customWidth="true" hidden="false" outlineLevel="0" max="7675" min="7675" style="376" width="5.38"/>
    <col collapsed="false" customWidth="true" hidden="false" outlineLevel="0" max="7676" min="7676" style="376" width="15"/>
    <col collapsed="false" customWidth="true" hidden="false" outlineLevel="0" max="7677" min="7677" style="376" width="9.87"/>
    <col collapsed="false" customWidth="true" hidden="false" outlineLevel="0" max="7678" min="7678" style="376" width="13.25"/>
    <col collapsed="false" customWidth="true" hidden="false" outlineLevel="0" max="7679" min="7679" style="376" width="10.25"/>
    <col collapsed="false" customWidth="true" hidden="false" outlineLevel="0" max="7680" min="7680" style="376" width="5.38"/>
    <col collapsed="false" customWidth="true" hidden="false" outlineLevel="0" max="7681" min="7681" style="376" width="12.75"/>
    <col collapsed="false" customWidth="true" hidden="false" outlineLevel="0" max="7682" min="7682" style="376" width="12.12"/>
    <col collapsed="false" customWidth="true" hidden="false" outlineLevel="0" max="7683" min="7683" style="376" width="12.87"/>
    <col collapsed="false" customWidth="true" hidden="false" outlineLevel="0" max="7684" min="7684" style="376" width="9.75"/>
    <col collapsed="false" customWidth="false" hidden="false" outlineLevel="0" max="7930" min="7685" style="376" width="9"/>
    <col collapsed="false" customWidth="true" hidden="false" outlineLevel="0" max="7931" min="7931" style="376" width="5.38"/>
    <col collapsed="false" customWidth="true" hidden="false" outlineLevel="0" max="7932" min="7932" style="376" width="15"/>
    <col collapsed="false" customWidth="true" hidden="false" outlineLevel="0" max="7933" min="7933" style="376" width="9.87"/>
    <col collapsed="false" customWidth="true" hidden="false" outlineLevel="0" max="7934" min="7934" style="376" width="13.25"/>
    <col collapsed="false" customWidth="true" hidden="false" outlineLevel="0" max="7935" min="7935" style="376" width="10.25"/>
    <col collapsed="false" customWidth="true" hidden="false" outlineLevel="0" max="7936" min="7936" style="376" width="5.38"/>
    <col collapsed="false" customWidth="true" hidden="false" outlineLevel="0" max="7937" min="7937" style="376" width="12.75"/>
    <col collapsed="false" customWidth="true" hidden="false" outlineLevel="0" max="7938" min="7938" style="376" width="12.12"/>
    <col collapsed="false" customWidth="true" hidden="false" outlineLevel="0" max="7939" min="7939" style="376" width="12.87"/>
    <col collapsed="false" customWidth="true" hidden="false" outlineLevel="0" max="7940" min="7940" style="376" width="9.75"/>
    <col collapsed="false" customWidth="false" hidden="false" outlineLevel="0" max="8186" min="7941" style="376" width="9"/>
    <col collapsed="false" customWidth="true" hidden="false" outlineLevel="0" max="8187" min="8187" style="376" width="5.38"/>
    <col collapsed="false" customWidth="true" hidden="false" outlineLevel="0" max="8188" min="8188" style="376" width="15"/>
    <col collapsed="false" customWidth="true" hidden="false" outlineLevel="0" max="8189" min="8189" style="376" width="9.87"/>
    <col collapsed="false" customWidth="true" hidden="false" outlineLevel="0" max="8190" min="8190" style="376" width="13.25"/>
    <col collapsed="false" customWidth="true" hidden="false" outlineLevel="0" max="8191" min="8191" style="376" width="10.25"/>
    <col collapsed="false" customWidth="true" hidden="false" outlineLevel="0" max="8192" min="8192" style="376" width="5.38"/>
    <col collapsed="false" customWidth="true" hidden="false" outlineLevel="0" max="8193" min="8193" style="376" width="12.75"/>
    <col collapsed="false" customWidth="true" hidden="false" outlineLevel="0" max="8194" min="8194" style="376" width="12.12"/>
    <col collapsed="false" customWidth="true" hidden="false" outlineLevel="0" max="8195" min="8195" style="376" width="12.87"/>
    <col collapsed="false" customWidth="true" hidden="false" outlineLevel="0" max="8196" min="8196" style="376" width="9.75"/>
    <col collapsed="false" customWidth="false" hidden="false" outlineLevel="0" max="8442" min="8197" style="376" width="9"/>
    <col collapsed="false" customWidth="true" hidden="false" outlineLevel="0" max="8443" min="8443" style="376" width="5.38"/>
    <col collapsed="false" customWidth="true" hidden="false" outlineLevel="0" max="8444" min="8444" style="376" width="15"/>
    <col collapsed="false" customWidth="true" hidden="false" outlineLevel="0" max="8445" min="8445" style="376" width="9.87"/>
    <col collapsed="false" customWidth="true" hidden="false" outlineLevel="0" max="8446" min="8446" style="376" width="13.25"/>
    <col collapsed="false" customWidth="true" hidden="false" outlineLevel="0" max="8447" min="8447" style="376" width="10.25"/>
    <col collapsed="false" customWidth="true" hidden="false" outlineLevel="0" max="8448" min="8448" style="376" width="5.38"/>
    <col collapsed="false" customWidth="true" hidden="false" outlineLevel="0" max="8449" min="8449" style="376" width="12.75"/>
    <col collapsed="false" customWidth="true" hidden="false" outlineLevel="0" max="8450" min="8450" style="376" width="12.12"/>
    <col collapsed="false" customWidth="true" hidden="false" outlineLevel="0" max="8451" min="8451" style="376" width="12.87"/>
    <col collapsed="false" customWidth="true" hidden="false" outlineLevel="0" max="8452" min="8452" style="376" width="9.75"/>
    <col collapsed="false" customWidth="false" hidden="false" outlineLevel="0" max="8698" min="8453" style="376" width="9"/>
    <col collapsed="false" customWidth="true" hidden="false" outlineLevel="0" max="8699" min="8699" style="376" width="5.38"/>
    <col collapsed="false" customWidth="true" hidden="false" outlineLevel="0" max="8700" min="8700" style="376" width="15"/>
    <col collapsed="false" customWidth="true" hidden="false" outlineLevel="0" max="8701" min="8701" style="376" width="9.87"/>
    <col collapsed="false" customWidth="true" hidden="false" outlineLevel="0" max="8702" min="8702" style="376" width="13.25"/>
    <col collapsed="false" customWidth="true" hidden="false" outlineLevel="0" max="8703" min="8703" style="376" width="10.25"/>
    <col collapsed="false" customWidth="true" hidden="false" outlineLevel="0" max="8704" min="8704" style="376" width="5.38"/>
    <col collapsed="false" customWidth="true" hidden="false" outlineLevel="0" max="8705" min="8705" style="376" width="12.75"/>
    <col collapsed="false" customWidth="true" hidden="false" outlineLevel="0" max="8706" min="8706" style="376" width="12.12"/>
    <col collapsed="false" customWidth="true" hidden="false" outlineLevel="0" max="8707" min="8707" style="376" width="12.87"/>
    <col collapsed="false" customWidth="true" hidden="false" outlineLevel="0" max="8708" min="8708" style="376" width="9.75"/>
    <col collapsed="false" customWidth="false" hidden="false" outlineLevel="0" max="8954" min="8709" style="376" width="9"/>
    <col collapsed="false" customWidth="true" hidden="false" outlineLevel="0" max="8955" min="8955" style="376" width="5.38"/>
    <col collapsed="false" customWidth="true" hidden="false" outlineLevel="0" max="8956" min="8956" style="376" width="15"/>
    <col collapsed="false" customWidth="true" hidden="false" outlineLevel="0" max="8957" min="8957" style="376" width="9.87"/>
    <col collapsed="false" customWidth="true" hidden="false" outlineLevel="0" max="8958" min="8958" style="376" width="13.25"/>
    <col collapsed="false" customWidth="true" hidden="false" outlineLevel="0" max="8959" min="8959" style="376" width="10.25"/>
    <col collapsed="false" customWidth="true" hidden="false" outlineLevel="0" max="8960" min="8960" style="376" width="5.38"/>
    <col collapsed="false" customWidth="true" hidden="false" outlineLevel="0" max="8961" min="8961" style="376" width="12.75"/>
    <col collapsed="false" customWidth="true" hidden="false" outlineLevel="0" max="8962" min="8962" style="376" width="12.12"/>
    <col collapsed="false" customWidth="true" hidden="false" outlineLevel="0" max="8963" min="8963" style="376" width="12.87"/>
    <col collapsed="false" customWidth="true" hidden="false" outlineLevel="0" max="8964" min="8964" style="376" width="9.75"/>
    <col collapsed="false" customWidth="false" hidden="false" outlineLevel="0" max="9210" min="8965" style="376" width="9"/>
    <col collapsed="false" customWidth="true" hidden="false" outlineLevel="0" max="9211" min="9211" style="376" width="5.38"/>
    <col collapsed="false" customWidth="true" hidden="false" outlineLevel="0" max="9212" min="9212" style="376" width="15"/>
    <col collapsed="false" customWidth="true" hidden="false" outlineLevel="0" max="9213" min="9213" style="376" width="9.87"/>
    <col collapsed="false" customWidth="true" hidden="false" outlineLevel="0" max="9214" min="9214" style="376" width="13.25"/>
    <col collapsed="false" customWidth="true" hidden="false" outlineLevel="0" max="9215" min="9215" style="376" width="10.25"/>
    <col collapsed="false" customWidth="true" hidden="false" outlineLevel="0" max="9216" min="9216" style="376" width="5.38"/>
    <col collapsed="false" customWidth="true" hidden="false" outlineLevel="0" max="9217" min="9217" style="376" width="12.75"/>
    <col collapsed="false" customWidth="true" hidden="false" outlineLevel="0" max="9218" min="9218" style="376" width="12.12"/>
    <col collapsed="false" customWidth="true" hidden="false" outlineLevel="0" max="9219" min="9219" style="376" width="12.87"/>
    <col collapsed="false" customWidth="true" hidden="false" outlineLevel="0" max="9220" min="9220" style="376" width="9.75"/>
    <col collapsed="false" customWidth="false" hidden="false" outlineLevel="0" max="9466" min="9221" style="376" width="9"/>
    <col collapsed="false" customWidth="true" hidden="false" outlineLevel="0" max="9467" min="9467" style="376" width="5.38"/>
    <col collapsed="false" customWidth="true" hidden="false" outlineLevel="0" max="9468" min="9468" style="376" width="15"/>
    <col collapsed="false" customWidth="true" hidden="false" outlineLevel="0" max="9469" min="9469" style="376" width="9.87"/>
    <col collapsed="false" customWidth="true" hidden="false" outlineLevel="0" max="9470" min="9470" style="376" width="13.25"/>
    <col collapsed="false" customWidth="true" hidden="false" outlineLevel="0" max="9471" min="9471" style="376" width="10.25"/>
    <col collapsed="false" customWidth="true" hidden="false" outlineLevel="0" max="9472" min="9472" style="376" width="5.38"/>
    <col collapsed="false" customWidth="true" hidden="false" outlineLevel="0" max="9473" min="9473" style="376" width="12.75"/>
    <col collapsed="false" customWidth="true" hidden="false" outlineLevel="0" max="9474" min="9474" style="376" width="12.12"/>
    <col collapsed="false" customWidth="true" hidden="false" outlineLevel="0" max="9475" min="9475" style="376" width="12.87"/>
    <col collapsed="false" customWidth="true" hidden="false" outlineLevel="0" max="9476" min="9476" style="376" width="9.75"/>
    <col collapsed="false" customWidth="false" hidden="false" outlineLevel="0" max="9722" min="9477" style="376" width="9"/>
    <col collapsed="false" customWidth="true" hidden="false" outlineLevel="0" max="9723" min="9723" style="376" width="5.38"/>
    <col collapsed="false" customWidth="true" hidden="false" outlineLevel="0" max="9724" min="9724" style="376" width="15"/>
    <col collapsed="false" customWidth="true" hidden="false" outlineLevel="0" max="9725" min="9725" style="376" width="9.87"/>
    <col collapsed="false" customWidth="true" hidden="false" outlineLevel="0" max="9726" min="9726" style="376" width="13.25"/>
    <col collapsed="false" customWidth="true" hidden="false" outlineLevel="0" max="9727" min="9727" style="376" width="10.25"/>
    <col collapsed="false" customWidth="true" hidden="false" outlineLevel="0" max="9728" min="9728" style="376" width="5.38"/>
    <col collapsed="false" customWidth="true" hidden="false" outlineLevel="0" max="9729" min="9729" style="376" width="12.75"/>
    <col collapsed="false" customWidth="true" hidden="false" outlineLevel="0" max="9730" min="9730" style="376" width="12.12"/>
    <col collapsed="false" customWidth="true" hidden="false" outlineLevel="0" max="9731" min="9731" style="376" width="12.87"/>
    <col collapsed="false" customWidth="true" hidden="false" outlineLevel="0" max="9732" min="9732" style="376" width="9.75"/>
    <col collapsed="false" customWidth="false" hidden="false" outlineLevel="0" max="9978" min="9733" style="376" width="9"/>
    <col collapsed="false" customWidth="true" hidden="false" outlineLevel="0" max="9979" min="9979" style="376" width="5.38"/>
    <col collapsed="false" customWidth="true" hidden="false" outlineLevel="0" max="9980" min="9980" style="376" width="15"/>
    <col collapsed="false" customWidth="true" hidden="false" outlineLevel="0" max="9981" min="9981" style="376" width="9.87"/>
    <col collapsed="false" customWidth="true" hidden="false" outlineLevel="0" max="9982" min="9982" style="376" width="13.25"/>
    <col collapsed="false" customWidth="true" hidden="false" outlineLevel="0" max="9983" min="9983" style="376" width="10.25"/>
    <col collapsed="false" customWidth="true" hidden="false" outlineLevel="0" max="9984" min="9984" style="376" width="5.38"/>
    <col collapsed="false" customWidth="true" hidden="false" outlineLevel="0" max="9985" min="9985" style="376" width="12.75"/>
    <col collapsed="false" customWidth="true" hidden="false" outlineLevel="0" max="9986" min="9986" style="376" width="12.12"/>
    <col collapsed="false" customWidth="true" hidden="false" outlineLevel="0" max="9987" min="9987" style="376" width="12.87"/>
    <col collapsed="false" customWidth="true" hidden="false" outlineLevel="0" max="9988" min="9988" style="376" width="9.75"/>
    <col collapsed="false" customWidth="false" hidden="false" outlineLevel="0" max="10234" min="9989" style="376" width="9"/>
    <col collapsed="false" customWidth="true" hidden="false" outlineLevel="0" max="10235" min="10235" style="376" width="5.38"/>
    <col collapsed="false" customWidth="true" hidden="false" outlineLevel="0" max="10236" min="10236" style="376" width="15"/>
    <col collapsed="false" customWidth="true" hidden="false" outlineLevel="0" max="10237" min="10237" style="376" width="9.87"/>
    <col collapsed="false" customWidth="true" hidden="false" outlineLevel="0" max="10238" min="10238" style="376" width="13.25"/>
    <col collapsed="false" customWidth="true" hidden="false" outlineLevel="0" max="10239" min="10239" style="376" width="10.25"/>
    <col collapsed="false" customWidth="true" hidden="false" outlineLevel="0" max="10240" min="10240" style="376" width="5.38"/>
    <col collapsed="false" customWidth="true" hidden="false" outlineLevel="0" max="10241" min="10241" style="376" width="12.75"/>
    <col collapsed="false" customWidth="true" hidden="false" outlineLevel="0" max="10242" min="10242" style="376" width="12.12"/>
    <col collapsed="false" customWidth="true" hidden="false" outlineLevel="0" max="10243" min="10243" style="376" width="12.87"/>
    <col collapsed="false" customWidth="true" hidden="false" outlineLevel="0" max="10244" min="10244" style="376" width="9.75"/>
    <col collapsed="false" customWidth="false" hidden="false" outlineLevel="0" max="10490" min="10245" style="376" width="9"/>
    <col collapsed="false" customWidth="true" hidden="false" outlineLevel="0" max="10491" min="10491" style="376" width="5.38"/>
    <col collapsed="false" customWidth="true" hidden="false" outlineLevel="0" max="10492" min="10492" style="376" width="15"/>
    <col collapsed="false" customWidth="true" hidden="false" outlineLevel="0" max="10493" min="10493" style="376" width="9.87"/>
    <col collapsed="false" customWidth="true" hidden="false" outlineLevel="0" max="10494" min="10494" style="376" width="13.25"/>
    <col collapsed="false" customWidth="true" hidden="false" outlineLevel="0" max="10495" min="10495" style="376" width="10.25"/>
    <col collapsed="false" customWidth="true" hidden="false" outlineLevel="0" max="10496" min="10496" style="376" width="5.38"/>
    <col collapsed="false" customWidth="true" hidden="false" outlineLevel="0" max="10497" min="10497" style="376" width="12.75"/>
    <col collapsed="false" customWidth="true" hidden="false" outlineLevel="0" max="10498" min="10498" style="376" width="12.12"/>
    <col collapsed="false" customWidth="true" hidden="false" outlineLevel="0" max="10499" min="10499" style="376" width="12.87"/>
    <col collapsed="false" customWidth="true" hidden="false" outlineLevel="0" max="10500" min="10500" style="376" width="9.75"/>
    <col collapsed="false" customWidth="false" hidden="false" outlineLevel="0" max="10746" min="10501" style="376" width="9"/>
    <col collapsed="false" customWidth="true" hidden="false" outlineLevel="0" max="10747" min="10747" style="376" width="5.38"/>
    <col collapsed="false" customWidth="true" hidden="false" outlineLevel="0" max="10748" min="10748" style="376" width="15"/>
    <col collapsed="false" customWidth="true" hidden="false" outlineLevel="0" max="10749" min="10749" style="376" width="9.87"/>
    <col collapsed="false" customWidth="true" hidden="false" outlineLevel="0" max="10750" min="10750" style="376" width="13.25"/>
    <col collapsed="false" customWidth="true" hidden="false" outlineLevel="0" max="10751" min="10751" style="376" width="10.25"/>
    <col collapsed="false" customWidth="true" hidden="false" outlineLevel="0" max="10752" min="10752" style="376" width="5.38"/>
    <col collapsed="false" customWidth="true" hidden="false" outlineLevel="0" max="10753" min="10753" style="376" width="12.75"/>
    <col collapsed="false" customWidth="true" hidden="false" outlineLevel="0" max="10754" min="10754" style="376" width="12.12"/>
    <col collapsed="false" customWidth="true" hidden="false" outlineLevel="0" max="10755" min="10755" style="376" width="12.87"/>
    <col collapsed="false" customWidth="true" hidden="false" outlineLevel="0" max="10756" min="10756" style="376" width="9.75"/>
    <col collapsed="false" customWidth="false" hidden="false" outlineLevel="0" max="11002" min="10757" style="376" width="9"/>
    <col collapsed="false" customWidth="true" hidden="false" outlineLevel="0" max="11003" min="11003" style="376" width="5.38"/>
    <col collapsed="false" customWidth="true" hidden="false" outlineLevel="0" max="11004" min="11004" style="376" width="15"/>
    <col collapsed="false" customWidth="true" hidden="false" outlineLevel="0" max="11005" min="11005" style="376" width="9.87"/>
    <col collapsed="false" customWidth="true" hidden="false" outlineLevel="0" max="11006" min="11006" style="376" width="13.25"/>
    <col collapsed="false" customWidth="true" hidden="false" outlineLevel="0" max="11007" min="11007" style="376" width="10.25"/>
    <col collapsed="false" customWidth="true" hidden="false" outlineLevel="0" max="11008" min="11008" style="376" width="5.38"/>
    <col collapsed="false" customWidth="true" hidden="false" outlineLevel="0" max="11009" min="11009" style="376" width="12.75"/>
    <col collapsed="false" customWidth="true" hidden="false" outlineLevel="0" max="11010" min="11010" style="376" width="12.12"/>
    <col collapsed="false" customWidth="true" hidden="false" outlineLevel="0" max="11011" min="11011" style="376" width="12.87"/>
    <col collapsed="false" customWidth="true" hidden="false" outlineLevel="0" max="11012" min="11012" style="376" width="9.75"/>
    <col collapsed="false" customWidth="false" hidden="false" outlineLevel="0" max="11258" min="11013" style="376" width="9"/>
    <col collapsed="false" customWidth="true" hidden="false" outlineLevel="0" max="11259" min="11259" style="376" width="5.38"/>
    <col collapsed="false" customWidth="true" hidden="false" outlineLevel="0" max="11260" min="11260" style="376" width="15"/>
    <col collapsed="false" customWidth="true" hidden="false" outlineLevel="0" max="11261" min="11261" style="376" width="9.87"/>
    <col collapsed="false" customWidth="true" hidden="false" outlineLevel="0" max="11262" min="11262" style="376" width="13.25"/>
    <col collapsed="false" customWidth="true" hidden="false" outlineLevel="0" max="11263" min="11263" style="376" width="10.25"/>
    <col collapsed="false" customWidth="true" hidden="false" outlineLevel="0" max="11264" min="11264" style="376" width="5.38"/>
    <col collapsed="false" customWidth="true" hidden="false" outlineLevel="0" max="11265" min="11265" style="376" width="12.75"/>
    <col collapsed="false" customWidth="true" hidden="false" outlineLevel="0" max="11266" min="11266" style="376" width="12.12"/>
    <col collapsed="false" customWidth="true" hidden="false" outlineLevel="0" max="11267" min="11267" style="376" width="12.87"/>
    <col collapsed="false" customWidth="true" hidden="false" outlineLevel="0" max="11268" min="11268" style="376" width="9.75"/>
    <col collapsed="false" customWidth="false" hidden="false" outlineLevel="0" max="11514" min="11269" style="376" width="9"/>
    <col collapsed="false" customWidth="true" hidden="false" outlineLevel="0" max="11515" min="11515" style="376" width="5.38"/>
    <col collapsed="false" customWidth="true" hidden="false" outlineLevel="0" max="11516" min="11516" style="376" width="15"/>
    <col collapsed="false" customWidth="true" hidden="false" outlineLevel="0" max="11517" min="11517" style="376" width="9.87"/>
    <col collapsed="false" customWidth="true" hidden="false" outlineLevel="0" max="11518" min="11518" style="376" width="13.25"/>
    <col collapsed="false" customWidth="true" hidden="false" outlineLevel="0" max="11519" min="11519" style="376" width="10.25"/>
    <col collapsed="false" customWidth="true" hidden="false" outlineLevel="0" max="11520" min="11520" style="376" width="5.38"/>
    <col collapsed="false" customWidth="true" hidden="false" outlineLevel="0" max="11521" min="11521" style="376" width="12.75"/>
    <col collapsed="false" customWidth="true" hidden="false" outlineLevel="0" max="11522" min="11522" style="376" width="12.12"/>
    <col collapsed="false" customWidth="true" hidden="false" outlineLevel="0" max="11523" min="11523" style="376" width="12.87"/>
    <col collapsed="false" customWidth="true" hidden="false" outlineLevel="0" max="11524" min="11524" style="376" width="9.75"/>
    <col collapsed="false" customWidth="false" hidden="false" outlineLevel="0" max="11770" min="11525" style="376" width="9"/>
    <col collapsed="false" customWidth="true" hidden="false" outlineLevel="0" max="11771" min="11771" style="376" width="5.38"/>
    <col collapsed="false" customWidth="true" hidden="false" outlineLevel="0" max="11772" min="11772" style="376" width="15"/>
    <col collapsed="false" customWidth="true" hidden="false" outlineLevel="0" max="11773" min="11773" style="376" width="9.87"/>
    <col collapsed="false" customWidth="true" hidden="false" outlineLevel="0" max="11774" min="11774" style="376" width="13.25"/>
    <col collapsed="false" customWidth="true" hidden="false" outlineLevel="0" max="11775" min="11775" style="376" width="10.25"/>
    <col collapsed="false" customWidth="true" hidden="false" outlineLevel="0" max="11776" min="11776" style="376" width="5.38"/>
    <col collapsed="false" customWidth="true" hidden="false" outlineLevel="0" max="11777" min="11777" style="376" width="12.75"/>
    <col collapsed="false" customWidth="true" hidden="false" outlineLevel="0" max="11778" min="11778" style="376" width="12.12"/>
    <col collapsed="false" customWidth="true" hidden="false" outlineLevel="0" max="11779" min="11779" style="376" width="12.87"/>
    <col collapsed="false" customWidth="true" hidden="false" outlineLevel="0" max="11780" min="11780" style="376" width="9.75"/>
    <col collapsed="false" customWidth="false" hidden="false" outlineLevel="0" max="12026" min="11781" style="376" width="9"/>
    <col collapsed="false" customWidth="true" hidden="false" outlineLevel="0" max="12027" min="12027" style="376" width="5.38"/>
    <col collapsed="false" customWidth="true" hidden="false" outlineLevel="0" max="12028" min="12028" style="376" width="15"/>
    <col collapsed="false" customWidth="true" hidden="false" outlineLevel="0" max="12029" min="12029" style="376" width="9.87"/>
    <col collapsed="false" customWidth="true" hidden="false" outlineLevel="0" max="12030" min="12030" style="376" width="13.25"/>
    <col collapsed="false" customWidth="true" hidden="false" outlineLevel="0" max="12031" min="12031" style="376" width="10.25"/>
    <col collapsed="false" customWidth="true" hidden="false" outlineLevel="0" max="12032" min="12032" style="376" width="5.38"/>
    <col collapsed="false" customWidth="true" hidden="false" outlineLevel="0" max="12033" min="12033" style="376" width="12.75"/>
    <col collapsed="false" customWidth="true" hidden="false" outlineLevel="0" max="12034" min="12034" style="376" width="12.12"/>
    <col collapsed="false" customWidth="true" hidden="false" outlineLevel="0" max="12035" min="12035" style="376" width="12.87"/>
    <col collapsed="false" customWidth="true" hidden="false" outlineLevel="0" max="12036" min="12036" style="376" width="9.75"/>
    <col collapsed="false" customWidth="false" hidden="false" outlineLevel="0" max="12282" min="12037" style="376" width="9"/>
    <col collapsed="false" customWidth="true" hidden="false" outlineLevel="0" max="12283" min="12283" style="376" width="5.38"/>
    <col collapsed="false" customWidth="true" hidden="false" outlineLevel="0" max="12284" min="12284" style="376" width="15"/>
    <col collapsed="false" customWidth="true" hidden="false" outlineLevel="0" max="12285" min="12285" style="376" width="9.87"/>
    <col collapsed="false" customWidth="true" hidden="false" outlineLevel="0" max="12286" min="12286" style="376" width="13.25"/>
    <col collapsed="false" customWidth="true" hidden="false" outlineLevel="0" max="12287" min="12287" style="376" width="10.25"/>
    <col collapsed="false" customWidth="true" hidden="false" outlineLevel="0" max="12288" min="12288" style="376" width="5.38"/>
    <col collapsed="false" customWidth="true" hidden="false" outlineLevel="0" max="12289" min="12289" style="376" width="12.75"/>
    <col collapsed="false" customWidth="true" hidden="false" outlineLevel="0" max="12290" min="12290" style="376" width="12.12"/>
    <col collapsed="false" customWidth="true" hidden="false" outlineLevel="0" max="12291" min="12291" style="376" width="12.87"/>
    <col collapsed="false" customWidth="true" hidden="false" outlineLevel="0" max="12292" min="12292" style="376" width="9.75"/>
    <col collapsed="false" customWidth="false" hidden="false" outlineLevel="0" max="12538" min="12293" style="376" width="9"/>
    <col collapsed="false" customWidth="true" hidden="false" outlineLevel="0" max="12539" min="12539" style="376" width="5.38"/>
    <col collapsed="false" customWidth="true" hidden="false" outlineLevel="0" max="12540" min="12540" style="376" width="15"/>
    <col collapsed="false" customWidth="true" hidden="false" outlineLevel="0" max="12541" min="12541" style="376" width="9.87"/>
    <col collapsed="false" customWidth="true" hidden="false" outlineLevel="0" max="12542" min="12542" style="376" width="13.25"/>
    <col collapsed="false" customWidth="true" hidden="false" outlineLevel="0" max="12543" min="12543" style="376" width="10.25"/>
    <col collapsed="false" customWidth="true" hidden="false" outlineLevel="0" max="12544" min="12544" style="376" width="5.38"/>
    <col collapsed="false" customWidth="true" hidden="false" outlineLevel="0" max="12545" min="12545" style="376" width="12.75"/>
    <col collapsed="false" customWidth="true" hidden="false" outlineLevel="0" max="12546" min="12546" style="376" width="12.12"/>
    <col collapsed="false" customWidth="true" hidden="false" outlineLevel="0" max="12547" min="12547" style="376" width="12.87"/>
    <col collapsed="false" customWidth="true" hidden="false" outlineLevel="0" max="12548" min="12548" style="376" width="9.75"/>
    <col collapsed="false" customWidth="false" hidden="false" outlineLevel="0" max="12794" min="12549" style="376" width="9"/>
    <col collapsed="false" customWidth="true" hidden="false" outlineLevel="0" max="12795" min="12795" style="376" width="5.38"/>
    <col collapsed="false" customWidth="true" hidden="false" outlineLevel="0" max="12796" min="12796" style="376" width="15"/>
    <col collapsed="false" customWidth="true" hidden="false" outlineLevel="0" max="12797" min="12797" style="376" width="9.87"/>
    <col collapsed="false" customWidth="true" hidden="false" outlineLevel="0" max="12798" min="12798" style="376" width="13.25"/>
    <col collapsed="false" customWidth="true" hidden="false" outlineLevel="0" max="12799" min="12799" style="376" width="10.25"/>
    <col collapsed="false" customWidth="true" hidden="false" outlineLevel="0" max="12800" min="12800" style="376" width="5.38"/>
    <col collapsed="false" customWidth="true" hidden="false" outlineLevel="0" max="12801" min="12801" style="376" width="12.75"/>
    <col collapsed="false" customWidth="true" hidden="false" outlineLevel="0" max="12802" min="12802" style="376" width="12.12"/>
    <col collapsed="false" customWidth="true" hidden="false" outlineLevel="0" max="12803" min="12803" style="376" width="12.87"/>
    <col collapsed="false" customWidth="true" hidden="false" outlineLevel="0" max="12804" min="12804" style="376" width="9.75"/>
    <col collapsed="false" customWidth="false" hidden="false" outlineLevel="0" max="13050" min="12805" style="376" width="9"/>
    <col collapsed="false" customWidth="true" hidden="false" outlineLevel="0" max="13051" min="13051" style="376" width="5.38"/>
    <col collapsed="false" customWidth="true" hidden="false" outlineLevel="0" max="13052" min="13052" style="376" width="15"/>
    <col collapsed="false" customWidth="true" hidden="false" outlineLevel="0" max="13053" min="13053" style="376" width="9.87"/>
    <col collapsed="false" customWidth="true" hidden="false" outlineLevel="0" max="13054" min="13054" style="376" width="13.25"/>
    <col collapsed="false" customWidth="true" hidden="false" outlineLevel="0" max="13055" min="13055" style="376" width="10.25"/>
    <col collapsed="false" customWidth="true" hidden="false" outlineLevel="0" max="13056" min="13056" style="376" width="5.38"/>
    <col collapsed="false" customWidth="true" hidden="false" outlineLevel="0" max="13057" min="13057" style="376" width="12.75"/>
    <col collapsed="false" customWidth="true" hidden="false" outlineLevel="0" max="13058" min="13058" style="376" width="12.12"/>
    <col collapsed="false" customWidth="true" hidden="false" outlineLevel="0" max="13059" min="13059" style="376" width="12.87"/>
    <col collapsed="false" customWidth="true" hidden="false" outlineLevel="0" max="13060" min="13060" style="376" width="9.75"/>
    <col collapsed="false" customWidth="false" hidden="false" outlineLevel="0" max="13306" min="13061" style="376" width="9"/>
    <col collapsed="false" customWidth="true" hidden="false" outlineLevel="0" max="13307" min="13307" style="376" width="5.38"/>
    <col collapsed="false" customWidth="true" hidden="false" outlineLevel="0" max="13308" min="13308" style="376" width="15"/>
    <col collapsed="false" customWidth="true" hidden="false" outlineLevel="0" max="13309" min="13309" style="376" width="9.87"/>
    <col collapsed="false" customWidth="true" hidden="false" outlineLevel="0" max="13310" min="13310" style="376" width="13.25"/>
    <col collapsed="false" customWidth="true" hidden="false" outlineLevel="0" max="13311" min="13311" style="376" width="10.25"/>
    <col collapsed="false" customWidth="true" hidden="false" outlineLevel="0" max="13312" min="13312" style="376" width="5.38"/>
    <col collapsed="false" customWidth="true" hidden="false" outlineLevel="0" max="13313" min="13313" style="376" width="12.75"/>
    <col collapsed="false" customWidth="true" hidden="false" outlineLevel="0" max="13314" min="13314" style="376" width="12.12"/>
    <col collapsed="false" customWidth="true" hidden="false" outlineLevel="0" max="13315" min="13315" style="376" width="12.87"/>
    <col collapsed="false" customWidth="true" hidden="false" outlineLevel="0" max="13316" min="13316" style="376" width="9.75"/>
    <col collapsed="false" customWidth="false" hidden="false" outlineLevel="0" max="13562" min="13317" style="376" width="9"/>
    <col collapsed="false" customWidth="true" hidden="false" outlineLevel="0" max="13563" min="13563" style="376" width="5.38"/>
    <col collapsed="false" customWidth="true" hidden="false" outlineLevel="0" max="13564" min="13564" style="376" width="15"/>
    <col collapsed="false" customWidth="true" hidden="false" outlineLevel="0" max="13565" min="13565" style="376" width="9.87"/>
    <col collapsed="false" customWidth="true" hidden="false" outlineLevel="0" max="13566" min="13566" style="376" width="13.25"/>
    <col collapsed="false" customWidth="true" hidden="false" outlineLevel="0" max="13567" min="13567" style="376" width="10.25"/>
    <col collapsed="false" customWidth="true" hidden="false" outlineLevel="0" max="13568" min="13568" style="376" width="5.38"/>
    <col collapsed="false" customWidth="true" hidden="false" outlineLevel="0" max="13569" min="13569" style="376" width="12.75"/>
    <col collapsed="false" customWidth="true" hidden="false" outlineLevel="0" max="13570" min="13570" style="376" width="12.12"/>
    <col collapsed="false" customWidth="true" hidden="false" outlineLevel="0" max="13571" min="13571" style="376" width="12.87"/>
    <col collapsed="false" customWidth="true" hidden="false" outlineLevel="0" max="13572" min="13572" style="376" width="9.75"/>
    <col collapsed="false" customWidth="false" hidden="false" outlineLevel="0" max="13818" min="13573" style="376" width="9"/>
    <col collapsed="false" customWidth="true" hidden="false" outlineLevel="0" max="13819" min="13819" style="376" width="5.38"/>
    <col collapsed="false" customWidth="true" hidden="false" outlineLevel="0" max="13820" min="13820" style="376" width="15"/>
    <col collapsed="false" customWidth="true" hidden="false" outlineLevel="0" max="13821" min="13821" style="376" width="9.87"/>
    <col collapsed="false" customWidth="true" hidden="false" outlineLevel="0" max="13822" min="13822" style="376" width="13.25"/>
    <col collapsed="false" customWidth="true" hidden="false" outlineLevel="0" max="13823" min="13823" style="376" width="10.25"/>
    <col collapsed="false" customWidth="true" hidden="false" outlineLevel="0" max="13824" min="13824" style="376" width="5.38"/>
    <col collapsed="false" customWidth="true" hidden="false" outlineLevel="0" max="13825" min="13825" style="376" width="12.75"/>
    <col collapsed="false" customWidth="true" hidden="false" outlineLevel="0" max="13826" min="13826" style="376" width="12.12"/>
    <col collapsed="false" customWidth="true" hidden="false" outlineLevel="0" max="13827" min="13827" style="376" width="12.87"/>
    <col collapsed="false" customWidth="true" hidden="false" outlineLevel="0" max="13828" min="13828" style="376" width="9.75"/>
    <col collapsed="false" customWidth="false" hidden="false" outlineLevel="0" max="14074" min="13829" style="376" width="9"/>
    <col collapsed="false" customWidth="true" hidden="false" outlineLevel="0" max="14075" min="14075" style="376" width="5.38"/>
    <col collapsed="false" customWidth="true" hidden="false" outlineLevel="0" max="14076" min="14076" style="376" width="15"/>
    <col collapsed="false" customWidth="true" hidden="false" outlineLevel="0" max="14077" min="14077" style="376" width="9.87"/>
    <col collapsed="false" customWidth="true" hidden="false" outlineLevel="0" max="14078" min="14078" style="376" width="13.25"/>
    <col collapsed="false" customWidth="true" hidden="false" outlineLevel="0" max="14079" min="14079" style="376" width="10.25"/>
    <col collapsed="false" customWidth="true" hidden="false" outlineLevel="0" max="14080" min="14080" style="376" width="5.38"/>
    <col collapsed="false" customWidth="true" hidden="false" outlineLevel="0" max="14081" min="14081" style="376" width="12.75"/>
    <col collapsed="false" customWidth="true" hidden="false" outlineLevel="0" max="14082" min="14082" style="376" width="12.12"/>
    <col collapsed="false" customWidth="true" hidden="false" outlineLevel="0" max="14083" min="14083" style="376" width="12.87"/>
    <col collapsed="false" customWidth="true" hidden="false" outlineLevel="0" max="14084" min="14084" style="376" width="9.75"/>
    <col collapsed="false" customWidth="false" hidden="false" outlineLevel="0" max="14330" min="14085" style="376" width="9"/>
    <col collapsed="false" customWidth="true" hidden="false" outlineLevel="0" max="14331" min="14331" style="376" width="5.38"/>
    <col collapsed="false" customWidth="true" hidden="false" outlineLevel="0" max="14332" min="14332" style="376" width="15"/>
    <col collapsed="false" customWidth="true" hidden="false" outlineLevel="0" max="14333" min="14333" style="376" width="9.87"/>
    <col collapsed="false" customWidth="true" hidden="false" outlineLevel="0" max="14334" min="14334" style="376" width="13.25"/>
    <col collapsed="false" customWidth="true" hidden="false" outlineLevel="0" max="14335" min="14335" style="376" width="10.25"/>
    <col collapsed="false" customWidth="true" hidden="false" outlineLevel="0" max="14336" min="14336" style="376" width="5.38"/>
    <col collapsed="false" customWidth="true" hidden="false" outlineLevel="0" max="14337" min="14337" style="376" width="12.75"/>
    <col collapsed="false" customWidth="true" hidden="false" outlineLevel="0" max="14338" min="14338" style="376" width="12.12"/>
    <col collapsed="false" customWidth="true" hidden="false" outlineLevel="0" max="14339" min="14339" style="376" width="12.87"/>
    <col collapsed="false" customWidth="true" hidden="false" outlineLevel="0" max="14340" min="14340" style="376" width="9.75"/>
    <col collapsed="false" customWidth="false" hidden="false" outlineLevel="0" max="14586" min="14341" style="376" width="9"/>
    <col collapsed="false" customWidth="true" hidden="false" outlineLevel="0" max="14587" min="14587" style="376" width="5.38"/>
    <col collapsed="false" customWidth="true" hidden="false" outlineLevel="0" max="14588" min="14588" style="376" width="15"/>
    <col collapsed="false" customWidth="true" hidden="false" outlineLevel="0" max="14589" min="14589" style="376" width="9.87"/>
    <col collapsed="false" customWidth="true" hidden="false" outlineLevel="0" max="14590" min="14590" style="376" width="13.25"/>
    <col collapsed="false" customWidth="true" hidden="false" outlineLevel="0" max="14591" min="14591" style="376" width="10.25"/>
    <col collapsed="false" customWidth="true" hidden="false" outlineLevel="0" max="14592" min="14592" style="376" width="5.38"/>
    <col collapsed="false" customWidth="true" hidden="false" outlineLevel="0" max="14593" min="14593" style="376" width="12.75"/>
    <col collapsed="false" customWidth="true" hidden="false" outlineLevel="0" max="14594" min="14594" style="376" width="12.12"/>
    <col collapsed="false" customWidth="true" hidden="false" outlineLevel="0" max="14595" min="14595" style="376" width="12.87"/>
    <col collapsed="false" customWidth="true" hidden="false" outlineLevel="0" max="14596" min="14596" style="376" width="9.75"/>
    <col collapsed="false" customWidth="false" hidden="false" outlineLevel="0" max="14842" min="14597" style="376" width="9"/>
    <col collapsed="false" customWidth="true" hidden="false" outlineLevel="0" max="14843" min="14843" style="376" width="5.38"/>
    <col collapsed="false" customWidth="true" hidden="false" outlineLevel="0" max="14844" min="14844" style="376" width="15"/>
    <col collapsed="false" customWidth="true" hidden="false" outlineLevel="0" max="14845" min="14845" style="376" width="9.87"/>
    <col collapsed="false" customWidth="true" hidden="false" outlineLevel="0" max="14846" min="14846" style="376" width="13.25"/>
    <col collapsed="false" customWidth="true" hidden="false" outlineLevel="0" max="14847" min="14847" style="376" width="10.25"/>
    <col collapsed="false" customWidth="true" hidden="false" outlineLevel="0" max="14848" min="14848" style="376" width="5.38"/>
    <col collapsed="false" customWidth="true" hidden="false" outlineLevel="0" max="14849" min="14849" style="376" width="12.75"/>
    <col collapsed="false" customWidth="true" hidden="false" outlineLevel="0" max="14850" min="14850" style="376" width="12.12"/>
    <col collapsed="false" customWidth="true" hidden="false" outlineLevel="0" max="14851" min="14851" style="376" width="12.87"/>
    <col collapsed="false" customWidth="true" hidden="false" outlineLevel="0" max="14852" min="14852" style="376" width="9.75"/>
    <col collapsed="false" customWidth="false" hidden="false" outlineLevel="0" max="15098" min="14853" style="376" width="9"/>
    <col collapsed="false" customWidth="true" hidden="false" outlineLevel="0" max="15099" min="15099" style="376" width="5.38"/>
    <col collapsed="false" customWidth="true" hidden="false" outlineLevel="0" max="15100" min="15100" style="376" width="15"/>
    <col collapsed="false" customWidth="true" hidden="false" outlineLevel="0" max="15101" min="15101" style="376" width="9.87"/>
    <col collapsed="false" customWidth="true" hidden="false" outlineLevel="0" max="15102" min="15102" style="376" width="13.25"/>
    <col collapsed="false" customWidth="true" hidden="false" outlineLevel="0" max="15103" min="15103" style="376" width="10.25"/>
    <col collapsed="false" customWidth="true" hidden="false" outlineLevel="0" max="15104" min="15104" style="376" width="5.38"/>
    <col collapsed="false" customWidth="true" hidden="false" outlineLevel="0" max="15105" min="15105" style="376" width="12.75"/>
    <col collapsed="false" customWidth="true" hidden="false" outlineLevel="0" max="15106" min="15106" style="376" width="12.12"/>
    <col collapsed="false" customWidth="true" hidden="false" outlineLevel="0" max="15107" min="15107" style="376" width="12.87"/>
    <col collapsed="false" customWidth="true" hidden="false" outlineLevel="0" max="15108" min="15108" style="376" width="9.75"/>
    <col collapsed="false" customWidth="false" hidden="false" outlineLevel="0" max="15354" min="15109" style="376" width="9"/>
    <col collapsed="false" customWidth="true" hidden="false" outlineLevel="0" max="15355" min="15355" style="376" width="5.38"/>
    <col collapsed="false" customWidth="true" hidden="false" outlineLevel="0" max="15356" min="15356" style="376" width="15"/>
    <col collapsed="false" customWidth="true" hidden="false" outlineLevel="0" max="15357" min="15357" style="376" width="9.87"/>
    <col collapsed="false" customWidth="true" hidden="false" outlineLevel="0" max="15358" min="15358" style="376" width="13.25"/>
    <col collapsed="false" customWidth="true" hidden="false" outlineLevel="0" max="15359" min="15359" style="376" width="10.25"/>
    <col collapsed="false" customWidth="true" hidden="false" outlineLevel="0" max="15360" min="15360" style="376" width="5.38"/>
    <col collapsed="false" customWidth="true" hidden="false" outlineLevel="0" max="15361" min="15361" style="376" width="12.75"/>
    <col collapsed="false" customWidth="true" hidden="false" outlineLevel="0" max="15362" min="15362" style="376" width="12.12"/>
    <col collapsed="false" customWidth="true" hidden="false" outlineLevel="0" max="15363" min="15363" style="376" width="12.87"/>
    <col collapsed="false" customWidth="true" hidden="false" outlineLevel="0" max="15364" min="15364" style="376" width="9.75"/>
    <col collapsed="false" customWidth="false" hidden="false" outlineLevel="0" max="15610" min="15365" style="376" width="9"/>
    <col collapsed="false" customWidth="true" hidden="false" outlineLevel="0" max="15611" min="15611" style="376" width="5.38"/>
    <col collapsed="false" customWidth="true" hidden="false" outlineLevel="0" max="15612" min="15612" style="376" width="15"/>
    <col collapsed="false" customWidth="true" hidden="false" outlineLevel="0" max="15613" min="15613" style="376" width="9.87"/>
    <col collapsed="false" customWidth="true" hidden="false" outlineLevel="0" max="15614" min="15614" style="376" width="13.25"/>
    <col collapsed="false" customWidth="true" hidden="false" outlineLevel="0" max="15615" min="15615" style="376" width="10.25"/>
    <col collapsed="false" customWidth="true" hidden="false" outlineLevel="0" max="15616" min="15616" style="376" width="5.38"/>
    <col collapsed="false" customWidth="true" hidden="false" outlineLevel="0" max="15617" min="15617" style="376" width="12.75"/>
    <col collapsed="false" customWidth="true" hidden="false" outlineLevel="0" max="15618" min="15618" style="376" width="12.12"/>
    <col collapsed="false" customWidth="true" hidden="false" outlineLevel="0" max="15619" min="15619" style="376" width="12.87"/>
    <col collapsed="false" customWidth="true" hidden="false" outlineLevel="0" max="15620" min="15620" style="376" width="9.75"/>
    <col collapsed="false" customWidth="false" hidden="false" outlineLevel="0" max="15866" min="15621" style="376" width="9"/>
    <col collapsed="false" customWidth="true" hidden="false" outlineLevel="0" max="15867" min="15867" style="376" width="5.38"/>
    <col collapsed="false" customWidth="true" hidden="false" outlineLevel="0" max="15868" min="15868" style="376" width="15"/>
    <col collapsed="false" customWidth="true" hidden="false" outlineLevel="0" max="15869" min="15869" style="376" width="9.87"/>
    <col collapsed="false" customWidth="true" hidden="false" outlineLevel="0" max="15870" min="15870" style="376" width="13.25"/>
    <col collapsed="false" customWidth="true" hidden="false" outlineLevel="0" max="15871" min="15871" style="376" width="10.25"/>
    <col collapsed="false" customWidth="true" hidden="false" outlineLevel="0" max="15872" min="15872" style="376" width="5.38"/>
    <col collapsed="false" customWidth="true" hidden="false" outlineLevel="0" max="15873" min="15873" style="376" width="12.75"/>
    <col collapsed="false" customWidth="true" hidden="false" outlineLevel="0" max="15874" min="15874" style="376" width="12.12"/>
    <col collapsed="false" customWidth="true" hidden="false" outlineLevel="0" max="15875" min="15875" style="376" width="12.87"/>
    <col collapsed="false" customWidth="true" hidden="false" outlineLevel="0" max="15876" min="15876" style="376" width="9.75"/>
    <col collapsed="false" customWidth="false" hidden="false" outlineLevel="0" max="16122" min="15877" style="376" width="9"/>
    <col collapsed="false" customWidth="true" hidden="false" outlineLevel="0" max="16123" min="16123" style="376" width="5.38"/>
    <col collapsed="false" customWidth="true" hidden="false" outlineLevel="0" max="16124" min="16124" style="376" width="15"/>
    <col collapsed="false" customWidth="true" hidden="false" outlineLevel="0" max="16125" min="16125" style="376" width="9.87"/>
    <col collapsed="false" customWidth="true" hidden="false" outlineLevel="0" max="16126" min="16126" style="376" width="13.25"/>
    <col collapsed="false" customWidth="true" hidden="false" outlineLevel="0" max="16127" min="16127" style="376" width="10.25"/>
    <col collapsed="false" customWidth="true" hidden="false" outlineLevel="0" max="16128" min="16128" style="376" width="5.38"/>
    <col collapsed="false" customWidth="true" hidden="false" outlineLevel="0" max="16129" min="16129" style="376" width="12.75"/>
    <col collapsed="false" customWidth="true" hidden="false" outlineLevel="0" max="16130" min="16130" style="376" width="12.12"/>
    <col collapsed="false" customWidth="true" hidden="false" outlineLevel="0" max="16131" min="16131" style="376" width="12.87"/>
    <col collapsed="false" customWidth="true" hidden="false" outlineLevel="0" max="16132" min="16132" style="376" width="9.75"/>
    <col collapsed="false" customWidth="false" hidden="false" outlineLevel="0" max="16384" min="16133" style="376" width="9"/>
  </cols>
  <sheetData>
    <row r="1" customFormat="false" ht="15" hidden="false" customHeight="false" outlineLevel="0" collapsed="false"/>
    <row r="2" customFormat="false" ht="15" hidden="false" customHeight="false" outlineLevel="0" collapsed="false">
      <c r="C2" s="376" t="s">
        <v>720</v>
      </c>
      <c r="D2" s="376" t="s">
        <v>721</v>
      </c>
      <c r="E2" s="376" t="s">
        <v>722</v>
      </c>
    </row>
    <row r="3" customFormat="false" ht="15" hidden="false" customHeight="false" outlineLevel="0" collapsed="false">
      <c r="B3" s="376" t="s">
        <v>723</v>
      </c>
      <c r="C3" s="212" t="n">
        <f aca="false">反应器选型!C17</f>
        <v>4.6</v>
      </c>
      <c r="D3" s="212" t="n">
        <f aca="false">反应器选型!C20</f>
        <v>22</v>
      </c>
      <c r="E3" s="377" t="n">
        <f aca="false">0.785*C3*C3*D3</f>
        <v>365.4332</v>
      </c>
    </row>
    <row r="4" customFormat="false" ht="15" hidden="false" customHeight="false" outlineLevel="0" collapsed="false">
      <c r="B4" s="376" t="s">
        <v>724</v>
      </c>
      <c r="C4" s="212" t="n">
        <f aca="false">C3</f>
        <v>4.6</v>
      </c>
      <c r="D4" s="212" t="n">
        <f aca="false">D3</f>
        <v>22</v>
      </c>
      <c r="E4" s="376" t="n">
        <f aca="false">0.785*C4*C4*D4</f>
        <v>365.4332</v>
      </c>
    </row>
    <row r="5" customFormat="false" ht="15" hidden="false" customHeight="false" outlineLevel="0" collapsed="false">
      <c r="B5" s="376" t="s">
        <v>725</v>
      </c>
      <c r="C5" s="212" t="n">
        <f aca="false">反应器选型!G19</f>
        <v>4.6</v>
      </c>
      <c r="D5" s="212" t="n">
        <f aca="false">反应器选型!G30</f>
        <v>21.94</v>
      </c>
      <c r="E5" s="376" t="n">
        <f aca="false">0.785*C5*C5*D5</f>
        <v>364.436564</v>
      </c>
    </row>
    <row r="6" customFormat="false" ht="15" hidden="false" customHeight="false" outlineLevel="0" collapsed="false">
      <c r="B6" s="376" t="s">
        <v>726</v>
      </c>
      <c r="C6" s="212" t="n">
        <f aca="false">反应器选型!G17</f>
        <v>118</v>
      </c>
    </row>
    <row r="7" customFormat="false" ht="15" hidden="false" customHeight="false" outlineLevel="0" collapsed="false">
      <c r="B7" s="376" t="s">
        <v>727</v>
      </c>
      <c r="C7" s="262" t="n">
        <v>0.7</v>
      </c>
    </row>
    <row r="8" customFormat="false" ht="15" hidden="false" customHeight="false" outlineLevel="0" collapsed="false">
      <c r="B8" s="376" t="s">
        <v>728</v>
      </c>
      <c r="C8" s="212" t="n">
        <f aca="false">高压容器核算!B6</f>
        <v>2.8</v>
      </c>
      <c r="D8" s="212" t="n">
        <f aca="false">高压容器核算!B7</f>
        <v>10.5</v>
      </c>
      <c r="E8" s="376" t="n">
        <f aca="false">0.785*C8*C8*D8</f>
        <v>64.6212</v>
      </c>
    </row>
    <row r="9" customFormat="false" ht="15" hidden="false" customHeight="false" outlineLevel="0" collapsed="false">
      <c r="B9" s="376" t="s">
        <v>729</v>
      </c>
      <c r="C9" s="212" t="n">
        <f aca="false">高压容器核算!C6</f>
        <v>2.4</v>
      </c>
      <c r="D9" s="212" t="n">
        <f aca="false">高压容器核算!C7</f>
        <v>8.5</v>
      </c>
      <c r="E9" s="376" t="n">
        <f aca="false">0.785*C9*C9*D9</f>
        <v>38.4336</v>
      </c>
    </row>
    <row r="10" customFormat="false" ht="15" hidden="false" customHeight="false" outlineLevel="0" collapsed="false">
      <c r="B10" s="376" t="s">
        <v>730</v>
      </c>
      <c r="C10" s="212" t="n">
        <f aca="false">高压容器核算!D6</f>
        <v>2</v>
      </c>
      <c r="D10" s="212" t="n">
        <f aca="false">高压容器核算!D7</f>
        <v>6.5</v>
      </c>
      <c r="E10" s="376" t="n">
        <f aca="false">0.785*C10*C10*D10</f>
        <v>20.41</v>
      </c>
    </row>
    <row r="11" customFormat="false" ht="15" hidden="false" customHeight="false" outlineLevel="0" collapsed="false">
      <c r="B11" s="376" t="s">
        <v>731</v>
      </c>
      <c r="C11" s="262" t="n">
        <v>3</v>
      </c>
      <c r="D11" s="262" t="n">
        <v>4</v>
      </c>
      <c r="E11" s="376" t="n">
        <f aca="false">0.785*C11*C11*D11</f>
        <v>28.26</v>
      </c>
    </row>
    <row r="12" customFormat="false" ht="15" hidden="false" customHeight="true" outlineLevel="0" collapsed="false">
      <c r="B12" s="376" t="s">
        <v>478</v>
      </c>
      <c r="C12" s="262" t="n">
        <v>1.8</v>
      </c>
      <c r="D12" s="262" t="n">
        <v>13.9</v>
      </c>
      <c r="E12" s="376" t="n">
        <f aca="false">0.785*C12*C12*D12</f>
        <v>35.35326</v>
      </c>
    </row>
    <row r="13" customFormat="false" ht="15" hidden="false" customHeight="true" outlineLevel="0" collapsed="false">
      <c r="B13" s="376" t="s">
        <v>732</v>
      </c>
      <c r="C13" s="262" t="n">
        <v>1.4</v>
      </c>
      <c r="D13" s="262" t="n">
        <v>12</v>
      </c>
      <c r="E13" s="376" t="n">
        <f aca="false">0.785*C13*C13*D13</f>
        <v>18.4632</v>
      </c>
    </row>
    <row r="14" customFormat="false" ht="15" hidden="false" customHeight="false" outlineLevel="0" collapsed="false">
      <c r="B14" s="376" t="s">
        <v>733</v>
      </c>
      <c r="C14" s="262" t="n">
        <v>0.9</v>
      </c>
      <c r="D14" s="262" t="n">
        <v>6</v>
      </c>
      <c r="E14" s="376" t="n">
        <f aca="false">0.785*C14*C14*D14</f>
        <v>3.8151</v>
      </c>
    </row>
    <row r="15" customFormat="false" ht="15" hidden="false" customHeight="false" outlineLevel="0" collapsed="false">
      <c r="B15" s="376" t="s">
        <v>734</v>
      </c>
      <c r="C15" s="262"/>
      <c r="D15" s="262"/>
      <c r="E15" s="376" t="n">
        <f aca="false">0.785*C15*C15*D15</f>
        <v>0</v>
      </c>
    </row>
    <row r="16" customFormat="false" ht="15" hidden="false" customHeight="false" outlineLevel="0" collapsed="false">
      <c r="B16" s="376" t="s">
        <v>735</v>
      </c>
      <c r="E16" s="376" t="n">
        <f aca="false">0.785*C16*C16*D16</f>
        <v>0</v>
      </c>
    </row>
    <row r="17" customFormat="false" ht="15" hidden="false" customHeight="false" outlineLevel="0" collapsed="false">
      <c r="B17" s="376" t="s">
        <v>736</v>
      </c>
      <c r="C17" s="262" t="n">
        <v>0.4</v>
      </c>
      <c r="D17" s="262" t="n">
        <v>150</v>
      </c>
      <c r="E17" s="376" t="n">
        <f aca="false">0.785*C17*C17*D17</f>
        <v>18.84</v>
      </c>
    </row>
    <row r="18" customFormat="false" ht="15" hidden="false" customHeight="false" outlineLevel="0" collapsed="false">
      <c r="B18" s="376" t="s">
        <v>737</v>
      </c>
      <c r="C18" s="262" t="n">
        <v>0.1</v>
      </c>
      <c r="D18" s="262" t="n">
        <v>150</v>
      </c>
      <c r="E18" s="376" t="n">
        <f aca="false">0.785*C18*C18*D18</f>
        <v>1.1775</v>
      </c>
    </row>
    <row r="19" customFormat="false" ht="15" hidden="false" customHeight="false" outlineLevel="0" collapsed="false">
      <c r="B19" s="376" t="s">
        <v>738</v>
      </c>
      <c r="D19" s="376" t="n">
        <f aca="false">SUM(E3:E18)</f>
        <v>1324.676824</v>
      </c>
      <c r="E19" s="376" t="n">
        <f aca="false">SUM(E3:E18)-C6*(1-C7)</f>
        <v>1289.276824</v>
      </c>
    </row>
    <row r="20" customFormat="false" ht="15" hidden="false" customHeight="false" outlineLevel="0" collapsed="false">
      <c r="B20" s="376" t="s">
        <v>739</v>
      </c>
      <c r="D20" s="262" t="n">
        <v>100</v>
      </c>
    </row>
    <row r="21" customFormat="false" ht="15" hidden="false" customHeight="false" outlineLevel="0" collapsed="false">
      <c r="B21" s="376" t="s">
        <v>740</v>
      </c>
      <c r="D21" s="262" t="n">
        <v>1.2</v>
      </c>
    </row>
    <row r="22" customFormat="false" ht="15" hidden="false" customHeight="false" outlineLevel="0" collapsed="false">
      <c r="B22" s="378" t="s">
        <v>741</v>
      </c>
      <c r="D22" s="376" t="n">
        <f aca="false">7*100*60*D19*0.65*22.4/8.314/368*D21</f>
        <v>317719.602639529</v>
      </c>
      <c r="E22" s="376" t="n">
        <f aca="false">7*100*60*E19*0.65*22.4/8.314/368*D21</f>
        <v>309229.023103702</v>
      </c>
    </row>
    <row r="23" customFormat="false" ht="15" hidden="false" customHeight="false" outlineLevel="0" collapsed="false">
      <c r="B23" s="378" t="s">
        <v>742</v>
      </c>
      <c r="D23" s="376" t="n">
        <f aca="false">D22*2</f>
        <v>635439.205279058</v>
      </c>
      <c r="E23" s="376" t="n">
        <f aca="false">E22*2</f>
        <v>618458.046207403</v>
      </c>
    </row>
    <row r="24" customFormat="false" ht="15" hidden="false" customHeight="false" outlineLevel="0" collapsed="false">
      <c r="B24" s="378" t="s">
        <v>743</v>
      </c>
      <c r="D24" s="376" t="n">
        <f aca="false">D22*3</f>
        <v>953158.807918587</v>
      </c>
      <c r="E24" s="376" t="n">
        <f aca="false">E22*3</f>
        <v>927687.069311105</v>
      </c>
    </row>
    <row r="25" customFormat="false" ht="15" hidden="false" customHeight="false" outlineLevel="0" collapsed="false">
      <c r="B25" s="376" t="s">
        <v>744</v>
      </c>
      <c r="D25" s="376" t="n">
        <f aca="false">D20*100*0.65*22.4*D19/8.314/313*D21</f>
        <v>88940.2204254881</v>
      </c>
      <c r="E25" s="376" t="n">
        <f aca="false">D20*100*0.65*22.4*E19/8.314/313*D21</f>
        <v>86563.4265192166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01" r:id="rId4" name="Button 1">
              <controlPr defaultSize="0" print="false" autoFill="0" autoPict="0" macro="模块3.返回主页">
                <anchor moveWithCells="true" sizeWithCells="false">
                  <from>
                    <xdr:col>1</xdr:col>
                    <xdr:colOff>182880</xdr:colOff>
                    <xdr:row>0</xdr:row>
                    <xdr:rowOff>30600</xdr:rowOff>
                  </from>
                  <to>
                    <xdr:col>2</xdr:col>
                    <xdr:colOff>-584640</xdr:colOff>
                    <xdr:row>1</xdr:row>
                    <xdr:rowOff>-53280</xdr:rowOff>
                  </to>
                </anchor>
              </controlPr>
            </control>
          </mc:Choice>
        </mc:AlternateContent>
      </controls>
    </mc:Choice>
  </mc:AlternateConten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CE6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5" topLeftCell="G6" activePane="bottomRight" state="frozen"/>
      <selection pane="topLeft" activeCell="A1" activeCellId="0" sqref="A1"/>
      <selection pane="topRight" activeCell="G1" activeCellId="0" sqref="G1"/>
      <selection pane="bottomLeft" activeCell="A6" activeCellId="0" sqref="A6"/>
      <selection pane="bottomRight" activeCell="G7" activeCellId="0" sqref="1:1048576"/>
    </sheetView>
  </sheetViews>
  <sheetFormatPr defaultColWidth="9.00390625" defaultRowHeight="14.25" zeroHeight="false" outlineLevelRow="0" outlineLevelCol="0"/>
  <cols>
    <col collapsed="false" customWidth="true" hidden="false" outlineLevel="0" max="1" min="1" style="379" width="37.88"/>
    <col collapsed="false" customWidth="true" hidden="false" outlineLevel="0" max="4" min="2" style="379" width="26.13"/>
    <col collapsed="false" customWidth="true" hidden="false" outlineLevel="0" max="5" min="5" style="379" width="28.5"/>
    <col collapsed="false" customWidth="true" hidden="false" outlineLevel="0" max="8" min="6" style="379" width="26.13"/>
    <col collapsed="false" customWidth="true" hidden="false" outlineLevel="0" max="9" min="9" style="380" width="23"/>
    <col collapsed="false" customWidth="true" hidden="false" outlineLevel="0" max="10" min="10" style="380" width="24.37"/>
    <col collapsed="false" customWidth="true" hidden="false" outlineLevel="0" max="11" min="11" style="379" width="28.5"/>
    <col collapsed="false" customWidth="true" hidden="false" outlineLevel="0" max="12" min="12" style="380" width="28.63"/>
    <col collapsed="false" customWidth="true" hidden="false" outlineLevel="0" max="13" min="13" style="380" width="26.25"/>
    <col collapsed="false" customWidth="true" hidden="false" outlineLevel="0" max="26" min="14" style="380" width="25.25"/>
    <col collapsed="false" customWidth="false" hidden="false" outlineLevel="0" max="82" min="27" style="380" width="9"/>
    <col collapsed="false" customWidth="false" hidden="false" outlineLevel="0" max="83" min="83" style="381" width="9"/>
    <col collapsed="false" customWidth="false" hidden="false" outlineLevel="0" max="16384" min="84" style="380" width="9"/>
  </cols>
  <sheetData>
    <row r="1" s="384" customFormat="true" ht="15" hidden="false" customHeight="false" outlineLevel="0" collapsed="false">
      <c r="A1" s="382" t="s">
        <v>512</v>
      </c>
      <c r="B1" s="340" t="s">
        <v>655</v>
      </c>
      <c r="C1" s="340" t="s">
        <v>654</v>
      </c>
      <c r="D1" s="340" t="s">
        <v>656</v>
      </c>
      <c r="E1" s="340" t="s">
        <v>660</v>
      </c>
      <c r="F1" s="344" t="s">
        <v>657</v>
      </c>
      <c r="G1" s="344" t="s">
        <v>658</v>
      </c>
      <c r="H1" s="344" t="s">
        <v>659</v>
      </c>
      <c r="I1" s="383" t="s">
        <v>662</v>
      </c>
      <c r="J1" s="383" t="s">
        <v>663</v>
      </c>
      <c r="K1" s="340" t="s">
        <v>661</v>
      </c>
      <c r="L1" s="383" t="s">
        <v>640</v>
      </c>
      <c r="M1" s="383" t="s">
        <v>641</v>
      </c>
      <c r="N1" s="278" t="s">
        <v>572</v>
      </c>
      <c r="O1" s="278" t="s">
        <v>573</v>
      </c>
      <c r="P1" s="278" t="s">
        <v>574</v>
      </c>
      <c r="Q1" s="278" t="s">
        <v>575</v>
      </c>
      <c r="R1" s="278" t="s">
        <v>576</v>
      </c>
      <c r="S1" s="278" t="s">
        <v>577</v>
      </c>
      <c r="T1" s="278" t="s">
        <v>578</v>
      </c>
      <c r="U1" s="278" t="s">
        <v>579</v>
      </c>
      <c r="V1" s="278" t="s">
        <v>580</v>
      </c>
      <c r="W1" s="278" t="s">
        <v>581</v>
      </c>
      <c r="X1" s="278" t="s">
        <v>582</v>
      </c>
      <c r="Y1" s="278" t="s">
        <v>583</v>
      </c>
      <c r="Z1" s="278" t="s">
        <v>584</v>
      </c>
      <c r="CE1" s="385"/>
    </row>
    <row r="2" s="384" customFormat="true" ht="15" hidden="false" customHeight="false" outlineLevel="0" collapsed="false">
      <c r="A2" s="382" t="s">
        <v>516</v>
      </c>
      <c r="B2" s="340" t="s">
        <v>665</v>
      </c>
      <c r="C2" s="340" t="s">
        <v>664</v>
      </c>
      <c r="D2" s="340" t="s">
        <v>666</v>
      </c>
      <c r="E2" s="340" t="s">
        <v>670</v>
      </c>
      <c r="F2" s="344" t="s">
        <v>667</v>
      </c>
      <c r="G2" s="344" t="s">
        <v>668</v>
      </c>
      <c r="H2" s="344" t="s">
        <v>669</v>
      </c>
      <c r="I2" s="383" t="s">
        <v>672</v>
      </c>
      <c r="J2" s="383" t="s">
        <v>673</v>
      </c>
      <c r="K2" s="340" t="s">
        <v>671</v>
      </c>
      <c r="L2" s="383" t="s">
        <v>642</v>
      </c>
      <c r="M2" s="383" t="s">
        <v>643</v>
      </c>
      <c r="N2" s="278" t="s">
        <v>589</v>
      </c>
      <c r="O2" s="278" t="s">
        <v>590</v>
      </c>
      <c r="P2" s="278" t="s">
        <v>591</v>
      </c>
      <c r="Q2" s="278" t="s">
        <v>592</v>
      </c>
      <c r="R2" s="278" t="s">
        <v>593</v>
      </c>
      <c r="S2" s="278" t="s">
        <v>594</v>
      </c>
      <c r="T2" s="278" t="s">
        <v>595</v>
      </c>
      <c r="U2" s="278" t="s">
        <v>597</v>
      </c>
      <c r="V2" s="278" t="s">
        <v>598</v>
      </c>
      <c r="W2" s="278" t="s">
        <v>599</v>
      </c>
      <c r="X2" s="278" t="s">
        <v>600</v>
      </c>
      <c r="Y2" s="278" t="s">
        <v>600</v>
      </c>
      <c r="Z2" s="278" t="s">
        <v>600</v>
      </c>
      <c r="CE2" s="385"/>
    </row>
    <row r="3" s="384" customFormat="true" ht="15" hidden="false" customHeight="false" outlineLevel="0" collapsed="false">
      <c r="A3" s="382" t="s">
        <v>745</v>
      </c>
      <c r="B3" s="386" t="s">
        <v>746</v>
      </c>
      <c r="C3" s="386" t="s">
        <v>746</v>
      </c>
      <c r="D3" s="386" t="s">
        <v>746</v>
      </c>
      <c r="E3" s="386" t="s">
        <v>746</v>
      </c>
      <c r="F3" s="386" t="s">
        <v>746</v>
      </c>
      <c r="G3" s="386" t="s">
        <v>746</v>
      </c>
      <c r="H3" s="386" t="s">
        <v>746</v>
      </c>
      <c r="I3" s="387" t="s">
        <v>746</v>
      </c>
      <c r="J3" s="387" t="s">
        <v>746</v>
      </c>
      <c r="K3" s="386" t="s">
        <v>746</v>
      </c>
      <c r="L3" s="387" t="s">
        <v>747</v>
      </c>
      <c r="M3" s="387" t="s">
        <v>747</v>
      </c>
      <c r="N3" s="386" t="s">
        <v>748</v>
      </c>
      <c r="O3" s="386" t="s">
        <v>748</v>
      </c>
      <c r="P3" s="386" t="s">
        <v>748</v>
      </c>
      <c r="Q3" s="386" t="s">
        <v>748</v>
      </c>
      <c r="R3" s="386" t="s">
        <v>748</v>
      </c>
      <c r="S3" s="386" t="s">
        <v>748</v>
      </c>
      <c r="T3" s="386" t="s">
        <v>748</v>
      </c>
      <c r="U3" s="386" t="s">
        <v>748</v>
      </c>
      <c r="V3" s="386" t="s">
        <v>748</v>
      </c>
      <c r="W3" s="386" t="s">
        <v>748</v>
      </c>
      <c r="X3" s="386" t="s">
        <v>748</v>
      </c>
      <c r="Y3" s="386" t="s">
        <v>748</v>
      </c>
      <c r="Z3" s="386" t="s">
        <v>748</v>
      </c>
      <c r="AA3" s="386"/>
      <c r="AB3" s="386"/>
      <c r="AC3" s="386"/>
      <c r="AD3" s="386"/>
      <c r="AE3" s="386"/>
      <c r="AF3" s="386"/>
      <c r="AG3" s="386"/>
      <c r="AH3" s="386"/>
      <c r="AI3" s="386"/>
      <c r="AJ3" s="386"/>
      <c r="AK3" s="386"/>
      <c r="AL3" s="386"/>
      <c r="AM3" s="386"/>
      <c r="AN3" s="386"/>
      <c r="AO3" s="386"/>
      <c r="AP3" s="386"/>
      <c r="AQ3" s="386"/>
      <c r="AR3" s="386"/>
      <c r="AS3" s="386"/>
      <c r="AT3" s="386"/>
      <c r="AU3" s="386"/>
      <c r="AV3" s="386"/>
      <c r="AW3" s="386"/>
      <c r="AX3" s="386"/>
      <c r="AY3" s="386"/>
      <c r="AZ3" s="386"/>
      <c r="BA3" s="386"/>
      <c r="BB3" s="386"/>
      <c r="BC3" s="386"/>
      <c r="BD3" s="386"/>
      <c r="BE3" s="386"/>
      <c r="BF3" s="386"/>
      <c r="BG3" s="386"/>
      <c r="BH3" s="386"/>
      <c r="BI3" s="386"/>
      <c r="BJ3" s="386"/>
      <c r="BK3" s="386"/>
      <c r="BL3" s="386"/>
      <c r="BM3" s="386"/>
      <c r="BN3" s="386"/>
      <c r="BO3" s="386"/>
      <c r="BP3" s="386"/>
      <c r="BQ3" s="386"/>
      <c r="BR3" s="386"/>
      <c r="BS3" s="386"/>
      <c r="BT3" s="386"/>
      <c r="BU3" s="386"/>
      <c r="BV3" s="386"/>
      <c r="BW3" s="386"/>
      <c r="BX3" s="386"/>
      <c r="BY3" s="386"/>
      <c r="BZ3" s="386"/>
      <c r="CA3" s="386"/>
      <c r="CB3" s="386"/>
      <c r="CC3" s="386"/>
      <c r="CD3" s="386"/>
      <c r="CE3" s="385"/>
    </row>
    <row r="4" s="384" customFormat="true" ht="15" hidden="false" customHeight="false" outlineLevel="0" collapsed="false">
      <c r="A4" s="382" t="s">
        <v>520</v>
      </c>
      <c r="B4" s="386" t="s">
        <v>521</v>
      </c>
      <c r="C4" s="386" t="s">
        <v>521</v>
      </c>
      <c r="D4" s="386" t="s">
        <v>521</v>
      </c>
      <c r="E4" s="386" t="s">
        <v>521</v>
      </c>
      <c r="F4" s="386" t="s">
        <v>521</v>
      </c>
      <c r="G4" s="386" t="s">
        <v>521</v>
      </c>
      <c r="H4" s="386" t="s">
        <v>521</v>
      </c>
      <c r="I4" s="386" t="s">
        <v>521</v>
      </c>
      <c r="J4" s="386" t="s">
        <v>521</v>
      </c>
      <c r="K4" s="386" t="s">
        <v>521</v>
      </c>
      <c r="L4" s="386" t="s">
        <v>521</v>
      </c>
      <c r="M4" s="386" t="s">
        <v>604</v>
      </c>
      <c r="N4" s="386" t="s">
        <v>521</v>
      </c>
      <c r="O4" s="386" t="s">
        <v>521</v>
      </c>
      <c r="P4" s="386" t="s">
        <v>521</v>
      </c>
      <c r="Q4" s="386" t="s">
        <v>521</v>
      </c>
      <c r="R4" s="386" t="s">
        <v>521</v>
      </c>
      <c r="S4" s="386" t="s">
        <v>521</v>
      </c>
      <c r="T4" s="386" t="s">
        <v>604</v>
      </c>
      <c r="U4" s="386" t="s">
        <v>604</v>
      </c>
      <c r="V4" s="386" t="s">
        <v>604</v>
      </c>
      <c r="W4" s="386" t="s">
        <v>604</v>
      </c>
      <c r="X4" s="386" t="s">
        <v>604</v>
      </c>
      <c r="Y4" s="386" t="s">
        <v>604</v>
      </c>
      <c r="Z4" s="386" t="s">
        <v>604</v>
      </c>
      <c r="CE4" s="385"/>
    </row>
    <row r="5" s="391" customFormat="true" ht="15" hidden="false" customHeight="false" outlineLevel="0" collapsed="false">
      <c r="A5" s="388" t="s">
        <v>522</v>
      </c>
      <c r="B5" s="389" t="str">
        <f aca="false">IF(OR(B6&lt;&gt;"",B7&lt;&gt;""),CONCATENATE("Φ",B6*1000,"×",B7*1000,"（T-T）",B4),"")</f>
        <v>Φ4000×12300（T-T）立式</v>
      </c>
      <c r="C5" s="389" t="str">
        <f aca="false">IF(OR(C6&lt;&gt;"",C7&lt;&gt;""),CONCATENATE("Φ",C6*1000,"×",C7*1000,"（T-T）",C4),"")</f>
        <v>Φ4000×12300（T-T）立式</v>
      </c>
      <c r="D5" s="389" t="str">
        <f aca="false">IF(OR(D6&lt;&gt;"",D7&lt;&gt;""),CONCATENATE("Φ",D6*1000,"×",D7*1000,"（T-T）",D4),"")</f>
        <v>Φ1400×4000（T-T）立式</v>
      </c>
      <c r="E5" s="389" t="str">
        <f aca="false">IF(OR(E6&lt;&gt;"",E7&lt;&gt;""),CONCATENATE("Φ",E6*1000,"×",E7*1000,"（T-T）",E4),"")</f>
        <v>Φ2000×4000（T-T）立式</v>
      </c>
      <c r="F5" s="389" t="str">
        <f aca="false">IF(OR(F6&lt;&gt;"",F7&lt;&gt;""),CONCATENATE("Φ",F6*1000,"×",F7*1000,"（T-T）",F4),"")</f>
        <v>Φ1800×5700（T-T）立式</v>
      </c>
      <c r="G5" s="389" t="str">
        <f aca="false">IF(OR(G6&lt;&gt;"",G7&lt;&gt;""),CONCATENATE("Φ",G6*1000,"×",G7*1000,"（T-T）",G4),"")</f>
        <v>Φ3000×9000（T-T）立式</v>
      </c>
      <c r="H5" s="389" t="str">
        <f aca="false">IF(OR(H6&lt;&gt;"",H7&lt;&gt;""),CONCATENATE("Φ",H6*1000,"×",H7*1000,"（T-T）",H4),"")</f>
        <v>Φ2200×6000（T-T）立式</v>
      </c>
      <c r="I5" s="389" t="str">
        <f aca="false">IF(OR(I6&lt;&gt;"",I7&lt;&gt;""),CONCATENATE("Φ",I6*1000,"×",I7*1000,"（T-T）",I4),"")</f>
        <v>Φ2000×2635（T-T）立式</v>
      </c>
      <c r="J5" s="389" t="str">
        <f aca="false">IF(OR(J6&lt;&gt;"",J7&lt;&gt;""),CONCATENATE("Φ",J6*1000,"×",J7*1000,"（T-T）",J4),"")</f>
        <v>Φ1800×4000（T-T）立式</v>
      </c>
      <c r="K5" s="389" t="str">
        <f aca="false">IF(OR(K6&lt;&gt;"",K7&lt;&gt;""),CONCATENATE("Φ",K6*1000,"×",K7*1000,"（T-T）",K4),"")</f>
        <v>Φ1000×2500（T-T）立式</v>
      </c>
      <c r="L5" s="389" t="str">
        <f aca="false">IF(OR(L6&lt;&gt;"",L7&lt;&gt;""),CONCATENATE("Φ",L6*1000,"×",L7*1000,"（T-T）",L4),"")</f>
        <v>Φ2200×3500（T-T）立式</v>
      </c>
      <c r="M5" s="389" t="str">
        <f aca="false">IF(OR(M6&lt;&gt;"",M7&lt;&gt;""),CONCATENATE("Φ",M6*1000,"×",M7*1000,"（T-T）",M4),"")</f>
        <v>Φ3000×5100（T-T）卧式</v>
      </c>
      <c r="N5" s="389" t="str">
        <f aca="false">IF(OR(N6&lt;&gt;"",N7&lt;&gt;""),CONCATENATE("Φ",N6*1000,"×",N7*1000,"（T-T）",N4),"")</f>
        <v>Φ4600×18300（T-T）立式</v>
      </c>
      <c r="O5" s="389" t="str">
        <f aca="false">IF(OR(O6&lt;&gt;"",O7&lt;&gt;""),CONCATENATE("Φ",O6*1000,"×",O7*1000,"（T-T）",O4),"")</f>
        <v>Φ1400×4200（T-T）立式</v>
      </c>
      <c r="P5" s="389" t="str">
        <f aca="false">IF(OR(P6&lt;&gt;"",P7&lt;&gt;""),CONCATENATE("Φ",P6*1000,"×",P7*1000,"（T-T）",P4),"")</f>
        <v>Φ4000×12200（T-T）立式</v>
      </c>
      <c r="Q5" s="389" t="str">
        <f aca="false">IF(OR(Q6&lt;&gt;"",Q7&lt;&gt;""),CONCATENATE("Φ",Q6*1000,"×",Q7*1000,"（T-T）",Q4),"")</f>
        <v>Φ1000×3000（T-T）立式</v>
      </c>
      <c r="R5" s="389" t="str">
        <f aca="false">IF(OR(R6&lt;&gt;"",R7&lt;&gt;""),CONCATENATE("Φ",R6*1000,"×",R7*1000,"（T-T）",R4),"")</f>
        <v>Φ1400×4000（T-T）立式</v>
      </c>
      <c r="S5" s="389" t="str">
        <f aca="false">IF(OR(S6&lt;&gt;"",S7&lt;&gt;""),CONCATENATE("Φ",S6*1000,"×",S7*1000,"（T-T）",S4),"")</f>
        <v>Φ1400×4000（T-T）立式</v>
      </c>
      <c r="T5" s="389" t="str">
        <f aca="false">IF(OR(T6&lt;&gt;"",T7&lt;&gt;""),CONCATENATE("Φ",T6*1000,"×",T7*1000,"（T-T）",T4),"")</f>
        <v>Φ2000×5100（T-T）卧式</v>
      </c>
      <c r="U5" s="389" t="str">
        <f aca="false">IF(OR(U6&lt;&gt;"",U7&lt;&gt;""),CONCATENATE("Φ",U6*1000,"×",U7*1000,"（T-T）",U4),"")</f>
        <v>Φ3600×8000（T-T）卧式</v>
      </c>
      <c r="V5" s="389" t="str">
        <f aca="false">IF(OR(V6&lt;&gt;"",V7&lt;&gt;""),CONCATENATE("Φ",V6*1000,"×",V7*1000,"（T-T）",V4),"")</f>
        <v>Φ2200×4000（T-T）卧式</v>
      </c>
      <c r="W5" s="389" t="str">
        <f aca="false">IF(OR(W6&lt;&gt;"",W7&lt;&gt;""),CONCATENATE("Φ",W6*1000,"×",W7*1000,"（T-T）",W4),"")</f>
        <v>Φ2200×4000（T-T）卧式</v>
      </c>
      <c r="X5" s="389" t="str">
        <f aca="false">IF(OR(X6&lt;&gt;"",X7&lt;&gt;""),CONCATENATE("Φ",X6*1000,"×",X7*1000,"（T-T）",X4),"")</f>
        <v>Φ2200×8250（T-T）卧式</v>
      </c>
      <c r="Y5" s="389" t="str">
        <f aca="false">IF(OR(Y6&lt;&gt;"",Y7&lt;&gt;""),CONCATENATE("Φ",Y6*1000,"×",Y7*1000,"（T-T）",Y4),"")</f>
        <v>Φ1500×4000（T-T）卧式</v>
      </c>
      <c r="Z5" s="389" t="str">
        <f aca="false">IF(OR(Z6&lt;&gt;"",Z7&lt;&gt;""),CONCATENATE("Φ",Z6*1000,"×",Z7*1000,"（T-T）",Z4),"")</f>
        <v>Φ1500×4000（T-T）卧式</v>
      </c>
      <c r="AA5" s="389" t="str">
        <f aca="false">IF(OR(AA6&lt;&gt;"",AA7&lt;&gt;""),CONCATENATE("Φ",AA6*1000,"×",AA7*1000,"（T-T）",AA4),"")</f>
        <v/>
      </c>
      <c r="AB5" s="389" t="str">
        <f aca="false">IF(OR(AB6&lt;&gt;"",AB7&lt;&gt;""),CONCATENATE("Φ",AB6*1000,"×",AB7*1000,"（T-T）",AB4),"")</f>
        <v/>
      </c>
      <c r="AC5" s="389" t="str">
        <f aca="false">IF(OR(AC6&lt;&gt;"",AC7&lt;&gt;""),CONCATENATE("Φ",AC6*1000,"×",AC7*1000,"（T-T）",AC4),"")</f>
        <v/>
      </c>
      <c r="AD5" s="389" t="str">
        <f aca="false">IF(OR(AD6&lt;&gt;"",AD7&lt;&gt;""),CONCATENATE("Φ",AD6*1000,"×",AD7*1000,"（T-T）",AD4),"")</f>
        <v/>
      </c>
      <c r="AE5" s="389" t="str">
        <f aca="false">IF(OR(AE6&lt;&gt;"",AE7&lt;&gt;""),CONCATENATE("Φ",AE6*1000,"×",AE7*1000,"（T-T）",AE4),"")</f>
        <v/>
      </c>
      <c r="AF5" s="389" t="str">
        <f aca="false">IF(OR(AF6&lt;&gt;"",AF7&lt;&gt;""),CONCATENATE("Φ",AF6*1000,"×",AF7*1000,"（T-T）",AF4),"")</f>
        <v/>
      </c>
      <c r="AG5" s="389" t="str">
        <f aca="false">IF(OR(AG6&lt;&gt;"",AG7&lt;&gt;""),CONCATENATE("Φ",AG6*1000,"×",AG7*1000,"（T-T）",AG4),"")</f>
        <v/>
      </c>
      <c r="AH5" s="389" t="str">
        <f aca="false">IF(OR(AH6&lt;&gt;"",AH7&lt;&gt;""),CONCATENATE("Φ",AH6*1000,"×",AH7*1000,"（T-T）",AH4),"")</f>
        <v/>
      </c>
      <c r="AI5" s="389" t="str">
        <f aca="false">IF(OR(AI6&lt;&gt;"",AI7&lt;&gt;""),CONCATENATE("Φ",AI6*1000,"×",AI7*1000,"（T-T）",AI4),"")</f>
        <v/>
      </c>
      <c r="AJ5" s="389" t="str">
        <f aca="false">IF(OR(AJ6&lt;&gt;"",AJ7&lt;&gt;""),CONCATENATE("Φ",AJ6*1000,"×",AJ7*1000,"（T-T）",AJ4),"")</f>
        <v/>
      </c>
      <c r="AK5" s="389" t="str">
        <f aca="false">IF(OR(AK6&lt;&gt;"",AK7&lt;&gt;""),CONCATENATE("Φ",AK6*1000,"×",AK7*1000,"（T-T）",AK4),"")</f>
        <v/>
      </c>
      <c r="AL5" s="389" t="str">
        <f aca="false">IF(OR(AL6&lt;&gt;"",AL7&lt;&gt;""),CONCATENATE("Φ",AL6*1000,"×",AL7*1000,"（T-T）",AL4),"")</f>
        <v/>
      </c>
      <c r="AM5" s="389" t="str">
        <f aca="false">IF(OR(AM6&lt;&gt;"",AM7&lt;&gt;""),CONCATENATE("Φ",AM6*1000,"×",AM7*1000,"（T-T）",AM4),"")</f>
        <v/>
      </c>
      <c r="AN5" s="389" t="str">
        <f aca="false">IF(OR(AN6&lt;&gt;"",AN7&lt;&gt;""),CONCATENATE("Φ",AN6*1000,"×",AN7*1000,"（T-T）",AN4),"")</f>
        <v/>
      </c>
      <c r="AO5" s="389" t="str">
        <f aca="false">IF(OR(AO6&lt;&gt;"",AO7&lt;&gt;""),CONCATENATE("Φ",AO6*1000,"×",AO7*1000,"（T-T）",AO4),"")</f>
        <v/>
      </c>
      <c r="AP5" s="389" t="str">
        <f aca="false">IF(OR(AP6&lt;&gt;"",AP7&lt;&gt;""),CONCATENATE("Φ",AP6*1000,"×",AP7*1000,"（T-T）",AP4),"")</f>
        <v/>
      </c>
      <c r="AQ5" s="389" t="str">
        <f aca="false">IF(OR(AQ6&lt;&gt;"",AQ7&lt;&gt;""),CONCATENATE("Φ",AQ6*1000,"×",AQ7*1000,"（T-T）",AQ4),"")</f>
        <v/>
      </c>
      <c r="AR5" s="389" t="str">
        <f aca="false">IF(OR(AR6&lt;&gt;"",AR7&lt;&gt;""),CONCATENATE("Φ",AR6*1000,"×",AR7*1000,"（T-T）",AR4),"")</f>
        <v/>
      </c>
      <c r="AS5" s="389" t="str">
        <f aca="false">IF(OR(AS6&lt;&gt;"",AS7&lt;&gt;""),CONCATENATE("Φ",AS6*1000,"×",AS7*1000,"（T-T）",AS4),"")</f>
        <v/>
      </c>
      <c r="AT5" s="389" t="str">
        <f aca="false">IF(OR(AT6&lt;&gt;"",AT7&lt;&gt;""),CONCATENATE("Φ",AT6*1000,"×",AT7*1000,"（T-T）",AT4),"")</f>
        <v/>
      </c>
      <c r="AU5" s="389" t="str">
        <f aca="false">IF(OR(AU6&lt;&gt;"",AU7&lt;&gt;""),CONCATENATE("Φ",AU6*1000,"×",AU7*1000,"（T-T）",AU4),"")</f>
        <v/>
      </c>
      <c r="AV5" s="389" t="str">
        <f aca="false">IF(OR(AV6&lt;&gt;"",AV7&lt;&gt;""),CONCATENATE("Φ",AV6*1000,"×",AV7*1000,"（T-T）",AV4),"")</f>
        <v/>
      </c>
      <c r="AW5" s="389" t="str">
        <f aca="false">IF(OR(AW6&lt;&gt;"",AW7&lt;&gt;""),CONCATENATE("Φ",AW6*1000,"×",AW7*1000,"（T-T）",AW4),"")</f>
        <v/>
      </c>
      <c r="AX5" s="389" t="str">
        <f aca="false">IF(OR(AX6&lt;&gt;"",AX7&lt;&gt;""),CONCATENATE("Φ",AX6*1000,"×",AX7*1000,"（T-T）",AX4),"")</f>
        <v/>
      </c>
      <c r="AY5" s="389" t="str">
        <f aca="false">IF(OR(AY6&lt;&gt;"",AY7&lt;&gt;""),CONCATENATE("Φ",AY6*1000,"×",AY7*1000,"（T-T）",AY4),"")</f>
        <v/>
      </c>
      <c r="AZ5" s="389" t="str">
        <f aca="false">IF(OR(AZ6&lt;&gt;"",AZ7&lt;&gt;""),CONCATENATE("Φ",AZ6*1000,"×",AZ7*1000,"（T-T）",AZ4),"")</f>
        <v/>
      </c>
      <c r="BA5" s="389" t="str">
        <f aca="false">IF(OR(BA6&lt;&gt;"",BA7&lt;&gt;""),CONCATENATE("Φ",BA6*1000,"×",BA7*1000,"（T-T）",BA4),"")</f>
        <v/>
      </c>
      <c r="BB5" s="389" t="str">
        <f aca="false">IF(OR(BB6&lt;&gt;"",BB7&lt;&gt;""),CONCATENATE("Φ",BB6*1000,"×",BB7*1000,"（T-T）",BB4),"")</f>
        <v/>
      </c>
      <c r="BC5" s="389" t="str">
        <f aca="false">IF(OR(BC6&lt;&gt;"",BC7&lt;&gt;""),CONCATENATE("Φ",BC6*1000,"×",BC7*1000,"（T-T）",BC4),"")</f>
        <v/>
      </c>
      <c r="BD5" s="389" t="str">
        <f aca="false">IF(OR(BD6&lt;&gt;"",BD7&lt;&gt;""),CONCATENATE("Φ",BD6*1000,"×",BD7*1000,"（T-T）",BD4),"")</f>
        <v/>
      </c>
      <c r="BE5" s="389" t="str">
        <f aca="false">IF(OR(BE6&lt;&gt;"",BE7&lt;&gt;""),CONCATENATE("Φ",BE6*1000,"×",BE7*1000,"（T-T）",BE4),"")</f>
        <v/>
      </c>
      <c r="BF5" s="389" t="str">
        <f aca="false">IF(OR(BF6&lt;&gt;"",BF7&lt;&gt;""),CONCATENATE("Φ",BF6*1000,"×",BF7*1000,"（T-T）",BF4),"")</f>
        <v/>
      </c>
      <c r="BG5" s="389" t="str">
        <f aca="false">IF(OR(BG6&lt;&gt;"",BG7&lt;&gt;""),CONCATENATE("Φ",BG6*1000,"×",BG7*1000,"（T-T）",BG4),"")</f>
        <v/>
      </c>
      <c r="BH5" s="389" t="str">
        <f aca="false">IF(OR(BH6&lt;&gt;"",BH7&lt;&gt;""),CONCATENATE("Φ",BH6*1000,"×",BH7*1000,"（T-T）",BH4),"")</f>
        <v/>
      </c>
      <c r="BI5" s="389" t="str">
        <f aca="false">IF(OR(BI6&lt;&gt;"",BI7&lt;&gt;""),CONCATENATE("Φ",BI6*1000,"×",BI7*1000,"（T-T）",BI4),"")</f>
        <v/>
      </c>
      <c r="BJ5" s="389" t="str">
        <f aca="false">IF(OR(BJ6&lt;&gt;"",BJ7&lt;&gt;""),CONCATENATE("Φ",BJ6*1000,"×",BJ7*1000,"（T-T）",BJ4),"")</f>
        <v/>
      </c>
      <c r="BK5" s="389" t="str">
        <f aca="false">IF(OR(BK6&lt;&gt;"",BK7&lt;&gt;""),CONCATENATE("Φ",BK6*1000,"×",BK7*1000,"（T-T）",BK4),"")</f>
        <v/>
      </c>
      <c r="BL5" s="389" t="str">
        <f aca="false">IF(OR(BL6&lt;&gt;"",BL7&lt;&gt;""),CONCATENATE("Φ",BL6*1000,"×",BL7*1000,"（T-T）",BL4),"")</f>
        <v/>
      </c>
      <c r="BM5" s="389" t="str">
        <f aca="false">IF(OR(BM6&lt;&gt;"",BM7&lt;&gt;""),CONCATENATE("Φ",BM6*1000,"×",BM7*1000,"（T-T）",BM4),"")</f>
        <v/>
      </c>
      <c r="BN5" s="389" t="str">
        <f aca="false">IF(OR(BN6&lt;&gt;"",BN7&lt;&gt;""),CONCATENATE("Φ",BN6*1000,"×",BN7*1000,"（T-T）",BN4),"")</f>
        <v/>
      </c>
      <c r="BO5" s="389" t="str">
        <f aca="false">IF(OR(BO6&lt;&gt;"",BO7&lt;&gt;""),CONCATENATE("Φ",BO6*1000,"×",BO7*1000,"（T-T）",BO4),"")</f>
        <v/>
      </c>
      <c r="BP5" s="389" t="str">
        <f aca="false">IF(OR(BP6&lt;&gt;"",BP7&lt;&gt;""),CONCATENATE("Φ",BP6*1000,"×",BP7*1000,"（T-T）",BP4),"")</f>
        <v/>
      </c>
      <c r="BQ5" s="389" t="str">
        <f aca="false">IF(OR(BQ6&lt;&gt;"",BQ7&lt;&gt;""),CONCATENATE("Φ",BQ6*1000,"×",BQ7*1000,"（T-T）",BQ4),"")</f>
        <v/>
      </c>
      <c r="BR5" s="389" t="str">
        <f aca="false">IF(OR(BR6&lt;&gt;"",BR7&lt;&gt;""),CONCATENATE("Φ",BR6*1000,"×",BR7*1000,"（T-T）",BR4),"")</f>
        <v/>
      </c>
      <c r="BS5" s="389" t="str">
        <f aca="false">IF(OR(BS6&lt;&gt;"",BS7&lt;&gt;""),CONCATENATE("Φ",BS6*1000,"×",BS7*1000,"（T-T）",BS4),"")</f>
        <v/>
      </c>
      <c r="BT5" s="389" t="str">
        <f aca="false">IF(OR(BT6&lt;&gt;"",BT7&lt;&gt;""),CONCATENATE("Φ",BT6*1000,"×",BT7*1000,"（T-T）",BT4),"")</f>
        <v/>
      </c>
      <c r="BU5" s="389" t="str">
        <f aca="false">IF(OR(BU6&lt;&gt;"",BU7&lt;&gt;""),CONCATENATE("Φ",BU6*1000,"×",BU7*1000,"（T-T）",BU4),"")</f>
        <v/>
      </c>
      <c r="BV5" s="389" t="str">
        <f aca="false">IF(OR(BV6&lt;&gt;"",BV7&lt;&gt;""),CONCATENATE("Φ",BV6*1000,"×",BV7*1000,"（T-T）",BV4),"")</f>
        <v/>
      </c>
      <c r="BW5" s="389" t="str">
        <f aca="false">IF(OR(BW6&lt;&gt;"",BW7&lt;&gt;""),CONCATENATE("Φ",BW6*1000,"×",BW7*1000,"（T-T）",BW4),"")</f>
        <v/>
      </c>
      <c r="BX5" s="389" t="str">
        <f aca="false">IF(OR(BX6&lt;&gt;"",BX7&lt;&gt;""),CONCATENATE("Φ",BX6*1000,"×",BX7*1000,"（T-T）",BX4),"")</f>
        <v/>
      </c>
      <c r="BY5" s="389" t="str">
        <f aca="false">IF(OR(BY6&lt;&gt;"",BY7&lt;&gt;""),CONCATENATE("Φ",BY6*1000,"×",BY7*1000,"（T-T）",BY4),"")</f>
        <v/>
      </c>
      <c r="BZ5" s="389" t="str">
        <f aca="false">IF(OR(BZ6&lt;&gt;"",BZ7&lt;&gt;""),CONCATENATE("Φ",BZ6*1000,"×",BZ7*1000,"（T-T）",BZ4),"")</f>
        <v/>
      </c>
      <c r="CA5" s="389" t="str">
        <f aca="false">IF(OR(CA6&lt;&gt;"",CA7&lt;&gt;""),CONCATENATE("Φ",CA6*1000,"×",CA7*1000,"（T-T）",CA4),"")</f>
        <v/>
      </c>
      <c r="CB5" s="389" t="str">
        <f aca="false">IF(OR(CB6&lt;&gt;"",CB7&lt;&gt;""),CONCATENATE("Φ",CB6*1000,"×",CB7*1000,"（T-T）",CB4),"")</f>
        <v/>
      </c>
      <c r="CC5" s="389" t="str">
        <f aca="false">IF(OR(CC6&lt;&gt;"",CC7&lt;&gt;""),CONCATENATE("Φ",CC6*1000,"×",CC7*1000,"（T-T）",CC4),"")</f>
        <v/>
      </c>
      <c r="CD5" s="389" t="str">
        <f aca="false">IF(OR(CD6&lt;&gt;"",CD7&lt;&gt;""),CONCATENATE("Φ",CD6*1000,"×",CD7*1000,"（T-T）",CD4),"")</f>
        <v/>
      </c>
      <c r="CE5" s="390"/>
    </row>
    <row r="6" s="384" customFormat="true" ht="15" hidden="false" customHeight="false" outlineLevel="0" collapsed="false">
      <c r="A6" s="392" t="s">
        <v>524</v>
      </c>
      <c r="B6" s="344" t="n">
        <v>4</v>
      </c>
      <c r="C6" s="344" t="n">
        <v>4</v>
      </c>
      <c r="D6" s="348" t="n">
        <v>1.4</v>
      </c>
      <c r="E6" s="340" t="n">
        <v>2</v>
      </c>
      <c r="F6" s="344" t="n">
        <v>1.8</v>
      </c>
      <c r="G6" s="344" t="n">
        <v>3</v>
      </c>
      <c r="H6" s="344" t="n">
        <v>2.2</v>
      </c>
      <c r="I6" s="340" t="n">
        <v>2</v>
      </c>
      <c r="J6" s="340" t="n">
        <v>1.8</v>
      </c>
      <c r="K6" s="340" t="n">
        <v>1</v>
      </c>
      <c r="L6" s="340" t="n">
        <v>2.2</v>
      </c>
      <c r="M6" s="340" t="n">
        <v>3</v>
      </c>
      <c r="N6" s="340" t="n">
        <v>4.6</v>
      </c>
      <c r="O6" s="340" t="n">
        <v>1.4</v>
      </c>
      <c r="P6" s="340" t="n">
        <v>4</v>
      </c>
      <c r="Q6" s="340" t="n">
        <v>1</v>
      </c>
      <c r="R6" s="340" t="n">
        <v>1.4</v>
      </c>
      <c r="S6" s="340" t="n">
        <v>1.4</v>
      </c>
      <c r="T6" s="340" t="n">
        <v>2</v>
      </c>
      <c r="U6" s="340" t="n">
        <v>3.6</v>
      </c>
      <c r="V6" s="340" t="n">
        <v>2.2</v>
      </c>
      <c r="W6" s="340" t="n">
        <v>2.2</v>
      </c>
      <c r="X6" s="340" t="n">
        <v>2.2</v>
      </c>
      <c r="Y6" s="340" t="n">
        <v>1.5</v>
      </c>
      <c r="Z6" s="340" t="n">
        <v>1.5</v>
      </c>
      <c r="CE6" s="385"/>
    </row>
    <row r="7" s="384" customFormat="true" ht="15" hidden="false" customHeight="false" outlineLevel="0" collapsed="false">
      <c r="A7" s="392" t="s">
        <v>525</v>
      </c>
      <c r="B7" s="344" t="n">
        <v>12.3</v>
      </c>
      <c r="C7" s="344" t="n">
        <v>12.3</v>
      </c>
      <c r="D7" s="348" t="n">
        <v>4</v>
      </c>
      <c r="E7" s="340" t="n">
        <v>4</v>
      </c>
      <c r="F7" s="344" t="n">
        <v>5.7</v>
      </c>
      <c r="G7" s="344" t="n">
        <v>9</v>
      </c>
      <c r="H7" s="344" t="n">
        <v>6</v>
      </c>
      <c r="I7" s="340" t="n">
        <v>2.635</v>
      </c>
      <c r="J7" s="340" t="n">
        <v>4</v>
      </c>
      <c r="K7" s="340" t="n">
        <v>2.5</v>
      </c>
      <c r="L7" s="340" t="n">
        <v>3.5</v>
      </c>
      <c r="M7" s="340" t="n">
        <v>5.1</v>
      </c>
      <c r="N7" s="340" t="n">
        <v>18.3</v>
      </c>
      <c r="O7" s="340" t="n">
        <v>4.2</v>
      </c>
      <c r="P7" s="340" t="n">
        <v>12.2</v>
      </c>
      <c r="Q7" s="340" t="n">
        <v>3</v>
      </c>
      <c r="R7" s="340" t="n">
        <v>4</v>
      </c>
      <c r="S7" s="340" t="n">
        <v>4</v>
      </c>
      <c r="T7" s="340" t="n">
        <v>5.1</v>
      </c>
      <c r="U7" s="340" t="n">
        <v>8</v>
      </c>
      <c r="V7" s="340" t="n">
        <v>4</v>
      </c>
      <c r="W7" s="340" t="n">
        <v>4</v>
      </c>
      <c r="X7" s="340" t="n">
        <v>8.25</v>
      </c>
      <c r="Y7" s="340" t="n">
        <v>4</v>
      </c>
      <c r="Z7" s="340" t="n">
        <v>4</v>
      </c>
      <c r="CE7" s="385"/>
    </row>
    <row r="8" s="391" customFormat="true" ht="15" hidden="false" customHeight="false" outlineLevel="0" collapsed="false">
      <c r="A8" s="393" t="s">
        <v>523</v>
      </c>
      <c r="B8" s="394" t="str">
        <f aca="false">IF(OR(B9="",B10=""),"",CONCATENATE("分水包","Φ",B9*1000,"×",B10*1000,"（T-T）"))</f>
        <v/>
      </c>
      <c r="C8" s="394" t="str">
        <f aca="false">IF(OR(C9="",C10=""),"",CONCATENATE("分水包","Φ",C9*1000,"×",C10*1000,"（T-T）"))</f>
        <v/>
      </c>
      <c r="D8" s="394" t="str">
        <f aca="false">IF(OR(D9="",D10=""),"",CONCATENATE("分水包","Φ",D9*1000,"×",D10*1000,"（T-T）"))</f>
        <v/>
      </c>
      <c r="E8" s="394" t="str">
        <f aca="false">IF(OR(E9="",E10=""),"",CONCATENATE("分水包","Φ",E9*1000,"×",E10*1000,"（T-T）"))</f>
        <v/>
      </c>
      <c r="F8" s="394" t="str">
        <f aca="false">IF(OR(F9="",F10=""),"",CONCATENATE("分水包","Φ",F9*1000,"×",F10*1000,"（T-T）"))</f>
        <v/>
      </c>
      <c r="G8" s="394" t="str">
        <f aca="false">IF(OR(G9="",G10=""),"",CONCATENATE("分水包","Φ",G9*1000,"×",G10*1000,"（T-T）"))</f>
        <v/>
      </c>
      <c r="H8" s="394" t="str">
        <f aca="false">IF(OR(H9="",H10=""),"",CONCATENATE("分水包","Φ",H9*1000,"×",H10*1000,"（T-T）"))</f>
        <v/>
      </c>
      <c r="I8" s="394" t="str">
        <f aca="false">IF(OR(I9="",I10=""),"",CONCATENATE("分水包","Φ",I9*1000,"×",I10*1000,"（T-T）"))</f>
        <v/>
      </c>
      <c r="J8" s="394" t="str">
        <f aca="false">IF(OR(J9="",J10=""),"",CONCATENATE("分水包","Φ",J9*1000,"×",J10*1000,"（T-T）"))</f>
        <v/>
      </c>
      <c r="K8" s="394" t="str">
        <f aca="false">IF(OR(K9="",K10=""),"",CONCATENATE("分水包","Φ",K9*1000,"×",K10*1000,"（T-T）"))</f>
        <v/>
      </c>
      <c r="L8" s="394" t="str">
        <f aca="false">IF(OR(L9="",L10=""),"",CONCATENATE("分水包","Φ",L9*1000,"×",L10*1000,"（T-T）"))</f>
        <v>分水包Φ1100×2200（T-T）</v>
      </c>
      <c r="M8" s="394" t="str">
        <f aca="false">IF(OR(M9="",M10=""),"",CONCATENATE("分水包","Φ",M9*1000,"×",M10*1000,"（T-T）"))</f>
        <v>分水包Φ1400×2800（T-T）</v>
      </c>
      <c r="N8" s="394" t="str">
        <f aca="false">IF(OR(N9="",N10=""),"",CONCATENATE("分水包","Φ",N9*1000,"×",N10*1000,"（T-T）"))</f>
        <v/>
      </c>
      <c r="O8" s="394" t="str">
        <f aca="false">IF(OR(O9="",O10=""),"",CONCATENATE("分水包","Φ",O9*1000,"×",O10*1000,"（T-T）"))</f>
        <v/>
      </c>
      <c r="P8" s="394"/>
      <c r="Q8" s="394" t="str">
        <f aca="false">IF(OR(Q9="",Q10=""),"",CONCATENATE("分水包","Φ",Q9*1000,"×",Q10*1000,"（T-T）"))</f>
        <v/>
      </c>
      <c r="R8" s="394" t="str">
        <f aca="false">IF(OR(R9="",R10=""),"",CONCATENATE("分水包","Φ",R9*1000,"×",R10*1000,"（T-T）"))</f>
        <v/>
      </c>
      <c r="S8" s="394" t="str">
        <f aca="false">IF(OR(S9="",S10=""),"",CONCATENATE("分水包","Φ",S9*1000,"×",S10*1000,"（T-T）"))</f>
        <v/>
      </c>
      <c r="T8" s="394" t="str">
        <f aca="false">IF(OR(T9="",T10=""),"",CONCATENATE("分水包","Φ",T9*1000,"×",T10*1000,"（T-T）"))</f>
        <v/>
      </c>
      <c r="U8" s="394" t="str">
        <f aca="false">IF(OR(U9="",U10=""),"",CONCATENATE("分水包","Φ",U9*1000,"×",U10*1000,"（T-T）"))</f>
        <v/>
      </c>
      <c r="V8" s="394" t="str">
        <f aca="false">IF(OR(V9="",V10=""),"",CONCATENATE("分水包","Φ",V9*1000,"×",V10*1000,"（T-T）"))</f>
        <v/>
      </c>
      <c r="W8" s="394" t="str">
        <f aca="false">IF(OR(W9="",W10=""),"",CONCATENATE("分水包","Φ",W9*1000,"×",W10*1000,"（T-T）"))</f>
        <v/>
      </c>
      <c r="X8" s="394" t="str">
        <f aca="false">IF(OR(X9="",X10=""),"",CONCATENATE("分水包","Φ",X9*1000,"×",X10*1000,"（T-T）"))</f>
        <v/>
      </c>
      <c r="Y8" s="394" t="str">
        <f aca="false">IF(OR(Y9="",Y10=""),"",CONCATENATE("分水包","Φ",Y9*1000,"×",Y10*1000,"（T-T）"))</f>
        <v/>
      </c>
      <c r="Z8" s="394" t="str">
        <f aca="false">IF(OR(Z9="",Z10=""),"",CONCATENATE("分水包","Φ",Z9*1000,"×",Z10*1000,"（T-T）"))</f>
        <v/>
      </c>
      <c r="AA8" s="394" t="str">
        <f aca="false">IF(OR(AA9="",AA10=""),"",CONCATENATE("分水包","Φ",AA9*1000,"×",AA10*1000,"（T-T）"))</f>
        <v/>
      </c>
      <c r="AB8" s="394" t="str">
        <f aca="false">IF(OR(AB9="",AB10=""),"",CONCATENATE("分水包","Φ",AB9*1000,"×",AB10*1000,"（T-T）"))</f>
        <v/>
      </c>
      <c r="AC8" s="394" t="str">
        <f aca="false">IF(OR(AC9="",AC10=""),"",CONCATENATE("分水包","Φ",AC9*1000,"×",AC10*1000,"（T-T）"))</f>
        <v/>
      </c>
      <c r="AD8" s="394" t="str">
        <f aca="false">IF(OR(AD9="",AD10=""),"",CONCATENATE("分水包","Φ",AD9*1000,"×",AD10*1000,"（T-T）"))</f>
        <v/>
      </c>
      <c r="AE8" s="394" t="str">
        <f aca="false">IF(OR(AE9="",AE10=""),"",CONCATENATE("分水包","Φ",AE9*1000,"×",AE10*1000,"（T-T）"))</f>
        <v/>
      </c>
      <c r="AF8" s="394" t="str">
        <f aca="false">IF(OR(AF9="",AF10=""),"",CONCATENATE("分水包","Φ",AF9*1000,"×",AF10*1000,"（T-T）"))</f>
        <v/>
      </c>
      <c r="AG8" s="394" t="str">
        <f aca="false">IF(OR(AG9="",AG10=""),"",CONCATENATE("分水包","Φ",AG9*1000,"×",AG10*1000,"（T-T）"))</f>
        <v/>
      </c>
      <c r="AH8" s="394" t="str">
        <f aca="false">IF(OR(AH9="",AH10=""),"",CONCATENATE("分水包","Φ",AH9*1000,"×",AH10*1000,"（T-T）"))</f>
        <v/>
      </c>
      <c r="AI8" s="394" t="str">
        <f aca="false">IF(OR(AI9="",AI10=""),"",CONCATENATE("分水包","Φ",AI9*1000,"×",AI10*1000,"（T-T）"))</f>
        <v/>
      </c>
      <c r="AJ8" s="394" t="str">
        <f aca="false">IF(OR(AJ9="",AJ10=""),"",CONCATENATE("分水包","Φ",AJ9*1000,"×",AJ10*1000,"（T-T）"))</f>
        <v/>
      </c>
      <c r="AK8" s="394" t="str">
        <f aca="false">IF(OR(AK9="",AK10=""),"",CONCATENATE("分水包","Φ",AK9*1000,"×",AK10*1000,"（T-T）"))</f>
        <v/>
      </c>
      <c r="AL8" s="394" t="str">
        <f aca="false">IF(OR(AL9="",AL10=""),"",CONCATENATE("分水包","Φ",AL9*1000,"×",AL10*1000,"（T-T）"))</f>
        <v/>
      </c>
      <c r="AM8" s="394" t="str">
        <f aca="false">IF(OR(AM9="",AM10=""),"",CONCATENATE("分水包","Φ",AM9*1000,"×",AM10*1000,"（T-T）"))</f>
        <v/>
      </c>
      <c r="AN8" s="394" t="str">
        <f aca="false">IF(OR(AN9="",AN10=""),"",CONCATENATE("分水包","Φ",AN9*1000,"×",AN10*1000,"（T-T）"))</f>
        <v/>
      </c>
      <c r="AO8" s="394" t="str">
        <f aca="false">IF(OR(AO9="",AO10=""),"",CONCATENATE("分水包","Φ",AO9*1000,"×",AO10*1000,"（T-T）"))</f>
        <v/>
      </c>
      <c r="AP8" s="394" t="str">
        <f aca="false">IF(OR(AP9="",AP10=""),"",CONCATENATE("分水包","Φ",AP9*1000,"×",AP10*1000,"（T-T）"))</f>
        <v/>
      </c>
      <c r="AQ8" s="394" t="str">
        <f aca="false">IF(OR(AQ9="",AQ10=""),"",CONCATENATE("分水包","Φ",AQ9*1000,"×",AQ10*1000,"（T-T）"))</f>
        <v/>
      </c>
      <c r="AR8" s="394" t="str">
        <f aca="false">IF(OR(AR9="",AR10=""),"",CONCATENATE("分水包","Φ",AR9*1000,"×",AR10*1000,"（T-T）"))</f>
        <v/>
      </c>
      <c r="AS8" s="394" t="str">
        <f aca="false">IF(OR(AS9="",AS10=""),"",CONCATENATE("分水包","Φ",AS9*1000,"×",AS10*1000,"（T-T）"))</f>
        <v/>
      </c>
      <c r="AT8" s="394" t="str">
        <f aca="false">IF(OR(AT9="",AT10=""),"",CONCATENATE("分水包","Φ",AT9*1000,"×",AT10*1000,"（T-T）"))</f>
        <v/>
      </c>
      <c r="AU8" s="394" t="str">
        <f aca="false">IF(OR(AU9="",AU10=""),"",CONCATENATE("分水包","Φ",AU9*1000,"×",AU10*1000,"（T-T）"))</f>
        <v/>
      </c>
      <c r="AV8" s="394" t="str">
        <f aca="false">IF(OR(AV9="",AV10=""),"",CONCATENATE("分水包","Φ",AV9*1000,"×",AV10*1000,"（T-T）"))</f>
        <v/>
      </c>
      <c r="AW8" s="394" t="str">
        <f aca="false">IF(OR(AW9="",AW10=""),"",CONCATENATE("分水包","Φ",AW9*1000,"×",AW10*1000,"（T-T）"))</f>
        <v/>
      </c>
      <c r="AX8" s="394" t="str">
        <f aca="false">IF(OR(AX9="",AX10=""),"",CONCATENATE("分水包","Φ",AX9*1000,"×",AX10*1000,"（T-T）"))</f>
        <v/>
      </c>
      <c r="AY8" s="394" t="str">
        <f aca="false">IF(OR(AY9="",AY10=""),"",CONCATENATE("分水包","Φ",AY9*1000,"×",AY10*1000,"（T-T）"))</f>
        <v/>
      </c>
      <c r="AZ8" s="394" t="str">
        <f aca="false">IF(OR(AZ9="",AZ10=""),"",CONCATENATE("分水包","Φ",AZ9*1000,"×",AZ10*1000,"（T-T）"))</f>
        <v/>
      </c>
      <c r="BA8" s="394" t="str">
        <f aca="false">IF(OR(BA9="",BA10=""),"",CONCATENATE("分水包","Φ",BA9*1000,"×",BA10*1000,"（T-T）"))</f>
        <v/>
      </c>
      <c r="BB8" s="394" t="str">
        <f aca="false">IF(OR(BB9="",BB10=""),"",CONCATENATE("分水包","Φ",BB9*1000,"×",BB10*1000,"（T-T）"))</f>
        <v/>
      </c>
      <c r="BC8" s="394" t="str">
        <f aca="false">IF(OR(BC9="",BC10=""),"",CONCATENATE("分水包","Φ",BC9*1000,"×",BC10*1000,"（T-T）"))</f>
        <v/>
      </c>
      <c r="BD8" s="394" t="str">
        <f aca="false">IF(OR(BD9="",BD10=""),"",CONCATENATE("分水包","Φ",BD9*1000,"×",BD10*1000,"（T-T）"))</f>
        <v/>
      </c>
      <c r="BE8" s="394" t="str">
        <f aca="false">IF(OR(BE9="",BE10=""),"",CONCATENATE("分水包","Φ",BE9*1000,"×",BE10*1000,"（T-T）"))</f>
        <v/>
      </c>
      <c r="BF8" s="394" t="str">
        <f aca="false">IF(OR(BF9="",BF10=""),"",CONCATENATE("分水包","Φ",BF9*1000,"×",BF10*1000,"（T-T）"))</f>
        <v/>
      </c>
      <c r="BG8" s="394" t="str">
        <f aca="false">IF(OR(BG9="",BG10=""),"",CONCATENATE("分水包","Φ",BG9*1000,"×",BG10*1000,"（T-T）"))</f>
        <v/>
      </c>
      <c r="BH8" s="394" t="str">
        <f aca="false">IF(OR(BH9="",BH10=""),"",CONCATENATE("分水包","Φ",BH9*1000,"×",BH10*1000,"（T-T）"))</f>
        <v/>
      </c>
      <c r="BI8" s="394" t="str">
        <f aca="false">IF(OR(BI9="",BI10=""),"",CONCATENATE("分水包","Φ",BI9*1000,"×",BI10*1000,"（T-T）"))</f>
        <v/>
      </c>
      <c r="BJ8" s="394" t="str">
        <f aca="false">IF(OR(BJ9="",BJ10=""),"",CONCATENATE("分水包","Φ",BJ9*1000,"×",BJ10*1000,"（T-T）"))</f>
        <v/>
      </c>
      <c r="BK8" s="394" t="str">
        <f aca="false">IF(OR(BK9="",BK10=""),"",CONCATENATE("分水包","Φ",BK9*1000,"×",BK10*1000,"（T-T）"))</f>
        <v/>
      </c>
      <c r="BL8" s="394" t="str">
        <f aca="false">IF(OR(BL9="",BL10=""),"",CONCATENATE("分水包","Φ",BL9*1000,"×",BL10*1000,"（T-T）"))</f>
        <v/>
      </c>
      <c r="BM8" s="394" t="str">
        <f aca="false">IF(OR(BM9="",BM10=""),"",CONCATENATE("分水包","Φ",BM9*1000,"×",BM10*1000,"（T-T）"))</f>
        <v/>
      </c>
      <c r="BN8" s="394" t="str">
        <f aca="false">IF(OR(BN9="",BN10=""),"",CONCATENATE("分水包","Φ",BN9*1000,"×",BN10*1000,"（T-T）"))</f>
        <v/>
      </c>
      <c r="BO8" s="394" t="str">
        <f aca="false">IF(OR(BO9="",BO10=""),"",CONCATENATE("分水包","Φ",BO9*1000,"×",BO10*1000,"（T-T）"))</f>
        <v/>
      </c>
      <c r="BP8" s="394" t="str">
        <f aca="false">IF(OR(BP9="",BP10=""),"",CONCATENATE("分水包","Φ",BP9*1000,"×",BP10*1000,"（T-T）"))</f>
        <v/>
      </c>
      <c r="BQ8" s="394" t="str">
        <f aca="false">IF(OR(BQ9="",BQ10=""),"",CONCATENATE("分水包","Φ",BQ9*1000,"×",BQ10*1000,"（T-T）"))</f>
        <v/>
      </c>
      <c r="BR8" s="394" t="str">
        <f aca="false">IF(OR(BR9="",BR10=""),"",CONCATENATE("分水包","Φ",BR9*1000,"×",BR10*1000,"（T-T）"))</f>
        <v/>
      </c>
      <c r="BS8" s="394" t="str">
        <f aca="false">IF(OR(BS9="",BS10=""),"",CONCATENATE("分水包","Φ",BS9*1000,"×",BS10*1000,"（T-T）"))</f>
        <v/>
      </c>
      <c r="BT8" s="394" t="str">
        <f aca="false">IF(OR(BT9="",BT10=""),"",CONCATENATE("分水包","Φ",BT9*1000,"×",BT10*1000,"（T-T）"))</f>
        <v/>
      </c>
      <c r="BU8" s="394" t="str">
        <f aca="false">IF(OR(BU9="",BU10=""),"",CONCATENATE("分水包","Φ",BU9*1000,"×",BU10*1000,"（T-T）"))</f>
        <v/>
      </c>
      <c r="BV8" s="394" t="str">
        <f aca="false">IF(OR(BV9="",BV10=""),"",CONCATENATE("分水包","Φ",BV9*1000,"×",BV10*1000,"（T-T）"))</f>
        <v/>
      </c>
      <c r="BW8" s="394" t="str">
        <f aca="false">IF(OR(BW9="",BW10=""),"",CONCATENATE("分水包","Φ",BW9*1000,"×",BW10*1000,"（T-T）"))</f>
        <v/>
      </c>
      <c r="BX8" s="394" t="str">
        <f aca="false">IF(OR(BX9="",BX10=""),"",CONCATENATE("分水包","Φ",BX9*1000,"×",BX10*1000,"（T-T）"))</f>
        <v/>
      </c>
      <c r="BY8" s="394" t="str">
        <f aca="false">IF(OR(BY9="",BY10=""),"",CONCATENATE("分水包","Φ",BY9*1000,"×",BY10*1000,"（T-T）"))</f>
        <v/>
      </c>
      <c r="BZ8" s="394" t="str">
        <f aca="false">IF(OR(BZ9="",BZ10=""),"",CONCATENATE("分水包","Φ",BZ9*1000,"×",BZ10*1000,"（T-T）"))</f>
        <v/>
      </c>
      <c r="CA8" s="394" t="str">
        <f aca="false">IF(OR(CA9="",CA10=""),"",CONCATENATE("分水包","Φ",CA9*1000,"×",CA10*1000,"（T-T）"))</f>
        <v/>
      </c>
      <c r="CB8" s="394" t="str">
        <f aca="false">IF(OR(CB9="",CB10=""),"",CONCATENATE("分水包","Φ",CB9*1000,"×",CB10*1000,"（T-T）"))</f>
        <v/>
      </c>
      <c r="CC8" s="394" t="str">
        <f aca="false">IF(OR(CC9="",CC10=""),"",CONCATENATE("分水包","Φ",CC9*1000,"×",CC10*1000,"（T-T）"))</f>
        <v/>
      </c>
      <c r="CD8" s="394" t="str">
        <f aca="false">IF(OR(CD9="",CD10=""),"",CONCATENATE("分水包","Φ",CD9*1000,"×",CD10*1000,"（T-T）"))</f>
        <v/>
      </c>
      <c r="CE8" s="390"/>
    </row>
    <row r="9" s="384" customFormat="true" ht="15" hidden="false" customHeight="false" outlineLevel="0" collapsed="false">
      <c r="A9" s="392" t="s">
        <v>526</v>
      </c>
      <c r="B9" s="395"/>
      <c r="C9" s="395"/>
      <c r="D9" s="395"/>
      <c r="E9" s="395"/>
      <c r="F9" s="395"/>
      <c r="G9" s="395"/>
      <c r="H9" s="395"/>
      <c r="I9" s="395"/>
      <c r="J9" s="395"/>
      <c r="K9" s="395"/>
      <c r="L9" s="340" t="n">
        <v>1.1</v>
      </c>
      <c r="M9" s="340" t="n">
        <v>1.4</v>
      </c>
      <c r="CE9" s="385"/>
    </row>
    <row r="10" s="384" customFormat="true" ht="15" hidden="false" customHeight="false" outlineLevel="0" collapsed="false">
      <c r="A10" s="392" t="s">
        <v>527</v>
      </c>
      <c r="B10" s="396"/>
      <c r="C10" s="396"/>
      <c r="D10" s="396"/>
      <c r="E10" s="396"/>
      <c r="F10" s="396"/>
      <c r="G10" s="396"/>
      <c r="H10" s="396"/>
      <c r="I10" s="396"/>
      <c r="J10" s="396"/>
      <c r="K10" s="396"/>
      <c r="L10" s="340" t="n">
        <v>2.2</v>
      </c>
      <c r="M10" s="340" t="n">
        <v>2.8</v>
      </c>
      <c r="CE10" s="385"/>
    </row>
    <row r="11" s="391" customFormat="true" ht="15" hidden="false" customHeight="false" outlineLevel="0" collapsed="false">
      <c r="A11" s="397" t="s">
        <v>528</v>
      </c>
      <c r="B11" s="398" t="n">
        <f aca="false">IF(OR(B6&lt;&gt;"",B7&lt;&gt;""),0.785*B6*B6*B7+3.14/24*2*B6^3,"")</f>
        <v>171.234666666667</v>
      </c>
      <c r="C11" s="398" t="n">
        <f aca="false">IF(OR(C6&lt;&gt;"",C7&lt;&gt;""),0.785*C6*C6*C7+3.14/24*2*C6^3,"")</f>
        <v>171.234666666667</v>
      </c>
      <c r="D11" s="398" t="n">
        <f aca="false">IF(OR(D6&lt;&gt;"",D7&lt;&gt;""),0.785*D6*D6*D7+3.14/24*2*D6^3,"")</f>
        <v>6.87241333333333</v>
      </c>
      <c r="E11" s="398" t="n">
        <f aca="false">IF(OR(E6&lt;&gt;"",E7&lt;&gt;""),0.785*E6*E6*E7+3.14/24*2*E6^3,"")</f>
        <v>14.6533333333333</v>
      </c>
      <c r="F11" s="398" t="n">
        <f aca="false">IF(OR(F6&lt;&gt;"",F7&lt;&gt;""),0.785*F6*F6*F7+3.14/24*2*F6^3,"")</f>
        <v>16.02342</v>
      </c>
      <c r="G11" s="398" t="n">
        <f aca="false">IF(OR(G6&lt;&gt;"",G7&lt;&gt;""),0.785*G6*G6*G7+3.14/24*2*G6^3,"")</f>
        <v>70.65</v>
      </c>
      <c r="H11" s="398" t="n">
        <f aca="false">IF(OR(H6&lt;&gt;"",H7&lt;&gt;""),0.785*H6*H6*H7+3.14/24*2*H6^3,"")</f>
        <v>25.5826266666667</v>
      </c>
      <c r="I11" s="398" t="n">
        <f aca="false">IF(OR(I6&lt;&gt;"",I7&lt;&gt;""),0.785*I6*I6*I7+3.14/24*2*I6^3,"")</f>
        <v>10.3672333333333</v>
      </c>
      <c r="J11" s="398" t="n">
        <f aca="false">IF(OR(J6&lt;&gt;"",J7&lt;&gt;""),0.785*J6*J6*J7+3.14/24*2*J6^3,"")</f>
        <v>11.69964</v>
      </c>
      <c r="K11" s="398" t="n">
        <f aca="false">IF(OR(K6&lt;&gt;"",K7&lt;&gt;""),0.785*K6*K6*K7+3.14/24*2*K6^3,"")</f>
        <v>2.22416666666667</v>
      </c>
      <c r="L11" s="398" t="n">
        <f aca="false">IF(OR(L6&lt;&gt;"",L7&lt;&gt;""),0.785*L6*L6*L7+3.14/24*2*L6^3,"")</f>
        <v>16.0841266666667</v>
      </c>
      <c r="M11" s="398" t="n">
        <f aca="false">IF(OR(M6&lt;&gt;"",M7&lt;&gt;""),0.785*M6*M6*M7+3.14/24*2*M6^3,"")</f>
        <v>43.0965</v>
      </c>
      <c r="N11" s="398" t="n">
        <f aca="false">IF(OR(N6&lt;&gt;"",N7&lt;&gt;""),0.785*N6*N6*N7+3.14/24*2*N6^3,"")</f>
        <v>329.443566666667</v>
      </c>
      <c r="O11" s="398" t="n">
        <f aca="false">IF(OR(O6&lt;&gt;"",O7&lt;&gt;""),0.785*O6*O6*O7+3.14/24*2*O6^3,"")</f>
        <v>7.18013333333333</v>
      </c>
      <c r="P11" s="398" t="n">
        <f aca="false">IF(OR(P6&lt;&gt;"",P7&lt;&gt;""),0.785*P6*P6*P7+3.14/24*2*P6^3,"")</f>
        <v>169.978666666667</v>
      </c>
      <c r="Q11" s="398" t="n">
        <f aca="false">IF(OR(Q6&lt;&gt;"",Q7&lt;&gt;""),0.785*Q6*Q6*Q7+3.14/24*2*Q6^3,"")</f>
        <v>2.61666666666667</v>
      </c>
      <c r="R11" s="398" t="n">
        <f aca="false">IF(OR(R6&lt;&gt;"",R7&lt;&gt;""),0.785*R6*R6*R7+3.14/24*2*R6^3,"")</f>
        <v>6.87241333333333</v>
      </c>
      <c r="S11" s="398" t="n">
        <f aca="false">IF(OR(S6&lt;&gt;"",S7&lt;&gt;""),0.785*S6*S6*S7+3.14/24*2*S6^3,"")</f>
        <v>6.87241333333333</v>
      </c>
      <c r="T11" s="398" t="n">
        <f aca="false">IF(OR(T6&lt;&gt;"",T7&lt;&gt;""),0.785*T6*T6*T7+3.14/24*2*T6^3,"")</f>
        <v>18.1073333333333</v>
      </c>
      <c r="U11" s="398" t="n">
        <f aca="false">IF(OR(U6&lt;&gt;"",U7&lt;&gt;""),0.785*U6*U6*U7+3.14/24*2*U6^3,"")</f>
        <v>93.59712</v>
      </c>
      <c r="V11" s="398" t="n">
        <f aca="false">IF(OR(V6&lt;&gt;"",V7&lt;&gt;""),0.785*V6*V6*V7+3.14/24*2*V6^3,"")</f>
        <v>17.9838266666667</v>
      </c>
      <c r="W11" s="398" t="n">
        <f aca="false">IF(OR(W6&lt;&gt;"",W7&lt;&gt;""),0.785*W6*W6*W7+3.14/24*2*W6^3,"")</f>
        <v>17.9838266666667</v>
      </c>
      <c r="X11" s="398" t="n">
        <f aca="false">IF(OR(X6&lt;&gt;"",X7&lt;&gt;""),0.785*X6*X6*X7+3.14/24*2*X6^3,"")</f>
        <v>34.1312766666667</v>
      </c>
      <c r="Y11" s="398" t="n">
        <f aca="false">IF(OR(Y6&lt;&gt;"",Y7&lt;&gt;""),0.785*Y6*Y6*Y7+3.14/24*2*Y6^3,"")</f>
        <v>7.948125</v>
      </c>
      <c r="Z11" s="398" t="n">
        <f aca="false">IF(OR(Z6&lt;&gt;"",Z7&lt;&gt;""),0.785*Z6*Z6*Z7+3.14/24*2*Z6^3,"")</f>
        <v>7.948125</v>
      </c>
      <c r="AA11" s="398" t="str">
        <f aca="false">IF(OR(AA6&lt;&gt;"",AA7&lt;&gt;""),0.785*AA6*AA6*AA7+3.14/24*2*AA6^3,"")</f>
        <v/>
      </c>
      <c r="AB11" s="398" t="str">
        <f aca="false">IF(OR(AB6&lt;&gt;"",AB7&lt;&gt;""),0.785*AB6*AB6*AB7+3.14/24*2*AB6^3,"")</f>
        <v/>
      </c>
      <c r="AC11" s="398" t="str">
        <f aca="false">IF(OR(AC6&lt;&gt;"",AC7&lt;&gt;""),0.785*AC6*AC6*AC7+3.14/24*2*AC6^3,"")</f>
        <v/>
      </c>
      <c r="AD11" s="398" t="str">
        <f aca="false">IF(OR(AD6&lt;&gt;"",AD7&lt;&gt;""),0.785*AD6*AD6*AD7+3.14/24*2*AD6^3,"")</f>
        <v/>
      </c>
      <c r="AE11" s="398" t="str">
        <f aca="false">IF(OR(AE6&lt;&gt;"",AE7&lt;&gt;""),0.785*AE6*AE6*AE7+3.14/24*2*AE6^3,"")</f>
        <v/>
      </c>
      <c r="AF11" s="398" t="str">
        <f aca="false">IF(OR(AF6&lt;&gt;"",AF7&lt;&gt;""),0.785*AF6*AF6*AF7+3.14/24*2*AF6^3,"")</f>
        <v/>
      </c>
      <c r="AG11" s="398" t="str">
        <f aca="false">IF(OR(AG6&lt;&gt;"",AG7&lt;&gt;""),0.785*AG6*AG6*AG7+3.14/24*2*AG6^3,"")</f>
        <v/>
      </c>
      <c r="AH11" s="398" t="str">
        <f aca="false">IF(OR(AH6&lt;&gt;"",AH7&lt;&gt;""),0.785*AH6*AH6*AH7+3.14/24*2*AH6^3,"")</f>
        <v/>
      </c>
      <c r="AI11" s="398" t="str">
        <f aca="false">IF(OR(AI6&lt;&gt;"",AI7&lt;&gt;""),0.785*AI6*AI6*AI7+3.14/24*2*AI6^3,"")</f>
        <v/>
      </c>
      <c r="AJ11" s="398" t="str">
        <f aca="false">IF(OR(AJ6&lt;&gt;"",AJ7&lt;&gt;""),0.785*AJ6*AJ6*AJ7+3.14/24*2*AJ6^3,"")</f>
        <v/>
      </c>
      <c r="AK11" s="398" t="str">
        <f aca="false">IF(OR(AK6&lt;&gt;"",AK7&lt;&gt;""),0.785*AK6*AK6*AK7+3.14/24*2*AK6^3,"")</f>
        <v/>
      </c>
      <c r="AL11" s="398" t="str">
        <f aca="false">IF(OR(AL6&lt;&gt;"",AL7&lt;&gt;""),0.785*AL6*AL6*AL7+3.14/24*2*AL6^3,"")</f>
        <v/>
      </c>
      <c r="AM11" s="398" t="str">
        <f aca="false">IF(OR(AM6&lt;&gt;"",AM7&lt;&gt;""),0.785*AM6*AM6*AM7+3.14/24*2*AM6^3,"")</f>
        <v/>
      </c>
      <c r="AN11" s="398" t="str">
        <f aca="false">IF(OR(AN6&lt;&gt;"",AN7&lt;&gt;""),0.785*AN6*AN6*AN7+3.14/24*2*AN6^3,"")</f>
        <v/>
      </c>
      <c r="AO11" s="398" t="str">
        <f aca="false">IF(OR(AO6&lt;&gt;"",AO7&lt;&gt;""),0.785*AO6*AO6*AO7+3.14/24*2*AO6^3,"")</f>
        <v/>
      </c>
      <c r="AP11" s="398" t="str">
        <f aca="false">IF(OR(AP6&lt;&gt;"",AP7&lt;&gt;""),0.785*AP6*AP6*AP7+3.14/24*2*AP6^3,"")</f>
        <v/>
      </c>
      <c r="AQ11" s="398" t="str">
        <f aca="false">IF(OR(AQ6&lt;&gt;"",AQ7&lt;&gt;""),0.785*AQ6*AQ6*AQ7+3.14/24*2*AQ6^3,"")</f>
        <v/>
      </c>
      <c r="AR11" s="398" t="str">
        <f aca="false">IF(OR(AR6&lt;&gt;"",AR7&lt;&gt;""),0.785*AR6*AR6*AR7+3.14/24*2*AR6^3,"")</f>
        <v/>
      </c>
      <c r="AS11" s="398" t="str">
        <f aca="false">IF(OR(AS6&lt;&gt;"",AS7&lt;&gt;""),0.785*AS6*AS6*AS7+3.14/24*2*AS6^3,"")</f>
        <v/>
      </c>
      <c r="AT11" s="398" t="str">
        <f aca="false">IF(OR(AT6&lt;&gt;"",AT7&lt;&gt;""),0.785*AT6*AT6*AT7+3.14/24*2*AT6^3,"")</f>
        <v/>
      </c>
      <c r="AU11" s="398" t="str">
        <f aca="false">IF(OR(AU6&lt;&gt;"",AU7&lt;&gt;""),0.785*AU6*AU6*AU7+3.14/24*2*AU6^3,"")</f>
        <v/>
      </c>
      <c r="AV11" s="398" t="str">
        <f aca="false">IF(OR(AV6&lt;&gt;"",AV7&lt;&gt;""),0.785*AV6*AV6*AV7+3.14/24*2*AV6^3,"")</f>
        <v/>
      </c>
      <c r="AW11" s="398" t="str">
        <f aca="false">IF(OR(AW6&lt;&gt;"",AW7&lt;&gt;""),0.785*AW6*AW6*AW7+3.14/24*2*AW6^3,"")</f>
        <v/>
      </c>
      <c r="AX11" s="398" t="str">
        <f aca="false">IF(OR(AX6&lt;&gt;"",AX7&lt;&gt;""),0.785*AX6*AX6*AX7+3.14/24*2*AX6^3,"")</f>
        <v/>
      </c>
      <c r="AY11" s="398" t="str">
        <f aca="false">IF(OR(AY6&lt;&gt;"",AY7&lt;&gt;""),0.785*AY6*AY6*AY7+3.14/24*2*AY6^3,"")</f>
        <v/>
      </c>
      <c r="AZ11" s="398" t="str">
        <f aca="false">IF(OR(AZ6&lt;&gt;"",AZ7&lt;&gt;""),0.785*AZ6*AZ6*AZ7+3.14/24*2*AZ6^3,"")</f>
        <v/>
      </c>
      <c r="BA11" s="398" t="str">
        <f aca="false">IF(OR(BA6&lt;&gt;"",BA7&lt;&gt;""),0.785*BA6*BA6*BA7+3.14/24*2*BA6^3,"")</f>
        <v/>
      </c>
      <c r="BB11" s="398" t="str">
        <f aca="false">IF(OR(BB6&lt;&gt;"",BB7&lt;&gt;""),0.785*BB6*BB6*BB7+3.14/24*2*BB6^3,"")</f>
        <v/>
      </c>
      <c r="BC11" s="398" t="str">
        <f aca="false">IF(OR(BC6&lt;&gt;"",BC7&lt;&gt;""),0.785*BC6*BC6*BC7+3.14/24*2*BC6^3,"")</f>
        <v/>
      </c>
      <c r="BD11" s="398" t="str">
        <f aca="false">IF(OR(BD6&lt;&gt;"",BD7&lt;&gt;""),0.785*BD6*BD6*BD7+3.14/24*2*BD6^3,"")</f>
        <v/>
      </c>
      <c r="BE11" s="398" t="str">
        <f aca="false">IF(OR(BE6&lt;&gt;"",BE7&lt;&gt;""),0.785*BE6*BE6*BE7+3.14/24*2*BE6^3,"")</f>
        <v/>
      </c>
      <c r="BF11" s="398" t="str">
        <f aca="false">IF(OR(BF6&lt;&gt;"",BF7&lt;&gt;""),0.785*BF6*BF6*BF7+3.14/24*2*BF6^3,"")</f>
        <v/>
      </c>
      <c r="BG11" s="398" t="str">
        <f aca="false">IF(OR(BG6&lt;&gt;"",BG7&lt;&gt;""),0.785*BG6*BG6*BG7+3.14/24*2*BG6^3,"")</f>
        <v/>
      </c>
      <c r="BH11" s="398" t="str">
        <f aca="false">IF(OR(BH6&lt;&gt;"",BH7&lt;&gt;""),0.785*BH6*BH6*BH7+3.14/24*2*BH6^3,"")</f>
        <v/>
      </c>
      <c r="BI11" s="398" t="str">
        <f aca="false">IF(OR(BI6&lt;&gt;"",BI7&lt;&gt;""),0.785*BI6*BI6*BI7+3.14/24*2*BI6^3,"")</f>
        <v/>
      </c>
      <c r="BJ11" s="398" t="str">
        <f aca="false">IF(OR(BJ6&lt;&gt;"",BJ7&lt;&gt;""),0.785*BJ6*BJ6*BJ7+3.14/24*2*BJ6^3,"")</f>
        <v/>
      </c>
      <c r="BK11" s="398" t="str">
        <f aca="false">IF(OR(BK6&lt;&gt;"",BK7&lt;&gt;""),0.785*BK6*BK6*BK7+3.14/24*2*BK6^3,"")</f>
        <v/>
      </c>
      <c r="BL11" s="398" t="str">
        <f aca="false">IF(OR(BL6&lt;&gt;"",BL7&lt;&gt;""),0.785*BL6*BL6*BL7+3.14/24*2*BL6^3,"")</f>
        <v/>
      </c>
      <c r="BM11" s="398" t="str">
        <f aca="false">IF(OR(BM6&lt;&gt;"",BM7&lt;&gt;""),0.785*BM6*BM6*BM7+3.14/24*2*BM6^3,"")</f>
        <v/>
      </c>
      <c r="BN11" s="398" t="str">
        <f aca="false">IF(OR(BN6&lt;&gt;"",BN7&lt;&gt;""),0.785*BN6*BN6*BN7+3.14/24*2*BN6^3,"")</f>
        <v/>
      </c>
      <c r="BO11" s="398" t="str">
        <f aca="false">IF(OR(BO6&lt;&gt;"",BO7&lt;&gt;""),0.785*BO6*BO6*BO7+3.14/24*2*BO6^3,"")</f>
        <v/>
      </c>
      <c r="BP11" s="398" t="str">
        <f aca="false">IF(OR(BP6&lt;&gt;"",BP7&lt;&gt;""),0.785*BP6*BP6*BP7+3.14/24*2*BP6^3,"")</f>
        <v/>
      </c>
      <c r="BQ11" s="398" t="str">
        <f aca="false">IF(OR(BQ6&lt;&gt;"",BQ7&lt;&gt;""),0.785*BQ6*BQ6*BQ7+3.14/24*2*BQ6^3,"")</f>
        <v/>
      </c>
      <c r="BR11" s="398" t="str">
        <f aca="false">IF(OR(BR6&lt;&gt;"",BR7&lt;&gt;""),0.785*BR6*BR6*BR7+3.14/24*2*BR6^3,"")</f>
        <v/>
      </c>
      <c r="BS11" s="398" t="str">
        <f aca="false">IF(OR(BS6&lt;&gt;"",BS7&lt;&gt;""),0.785*BS6*BS6*BS7+3.14/24*2*BS6^3,"")</f>
        <v/>
      </c>
      <c r="BT11" s="398" t="str">
        <f aca="false">IF(OR(BT6&lt;&gt;"",BT7&lt;&gt;""),0.785*BT6*BT6*BT7+3.14/24*2*BT6^3,"")</f>
        <v/>
      </c>
      <c r="BU11" s="398" t="str">
        <f aca="false">IF(OR(BU6&lt;&gt;"",BU7&lt;&gt;""),0.785*BU6*BU6*BU7+3.14/24*2*BU6^3,"")</f>
        <v/>
      </c>
      <c r="BV11" s="398" t="str">
        <f aca="false">IF(OR(BV6&lt;&gt;"",BV7&lt;&gt;""),0.785*BV6*BV6*BV7+3.14/24*2*BV6^3,"")</f>
        <v/>
      </c>
      <c r="BW11" s="398" t="str">
        <f aca="false">IF(OR(BW6&lt;&gt;"",BW7&lt;&gt;""),0.785*BW6*BW6*BW7+3.14/24*2*BW6^3,"")</f>
        <v/>
      </c>
      <c r="BX11" s="398" t="str">
        <f aca="false">IF(OR(BX6&lt;&gt;"",BX7&lt;&gt;""),0.785*BX6*BX6*BX7+3.14/24*2*BX6^3,"")</f>
        <v/>
      </c>
      <c r="BY11" s="398" t="str">
        <f aca="false">IF(OR(BY6&lt;&gt;"",BY7&lt;&gt;""),0.785*BY6*BY6*BY7+3.14/24*2*BY6^3,"")</f>
        <v/>
      </c>
      <c r="BZ11" s="398" t="str">
        <f aca="false">IF(OR(BZ6&lt;&gt;"",BZ7&lt;&gt;""),0.785*BZ6*BZ6*BZ7+3.14/24*2*BZ6^3,"")</f>
        <v/>
      </c>
      <c r="CA11" s="398" t="str">
        <f aca="false">IF(OR(CA6&lt;&gt;"",CA7&lt;&gt;""),0.785*CA6*CA6*CA7+3.14/24*2*CA6^3,"")</f>
        <v/>
      </c>
      <c r="CB11" s="398" t="str">
        <f aca="false">IF(OR(CB6&lt;&gt;"",CB7&lt;&gt;""),0.785*CB6*CB6*CB7+3.14/24*2*CB6^3,"")</f>
        <v/>
      </c>
      <c r="CC11" s="398" t="str">
        <f aca="false">IF(OR(CC6&lt;&gt;"",CC7&lt;&gt;""),0.785*CC6*CC6*CC7+3.14/24*2*CC6^3,"")</f>
        <v/>
      </c>
      <c r="CD11" s="398" t="str">
        <f aca="false">IF(OR(CD6&lt;&gt;"",CD7&lt;&gt;""),0.785*CD6*CD6*CD7+3.14/24*2*CD6^3,"")</f>
        <v/>
      </c>
      <c r="CE11" s="390"/>
    </row>
    <row r="12" s="340" customFormat="true" ht="15" hidden="false" customHeight="false" outlineLevel="0" collapsed="false">
      <c r="A12" s="397" t="s">
        <v>398</v>
      </c>
      <c r="B12" s="340" t="s">
        <v>676</v>
      </c>
      <c r="C12" s="340" t="s">
        <v>676</v>
      </c>
      <c r="D12" s="340" t="s">
        <v>677</v>
      </c>
      <c r="E12" s="340" t="s">
        <v>681</v>
      </c>
      <c r="F12" s="340" t="s">
        <v>678</v>
      </c>
      <c r="G12" s="340" t="s">
        <v>679</v>
      </c>
      <c r="H12" s="340" t="s">
        <v>680</v>
      </c>
      <c r="I12" s="340" t="s">
        <v>683</v>
      </c>
      <c r="J12" s="340" t="s">
        <v>684</v>
      </c>
      <c r="K12" s="340" t="s">
        <v>682</v>
      </c>
      <c r="L12" s="340" t="s">
        <v>644</v>
      </c>
      <c r="M12" s="340" t="s">
        <v>645</v>
      </c>
      <c r="N12" s="340" t="s">
        <v>529</v>
      </c>
      <c r="O12" s="262" t="s">
        <v>605</v>
      </c>
      <c r="P12" s="262" t="s">
        <v>606</v>
      </c>
      <c r="Q12" s="262" t="s">
        <v>607</v>
      </c>
      <c r="R12" s="262" t="s">
        <v>608</v>
      </c>
      <c r="S12" s="262" t="s">
        <v>609</v>
      </c>
      <c r="T12" s="262" t="s">
        <v>529</v>
      </c>
      <c r="U12" s="262" t="s">
        <v>529</v>
      </c>
      <c r="V12" s="262" t="s">
        <v>611</v>
      </c>
      <c r="W12" s="262" t="s">
        <v>611</v>
      </c>
      <c r="X12" s="262" t="s">
        <v>612</v>
      </c>
      <c r="Y12" s="262" t="s">
        <v>612</v>
      </c>
      <c r="Z12" s="262" t="s">
        <v>612</v>
      </c>
      <c r="AA12" s="262"/>
    </row>
    <row r="13" s="400" customFormat="true" ht="15" hidden="false" customHeight="false" outlineLevel="0" collapsed="false">
      <c r="A13" s="399" t="s">
        <v>749</v>
      </c>
      <c r="B13" s="354" t="n">
        <f aca="false">HLOOKUP(B61,物流参数!$C$1:$GC$29,MATCH("TEMPERATURE",物流参数!$A$1:$A$29,FALSE()),FALSE())</f>
        <v>185</v>
      </c>
      <c r="C13" s="354" t="n">
        <f aca="false">HLOOKUP(C61,物流参数!$C$1:$GC$29,MATCH("TEMPERATURE",物流参数!$A$1:$A$29,FALSE()),FALSE())</f>
        <v>115.79</v>
      </c>
      <c r="D13" s="354" t="n">
        <f aca="false">HLOOKUP(D61,物流参数!$C$1:$GC$29,MATCH("TEMPERATURE",物流参数!$A$1:$A$29,FALSE()),FALSE())</f>
        <v>95.46</v>
      </c>
      <c r="E13" s="354" t="n">
        <f aca="false">HLOOKUP(E61,物流参数!$C$1:$GC$29,MATCH("TEMPERATURE",物流参数!$A$1:$A$29,FALSE()),FALSE())</f>
        <v>185</v>
      </c>
      <c r="F13" s="354" t="n">
        <f aca="false">HLOOKUP(F61,物流参数!$C$1:$GC$29,MATCH("TEMPERATURE",物流参数!$A$1:$A$29,FALSE()),FALSE())</f>
        <v>50.04</v>
      </c>
      <c r="G13" s="354" t="n">
        <f aca="false">HLOOKUP(G61,物流参数!$C$1:$GC$29,MATCH("TEMPERATURE",物流参数!$A$1:$A$29,FALSE()),FALSE())</f>
        <v>40</v>
      </c>
      <c r="H13" s="354" t="n">
        <v>40</v>
      </c>
      <c r="I13" s="354" t="n">
        <v>43</v>
      </c>
      <c r="J13" s="354" t="n">
        <v>40</v>
      </c>
      <c r="K13" s="354" t="n">
        <v>60</v>
      </c>
      <c r="L13" s="354" t="n">
        <v>40</v>
      </c>
      <c r="M13" s="354" t="n">
        <v>40</v>
      </c>
      <c r="N13" s="354" t="n">
        <v>285</v>
      </c>
      <c r="O13" s="354" t="n">
        <v>40</v>
      </c>
      <c r="P13" s="354" t="n">
        <v>335</v>
      </c>
      <c r="Q13" s="354" t="n">
        <v>50</v>
      </c>
      <c r="R13" s="354" t="n">
        <v>40</v>
      </c>
      <c r="S13" s="354" t="n">
        <v>40</v>
      </c>
      <c r="T13" s="354" t="n">
        <v>40</v>
      </c>
      <c r="U13" s="354" t="n">
        <v>60</v>
      </c>
      <c r="V13" s="354" t="n">
        <v>60</v>
      </c>
      <c r="W13" s="354" t="n">
        <v>60</v>
      </c>
      <c r="X13" s="354" t="n">
        <v>199</v>
      </c>
      <c r="Y13" s="354" t="n">
        <v>168</v>
      </c>
      <c r="Z13" s="354" t="n">
        <v>152</v>
      </c>
    </row>
    <row r="14" s="402" customFormat="true" ht="15" hidden="false" customHeight="false" outlineLevel="0" collapsed="false">
      <c r="A14" s="399" t="s">
        <v>750</v>
      </c>
      <c r="B14" s="401" t="n">
        <v>185</v>
      </c>
      <c r="C14" s="401" t="n">
        <v>116</v>
      </c>
      <c r="D14" s="401" t="n">
        <v>95</v>
      </c>
      <c r="E14" s="401" t="n">
        <v>185</v>
      </c>
      <c r="F14" s="401" t="n">
        <v>50</v>
      </c>
      <c r="G14" s="401" t="n">
        <v>55</v>
      </c>
      <c r="H14" s="401" t="n">
        <v>40</v>
      </c>
      <c r="I14" s="401" t="n">
        <v>43</v>
      </c>
      <c r="J14" s="401" t="n">
        <v>40</v>
      </c>
      <c r="K14" s="401" t="n">
        <v>60</v>
      </c>
      <c r="L14" s="401" t="n">
        <v>40</v>
      </c>
      <c r="M14" s="401" t="n">
        <v>40</v>
      </c>
      <c r="N14" s="401"/>
      <c r="O14" s="401"/>
      <c r="P14" s="401"/>
      <c r="Q14" s="401"/>
      <c r="R14" s="401"/>
      <c r="S14" s="401"/>
      <c r="T14" s="401"/>
      <c r="U14" s="401"/>
      <c r="V14" s="401"/>
      <c r="W14" s="401"/>
      <c r="X14" s="401"/>
      <c r="Y14" s="401"/>
      <c r="Z14" s="401"/>
      <c r="CE14" s="403"/>
    </row>
    <row r="15" s="384" customFormat="true" ht="15" hidden="false" customHeight="false" outlineLevel="0" collapsed="false">
      <c r="A15" s="382" t="s">
        <v>490</v>
      </c>
      <c r="B15" s="344" t="n">
        <v>0.2</v>
      </c>
      <c r="C15" s="344" t="n">
        <v>0.4</v>
      </c>
      <c r="D15" s="344" t="n">
        <v>0.4</v>
      </c>
      <c r="E15" s="340" t="n">
        <v>0.15</v>
      </c>
      <c r="F15" s="344" t="n">
        <v>0.2</v>
      </c>
      <c r="G15" s="344" t="n">
        <v>0.4</v>
      </c>
      <c r="H15" s="344" t="n">
        <v>0.6</v>
      </c>
      <c r="I15" s="340" t="n">
        <v>0.4</v>
      </c>
      <c r="J15" s="340" t="n">
        <v>0.1</v>
      </c>
      <c r="K15" s="340" t="n">
        <v>0.1</v>
      </c>
      <c r="L15" s="340" t="n">
        <v>1.06</v>
      </c>
      <c r="M15" s="340" t="n">
        <v>0.04</v>
      </c>
      <c r="N15" s="340" t="n">
        <v>2.99</v>
      </c>
      <c r="O15" s="340" t="n">
        <v>2.4</v>
      </c>
      <c r="P15" s="340" t="n">
        <v>0.2</v>
      </c>
      <c r="Q15" s="340" t="n">
        <v>2.78</v>
      </c>
      <c r="R15" s="340" t="n">
        <v>0.5</v>
      </c>
      <c r="S15" s="340" t="n">
        <v>0.7</v>
      </c>
      <c r="T15" s="340" t="n">
        <v>2.81</v>
      </c>
      <c r="U15" s="340" t="n">
        <v>0.1</v>
      </c>
      <c r="V15" s="340" t="n">
        <v>0.1</v>
      </c>
      <c r="W15" s="340" t="n">
        <v>0.1</v>
      </c>
      <c r="X15" s="340" t="n">
        <v>1.43</v>
      </c>
      <c r="Y15" s="340" t="n">
        <v>0.66</v>
      </c>
      <c r="Z15" s="340" t="n">
        <v>0.4</v>
      </c>
      <c r="CE15" s="385"/>
    </row>
    <row r="16" s="384" customFormat="true" ht="15" hidden="false" customHeight="false" outlineLevel="0" collapsed="false">
      <c r="A16" s="382" t="s">
        <v>530</v>
      </c>
      <c r="B16" s="344" t="n">
        <v>1</v>
      </c>
      <c r="C16" s="344" t="n">
        <v>1.8</v>
      </c>
      <c r="D16" s="344" t="n">
        <v>0.5</v>
      </c>
      <c r="E16" s="340" t="n">
        <v>0.2</v>
      </c>
      <c r="F16" s="344" t="n">
        <v>1</v>
      </c>
      <c r="G16" s="344" t="n">
        <v>1</v>
      </c>
      <c r="H16" s="344" t="n">
        <v>0.7</v>
      </c>
      <c r="I16" s="340" t="n">
        <v>1</v>
      </c>
      <c r="J16" s="340" t="n">
        <v>0.7</v>
      </c>
      <c r="K16" s="340" t="n">
        <v>0.8</v>
      </c>
      <c r="L16" s="340" t="n">
        <v>1.2</v>
      </c>
      <c r="M16" s="340" t="n">
        <v>0.4</v>
      </c>
      <c r="R16" s="384" t="n">
        <v>0.6</v>
      </c>
      <c r="CE16" s="385"/>
    </row>
    <row r="17" s="384" customFormat="true" ht="15" hidden="false" customHeight="false" outlineLevel="0" collapsed="false">
      <c r="A17" s="382" t="s">
        <v>531</v>
      </c>
      <c r="B17" s="212"/>
      <c r="C17" s="212"/>
      <c r="D17" s="212"/>
      <c r="E17" s="212"/>
      <c r="F17" s="212"/>
      <c r="G17" s="212"/>
      <c r="H17" s="212"/>
      <c r="I17" s="212"/>
      <c r="J17" s="212"/>
      <c r="K17" s="212"/>
      <c r="L17" s="212" t="n">
        <v>3130</v>
      </c>
      <c r="M17" s="212" t="n">
        <v>500</v>
      </c>
      <c r="N17" s="212" t="n">
        <v>12588</v>
      </c>
      <c r="O17" s="212" t="n">
        <v>4045</v>
      </c>
      <c r="P17" s="212" t="n">
        <v>7799</v>
      </c>
      <c r="Q17" s="212" t="n">
        <v>6068</v>
      </c>
      <c r="R17" s="212" t="n">
        <v>1708.9</v>
      </c>
      <c r="S17" s="212" t="n">
        <v>912.5</v>
      </c>
      <c r="T17" s="212" t="n">
        <v>11805</v>
      </c>
      <c r="U17" s="212" t="n">
        <v>15000</v>
      </c>
      <c r="V17" s="212" t="n">
        <v>10000</v>
      </c>
      <c r="W17" s="212" t="n">
        <v>10000</v>
      </c>
      <c r="X17" s="212" t="n">
        <v>4018</v>
      </c>
      <c r="Y17" s="212" t="n">
        <v>5215</v>
      </c>
      <c r="Z17" s="212" t="n">
        <v>3461</v>
      </c>
      <c r="CE17" s="385"/>
    </row>
    <row r="18" s="384" customFormat="true" ht="15" hidden="false" customHeight="false" outlineLevel="0" collapsed="false">
      <c r="A18" s="382" t="s">
        <v>532</v>
      </c>
      <c r="B18" s="223" t="n">
        <v>309524</v>
      </c>
      <c r="C18" s="223" t="n">
        <v>309524</v>
      </c>
      <c r="D18" s="223" t="n">
        <v>13100</v>
      </c>
      <c r="E18" s="223" t="n">
        <v>30850</v>
      </c>
      <c r="F18" s="223" t="n">
        <v>10000</v>
      </c>
      <c r="G18" s="223" t="n">
        <v>164000</v>
      </c>
      <c r="H18" s="223" t="n">
        <v>6000</v>
      </c>
      <c r="I18" s="223" t="n">
        <v>18602</v>
      </c>
      <c r="J18" s="223" t="n">
        <v>20000</v>
      </c>
      <c r="K18" s="223" t="n">
        <v>100</v>
      </c>
      <c r="L18" s="223" t="n">
        <v>15182</v>
      </c>
      <c r="M18" s="223" t="n">
        <v>54907</v>
      </c>
      <c r="N18" s="212" t="n">
        <v>300044</v>
      </c>
      <c r="O18" s="212" t="n">
        <f aca="false">O17*0.01</f>
        <v>40.45</v>
      </c>
      <c r="P18" s="212" t="n">
        <v>293018</v>
      </c>
      <c r="Q18" s="212" t="n">
        <v>2</v>
      </c>
      <c r="R18" s="212" t="n">
        <f aca="false">R17*0.01</f>
        <v>17.089</v>
      </c>
      <c r="S18" s="212" t="n">
        <f aca="false">0.01*S17</f>
        <v>9.125</v>
      </c>
      <c r="T18" s="212" t="n">
        <v>15912</v>
      </c>
      <c r="U18" s="212" t="n">
        <v>10000</v>
      </c>
      <c r="V18" s="212" t="n">
        <v>20000</v>
      </c>
      <c r="W18" s="212" t="n">
        <v>20000</v>
      </c>
      <c r="X18" s="212" t="n">
        <v>76342</v>
      </c>
      <c r="Y18" s="212" t="n">
        <v>99085</v>
      </c>
      <c r="Z18" s="212" t="n">
        <v>19612</v>
      </c>
      <c r="CE18" s="385"/>
    </row>
    <row r="19" s="384" customFormat="true" ht="15" hidden="false" customHeight="false" outlineLevel="0" collapsed="false">
      <c r="A19" s="382" t="s">
        <v>646</v>
      </c>
      <c r="B19" s="212"/>
      <c r="C19" s="212"/>
      <c r="D19" s="212"/>
      <c r="E19" s="212"/>
      <c r="F19" s="212"/>
      <c r="G19" s="212"/>
      <c r="H19" s="212"/>
      <c r="I19" s="212"/>
      <c r="J19" s="212"/>
      <c r="K19" s="212"/>
      <c r="L19" s="212" t="n">
        <v>7350</v>
      </c>
      <c r="M19" s="212" t="n">
        <v>50827</v>
      </c>
      <c r="CE19" s="385"/>
    </row>
    <row r="20" s="384" customFormat="true" ht="15" hidden="false" customHeight="false" outlineLevel="0" collapsed="false">
      <c r="A20" s="382" t="s">
        <v>751</v>
      </c>
      <c r="B20" s="404"/>
      <c r="C20" s="404"/>
      <c r="D20" s="404"/>
      <c r="E20" s="404"/>
      <c r="F20" s="404"/>
      <c r="G20" s="404"/>
      <c r="H20" s="404"/>
      <c r="I20" s="404"/>
      <c r="J20" s="404"/>
      <c r="K20" s="404"/>
      <c r="L20" s="404" t="n">
        <v>4762</v>
      </c>
      <c r="M20" s="404" t="n">
        <v>9911</v>
      </c>
      <c r="CE20" s="385"/>
    </row>
    <row r="21" s="384" customFormat="true" ht="15" hidden="false" customHeight="false" outlineLevel="0" collapsed="false">
      <c r="A21" s="405" t="s">
        <v>533</v>
      </c>
      <c r="B21" s="406" t="n">
        <v>1.1</v>
      </c>
      <c r="C21" s="406" t="n">
        <v>1.1</v>
      </c>
      <c r="D21" s="406" t="n">
        <v>1.1</v>
      </c>
      <c r="E21" s="406" t="n">
        <v>1.1</v>
      </c>
      <c r="F21" s="406" t="n">
        <v>1.1</v>
      </c>
      <c r="G21" s="406" t="n">
        <v>1.1</v>
      </c>
      <c r="H21" s="406" t="n">
        <v>1.1</v>
      </c>
      <c r="I21" s="406" t="n">
        <v>1.1</v>
      </c>
      <c r="J21" s="406" t="n">
        <v>1.1</v>
      </c>
      <c r="K21" s="406" t="n">
        <v>1.1</v>
      </c>
      <c r="L21" s="406" t="n">
        <v>1.2</v>
      </c>
      <c r="M21" s="406" t="n">
        <v>1.2</v>
      </c>
      <c r="N21" s="406" t="n">
        <v>1.1</v>
      </c>
      <c r="O21" s="406" t="n">
        <v>1.3</v>
      </c>
      <c r="P21" s="406" t="n">
        <v>1.1</v>
      </c>
      <c r="Q21" s="406" t="n">
        <v>1.1</v>
      </c>
      <c r="R21" s="406" t="n">
        <v>1.3</v>
      </c>
      <c r="S21" s="406" t="n">
        <v>1.3</v>
      </c>
      <c r="T21" s="406" t="n">
        <v>1.1</v>
      </c>
      <c r="U21" s="406" t="n">
        <v>1.1</v>
      </c>
      <c r="V21" s="406" t="n">
        <v>1.1</v>
      </c>
      <c r="W21" s="406" t="n">
        <v>1.1</v>
      </c>
      <c r="X21" s="406" t="n">
        <v>1.1</v>
      </c>
      <c r="Y21" s="406" t="n">
        <v>1.1</v>
      </c>
      <c r="Z21" s="406" t="n">
        <v>1.3</v>
      </c>
      <c r="CE21" s="385"/>
    </row>
    <row r="22" s="391" customFormat="true" ht="15" hidden="false" customHeight="false" outlineLevel="0" collapsed="false">
      <c r="A22" s="388" t="s">
        <v>534</v>
      </c>
      <c r="B22" s="398" t="str">
        <f aca="false">IF(B17="","",B17*B$21)</f>
        <v/>
      </c>
      <c r="C22" s="398" t="str">
        <f aca="false">IF(C17="","",C17*C$21)</f>
        <v/>
      </c>
      <c r="D22" s="398" t="str">
        <f aca="false">IF(D17="","",D17*D$21)</f>
        <v/>
      </c>
      <c r="E22" s="398"/>
      <c r="F22" s="398" t="str">
        <f aca="false">IF(F17="","",F17*F$21)</f>
        <v/>
      </c>
      <c r="G22" s="398" t="str">
        <f aca="false">IF(G17="","",G17*G$21)</f>
        <v/>
      </c>
      <c r="H22" s="398" t="str">
        <f aca="false">IF(H17="","",H17*H$21)</f>
        <v/>
      </c>
      <c r="I22" s="398"/>
      <c r="J22" s="398"/>
      <c r="K22" s="398"/>
      <c r="L22" s="398" t="n">
        <f aca="false">IF(L17="","",L17*L$21)</f>
        <v>3756</v>
      </c>
      <c r="M22" s="398" t="n">
        <v>600</v>
      </c>
      <c r="N22" s="398" t="n">
        <f aca="false">IF(N17="","",N17*N$21)</f>
        <v>13846.8</v>
      </c>
      <c r="O22" s="398" t="n">
        <f aca="false">IF(O17="","",O17*O$21)</f>
        <v>5258.5</v>
      </c>
      <c r="P22" s="398" t="n">
        <f aca="false">IF(P17="","",P17*P$21)</f>
        <v>8578.9</v>
      </c>
      <c r="Q22" s="398" t="n">
        <f aca="false">IF(Q17="","",Q17*Q$21)</f>
        <v>6674.8</v>
      </c>
      <c r="R22" s="398" t="n">
        <f aca="false">IF(R17="","",R17*R$21)</f>
        <v>2221.57</v>
      </c>
      <c r="S22" s="398" t="n">
        <f aca="false">IF(S17="","",S17*S$21)</f>
        <v>1186.25</v>
      </c>
      <c r="T22" s="398" t="n">
        <f aca="false">IF(T17="","",T17*T$21)</f>
        <v>12985.5</v>
      </c>
      <c r="U22" s="398" t="n">
        <f aca="false">IF(U17="","",U17*U$21)</f>
        <v>16500</v>
      </c>
      <c r="V22" s="398" t="n">
        <f aca="false">IF(V17="","",V17*V$21)</f>
        <v>11000</v>
      </c>
      <c r="W22" s="398" t="n">
        <f aca="false">IF(W17="","",W17*W$21)</f>
        <v>11000</v>
      </c>
      <c r="X22" s="398" t="n">
        <f aca="false">IF(X17="","",X17*X$21)</f>
        <v>4419.8</v>
      </c>
      <c r="Y22" s="398" t="n">
        <f aca="false">IF(Y17="","",Y17*Y$21)</f>
        <v>5736.5</v>
      </c>
      <c r="Z22" s="398" t="n">
        <f aca="false">IF(Z17="","",Z17*Z$21)</f>
        <v>4499.3</v>
      </c>
      <c r="AA22" s="398" t="str">
        <f aca="false">IF(AA17="","",AA17*AA$21)</f>
        <v/>
      </c>
      <c r="AB22" s="398" t="str">
        <f aca="false">IF(AB17="","",AB17*AB$21)</f>
        <v/>
      </c>
      <c r="AC22" s="398" t="str">
        <f aca="false">IF(AC17="","",AC17*AC$21)</f>
        <v/>
      </c>
      <c r="AD22" s="398" t="str">
        <f aca="false">IF(AD17="","",AD17*AD$21)</f>
        <v/>
      </c>
      <c r="AE22" s="398" t="str">
        <f aca="false">IF(AE17="","",AE17*AE$21)</f>
        <v/>
      </c>
      <c r="AF22" s="398" t="str">
        <f aca="false">IF(AF17="","",AF17*AF$21)</f>
        <v/>
      </c>
      <c r="AG22" s="398" t="str">
        <f aca="false">IF(AG17="","",AG17*AG$21)</f>
        <v/>
      </c>
      <c r="AH22" s="398" t="str">
        <f aca="false">IF(AH17="","",AH17*AH$21)</f>
        <v/>
      </c>
      <c r="AI22" s="398" t="str">
        <f aca="false">IF(AI17="","",AI17*AI$21)</f>
        <v/>
      </c>
      <c r="AJ22" s="398" t="str">
        <f aca="false">IF(AJ17="","",AJ17*AJ$21)</f>
        <v/>
      </c>
      <c r="AK22" s="398" t="str">
        <f aca="false">IF(AK17="","",AK17*AK$21)</f>
        <v/>
      </c>
      <c r="AL22" s="398" t="str">
        <f aca="false">IF(AL17="","",AL17*AL$21)</f>
        <v/>
      </c>
      <c r="AM22" s="398" t="str">
        <f aca="false">IF(AM17="","",AM17*AM$21)</f>
        <v/>
      </c>
      <c r="AN22" s="398" t="str">
        <f aca="false">IF(AN17="","",AN17*AN$21)</f>
        <v/>
      </c>
      <c r="AO22" s="398" t="str">
        <f aca="false">IF(AO17="","",AO17*AO$21)</f>
        <v/>
      </c>
      <c r="AP22" s="398" t="str">
        <f aca="false">IF(AP17="","",AP17*AP$21)</f>
        <v/>
      </c>
      <c r="AQ22" s="398" t="str">
        <f aca="false">IF(AQ17="","",AQ17*AQ$21)</f>
        <v/>
      </c>
      <c r="AR22" s="398" t="str">
        <f aca="false">IF(AR17="","",AR17*AR$21)</f>
        <v/>
      </c>
      <c r="AS22" s="398" t="str">
        <f aca="false">IF(AS17="","",AS17*AS$21)</f>
        <v/>
      </c>
      <c r="AT22" s="398" t="str">
        <f aca="false">IF(AT17="","",AT17*AT$21)</f>
        <v/>
      </c>
      <c r="AU22" s="398" t="str">
        <f aca="false">IF(AU17="","",AU17*AU$21)</f>
        <v/>
      </c>
      <c r="AV22" s="398" t="str">
        <f aca="false">IF(AV17="","",AV17*AV$21)</f>
        <v/>
      </c>
      <c r="AW22" s="398" t="str">
        <f aca="false">IF(AW17="","",AW17*AW$21)</f>
        <v/>
      </c>
      <c r="AX22" s="398" t="str">
        <f aca="false">IF(AX17="","",AX17*AX$21)</f>
        <v/>
      </c>
      <c r="AY22" s="398" t="str">
        <f aca="false">IF(AY17="","",AY17*AY$21)</f>
        <v/>
      </c>
      <c r="AZ22" s="398" t="str">
        <f aca="false">IF(AZ17="","",AZ17*AZ$21)</f>
        <v/>
      </c>
      <c r="BA22" s="398" t="str">
        <f aca="false">IF(BA17="","",BA17*BA$21)</f>
        <v/>
      </c>
      <c r="BB22" s="398" t="str">
        <f aca="false">IF(BB17="","",BB17*BB$21)</f>
        <v/>
      </c>
      <c r="BC22" s="398" t="str">
        <f aca="false">IF(BC17="","",BC17*BC$21)</f>
        <v/>
      </c>
      <c r="BD22" s="398" t="str">
        <f aca="false">IF(BD17="","",BD17*BD$21)</f>
        <v/>
      </c>
      <c r="BE22" s="398" t="str">
        <f aca="false">IF(BE17="","",BE17*BE$21)</f>
        <v/>
      </c>
      <c r="BF22" s="398" t="str">
        <f aca="false">IF(BF17="","",BF17*BF$21)</f>
        <v/>
      </c>
      <c r="BG22" s="398" t="str">
        <f aca="false">IF(BG17="","",BG17*BG$21)</f>
        <v/>
      </c>
      <c r="BH22" s="398" t="str">
        <f aca="false">IF(BH17="","",BH17*BH$21)</f>
        <v/>
      </c>
      <c r="BI22" s="398" t="str">
        <f aca="false">IF(BI17="","",BI17*BI$21)</f>
        <v/>
      </c>
      <c r="BJ22" s="398" t="str">
        <f aca="false">IF(BJ17="","",BJ17*BJ$21)</f>
        <v/>
      </c>
      <c r="BK22" s="398" t="str">
        <f aca="false">IF(BK17="","",BK17*BK$21)</f>
        <v/>
      </c>
      <c r="BL22" s="398" t="str">
        <f aca="false">IF(BL17="","",BL17*BL$21)</f>
        <v/>
      </c>
      <c r="BM22" s="398" t="str">
        <f aca="false">IF(BM17="","",BM17*BM$21)</f>
        <v/>
      </c>
      <c r="BN22" s="398" t="str">
        <f aca="false">IF(BN17="","",BN17*BN$21)</f>
        <v/>
      </c>
      <c r="BO22" s="398" t="str">
        <f aca="false">IF(BO17="","",BO17*BO$21)</f>
        <v/>
      </c>
      <c r="BP22" s="398" t="str">
        <f aca="false">IF(BP17="","",BP17*BP$21)</f>
        <v/>
      </c>
      <c r="BQ22" s="398" t="str">
        <f aca="false">IF(BQ17="","",BQ17*BQ$21)</f>
        <v/>
      </c>
      <c r="BR22" s="398" t="str">
        <f aca="false">IF(BR17="","",BR17*BR$21)</f>
        <v/>
      </c>
      <c r="BS22" s="398" t="str">
        <f aca="false">IF(BS17="","",BS17*BS$21)</f>
        <v/>
      </c>
      <c r="BT22" s="398" t="str">
        <f aca="false">IF(BT17="","",BT17*BT$21)</f>
        <v/>
      </c>
      <c r="BU22" s="398" t="str">
        <f aca="false">IF(BU17="","",BU17*BU$21)</f>
        <v/>
      </c>
      <c r="BV22" s="398" t="str">
        <f aca="false">IF(BV17="","",BV17*BV$21)</f>
        <v/>
      </c>
      <c r="BW22" s="398" t="str">
        <f aca="false">IF(BW17="","",BW17*BW$21)</f>
        <v/>
      </c>
      <c r="BX22" s="398" t="str">
        <f aca="false">IF(BX17="","",BX17*BX$21)</f>
        <v/>
      </c>
      <c r="BY22" s="398" t="str">
        <f aca="false">IF(BY17="","",BY17*BY$21)</f>
        <v/>
      </c>
      <c r="BZ22" s="398" t="str">
        <f aca="false">IF(BZ17="","",BZ17*BZ$21)</f>
        <v/>
      </c>
      <c r="CA22" s="398" t="str">
        <f aca="false">IF(CA17="","",CA17*CA$21)</f>
        <v/>
      </c>
      <c r="CB22" s="398" t="str">
        <f aca="false">IF(CB17="","",CB17*CB$21)</f>
        <v/>
      </c>
      <c r="CC22" s="398" t="str">
        <f aca="false">IF(CC17="","",CC17*CC$21)</f>
        <v/>
      </c>
      <c r="CD22" s="398" t="str">
        <f aca="false">IF(CD17="","",CD17*CD$21)</f>
        <v/>
      </c>
      <c r="CE22" s="390"/>
    </row>
    <row r="23" s="391" customFormat="true" ht="15" hidden="false" customHeight="false" outlineLevel="0" collapsed="false">
      <c r="A23" s="388" t="s">
        <v>535</v>
      </c>
      <c r="B23" s="398" t="n">
        <f aca="false">IF(B18="","",B18*B$21)</f>
        <v>340476.4</v>
      </c>
      <c r="C23" s="398" t="n">
        <f aca="false">IF(C18="","",C18*C$21)</f>
        <v>340476.4</v>
      </c>
      <c r="D23" s="398" t="n">
        <f aca="false">IF(D18="","",D18*D$21)</f>
        <v>14410</v>
      </c>
      <c r="E23" s="398" t="n">
        <f aca="false">IF(E18="","",E18*E$21)</f>
        <v>33935</v>
      </c>
      <c r="F23" s="398" t="n">
        <f aca="false">IF(F18="","",F18*F$21)</f>
        <v>11000</v>
      </c>
      <c r="G23" s="398" t="n">
        <f aca="false">IF(G18="","",G18*G$21)</f>
        <v>180400</v>
      </c>
      <c r="H23" s="398" t="n">
        <f aca="false">IF(H18="","",H18*H$21)</f>
        <v>6600</v>
      </c>
      <c r="I23" s="398" t="n">
        <f aca="false">IF(I18="","",I18*I$21)</f>
        <v>20462.2</v>
      </c>
      <c r="J23" s="398" t="n">
        <f aca="false">IF(J18="","",J18*J$21)</f>
        <v>22000</v>
      </c>
      <c r="K23" s="398" t="n">
        <f aca="false">IF(K18="","",K18*K$21)</f>
        <v>110</v>
      </c>
      <c r="L23" s="398" t="n">
        <f aca="false">IF(L18="","",L18*L$21)</f>
        <v>18218.4</v>
      </c>
      <c r="M23" s="398" t="n">
        <f aca="false">IF(M18="","",M18*M$21)</f>
        <v>65888.4</v>
      </c>
      <c r="N23" s="398" t="n">
        <f aca="false">IF(N18="","",N18*N$21)</f>
        <v>330048.4</v>
      </c>
      <c r="O23" s="398" t="n">
        <f aca="false">IF(O18="","",O18*O$21)</f>
        <v>52.585</v>
      </c>
      <c r="P23" s="398" t="n">
        <f aca="false">IF(P18="","",P18*P$21)</f>
        <v>322319.8</v>
      </c>
      <c r="Q23" s="398" t="n">
        <f aca="false">IF(Q18="","",Q18*Q$21)</f>
        <v>2.2</v>
      </c>
      <c r="R23" s="398" t="n">
        <f aca="false">IF(R18="","",R18*R$21)</f>
        <v>22.2157</v>
      </c>
      <c r="S23" s="398" t="n">
        <f aca="false">IF(S18="","",S18*S$21)</f>
        <v>11.8625</v>
      </c>
      <c r="T23" s="398" t="n">
        <f aca="false">IF(T18="","",T18*T$21)</f>
        <v>17503.2</v>
      </c>
      <c r="U23" s="398" t="n">
        <f aca="false">IF(U18="","",U18*U$21)</f>
        <v>11000</v>
      </c>
      <c r="V23" s="398" t="n">
        <f aca="false">IF(V18="","",V18*V$21)</f>
        <v>22000</v>
      </c>
      <c r="W23" s="398" t="n">
        <f aca="false">IF(W18="","",W18*W$21)</f>
        <v>22000</v>
      </c>
      <c r="X23" s="398" t="n">
        <f aca="false">IF(X18="","",X18*X$21)</f>
        <v>83976.2</v>
      </c>
      <c r="Y23" s="398" t="n">
        <f aca="false">IF(Y18="","",Y18*Y$21)</f>
        <v>108993.5</v>
      </c>
      <c r="Z23" s="398" t="n">
        <f aca="false">IF(Z18="","",Z18*Z$21)</f>
        <v>25495.6</v>
      </c>
      <c r="AA23" s="398" t="str">
        <f aca="false">IF(AA18="","",AA18*AA$21)</f>
        <v/>
      </c>
      <c r="AB23" s="398" t="str">
        <f aca="false">IF(AB18="","",AB18*AB$21)</f>
        <v/>
      </c>
      <c r="AC23" s="398" t="str">
        <f aca="false">IF(AC18="","",AC18*AC$21)</f>
        <v/>
      </c>
      <c r="AD23" s="398" t="str">
        <f aca="false">IF(AD18="","",AD18*AD$21)</f>
        <v/>
      </c>
      <c r="AE23" s="398" t="str">
        <f aca="false">IF(AE18="","",AE18*AE$21)</f>
        <v/>
      </c>
      <c r="AF23" s="398" t="str">
        <f aca="false">IF(AF18="","",AF18*AF$21)</f>
        <v/>
      </c>
      <c r="AG23" s="398" t="str">
        <f aca="false">IF(AG18="","",AG18*AG$21)</f>
        <v/>
      </c>
      <c r="AH23" s="398" t="str">
        <f aca="false">IF(AH18="","",AH18*AH$21)</f>
        <v/>
      </c>
      <c r="AI23" s="398" t="str">
        <f aca="false">IF(AI18="","",AI18*AI$21)</f>
        <v/>
      </c>
      <c r="AJ23" s="398" t="str">
        <f aca="false">IF(AJ18="","",AJ18*AJ$21)</f>
        <v/>
      </c>
      <c r="AK23" s="398" t="str">
        <f aca="false">IF(AK18="","",AK18*AK$21)</f>
        <v/>
      </c>
      <c r="AL23" s="398" t="str">
        <f aca="false">IF(AL18="","",AL18*AL$21)</f>
        <v/>
      </c>
      <c r="AM23" s="398" t="str">
        <f aca="false">IF(AM18="","",AM18*AM$21)</f>
        <v/>
      </c>
      <c r="AN23" s="398" t="str">
        <f aca="false">IF(AN18="","",AN18*AN$21)</f>
        <v/>
      </c>
      <c r="AO23" s="398" t="str">
        <f aca="false">IF(AO18="","",AO18*AO$21)</f>
        <v/>
      </c>
      <c r="AP23" s="398" t="str">
        <f aca="false">IF(AP18="","",AP18*AP$21)</f>
        <v/>
      </c>
      <c r="AQ23" s="398" t="str">
        <f aca="false">IF(AQ18="","",AQ18*AQ$21)</f>
        <v/>
      </c>
      <c r="AR23" s="398" t="str">
        <f aca="false">IF(AR18="","",AR18*AR$21)</f>
        <v/>
      </c>
      <c r="AS23" s="398" t="str">
        <f aca="false">IF(AS18="","",AS18*AS$21)</f>
        <v/>
      </c>
      <c r="AT23" s="398" t="str">
        <f aca="false">IF(AT18="","",AT18*AT$21)</f>
        <v/>
      </c>
      <c r="AU23" s="398" t="str">
        <f aca="false">IF(AU18="","",AU18*AU$21)</f>
        <v/>
      </c>
      <c r="AV23" s="398" t="str">
        <f aca="false">IF(AV18="","",AV18*AV$21)</f>
        <v/>
      </c>
      <c r="AW23" s="398" t="str">
        <f aca="false">IF(AW18="","",AW18*AW$21)</f>
        <v/>
      </c>
      <c r="AX23" s="398" t="str">
        <f aca="false">IF(AX18="","",AX18*AX$21)</f>
        <v/>
      </c>
      <c r="AY23" s="398" t="str">
        <f aca="false">IF(AY18="","",AY18*AY$21)</f>
        <v/>
      </c>
      <c r="AZ23" s="398" t="str">
        <f aca="false">IF(AZ18="","",AZ18*AZ$21)</f>
        <v/>
      </c>
      <c r="BA23" s="398" t="str">
        <f aca="false">IF(BA18="","",BA18*BA$21)</f>
        <v/>
      </c>
      <c r="BB23" s="398" t="str">
        <f aca="false">IF(BB18="","",BB18*BB$21)</f>
        <v/>
      </c>
      <c r="BC23" s="398" t="str">
        <f aca="false">IF(BC18="","",BC18*BC$21)</f>
        <v/>
      </c>
      <c r="BD23" s="398" t="str">
        <f aca="false">IF(BD18="","",BD18*BD$21)</f>
        <v/>
      </c>
      <c r="BE23" s="398" t="str">
        <f aca="false">IF(BE18="","",BE18*BE$21)</f>
        <v/>
      </c>
      <c r="BF23" s="398" t="str">
        <f aca="false">IF(BF18="","",BF18*BF$21)</f>
        <v/>
      </c>
      <c r="BG23" s="398" t="str">
        <f aca="false">IF(BG18="","",BG18*BG$21)</f>
        <v/>
      </c>
      <c r="BH23" s="398" t="str">
        <f aca="false">IF(BH18="","",BH18*BH$21)</f>
        <v/>
      </c>
      <c r="BI23" s="398" t="str">
        <f aca="false">IF(BI18="","",BI18*BI$21)</f>
        <v/>
      </c>
      <c r="BJ23" s="398" t="str">
        <f aca="false">IF(BJ18="","",BJ18*BJ$21)</f>
        <v/>
      </c>
      <c r="BK23" s="398" t="str">
        <f aca="false">IF(BK18="","",BK18*BK$21)</f>
        <v/>
      </c>
      <c r="BL23" s="398" t="str">
        <f aca="false">IF(BL18="","",BL18*BL$21)</f>
        <v/>
      </c>
      <c r="BM23" s="398" t="str">
        <f aca="false">IF(BM18="","",BM18*BM$21)</f>
        <v/>
      </c>
      <c r="BN23" s="398" t="str">
        <f aca="false">IF(BN18="","",BN18*BN$21)</f>
        <v/>
      </c>
      <c r="BO23" s="398" t="str">
        <f aca="false">IF(BO18="","",BO18*BO$21)</f>
        <v/>
      </c>
      <c r="BP23" s="398" t="str">
        <f aca="false">IF(BP18="","",BP18*BP$21)</f>
        <v/>
      </c>
      <c r="BQ23" s="398" t="str">
        <f aca="false">IF(BQ18="","",BQ18*BQ$21)</f>
        <v/>
      </c>
      <c r="BR23" s="398" t="str">
        <f aca="false">IF(BR18="","",BR18*BR$21)</f>
        <v/>
      </c>
      <c r="BS23" s="398" t="str">
        <f aca="false">IF(BS18="","",BS18*BS$21)</f>
        <v/>
      </c>
      <c r="BT23" s="398" t="str">
        <f aca="false">IF(BT18="","",BT18*BT$21)</f>
        <v/>
      </c>
      <c r="BU23" s="398" t="str">
        <f aca="false">IF(BU18="","",BU18*BU$21)</f>
        <v/>
      </c>
      <c r="BV23" s="398" t="str">
        <f aca="false">IF(BV18="","",BV18*BV$21)</f>
        <v/>
      </c>
      <c r="BW23" s="398" t="str">
        <f aca="false">IF(BW18="","",BW18*BW$21)</f>
        <v/>
      </c>
      <c r="BX23" s="398" t="str">
        <f aca="false">IF(BX18="","",BX18*BX$21)</f>
        <v/>
      </c>
      <c r="BY23" s="398" t="str">
        <f aca="false">IF(BY18="","",BY18*BY$21)</f>
        <v/>
      </c>
      <c r="BZ23" s="398" t="str">
        <f aca="false">IF(BZ18="","",BZ18*BZ$21)</f>
        <v/>
      </c>
      <c r="CA23" s="398" t="str">
        <f aca="false">IF(CA18="","",CA18*CA$21)</f>
        <v/>
      </c>
      <c r="CB23" s="398" t="str">
        <f aca="false">IF(CB18="","",CB18*CB$21)</f>
        <v/>
      </c>
      <c r="CC23" s="398" t="str">
        <f aca="false">IF(CC18="","",CC18*CC$21)</f>
        <v/>
      </c>
      <c r="CD23" s="398" t="str">
        <f aca="false">IF(CD18="","",CD18*CD$21)</f>
        <v/>
      </c>
      <c r="CE23" s="390"/>
    </row>
    <row r="24" s="391" customFormat="true" ht="15" hidden="false" customHeight="false" outlineLevel="0" collapsed="false">
      <c r="A24" s="388" t="s">
        <v>647</v>
      </c>
      <c r="B24" s="398" t="str">
        <f aca="false">IF(B19="","",B19*B21)</f>
        <v/>
      </c>
      <c r="C24" s="398" t="str">
        <f aca="false">IF(C19="","",C19*C21)</f>
        <v/>
      </c>
      <c r="D24" s="398" t="str">
        <f aca="false">IF(D19="","",D19*D21)</f>
        <v/>
      </c>
      <c r="E24" s="398" t="str">
        <f aca="false">IF(E19="","",E19*E21)</f>
        <v/>
      </c>
      <c r="F24" s="398" t="str">
        <f aca="false">IF(F19="","",F19*F21)</f>
        <v/>
      </c>
      <c r="G24" s="398" t="str">
        <f aca="false">IF(G19="","",G19*G21)</f>
        <v/>
      </c>
      <c r="H24" s="398" t="str">
        <f aca="false">IF(H19="","",H19*H21)</f>
        <v/>
      </c>
      <c r="I24" s="398" t="str">
        <f aca="false">IF(I19="","",I19*I21)</f>
        <v/>
      </c>
      <c r="J24" s="398" t="str">
        <f aca="false">IF(J19="","",J19*J21)</f>
        <v/>
      </c>
      <c r="K24" s="398" t="str">
        <f aca="false">IF(K19="","",K19*K21)</f>
        <v/>
      </c>
      <c r="L24" s="398" t="n">
        <f aca="false">IF(L19="","",L19*L21)</f>
        <v>8820</v>
      </c>
      <c r="M24" s="398" t="n">
        <f aca="false">IF(M19="","",M19*M21)</f>
        <v>60992.4</v>
      </c>
      <c r="N24" s="398"/>
      <c r="O24" s="398"/>
      <c r="P24" s="398"/>
      <c r="Q24" s="398" t="str">
        <f aca="false">IF(Q19="","",Q19*Q21)</f>
        <v/>
      </c>
      <c r="R24" s="398" t="str">
        <f aca="false">IF(R19="","",R19*R21)</f>
        <v/>
      </c>
      <c r="S24" s="398" t="str">
        <f aca="false">IF(S19="","",S19*S21)</f>
        <v/>
      </c>
      <c r="T24" s="398" t="str">
        <f aca="false">IF(T19="","",T19*T21)</f>
        <v/>
      </c>
      <c r="U24" s="398" t="str">
        <f aca="false">IF(U19="","",U19*U21)</f>
        <v/>
      </c>
      <c r="V24" s="398" t="str">
        <f aca="false">IF(V19="","",V19*V21)</f>
        <v/>
      </c>
      <c r="W24" s="398" t="str">
        <f aca="false">IF(W19="","",W19*W21)</f>
        <v/>
      </c>
      <c r="X24" s="398" t="str">
        <f aca="false">IF(X19="","",X19*X21)</f>
        <v/>
      </c>
      <c r="Y24" s="398" t="str">
        <f aca="false">IF(Y19="","",Y19*Y21)</f>
        <v/>
      </c>
      <c r="Z24" s="398" t="str">
        <f aca="false">IF(Z19="","",Z19*Z21)</f>
        <v/>
      </c>
      <c r="AA24" s="398" t="str">
        <f aca="false">IF(AA19="","",AA19*AA21)</f>
        <v/>
      </c>
      <c r="AB24" s="398" t="str">
        <f aca="false">IF(AB19="","",AB19*AB21)</f>
        <v/>
      </c>
      <c r="AC24" s="398" t="str">
        <f aca="false">IF(AC19="","",AC19*AC21)</f>
        <v/>
      </c>
      <c r="AD24" s="398" t="str">
        <f aca="false">IF(AD19="","",AD19*AD21)</f>
        <v/>
      </c>
      <c r="AE24" s="398" t="str">
        <f aca="false">IF(AE19="","",AE19*AE21)</f>
        <v/>
      </c>
      <c r="AF24" s="398" t="str">
        <f aca="false">IF(AF19="","",AF19*AF21)</f>
        <v/>
      </c>
      <c r="AG24" s="398" t="str">
        <f aca="false">IF(AG19="","",AG19*AG21)</f>
        <v/>
      </c>
      <c r="AH24" s="398" t="str">
        <f aca="false">IF(AH19="","",AH19*AH21)</f>
        <v/>
      </c>
      <c r="AI24" s="398" t="str">
        <f aca="false">IF(AI19="","",AI19*AI21)</f>
        <v/>
      </c>
      <c r="AJ24" s="398" t="str">
        <f aca="false">IF(AJ19="","",AJ19*AJ21)</f>
        <v/>
      </c>
      <c r="AK24" s="398" t="str">
        <f aca="false">IF(AK19="","",AK19*AK21)</f>
        <v/>
      </c>
      <c r="AL24" s="398" t="str">
        <f aca="false">IF(AL19="","",AL19*AL21)</f>
        <v/>
      </c>
      <c r="AM24" s="398" t="str">
        <f aca="false">IF(AM19="","",AM19*AM21)</f>
        <v/>
      </c>
      <c r="AN24" s="398" t="str">
        <f aca="false">IF(AN19="","",AN19*AN21)</f>
        <v/>
      </c>
      <c r="AO24" s="398" t="str">
        <f aca="false">IF(AO19="","",AO19*AO21)</f>
        <v/>
      </c>
      <c r="AP24" s="398" t="str">
        <f aca="false">IF(AP19="","",AP19*AP21)</f>
        <v/>
      </c>
      <c r="AQ24" s="398" t="str">
        <f aca="false">IF(AQ19="","",AQ19*AQ21)</f>
        <v/>
      </c>
      <c r="AR24" s="398" t="str">
        <f aca="false">IF(AR19="","",AR19*AR21)</f>
        <v/>
      </c>
      <c r="AS24" s="398" t="str">
        <f aca="false">IF(AS19="","",AS19*AS21)</f>
        <v/>
      </c>
      <c r="AT24" s="398" t="str">
        <f aca="false">IF(AT19="","",AT19*AT21)</f>
        <v/>
      </c>
      <c r="AU24" s="398" t="str">
        <f aca="false">IF(AU19="","",AU19*AU21)</f>
        <v/>
      </c>
      <c r="AV24" s="398" t="str">
        <f aca="false">IF(AV19="","",AV19*AV21)</f>
        <v/>
      </c>
      <c r="AW24" s="398" t="str">
        <f aca="false">IF(AW19="","",AW19*AW21)</f>
        <v/>
      </c>
      <c r="AX24" s="398" t="str">
        <f aca="false">IF(AX19="","",AX19*AX21)</f>
        <v/>
      </c>
      <c r="AY24" s="398" t="str">
        <f aca="false">IF(AY19="","",AY19*AY21)</f>
        <v/>
      </c>
      <c r="AZ24" s="398" t="str">
        <f aca="false">IF(AZ19="","",AZ19*AZ21)</f>
        <v/>
      </c>
      <c r="BA24" s="398" t="str">
        <f aca="false">IF(BA19="","",BA19*BA21)</f>
        <v/>
      </c>
      <c r="BB24" s="398" t="str">
        <f aca="false">IF(BB19="","",BB19*BB21)</f>
        <v/>
      </c>
      <c r="BC24" s="398" t="str">
        <f aca="false">IF(BC19="","",BC19*BC21)</f>
        <v/>
      </c>
      <c r="BD24" s="398" t="str">
        <f aca="false">IF(BD19="","",BD19*BD21)</f>
        <v/>
      </c>
      <c r="BE24" s="398" t="str">
        <f aca="false">IF(BE19="","",BE19*BE21)</f>
        <v/>
      </c>
      <c r="BF24" s="398" t="str">
        <f aca="false">IF(BF19="","",BF19*BF21)</f>
        <v/>
      </c>
      <c r="BG24" s="398" t="str">
        <f aca="false">IF(BG19="","",BG19*BG21)</f>
        <v/>
      </c>
      <c r="BH24" s="398" t="str">
        <f aca="false">IF(BH19="","",BH19*BH21)</f>
        <v/>
      </c>
      <c r="BI24" s="398" t="str">
        <f aca="false">IF(BI19="","",BI19*BI21)</f>
        <v/>
      </c>
      <c r="BJ24" s="398" t="str">
        <f aca="false">IF(BJ19="","",BJ19*BJ21)</f>
        <v/>
      </c>
      <c r="BK24" s="398" t="str">
        <f aca="false">IF(BK19="","",BK19*BK21)</f>
        <v/>
      </c>
      <c r="BL24" s="398" t="str">
        <f aca="false">IF(BL19="","",BL19*BL21)</f>
        <v/>
      </c>
      <c r="BM24" s="398" t="str">
        <f aca="false">IF(BM19="","",BM19*BM21)</f>
        <v/>
      </c>
      <c r="BN24" s="398" t="str">
        <f aca="false">IF(BN19="","",BN19*BN21)</f>
        <v/>
      </c>
      <c r="BO24" s="398" t="str">
        <f aca="false">IF(BO19="","",BO19*BO21)</f>
        <v/>
      </c>
      <c r="BP24" s="398" t="str">
        <f aca="false">IF(BP19="","",BP19*BP21)</f>
        <v/>
      </c>
      <c r="BQ24" s="398" t="str">
        <f aca="false">IF(BQ19="","",BQ19*BQ21)</f>
        <v/>
      </c>
      <c r="BR24" s="398" t="str">
        <f aca="false">IF(BR19="","",BR19*BR21)</f>
        <v/>
      </c>
      <c r="BS24" s="398" t="str">
        <f aca="false">IF(BS19="","",BS19*BS21)</f>
        <v/>
      </c>
      <c r="BT24" s="398" t="str">
        <f aca="false">IF(BT19="","",BT19*BT21)</f>
        <v/>
      </c>
      <c r="BU24" s="398" t="str">
        <f aca="false">IF(BU19="","",BU19*BU21)</f>
        <v/>
      </c>
      <c r="BV24" s="398" t="str">
        <f aca="false">IF(BV19="","",BV19*BV21)</f>
        <v/>
      </c>
      <c r="BW24" s="398" t="str">
        <f aca="false">IF(BW19="","",BW19*BW21)</f>
        <v/>
      </c>
      <c r="BX24" s="398" t="str">
        <f aca="false">IF(BX19="","",BX19*BX21)</f>
        <v/>
      </c>
      <c r="BY24" s="398" t="str">
        <f aca="false">IF(BY19="","",BY19*BY21)</f>
        <v/>
      </c>
      <c r="BZ24" s="398" t="str">
        <f aca="false">IF(BZ19="","",BZ19*BZ21)</f>
        <v/>
      </c>
      <c r="CA24" s="398" t="str">
        <f aca="false">IF(CA19="","",CA19*CA21)</f>
        <v/>
      </c>
      <c r="CB24" s="398" t="str">
        <f aca="false">IF(CB19="","",CB19*CB21)</f>
        <v/>
      </c>
      <c r="CC24" s="398" t="str">
        <f aca="false">IF(CC19="","",CC19*CC21)</f>
        <v/>
      </c>
      <c r="CD24" s="398" t="str">
        <f aca="false">IF(CD19="","",CD19*CD21)</f>
        <v/>
      </c>
      <c r="CE24" s="390"/>
    </row>
    <row r="25" s="411" customFormat="true" ht="15" hidden="false" customHeight="false" outlineLevel="0" collapsed="false">
      <c r="A25" s="407" t="s">
        <v>752</v>
      </c>
      <c r="B25" s="408" t="str">
        <f aca="false">IF(B20="","",B20*B$21)</f>
        <v/>
      </c>
      <c r="C25" s="408" t="str">
        <f aca="false">IF(C20="","",C20*C$21)</f>
        <v/>
      </c>
      <c r="D25" s="408" t="str">
        <f aca="false">IF(D20="","",D20*D$21)</f>
        <v/>
      </c>
      <c r="E25" s="408" t="str">
        <f aca="false">IF(E20="","",E20*E$21)</f>
        <v/>
      </c>
      <c r="F25" s="408" t="str">
        <f aca="false">IF(F20="","",F20*F$21)</f>
        <v/>
      </c>
      <c r="G25" s="408" t="str">
        <f aca="false">IF(G20="","",G20*G$21)</f>
        <v/>
      </c>
      <c r="H25" s="408" t="str">
        <f aca="false">IF(H20="","",H20*H$21)</f>
        <v/>
      </c>
      <c r="I25" s="408" t="str">
        <f aca="false">IF(I20="","",I20*I$21)</f>
        <v/>
      </c>
      <c r="J25" s="408" t="str">
        <f aca="false">IF(J20="","",J20*J$21)</f>
        <v/>
      </c>
      <c r="K25" s="408" t="str">
        <f aca="false">IF(K20="","",K20*K$21)</f>
        <v/>
      </c>
      <c r="L25" s="409" t="n">
        <f aca="false">IF(L20="","",L20*L$21)</f>
        <v>5714.4</v>
      </c>
      <c r="M25" s="409" t="n">
        <f aca="false">IF(M20="","",M20*M$21)</f>
        <v>11893.2</v>
      </c>
      <c r="N25" s="408" t="str">
        <f aca="false">IF(N20="","",N20*N$21)</f>
        <v/>
      </c>
      <c r="O25" s="408" t="str">
        <f aca="false">IF(O20="","",O20*O$21)</f>
        <v/>
      </c>
      <c r="P25" s="408"/>
      <c r="Q25" s="408" t="str">
        <f aca="false">IF(Q20="","",Q20*Q$21)</f>
        <v/>
      </c>
      <c r="R25" s="408" t="str">
        <f aca="false">IF(R20="","",R20*R$21)</f>
        <v/>
      </c>
      <c r="S25" s="408" t="str">
        <f aca="false">IF(S20="","",S20*S$21)</f>
        <v/>
      </c>
      <c r="T25" s="408" t="str">
        <f aca="false">IF(T20="","",T20*T$21)</f>
        <v/>
      </c>
      <c r="U25" s="408" t="str">
        <f aca="false">IF(U20="","",U20*U$21)</f>
        <v/>
      </c>
      <c r="V25" s="408" t="str">
        <f aca="false">IF(V20="","",V20*V$21)</f>
        <v/>
      </c>
      <c r="W25" s="408" t="str">
        <f aca="false">IF(W20="","",W20*W$21)</f>
        <v/>
      </c>
      <c r="X25" s="408" t="str">
        <f aca="false">IF(X20="","",X20*X$21)</f>
        <v/>
      </c>
      <c r="Y25" s="408" t="str">
        <f aca="false">IF(Y20="","",Y20*Y$21)</f>
        <v/>
      </c>
      <c r="Z25" s="408" t="str">
        <f aca="false">IF(Z20="","",Z20*Z$21)</f>
        <v/>
      </c>
      <c r="AA25" s="408" t="str">
        <f aca="false">IF(AA20="","",AA20*AA$21)</f>
        <v/>
      </c>
      <c r="AB25" s="408" t="str">
        <f aca="false">IF(AB20="","",AB20*AB$21)</f>
        <v/>
      </c>
      <c r="AC25" s="408" t="str">
        <f aca="false">IF(AC20="","",AC20*AC$21)</f>
        <v/>
      </c>
      <c r="AD25" s="408" t="str">
        <f aca="false">IF(AD20="","",AD20*AD$21)</f>
        <v/>
      </c>
      <c r="AE25" s="408" t="str">
        <f aca="false">IF(AE20="","",AE20*AE$21)</f>
        <v/>
      </c>
      <c r="AF25" s="408" t="str">
        <f aca="false">IF(AF20="","",AF20*AF$21)</f>
        <v/>
      </c>
      <c r="AG25" s="408" t="str">
        <f aca="false">IF(AG20="","",AG20*AG$21)</f>
        <v/>
      </c>
      <c r="AH25" s="408" t="str">
        <f aca="false">IF(AH20="","",AH20*AH$21)</f>
        <v/>
      </c>
      <c r="AI25" s="408" t="str">
        <f aca="false">IF(AI20="","",AI20*AI$21)</f>
        <v/>
      </c>
      <c r="AJ25" s="408" t="str">
        <f aca="false">IF(AJ20="","",AJ20*AJ$21)</f>
        <v/>
      </c>
      <c r="AK25" s="408" t="str">
        <f aca="false">IF(AK20="","",AK20*AK$21)</f>
        <v/>
      </c>
      <c r="AL25" s="408" t="str">
        <f aca="false">IF(AL20="","",AL20*AL$21)</f>
        <v/>
      </c>
      <c r="AM25" s="408" t="str">
        <f aca="false">IF(AM20="","",AM20*AM$21)</f>
        <v/>
      </c>
      <c r="AN25" s="408" t="str">
        <f aca="false">IF(AN20="","",AN20*AN$21)</f>
        <v/>
      </c>
      <c r="AO25" s="408" t="str">
        <f aca="false">IF(AO20="","",AO20*AO$21)</f>
        <v/>
      </c>
      <c r="AP25" s="408" t="str">
        <f aca="false">IF(AP20="","",AP20*AP$21)</f>
        <v/>
      </c>
      <c r="AQ25" s="408" t="str">
        <f aca="false">IF(AQ20="","",AQ20*AQ$21)</f>
        <v/>
      </c>
      <c r="AR25" s="408" t="str">
        <f aca="false">IF(AR20="","",AR20*AR$21)</f>
        <v/>
      </c>
      <c r="AS25" s="408" t="str">
        <f aca="false">IF(AS20="","",AS20*AS$21)</f>
        <v/>
      </c>
      <c r="AT25" s="408" t="str">
        <f aca="false">IF(AT20="","",AT20*AT$21)</f>
        <v/>
      </c>
      <c r="AU25" s="408" t="str">
        <f aca="false">IF(AU20="","",AU20*AU$21)</f>
        <v/>
      </c>
      <c r="AV25" s="408" t="str">
        <f aca="false">IF(AV20="","",AV20*AV$21)</f>
        <v/>
      </c>
      <c r="AW25" s="408" t="str">
        <f aca="false">IF(AW20="","",AW20*AW$21)</f>
        <v/>
      </c>
      <c r="AX25" s="408" t="str">
        <f aca="false">IF(AX20="","",AX20*AX$21)</f>
        <v/>
      </c>
      <c r="AY25" s="408" t="str">
        <f aca="false">IF(AY20="","",AY20*AY$21)</f>
        <v/>
      </c>
      <c r="AZ25" s="408" t="str">
        <f aca="false">IF(AZ20="","",AZ20*AZ$21)</f>
        <v/>
      </c>
      <c r="BA25" s="408" t="str">
        <f aca="false">IF(BA20="","",BA20*BA$21)</f>
        <v/>
      </c>
      <c r="BB25" s="408" t="str">
        <f aca="false">IF(BB20="","",BB20*BB$21)</f>
        <v/>
      </c>
      <c r="BC25" s="408" t="str">
        <f aca="false">IF(BC20="","",BC20*BC$21)</f>
        <v/>
      </c>
      <c r="BD25" s="408" t="str">
        <f aca="false">IF(BD20="","",BD20*BD$21)</f>
        <v/>
      </c>
      <c r="BE25" s="408" t="str">
        <f aca="false">IF(BE20="","",BE20*BE$21)</f>
        <v/>
      </c>
      <c r="BF25" s="408" t="str">
        <f aca="false">IF(BF20="","",BF20*BF$21)</f>
        <v/>
      </c>
      <c r="BG25" s="408" t="str">
        <f aca="false">IF(BG20="","",BG20*BG$21)</f>
        <v/>
      </c>
      <c r="BH25" s="408" t="str">
        <f aca="false">IF(BH20="","",BH20*BH$21)</f>
        <v/>
      </c>
      <c r="BI25" s="408" t="str">
        <f aca="false">IF(BI20="","",BI20*BI$21)</f>
        <v/>
      </c>
      <c r="BJ25" s="408" t="str">
        <f aca="false">IF(BJ20="","",BJ20*BJ$21)</f>
        <v/>
      </c>
      <c r="BK25" s="408" t="str">
        <f aca="false">IF(BK20="","",BK20*BK$21)</f>
        <v/>
      </c>
      <c r="BL25" s="408" t="str">
        <f aca="false">IF(BL20="","",BL20*BL$21)</f>
        <v/>
      </c>
      <c r="BM25" s="408" t="str">
        <f aca="false">IF(BM20="","",BM20*BM$21)</f>
        <v/>
      </c>
      <c r="BN25" s="408" t="str">
        <f aca="false">IF(BN20="","",BN20*BN$21)</f>
        <v/>
      </c>
      <c r="BO25" s="408" t="str">
        <f aca="false">IF(BO20="","",BO20*BO$21)</f>
        <v/>
      </c>
      <c r="BP25" s="408" t="str">
        <f aca="false">IF(BP20="","",BP20*BP$21)</f>
        <v/>
      </c>
      <c r="BQ25" s="408" t="str">
        <f aca="false">IF(BQ20="","",BQ20*BQ$21)</f>
        <v/>
      </c>
      <c r="BR25" s="408" t="str">
        <f aca="false">IF(BR20="","",BR20*BR$21)</f>
        <v/>
      </c>
      <c r="BS25" s="408" t="str">
        <f aca="false">IF(BS20="","",BS20*BS$21)</f>
        <v/>
      </c>
      <c r="BT25" s="408" t="str">
        <f aca="false">IF(BT20="","",BT20*BT$21)</f>
        <v/>
      </c>
      <c r="BU25" s="408" t="str">
        <f aca="false">IF(BU20="","",BU20*BU$21)</f>
        <v/>
      </c>
      <c r="BV25" s="408" t="str">
        <f aca="false">IF(BV20="","",BV20*BV$21)</f>
        <v/>
      </c>
      <c r="BW25" s="408" t="str">
        <f aca="false">IF(BW20="","",BW20*BW$21)</f>
        <v/>
      </c>
      <c r="BX25" s="408" t="str">
        <f aca="false">IF(BX20="","",BX20*BX$21)</f>
        <v/>
      </c>
      <c r="BY25" s="408" t="str">
        <f aca="false">IF(BY20="","",BY20*BY$21)</f>
        <v/>
      </c>
      <c r="BZ25" s="408" t="str">
        <f aca="false">IF(BZ20="","",BZ20*BZ$21)</f>
        <v/>
      </c>
      <c r="CA25" s="408" t="str">
        <f aca="false">IF(CA20="","",CA20*CA$21)</f>
        <v/>
      </c>
      <c r="CB25" s="408" t="str">
        <f aca="false">IF(CB20="","",CB20*CB$21)</f>
        <v/>
      </c>
      <c r="CC25" s="408" t="str">
        <f aca="false">IF(CC20="","",CC20*CC$21)</f>
        <v/>
      </c>
      <c r="CD25" s="408" t="str">
        <f aca="false">IF(CD20="","",CD20*CD$21)</f>
        <v/>
      </c>
      <c r="CE25" s="410"/>
    </row>
    <row r="26" s="384" customFormat="true" ht="15" hidden="false" customHeight="false" outlineLevel="0" collapsed="false">
      <c r="A26" s="382" t="s">
        <v>536</v>
      </c>
      <c r="B26" s="212"/>
      <c r="C26" s="212"/>
      <c r="D26" s="212"/>
      <c r="E26" s="386"/>
      <c r="F26" s="212"/>
      <c r="G26" s="212"/>
      <c r="H26" s="212"/>
      <c r="I26" s="212"/>
      <c r="J26" s="212"/>
      <c r="K26" s="212"/>
      <c r="L26" s="212" t="n">
        <v>12.1</v>
      </c>
      <c r="M26" s="212" t="n">
        <v>12.1</v>
      </c>
      <c r="N26" s="212" t="n">
        <v>17.4</v>
      </c>
      <c r="O26" s="212" t="n">
        <v>1.9</v>
      </c>
      <c r="P26" s="212" t="n">
        <v>6.2</v>
      </c>
      <c r="Q26" s="212" t="n">
        <v>9.2</v>
      </c>
      <c r="R26" s="212" t="n">
        <v>3.6</v>
      </c>
      <c r="S26" s="212" t="n">
        <v>3.6</v>
      </c>
      <c r="T26" s="212" t="n">
        <v>15.5</v>
      </c>
      <c r="U26" s="212" t="n">
        <v>15.5</v>
      </c>
      <c r="V26" s="212" t="n">
        <v>15.5</v>
      </c>
      <c r="W26" s="212" t="n">
        <v>15.5</v>
      </c>
      <c r="X26" s="212" t="n">
        <v>7.74</v>
      </c>
      <c r="Y26" s="212" t="n">
        <v>3.91</v>
      </c>
      <c r="Z26" s="212" t="n">
        <v>2.63</v>
      </c>
      <c r="CE26" s="385"/>
    </row>
    <row r="27" s="384" customFormat="true" ht="15" hidden="false" customHeight="false" outlineLevel="0" collapsed="false">
      <c r="A27" s="382" t="s">
        <v>537</v>
      </c>
      <c r="B27" s="212" t="n">
        <v>796.1</v>
      </c>
      <c r="C27" s="212" t="n">
        <v>796.1</v>
      </c>
      <c r="D27" s="212" t="n">
        <v>953.7</v>
      </c>
      <c r="E27" s="212" t="n">
        <v>796.2</v>
      </c>
      <c r="F27" s="212" t="n">
        <v>900</v>
      </c>
      <c r="G27" s="212" t="n">
        <v>1009.8</v>
      </c>
      <c r="H27" s="212" t="n">
        <v>1020</v>
      </c>
      <c r="I27" s="212" t="n">
        <v>980</v>
      </c>
      <c r="J27" s="212" t="n">
        <v>1010</v>
      </c>
      <c r="K27" s="212" t="n">
        <v>850</v>
      </c>
      <c r="L27" s="212" t="n">
        <v>683.8</v>
      </c>
      <c r="M27" s="212" t="n">
        <v>662.9</v>
      </c>
      <c r="N27" s="212" t="n">
        <v>658.3</v>
      </c>
      <c r="O27" s="212" t="n">
        <v>510</v>
      </c>
      <c r="P27" s="212" t="n">
        <v>632.8</v>
      </c>
      <c r="Q27" s="212" t="n">
        <v>984.4</v>
      </c>
      <c r="R27" s="212" t="n">
        <v>600</v>
      </c>
      <c r="S27" s="212" t="n">
        <v>998</v>
      </c>
      <c r="T27" s="212" t="n">
        <v>761.86</v>
      </c>
      <c r="U27" s="212" t="n">
        <v>800</v>
      </c>
      <c r="V27" s="212" t="n">
        <v>800</v>
      </c>
      <c r="W27" s="212" t="n">
        <v>850</v>
      </c>
      <c r="X27" s="212" t="n">
        <v>865.34</v>
      </c>
      <c r="Y27" s="212" t="n">
        <v>899.38</v>
      </c>
      <c r="Z27" s="212" t="n">
        <v>902</v>
      </c>
      <c r="CE27" s="385"/>
    </row>
    <row r="28" s="391" customFormat="true" ht="15" hidden="false" customHeight="false" outlineLevel="0" collapsed="false">
      <c r="A28" s="407" t="s">
        <v>538</v>
      </c>
      <c r="B28" s="412" t="str">
        <f aca="false">IF(B17="","",B22/B26/3600)</f>
        <v/>
      </c>
      <c r="C28" s="412" t="str">
        <f aca="false">IF(C17="","",C22/C26/3600)</f>
        <v/>
      </c>
      <c r="D28" s="412" t="str">
        <f aca="false">IF(D17="","",D22/D26/3600)</f>
        <v/>
      </c>
      <c r="E28" s="412" t="str">
        <f aca="false">IF(E17="","",E22/E26/3600)</f>
        <v/>
      </c>
      <c r="F28" s="412" t="str">
        <f aca="false">IF(F17="","",F22/F26/3600)</f>
        <v/>
      </c>
      <c r="G28" s="412" t="str">
        <f aca="false">IF(G17="","",G22/G26/3600)</f>
        <v/>
      </c>
      <c r="H28" s="412" t="str">
        <f aca="false">IF(H17="","",H22/H26/3600)</f>
        <v/>
      </c>
      <c r="I28" s="412" t="str">
        <f aca="false">IF(I17="","",I22/I26/3600)</f>
        <v/>
      </c>
      <c r="J28" s="412" t="str">
        <f aca="false">IF(J17="","",J22/J26/3600)</f>
        <v/>
      </c>
      <c r="K28" s="412" t="str">
        <f aca="false">IF(K17="","",K22/K26/3600)</f>
        <v/>
      </c>
      <c r="L28" s="413" t="n">
        <f aca="false">IF(L17="","",L22/L26/3600)</f>
        <v>0.0862258953168044</v>
      </c>
      <c r="M28" s="413" t="n">
        <f aca="false">IF(M17="","",M22/M26/3600)</f>
        <v>0.0137741046831956</v>
      </c>
      <c r="N28" s="413" t="n">
        <f aca="false">IF(N17="","",N22/N26/3600)</f>
        <v>0.221053639846743</v>
      </c>
      <c r="O28" s="413" t="n">
        <f aca="false">IF(O17="","",O22/O26/3600)</f>
        <v>0.768786549707602</v>
      </c>
      <c r="P28" s="413" t="n">
        <f aca="false">IF(P17="","",P22/P26/3600)</f>
        <v>0.384359318996416</v>
      </c>
      <c r="Q28" s="413" t="n">
        <f aca="false">IF(Q17="","",Q22/Q26/3600)</f>
        <v>0.201533816425121</v>
      </c>
      <c r="R28" s="413" t="n">
        <f aca="false">IF(R17="","",R22/R26/3600)</f>
        <v>0.171417438271605</v>
      </c>
      <c r="S28" s="413" t="n">
        <f aca="false">IF(S17="","",S22/S26/3600)</f>
        <v>0.0915316358024691</v>
      </c>
      <c r="T28" s="413" t="n">
        <f aca="false">IF(T17="","",T22/T26/3600)</f>
        <v>0.232715053763441</v>
      </c>
      <c r="U28" s="413" t="n">
        <f aca="false">IF(U17="","",U22/U26/3600)</f>
        <v>0.295698924731183</v>
      </c>
      <c r="V28" s="413" t="n">
        <f aca="false">IF(V17="","",V22/V26/3600)</f>
        <v>0.197132616487455</v>
      </c>
      <c r="W28" s="413" t="n">
        <f aca="false">IF(W17="","",W22/W26/3600)</f>
        <v>0.197132616487455</v>
      </c>
      <c r="X28" s="413" t="n">
        <f aca="false">IF(X17="","",X22/X26/3600)</f>
        <v>0.158620442147574</v>
      </c>
      <c r="Y28" s="413" t="n">
        <f aca="false">IF(Y17="","",Y22/Y26/3600)</f>
        <v>0.407537652742256</v>
      </c>
      <c r="Z28" s="413" t="n">
        <f aca="false">IF(Z17="","",Z22/Z26/3600)</f>
        <v>0.475211237853823</v>
      </c>
      <c r="AA28" s="412" t="str">
        <f aca="false">IF(AA17="","",AA22/AA26/3600)</f>
        <v/>
      </c>
      <c r="AB28" s="412" t="str">
        <f aca="false">IF(AB17="","",AB22/AB26/3600)</f>
        <v/>
      </c>
      <c r="AC28" s="412" t="str">
        <f aca="false">IF(AC17="","",AC22/AC26/3600)</f>
        <v/>
      </c>
      <c r="AD28" s="412" t="str">
        <f aca="false">IF(AD17="","",AD22/AD26/3600)</f>
        <v/>
      </c>
      <c r="AE28" s="412" t="str">
        <f aca="false">IF(AE17="","",AE22/AE26/3600)</f>
        <v/>
      </c>
      <c r="AF28" s="412" t="str">
        <f aca="false">IF(AF17="","",AF22/AF26/3600)</f>
        <v/>
      </c>
      <c r="AG28" s="412" t="str">
        <f aca="false">IF(AG17="","",AG22/AG26/3600)</f>
        <v/>
      </c>
      <c r="AH28" s="412" t="str">
        <f aca="false">IF(AH17="","",AH22/AH26/3600)</f>
        <v/>
      </c>
      <c r="AI28" s="412" t="str">
        <f aca="false">IF(AI17="","",AI22/AI26/3600)</f>
        <v/>
      </c>
      <c r="AJ28" s="412" t="str">
        <f aca="false">IF(AJ17="","",AJ22/AJ26/3600)</f>
        <v/>
      </c>
      <c r="AK28" s="412" t="str">
        <f aca="false">IF(AK17="","",AK22/AK26/3600)</f>
        <v/>
      </c>
      <c r="AL28" s="412" t="str">
        <f aca="false">IF(AL17="","",AL22/AL26/3600)</f>
        <v/>
      </c>
      <c r="AM28" s="412" t="str">
        <f aca="false">IF(AM17="","",AM22/AM26/3600)</f>
        <v/>
      </c>
      <c r="AN28" s="412" t="str">
        <f aca="false">IF(AN17="","",AN22/AN26/3600)</f>
        <v/>
      </c>
      <c r="AO28" s="412" t="str">
        <f aca="false">IF(AO17="","",AO22/AO26/3600)</f>
        <v/>
      </c>
      <c r="AP28" s="412" t="str">
        <f aca="false">IF(AP17="","",AP22/AP26/3600)</f>
        <v/>
      </c>
      <c r="AQ28" s="412" t="str">
        <f aca="false">IF(AQ17="","",AQ22/AQ26/3600)</f>
        <v/>
      </c>
      <c r="AR28" s="412" t="str">
        <f aca="false">IF(AR17="","",AR22/AR26/3600)</f>
        <v/>
      </c>
      <c r="AS28" s="412" t="str">
        <f aca="false">IF(AS17="","",AS22/AS26/3600)</f>
        <v/>
      </c>
      <c r="AT28" s="412" t="str">
        <f aca="false">IF(AT17="","",AT22/AT26/3600)</f>
        <v/>
      </c>
      <c r="AU28" s="412" t="str">
        <f aca="false">IF(AU17="","",AU22/AU26/3600)</f>
        <v/>
      </c>
      <c r="AV28" s="412" t="str">
        <f aca="false">IF(AV17="","",AV22/AV26/3600)</f>
        <v/>
      </c>
      <c r="AW28" s="412" t="str">
        <f aca="false">IF(AW17="","",AW22/AW26/3600)</f>
        <v/>
      </c>
      <c r="AX28" s="412" t="str">
        <f aca="false">IF(AX17="","",AX22/AX26/3600)</f>
        <v/>
      </c>
      <c r="AY28" s="412" t="str">
        <f aca="false">IF(AY17="","",AY22/AY26/3600)</f>
        <v/>
      </c>
      <c r="AZ28" s="412" t="str">
        <f aca="false">IF(AZ17="","",AZ22/AZ26/3600)</f>
        <v/>
      </c>
      <c r="BA28" s="412" t="str">
        <f aca="false">IF(BA17="","",BA22/BA26/3600)</f>
        <v/>
      </c>
      <c r="BB28" s="412" t="str">
        <f aca="false">IF(BB17="","",BB22/BB26/3600)</f>
        <v/>
      </c>
      <c r="BC28" s="412" t="str">
        <f aca="false">IF(BC17="","",BC22/BC26/3600)</f>
        <v/>
      </c>
      <c r="BD28" s="412" t="str">
        <f aca="false">IF(BD17="","",BD22/BD26/3600)</f>
        <v/>
      </c>
      <c r="BE28" s="412" t="str">
        <f aca="false">IF(BE17="","",BE22/BE26/3600)</f>
        <v/>
      </c>
      <c r="BF28" s="412" t="str">
        <f aca="false">IF(BF17="","",BF22/BF26/3600)</f>
        <v/>
      </c>
      <c r="BG28" s="412" t="str">
        <f aca="false">IF(BG17="","",BG22/BG26/3600)</f>
        <v/>
      </c>
      <c r="BH28" s="412" t="str">
        <f aca="false">IF(BH17="","",BH22/BH26/3600)</f>
        <v/>
      </c>
      <c r="BI28" s="412" t="str">
        <f aca="false">IF(BI17="","",BI22/BI26/3600)</f>
        <v/>
      </c>
      <c r="BJ28" s="412" t="str">
        <f aca="false">IF(BJ17="","",BJ22/BJ26/3600)</f>
        <v/>
      </c>
      <c r="BK28" s="412" t="str">
        <f aca="false">IF(BK17="","",BK22/BK26/3600)</f>
        <v/>
      </c>
      <c r="BL28" s="412" t="str">
        <f aca="false">IF(BL17="","",BL22/BL26/3600)</f>
        <v/>
      </c>
      <c r="BM28" s="412" t="str">
        <f aca="false">IF(BM17="","",BM22/BM26/3600)</f>
        <v/>
      </c>
      <c r="BN28" s="412" t="str">
        <f aca="false">IF(BN17="","",BN22/BN26/3600)</f>
        <v/>
      </c>
      <c r="BO28" s="412" t="str">
        <f aca="false">IF(BO17="","",BO22/BO26/3600)</f>
        <v/>
      </c>
      <c r="BP28" s="412" t="str">
        <f aca="false">IF(BP17="","",BP22/BP26/3600)</f>
        <v/>
      </c>
      <c r="BQ28" s="412" t="str">
        <f aca="false">IF(BQ17="","",BQ22/BQ26/3600)</f>
        <v/>
      </c>
      <c r="BR28" s="412" t="str">
        <f aca="false">IF(BR17="","",BR22/BR26/3600)</f>
        <v/>
      </c>
      <c r="BS28" s="412" t="str">
        <f aca="false">IF(BS17="","",BS22/BS26/3600)</f>
        <v/>
      </c>
      <c r="BT28" s="412" t="str">
        <f aca="false">IF(BT17="","",BT22/BT26/3600)</f>
        <v/>
      </c>
      <c r="BU28" s="412" t="str">
        <f aca="false">IF(BU17="","",BU22/BU26/3600)</f>
        <v/>
      </c>
      <c r="BV28" s="412" t="str">
        <f aca="false">IF(BV17="","",BV22/BV26/3600)</f>
        <v/>
      </c>
      <c r="BW28" s="412" t="str">
        <f aca="false">IF(BW17="","",BW22/BW26/3600)</f>
        <v/>
      </c>
      <c r="BX28" s="412" t="str">
        <f aca="false">IF(BX17="","",BX22/BX26/3600)</f>
        <v/>
      </c>
      <c r="BY28" s="412" t="str">
        <f aca="false">IF(BY17="","",BY22/BY26/3600)</f>
        <v/>
      </c>
      <c r="BZ28" s="412" t="str">
        <f aca="false">IF(BZ17="","",BZ22/BZ26/3600)</f>
        <v/>
      </c>
      <c r="CA28" s="412" t="str">
        <f aca="false">IF(CA17="","",CA22/CA26/3600)</f>
        <v/>
      </c>
      <c r="CB28" s="412" t="str">
        <f aca="false">IF(CB17="","",CB22/CB26/3600)</f>
        <v/>
      </c>
      <c r="CC28" s="412" t="str">
        <f aca="false">IF(CC17="","",CC22/CC26/3600)</f>
        <v/>
      </c>
      <c r="CD28" s="412" t="str">
        <f aca="false">IF(CD17="","",CD22/CD26/3600)</f>
        <v/>
      </c>
      <c r="CE28" s="390"/>
    </row>
    <row r="29" s="417" customFormat="true" ht="15" hidden="false" customHeight="false" outlineLevel="0" collapsed="false">
      <c r="A29" s="414" t="s">
        <v>539</v>
      </c>
      <c r="B29" s="415" t="n">
        <f aca="false">IF(B23="","",B23/B27/3600)</f>
        <v>0.118800122820974</v>
      </c>
      <c r="C29" s="415" t="n">
        <f aca="false">IF(C23="","",C23/C27/3600)</f>
        <v>0.118800122820974</v>
      </c>
      <c r="D29" s="415" t="n">
        <f aca="false">IF(D23="","",D23/D27/3600)</f>
        <v>0.00419710367807254</v>
      </c>
      <c r="E29" s="415" t="n">
        <f aca="false">IF(E23="","",E23/E27/3600)</f>
        <v>0.0118392224175947</v>
      </c>
      <c r="F29" s="415" t="n">
        <f aca="false">IF(F23="","",F23/F27/3600)</f>
        <v>0.00339506172839506</v>
      </c>
      <c r="G29" s="415" t="n">
        <f aca="false">IF(G23="","",G23/G27/3600)</f>
        <v>0.0496247881868797</v>
      </c>
      <c r="H29" s="415" t="n">
        <f aca="false">IF(H23="","",H23/H27/3600)</f>
        <v>0.00179738562091503</v>
      </c>
      <c r="I29" s="415" t="n">
        <f aca="false">IF(I23="","",I23/I27/3600)</f>
        <v>0.0057999433106576</v>
      </c>
      <c r="J29" s="415" t="n">
        <f aca="false">IF(J23="","",J23/J27/3600)</f>
        <v>0.00605060506050605</v>
      </c>
      <c r="K29" s="415" t="n">
        <f aca="false">IF(K23="","",K23/K27/3600)</f>
        <v>3.59477124183007E-005</v>
      </c>
      <c r="L29" s="413" t="n">
        <f aca="false">IF(L23="","",L23/L27/3600)</f>
        <v>0.00740079945403139</v>
      </c>
      <c r="M29" s="413" t="n">
        <f aca="false">IF(M23="","",M23/M27/3600)</f>
        <v>0.0276094936390607</v>
      </c>
      <c r="N29" s="413" t="n">
        <f aca="false">IF(N23="","",N23/N27/3600)</f>
        <v>0.139267979813324</v>
      </c>
      <c r="O29" s="413" t="n">
        <f aca="false">IF(O23="","",O23/O27/3600)</f>
        <v>2.86410675381264E-005</v>
      </c>
      <c r="P29" s="413" t="n">
        <f aca="false">IF(P23="","",P23/P27/3600)</f>
        <v>0.14148748068549</v>
      </c>
      <c r="Q29" s="413" t="n">
        <f aca="false">IF(Q23="","",Q23/Q27/3600)</f>
        <v>6.20795521242494E-007</v>
      </c>
      <c r="R29" s="413" t="n">
        <f aca="false">IF(R23="","",R23/R27/3600)</f>
        <v>1.02850462962963E-005</v>
      </c>
      <c r="S29" s="413" t="n">
        <f aca="false">IF(S23="","",S23/S27/3600)</f>
        <v>3.30174237363616E-006</v>
      </c>
      <c r="T29" s="413" t="n">
        <f aca="false">IF(T23="","",T23/T27/3600)</f>
        <v>0.00638174992780826</v>
      </c>
      <c r="U29" s="413" t="n">
        <f aca="false">IF(U23="","",U23/U27/3600)</f>
        <v>0.00381944444444444</v>
      </c>
      <c r="V29" s="413" t="n">
        <f aca="false">IF(V23="","",V23/V27/3600)</f>
        <v>0.00763888888888889</v>
      </c>
      <c r="W29" s="413" t="n">
        <f aca="false">IF(W23="","",W23/W27/3600)</f>
        <v>0.00718954248366013</v>
      </c>
      <c r="X29" s="413" t="n">
        <f aca="false">IF(X23="","",X23/X27/3600)</f>
        <v>0.0269567132251164</v>
      </c>
      <c r="Y29" s="413" t="n">
        <f aca="false">IF(Y23="","",Y23/Y27/3600)</f>
        <v>0.0336631593122176</v>
      </c>
      <c r="Z29" s="413" t="n">
        <f aca="false">IF(Z23="","",Z23/Z27/3600)</f>
        <v>0.00785156442473516</v>
      </c>
      <c r="AA29" s="415" t="str">
        <f aca="false">IF(AA23="","",AA23/AA27/3600)</f>
        <v/>
      </c>
      <c r="AB29" s="415" t="str">
        <f aca="false">IF(AB23="","",AB23/AB27/3600)</f>
        <v/>
      </c>
      <c r="AC29" s="415" t="str">
        <f aca="false">IF(AC23="","",AC23/AC27/3600)</f>
        <v/>
      </c>
      <c r="AD29" s="415" t="str">
        <f aca="false">IF(AD23="","",AD23/AD27/3600)</f>
        <v/>
      </c>
      <c r="AE29" s="415" t="str">
        <f aca="false">IF(AE23="","",AE23/AE27/3600)</f>
        <v/>
      </c>
      <c r="AF29" s="415" t="str">
        <f aca="false">IF(AF23="","",AF23/AF27/3600)</f>
        <v/>
      </c>
      <c r="AG29" s="415" t="str">
        <f aca="false">IF(AG23="","",AG23/AG27/3600)</f>
        <v/>
      </c>
      <c r="AH29" s="415" t="str">
        <f aca="false">IF(AH23="","",AH23/AH27/3600)</f>
        <v/>
      </c>
      <c r="AI29" s="415" t="str">
        <f aca="false">IF(AI23="","",AI23/AI27/3600)</f>
        <v/>
      </c>
      <c r="AJ29" s="415" t="str">
        <f aca="false">IF(AJ23="","",AJ23/AJ27/3600)</f>
        <v/>
      </c>
      <c r="AK29" s="415" t="str">
        <f aca="false">IF(AK23="","",AK23/AK27/3600)</f>
        <v/>
      </c>
      <c r="AL29" s="415" t="str">
        <f aca="false">IF(AL23="","",AL23/AL27/3600)</f>
        <v/>
      </c>
      <c r="AM29" s="415" t="str">
        <f aca="false">IF(AM23="","",AM23/AM27/3600)</f>
        <v/>
      </c>
      <c r="AN29" s="415" t="str">
        <f aca="false">IF(AN23="","",AN23/AN27/3600)</f>
        <v/>
      </c>
      <c r="AO29" s="415" t="str">
        <f aca="false">IF(AO23="","",AO23/AO27/3600)</f>
        <v/>
      </c>
      <c r="AP29" s="415" t="str">
        <f aca="false">IF(AP23="","",AP23/AP27/3600)</f>
        <v/>
      </c>
      <c r="AQ29" s="415" t="str">
        <f aca="false">IF(AQ23="","",AQ23/AQ27/3600)</f>
        <v/>
      </c>
      <c r="AR29" s="415" t="str">
        <f aca="false">IF(AR23="","",AR23/AR27/3600)</f>
        <v/>
      </c>
      <c r="AS29" s="415" t="str">
        <f aca="false">IF(AS23="","",AS23/AS27/3600)</f>
        <v/>
      </c>
      <c r="AT29" s="415" t="str">
        <f aca="false">IF(AT23="","",AT23/AT27/3600)</f>
        <v/>
      </c>
      <c r="AU29" s="415" t="str">
        <f aca="false">IF(AU23="","",AU23/AU27/3600)</f>
        <v/>
      </c>
      <c r="AV29" s="415" t="str">
        <f aca="false">IF(AV23="","",AV23/AV27/3600)</f>
        <v/>
      </c>
      <c r="AW29" s="415" t="str">
        <f aca="false">IF(AW23="","",AW23/AW27/3600)</f>
        <v/>
      </c>
      <c r="AX29" s="415" t="str">
        <f aca="false">IF(AX23="","",AX23/AX27/3600)</f>
        <v/>
      </c>
      <c r="AY29" s="415" t="str">
        <f aca="false">IF(AY23="","",AY23/AY27/3600)</f>
        <v/>
      </c>
      <c r="AZ29" s="415" t="str">
        <f aca="false">IF(AZ23="","",AZ23/AZ27/3600)</f>
        <v/>
      </c>
      <c r="BA29" s="415" t="str">
        <f aca="false">IF(BA23="","",BA23/BA27/3600)</f>
        <v/>
      </c>
      <c r="BB29" s="415" t="str">
        <f aca="false">IF(BB23="","",BB23/BB27/3600)</f>
        <v/>
      </c>
      <c r="BC29" s="415" t="str">
        <f aca="false">IF(BC23="","",BC23/BC27/3600)</f>
        <v/>
      </c>
      <c r="BD29" s="415" t="str">
        <f aca="false">IF(BD23="","",BD23/BD27/3600)</f>
        <v/>
      </c>
      <c r="BE29" s="415" t="str">
        <f aca="false">IF(BE23="","",BE23/BE27/3600)</f>
        <v/>
      </c>
      <c r="BF29" s="415" t="str">
        <f aca="false">IF(BF23="","",BF23/BF27/3600)</f>
        <v/>
      </c>
      <c r="BG29" s="415" t="str">
        <f aca="false">IF(BG23="","",BG23/BG27/3600)</f>
        <v/>
      </c>
      <c r="BH29" s="415" t="str">
        <f aca="false">IF(BH23="","",BH23/BH27/3600)</f>
        <v/>
      </c>
      <c r="BI29" s="415" t="str">
        <f aca="false">IF(BI23="","",BI23/BI27/3600)</f>
        <v/>
      </c>
      <c r="BJ29" s="415" t="str">
        <f aca="false">IF(BJ23="","",BJ23/BJ27/3600)</f>
        <v/>
      </c>
      <c r="BK29" s="415" t="str">
        <f aca="false">IF(BK23="","",BK23/BK27/3600)</f>
        <v/>
      </c>
      <c r="BL29" s="415" t="str">
        <f aca="false">IF(BL23="","",BL23/BL27/3600)</f>
        <v/>
      </c>
      <c r="BM29" s="415" t="str">
        <f aca="false">IF(BM23="","",BM23/BM27/3600)</f>
        <v/>
      </c>
      <c r="BN29" s="415" t="str">
        <f aca="false">IF(BN23="","",BN23/BN27/3600)</f>
        <v/>
      </c>
      <c r="BO29" s="415" t="str">
        <f aca="false">IF(BO23="","",BO23/BO27/3600)</f>
        <v/>
      </c>
      <c r="BP29" s="415" t="str">
        <f aca="false">IF(BP23="","",BP23/BP27/3600)</f>
        <v/>
      </c>
      <c r="BQ29" s="415" t="str">
        <f aca="false">IF(BQ23="","",BQ23/BQ27/3600)</f>
        <v/>
      </c>
      <c r="BR29" s="415" t="str">
        <f aca="false">IF(BR23="","",BR23/BR27/3600)</f>
        <v/>
      </c>
      <c r="BS29" s="415" t="str">
        <f aca="false">IF(BS23="","",BS23/BS27/3600)</f>
        <v/>
      </c>
      <c r="BT29" s="415" t="str">
        <f aca="false">IF(BT23="","",BT23/BT27/3600)</f>
        <v/>
      </c>
      <c r="BU29" s="415" t="str">
        <f aca="false">IF(BU23="","",BU23/BU27/3600)</f>
        <v/>
      </c>
      <c r="BV29" s="415" t="str">
        <f aca="false">IF(BV23="","",BV23/BV27/3600)</f>
        <v/>
      </c>
      <c r="BW29" s="415" t="str">
        <f aca="false">IF(BW23="","",BW23/BW27/3600)</f>
        <v/>
      </c>
      <c r="BX29" s="415" t="str">
        <f aca="false">IF(BX23="","",BX23/BX27/3600)</f>
        <v/>
      </c>
      <c r="BY29" s="415" t="str">
        <f aca="false">IF(BY23="","",BY23/BY27/3600)</f>
        <v/>
      </c>
      <c r="BZ29" s="415" t="str">
        <f aca="false">IF(BZ23="","",BZ23/BZ27/3600)</f>
        <v/>
      </c>
      <c r="CA29" s="415" t="str">
        <f aca="false">IF(CA23="","",CA23/CA27/3600)</f>
        <v/>
      </c>
      <c r="CB29" s="415" t="str">
        <f aca="false">IF(CB23="","",CB23/CB27/3600)</f>
        <v/>
      </c>
      <c r="CC29" s="415" t="str">
        <f aca="false">IF(CC23="","",CC23/CC27/3600)</f>
        <v/>
      </c>
      <c r="CD29" s="415" t="str">
        <f aca="false">IF(CD23="","",CD23/CD27/3600)</f>
        <v/>
      </c>
      <c r="CE29" s="416"/>
    </row>
    <row r="30" s="391" customFormat="true" ht="15" hidden="false" customHeight="false" outlineLevel="0" collapsed="false">
      <c r="A30" s="388" t="s">
        <v>648</v>
      </c>
      <c r="B30" s="418" t="str">
        <f aca="false">IF(B19="","",B24/B27/3600)</f>
        <v/>
      </c>
      <c r="C30" s="418" t="str">
        <f aca="false">IF(C19="","",C24/C27/3600)</f>
        <v/>
      </c>
      <c r="D30" s="418" t="str">
        <f aca="false">IF(D19="","",D24/D27/3600)</f>
        <v/>
      </c>
      <c r="E30" s="418" t="str">
        <f aca="false">IF(E19="","",E24/E27/3600)</f>
        <v/>
      </c>
      <c r="F30" s="418" t="str">
        <f aca="false">IF(F19="","",F24/F27/3600)</f>
        <v/>
      </c>
      <c r="G30" s="418" t="str">
        <f aca="false">IF(G19="","",G24/G27/3600)</f>
        <v/>
      </c>
      <c r="H30" s="418" t="str">
        <f aca="false">IF(H19="","",H24/H27/3600)</f>
        <v/>
      </c>
      <c r="I30" s="418" t="str">
        <f aca="false">IF(I19="","",I24/I27/3600)</f>
        <v/>
      </c>
      <c r="J30" s="418" t="str">
        <f aca="false">IF(J19="","",J24/J27/3600)</f>
        <v/>
      </c>
      <c r="K30" s="418" t="str">
        <f aca="false">IF(K19="","",K24/K27/3600)</f>
        <v/>
      </c>
      <c r="L30" s="419" t="n">
        <f aca="false">IF(L19="","",L24/L27/3600)</f>
        <v>0.00358291898215853</v>
      </c>
      <c r="M30" s="419" t="n">
        <f aca="false">IF(M19="","",M24/M27/3600)</f>
        <v>0.0255579021471313</v>
      </c>
      <c r="N30" s="418" t="str">
        <f aca="false">IF(N19="","",N24/N27/3600)</f>
        <v/>
      </c>
      <c r="O30" s="418" t="str">
        <f aca="false">IF(O19="","",O24/O27/3600)</f>
        <v/>
      </c>
      <c r="P30" s="418"/>
      <c r="Q30" s="418" t="str">
        <f aca="false">IF(Q19="","",Q24/Q27/3600)</f>
        <v/>
      </c>
      <c r="R30" s="418" t="str">
        <f aca="false">IF(R19="","",R24/R27/3600)</f>
        <v/>
      </c>
      <c r="S30" s="418" t="str">
        <f aca="false">IF(S19="","",S24/S27/3600)</f>
        <v/>
      </c>
      <c r="T30" s="418" t="str">
        <f aca="false">IF(T19="","",T24/T27/3600)</f>
        <v/>
      </c>
      <c r="U30" s="418" t="str">
        <f aca="false">IF(U19="","",U24/U27/3600)</f>
        <v/>
      </c>
      <c r="V30" s="418" t="str">
        <f aca="false">IF(V19="","",V24/V27/3600)</f>
        <v/>
      </c>
      <c r="W30" s="418" t="str">
        <f aca="false">IF(W19="","",W24/W27/3600)</f>
        <v/>
      </c>
      <c r="X30" s="418" t="str">
        <f aca="false">IF(X19="","",X24/X27/3600)</f>
        <v/>
      </c>
      <c r="Y30" s="418" t="str">
        <f aca="false">IF(Y19="","",Y24/Y27/3600)</f>
        <v/>
      </c>
      <c r="Z30" s="418" t="str">
        <f aca="false">IF(Z19="","",Z24/Z27/3600)</f>
        <v/>
      </c>
      <c r="AA30" s="418" t="str">
        <f aca="false">IF(AA19="","",AA24/AA27/3600)</f>
        <v/>
      </c>
      <c r="AB30" s="418" t="str">
        <f aca="false">IF(AB19="","",AB24/AB27/3600)</f>
        <v/>
      </c>
      <c r="AC30" s="418" t="str">
        <f aca="false">IF(AC19="","",AC24/AC27/3600)</f>
        <v/>
      </c>
      <c r="AD30" s="418" t="str">
        <f aca="false">IF(AD19="","",AD24/AD27/3600)</f>
        <v/>
      </c>
      <c r="AE30" s="418" t="str">
        <f aca="false">IF(AE19="","",AE24/AE27/3600)</f>
        <v/>
      </c>
      <c r="AF30" s="418" t="str">
        <f aca="false">IF(AF19="","",AF24/AF27/3600)</f>
        <v/>
      </c>
      <c r="AG30" s="418" t="str">
        <f aca="false">IF(AG19="","",AG24/AG27/3600)</f>
        <v/>
      </c>
      <c r="AH30" s="418" t="str">
        <f aca="false">IF(AH19="","",AH24/AH27/3600)</f>
        <v/>
      </c>
      <c r="AI30" s="418" t="str">
        <f aca="false">IF(AI19="","",AI24/AI27/3600)</f>
        <v/>
      </c>
      <c r="AJ30" s="418" t="str">
        <f aca="false">IF(AJ19="","",AJ24/AJ27/3600)</f>
        <v/>
      </c>
      <c r="AK30" s="418" t="str">
        <f aca="false">IF(AK19="","",AK24/AK27/3600)</f>
        <v/>
      </c>
      <c r="AL30" s="418" t="str">
        <f aca="false">IF(AL19="","",AL24/AL27/3600)</f>
        <v/>
      </c>
      <c r="AM30" s="418" t="str">
        <f aca="false">IF(AM19="","",AM24/AM27/3600)</f>
        <v/>
      </c>
      <c r="AN30" s="418" t="str">
        <f aca="false">IF(AN19="","",AN24/AN27/3600)</f>
        <v/>
      </c>
      <c r="AO30" s="418" t="str">
        <f aca="false">IF(AO19="","",AO24/AO27/3600)</f>
        <v/>
      </c>
      <c r="AP30" s="418" t="str">
        <f aca="false">IF(AP19="","",AP24/AP27/3600)</f>
        <v/>
      </c>
      <c r="AQ30" s="418" t="str">
        <f aca="false">IF(AQ19="","",AQ24/AQ27/3600)</f>
        <v/>
      </c>
      <c r="AR30" s="418" t="str">
        <f aca="false">IF(AR19="","",AR24/AR27/3600)</f>
        <v/>
      </c>
      <c r="AS30" s="418" t="str">
        <f aca="false">IF(AS19="","",AS24/AS27/3600)</f>
        <v/>
      </c>
      <c r="AT30" s="418" t="str">
        <f aca="false">IF(AT19="","",AT24/AT27/3600)</f>
        <v/>
      </c>
      <c r="AU30" s="418" t="str">
        <f aca="false">IF(AU19="","",AU24/AU27/3600)</f>
        <v/>
      </c>
      <c r="AV30" s="418" t="str">
        <f aca="false">IF(AV19="","",AV24/AV27/3600)</f>
        <v/>
      </c>
      <c r="AW30" s="418" t="str">
        <f aca="false">IF(AW19="","",AW24/AW27/3600)</f>
        <v/>
      </c>
      <c r="AX30" s="418" t="str">
        <f aca="false">IF(AX19="","",AX24/AX27/3600)</f>
        <v/>
      </c>
      <c r="AY30" s="418" t="str">
        <f aca="false">IF(AY19="","",AY24/AY27/3600)</f>
        <v/>
      </c>
      <c r="AZ30" s="418" t="str">
        <f aca="false">IF(AZ19="","",AZ24/AZ27/3600)</f>
        <v/>
      </c>
      <c r="BA30" s="418" t="str">
        <f aca="false">IF(BA19="","",BA24/BA27/3600)</f>
        <v/>
      </c>
      <c r="BB30" s="418" t="str">
        <f aca="false">IF(BB19="","",BB24/BB27/3600)</f>
        <v/>
      </c>
      <c r="BC30" s="418" t="str">
        <f aca="false">IF(BC19="","",BC24/BC27/3600)</f>
        <v/>
      </c>
      <c r="BD30" s="418" t="str">
        <f aca="false">IF(BD19="","",BD24/BD27/3600)</f>
        <v/>
      </c>
      <c r="BE30" s="418" t="str">
        <f aca="false">IF(BE19="","",BE24/BE27/3600)</f>
        <v/>
      </c>
      <c r="BF30" s="418" t="str">
        <f aca="false">IF(BF19="","",BF24/BF27/3600)</f>
        <v/>
      </c>
      <c r="BG30" s="418" t="str">
        <f aca="false">IF(BG19="","",BG24/BG27/3600)</f>
        <v/>
      </c>
      <c r="BH30" s="418" t="str">
        <f aca="false">IF(BH19="","",BH24/BH27/3600)</f>
        <v/>
      </c>
      <c r="BI30" s="418" t="str">
        <f aca="false">IF(BI19="","",BI24/BI27/3600)</f>
        <v/>
      </c>
      <c r="BJ30" s="418" t="str">
        <f aca="false">IF(BJ19="","",BJ24/BJ27/3600)</f>
        <v/>
      </c>
      <c r="BK30" s="418" t="str">
        <f aca="false">IF(BK19="","",BK24/BK27/3600)</f>
        <v/>
      </c>
      <c r="BL30" s="418" t="str">
        <f aca="false">IF(BL19="","",BL24/BL27/3600)</f>
        <v/>
      </c>
      <c r="BM30" s="418" t="str">
        <f aca="false">IF(BM19="","",BM24/BM27/3600)</f>
        <v/>
      </c>
      <c r="BN30" s="418" t="str">
        <f aca="false">IF(BN19="","",BN24/BN27/3600)</f>
        <v/>
      </c>
      <c r="BO30" s="418" t="str">
        <f aca="false">IF(BO19="","",BO24/BO27/3600)</f>
        <v/>
      </c>
      <c r="BP30" s="418" t="str">
        <f aca="false">IF(BP19="","",BP24/BP27/3600)</f>
        <v/>
      </c>
      <c r="BQ30" s="418" t="str">
        <f aca="false">IF(BQ19="","",BQ24/BQ27/3600)</f>
        <v/>
      </c>
      <c r="BR30" s="418" t="str">
        <f aca="false">IF(BR19="","",BR24/BR27/3600)</f>
        <v/>
      </c>
      <c r="BS30" s="418" t="str">
        <f aca="false">IF(BS19="","",BS24/BS27/3600)</f>
        <v/>
      </c>
      <c r="BT30" s="418" t="str">
        <f aca="false">IF(BT19="","",BT24/BT27/3600)</f>
        <v/>
      </c>
      <c r="BU30" s="418" t="str">
        <f aca="false">IF(BU19="","",BU24/BU27/3600)</f>
        <v/>
      </c>
      <c r="BV30" s="418" t="str">
        <f aca="false">IF(BV19="","",BV24/BV27/3600)</f>
        <v/>
      </c>
      <c r="BW30" s="418" t="str">
        <f aca="false">IF(BW19="","",BW24/BW27/3600)</f>
        <v/>
      </c>
      <c r="BX30" s="418" t="str">
        <f aca="false">IF(BX19="","",BX24/BX27/3600)</f>
        <v/>
      </c>
      <c r="BY30" s="418" t="str">
        <f aca="false">IF(BY19="","",BY24/BY27/3600)</f>
        <v/>
      </c>
      <c r="BZ30" s="418" t="str">
        <f aca="false">IF(BZ19="","",BZ24/BZ27/3600)</f>
        <v/>
      </c>
      <c r="CA30" s="418" t="str">
        <f aca="false">IF(CA19="","",CA24/CA27/3600)</f>
        <v/>
      </c>
      <c r="CB30" s="418" t="str">
        <f aca="false">IF(CB19="","",CB24/CB27/3600)</f>
        <v/>
      </c>
      <c r="CC30" s="418" t="str">
        <f aca="false">IF(CC19="","",CC24/CC27/3600)</f>
        <v/>
      </c>
      <c r="CD30" s="418" t="str">
        <f aca="false">IF(CD19="","",CD24/CD27/3600)</f>
        <v/>
      </c>
      <c r="CE30" s="390"/>
    </row>
    <row r="31" s="391" customFormat="true" ht="15" hidden="false" customHeight="false" outlineLevel="0" collapsed="false">
      <c r="A31" s="393" t="s">
        <v>546</v>
      </c>
      <c r="B31" s="413" t="str">
        <f aca="false">IF(AND(B3&lt;&gt;"缓冲罐",B3&lt;&gt;""),0.048*SQRT((B27-B26)/B26),"")</f>
        <v/>
      </c>
      <c r="C31" s="413" t="str">
        <f aca="false">IF(AND(C3&lt;&gt;"缓冲罐",C3&lt;&gt;""),0.048*SQRT((C27-C26)/C26),"")</f>
        <v/>
      </c>
      <c r="D31" s="413" t="str">
        <f aca="false">IF(AND(D3&lt;&gt;"缓冲罐",D3&lt;&gt;""),0.048*SQRT((D27-D26)/D26),"")</f>
        <v/>
      </c>
      <c r="E31" s="413" t="str">
        <f aca="false">IF(AND(E3&lt;&gt;"缓冲罐",E3&lt;&gt;""),0.048*SQRT((E27-E26)/E26),"")</f>
        <v/>
      </c>
      <c r="F31" s="413" t="str">
        <f aca="false">IF(AND(F3&lt;&gt;"缓冲罐",F3&lt;&gt;""),0.048*SQRT((F27-F26)/F26),"")</f>
        <v/>
      </c>
      <c r="G31" s="413" t="str">
        <f aca="false">IF(AND(G3&lt;&gt;"缓冲罐",G3&lt;&gt;""),0.048*SQRT((G27-G26)/G26),"")</f>
        <v/>
      </c>
      <c r="H31" s="413" t="str">
        <f aca="false">IF(AND(H3&lt;&gt;"缓冲罐",H3&lt;&gt;""),0.048*SQRT((H27-H26)/H26),"")</f>
        <v/>
      </c>
      <c r="I31" s="413" t="str">
        <f aca="false">IF(AND(I3&lt;&gt;"缓冲罐",I3&lt;&gt;""),0.048*SQRT((I27-I26)/I26),"")</f>
        <v/>
      </c>
      <c r="J31" s="413" t="str">
        <f aca="false">IF(AND(J3&lt;&gt;"缓冲罐",J3&lt;&gt;""),0.048*SQRT((J27-J26)/J26),"")</f>
        <v/>
      </c>
      <c r="K31" s="413" t="str">
        <f aca="false">IF(AND(K3&lt;&gt;"缓冲罐",K3&lt;&gt;""),0.048*SQRT((K27-K26)/K26),"")</f>
        <v/>
      </c>
      <c r="L31" s="413" t="n">
        <f aca="false">IF(AND(L3&lt;&gt;"缓冲罐",L3&lt;&gt;""),0.048*SQRT((L27-L26)/L26),"")</f>
        <v>0.357631880546843</v>
      </c>
      <c r="M31" s="413" t="n">
        <f aca="false">IF(AND(M3&lt;&gt;"缓冲罐",M3&lt;&gt;""),0.048*SQRT((M27-M26)/M26),"")</f>
        <v>0.352024041252632</v>
      </c>
      <c r="N31" s="413" t="n">
        <f aca="false">IF(AND(N3&lt;&gt;"缓冲罐",N3&lt;&gt;""),0.048*SQRT((N27-N26)/N26),"")</f>
        <v>0.29131426329653</v>
      </c>
      <c r="O31" s="413" t="n">
        <f aca="false">IF(AND(O3&lt;&gt;"缓冲罐",O3&lt;&gt;""),0.048*SQRT((O27-O26)/O26),"")</f>
        <v>0.784944651082583</v>
      </c>
      <c r="P31" s="413" t="n">
        <f aca="false">IF(AND(P3&lt;&gt;"缓冲罐",P3&lt;&gt;""),0.048*SQRT((P27-P26)/P26),"")</f>
        <v>0.482548075492267</v>
      </c>
      <c r="Q31" s="413" t="n">
        <f aca="false">IF(AND(Q3&lt;&gt;"缓冲罐",Q3&lt;&gt;""),0.048*SQRT((Q27-Q26)/Q26),"")</f>
        <v>0.494190246767376</v>
      </c>
      <c r="R31" s="413" t="n">
        <f aca="false">IF(AND(R3&lt;&gt;"缓冲罐",R3&lt;&gt;""),0.048*SQRT((R27-R26)/R26),"")</f>
        <v>0.61781550644185</v>
      </c>
      <c r="S31" s="413" t="n">
        <f aca="false">IF(AND(S3&lt;&gt;"缓冲罐",S3&lt;&gt;""),0.048*SQRT((S27-S26)/S26),"")</f>
        <v>0.797756855188346</v>
      </c>
      <c r="T31" s="413" t="n">
        <f aca="false">IF(AND(T3&lt;&gt;"缓冲罐",T3&lt;&gt;""),0.048*SQRT((T27-T26)/T26),"")</f>
        <v>0.33308077485896</v>
      </c>
      <c r="U31" s="413" t="n">
        <f aca="false">IF(AND(U3&lt;&gt;"缓冲罐",U3&lt;&gt;""),0.048*SQRT((U27-U26)/U26),"")</f>
        <v>0.341485181277692</v>
      </c>
      <c r="V31" s="413" t="n">
        <f aca="false">IF(AND(V3&lt;&gt;"缓冲罐",V3&lt;&gt;""),0.048*SQRT((V27-V26)/V26),"")</f>
        <v>0.341485181277692</v>
      </c>
      <c r="W31" s="413" t="n">
        <f aca="false">IF(AND(W3&lt;&gt;"缓冲罐",W3&lt;&gt;""),0.048*SQRT((W27-W26)/W26),"")</f>
        <v>0.352199357036287</v>
      </c>
      <c r="X31" s="413" t="n">
        <f aca="false">IF(AND(X3&lt;&gt;"缓冲罐",X3&lt;&gt;""),0.048*SQRT((X27-X26)/X26),"")</f>
        <v>0.505257935509527</v>
      </c>
      <c r="Y31" s="413" t="n">
        <f aca="false">IF(AND(Y3&lt;&gt;"缓冲罐",Y3&lt;&gt;""),0.048*SQRT((Y27-Y26)/Y26),"")</f>
        <v>0.726404254299878</v>
      </c>
      <c r="Z31" s="413" t="n">
        <f aca="false">IF(AND(Z3&lt;&gt;"缓冲罐",Z3&lt;&gt;""),0.048*SQRT((Z27-Z26)/Z26),"")</f>
        <v>0.887631204889472</v>
      </c>
      <c r="AA31" s="413" t="str">
        <f aca="false">IF(AND(AA3&lt;&gt;"缓冲罐",AA3&lt;&gt;""),0.048*SQRT((AA27-AA26)/AA26),"")</f>
        <v/>
      </c>
      <c r="AB31" s="413" t="str">
        <f aca="false">IF(AND(AB3&lt;&gt;"缓冲罐",AB3&lt;&gt;""),0.048*SQRT((AB27-AB26)/AB26),"")</f>
        <v/>
      </c>
      <c r="AC31" s="413" t="str">
        <f aca="false">IF(AND(AC3&lt;&gt;"缓冲罐",AC3&lt;&gt;""),0.048*SQRT((AC27-AC26)/AC26),"")</f>
        <v/>
      </c>
      <c r="AD31" s="413" t="str">
        <f aca="false">IF(AND(AD3&lt;&gt;"缓冲罐",AD3&lt;&gt;""),0.048*SQRT((AD27-AD26)/AD26),"")</f>
        <v/>
      </c>
      <c r="AE31" s="413" t="str">
        <f aca="false">IF(AND(AE3&lt;&gt;"缓冲罐",AE3&lt;&gt;""),0.048*SQRT((AE27-AE26)/AE26),"")</f>
        <v/>
      </c>
      <c r="AF31" s="413" t="str">
        <f aca="false">IF(AND(AF3&lt;&gt;"缓冲罐",AF3&lt;&gt;""),0.048*SQRT((AF27-AF26)/AF26),"")</f>
        <v/>
      </c>
      <c r="AG31" s="413" t="str">
        <f aca="false">IF(AND(AG3&lt;&gt;"缓冲罐",AG3&lt;&gt;""),0.048*SQRT((AG27-AG26)/AG26),"")</f>
        <v/>
      </c>
      <c r="AH31" s="413" t="str">
        <f aca="false">IF(AND(AH3&lt;&gt;"缓冲罐",AH3&lt;&gt;""),0.048*SQRT((AH27-AH26)/AH26),"")</f>
        <v/>
      </c>
      <c r="AI31" s="413" t="str">
        <f aca="false">IF(AND(AI3&lt;&gt;"缓冲罐",AI3&lt;&gt;""),0.048*SQRT((AI27-AI26)/AI26),"")</f>
        <v/>
      </c>
      <c r="AJ31" s="413" t="str">
        <f aca="false">IF(AND(AJ3&lt;&gt;"缓冲罐",AJ3&lt;&gt;""),0.048*SQRT((AJ27-AJ26)/AJ26),"")</f>
        <v/>
      </c>
      <c r="AK31" s="413" t="str">
        <f aca="false">IF(AND(AK3&lt;&gt;"缓冲罐",AK3&lt;&gt;""),0.048*SQRT((AK27-AK26)/AK26),"")</f>
        <v/>
      </c>
      <c r="AL31" s="413" t="str">
        <f aca="false">IF(AND(AL3&lt;&gt;"缓冲罐",AL3&lt;&gt;""),0.048*SQRT((AL27-AL26)/AL26),"")</f>
        <v/>
      </c>
      <c r="AM31" s="413" t="str">
        <f aca="false">IF(AND(AM3&lt;&gt;"缓冲罐",AM3&lt;&gt;""),0.048*SQRT((AM27-AM26)/AM26),"")</f>
        <v/>
      </c>
      <c r="AN31" s="413" t="str">
        <f aca="false">IF(AND(AN3&lt;&gt;"缓冲罐",AN3&lt;&gt;""),0.048*SQRT((AN27-AN26)/AN26),"")</f>
        <v/>
      </c>
      <c r="AO31" s="413" t="str">
        <f aca="false">IF(AND(AO3&lt;&gt;"缓冲罐",AO3&lt;&gt;""),0.048*SQRT((AO27-AO26)/AO26),"")</f>
        <v/>
      </c>
      <c r="AP31" s="413" t="str">
        <f aca="false">IF(AND(AP3&lt;&gt;"缓冲罐",AP3&lt;&gt;""),0.048*SQRT((AP27-AP26)/AP26),"")</f>
        <v/>
      </c>
      <c r="AQ31" s="413" t="str">
        <f aca="false">IF(AND(AQ3&lt;&gt;"缓冲罐",AQ3&lt;&gt;""),0.048*SQRT((AQ27-AQ26)/AQ26),"")</f>
        <v/>
      </c>
      <c r="AR31" s="413" t="str">
        <f aca="false">IF(AND(AR3&lt;&gt;"缓冲罐",AR3&lt;&gt;""),0.048*SQRT((AR27-AR26)/AR26),"")</f>
        <v/>
      </c>
      <c r="AS31" s="413" t="str">
        <f aca="false">IF(AND(AS3&lt;&gt;"缓冲罐",AS3&lt;&gt;""),0.048*SQRT((AS27-AS26)/AS26),"")</f>
        <v/>
      </c>
      <c r="AT31" s="413" t="str">
        <f aca="false">IF(AND(AT3&lt;&gt;"缓冲罐",AT3&lt;&gt;""),0.048*SQRT((AT27-AT26)/AT26),"")</f>
        <v/>
      </c>
      <c r="AU31" s="413" t="str">
        <f aca="false">IF(AND(AU3&lt;&gt;"缓冲罐",AU3&lt;&gt;""),0.048*SQRT((AU27-AU26)/AU26),"")</f>
        <v/>
      </c>
      <c r="AV31" s="413" t="str">
        <f aca="false">IF(AND(AV3&lt;&gt;"缓冲罐",AV3&lt;&gt;""),0.048*SQRT((AV27-AV26)/AV26),"")</f>
        <v/>
      </c>
      <c r="AW31" s="413" t="str">
        <f aca="false">IF(AND(AW3&lt;&gt;"缓冲罐",AW3&lt;&gt;""),0.048*SQRT((AW27-AW26)/AW26),"")</f>
        <v/>
      </c>
      <c r="AX31" s="413" t="str">
        <f aca="false">IF(AND(AX3&lt;&gt;"缓冲罐",AX3&lt;&gt;""),0.048*SQRT((AX27-AX26)/AX26),"")</f>
        <v/>
      </c>
      <c r="AY31" s="413" t="str">
        <f aca="false">IF(AND(AY3&lt;&gt;"缓冲罐",AY3&lt;&gt;""),0.048*SQRT((AY27-AY26)/AY26),"")</f>
        <v/>
      </c>
      <c r="AZ31" s="413" t="str">
        <f aca="false">IF(AND(AZ3&lt;&gt;"缓冲罐",AZ3&lt;&gt;""),0.048*SQRT((AZ27-AZ26)/AZ26),"")</f>
        <v/>
      </c>
      <c r="BA31" s="413" t="str">
        <f aca="false">IF(AND(BA3&lt;&gt;"缓冲罐",BA3&lt;&gt;""),0.048*SQRT((BA27-BA26)/BA26),"")</f>
        <v/>
      </c>
      <c r="BB31" s="413" t="str">
        <f aca="false">IF(AND(BB3&lt;&gt;"缓冲罐",BB3&lt;&gt;""),0.048*SQRT((BB27-BB26)/BB26),"")</f>
        <v/>
      </c>
      <c r="BC31" s="413" t="str">
        <f aca="false">IF(AND(BC3&lt;&gt;"缓冲罐",BC3&lt;&gt;""),0.048*SQRT((BC27-BC26)/BC26),"")</f>
        <v/>
      </c>
      <c r="BD31" s="413" t="str">
        <f aca="false">IF(AND(BD3&lt;&gt;"缓冲罐",BD3&lt;&gt;""),0.048*SQRT((BD27-BD26)/BD26),"")</f>
        <v/>
      </c>
      <c r="BE31" s="413" t="str">
        <f aca="false">IF(AND(BE3&lt;&gt;"缓冲罐",BE3&lt;&gt;""),0.048*SQRT((BE27-BE26)/BE26),"")</f>
        <v/>
      </c>
      <c r="BF31" s="413" t="str">
        <f aca="false">IF(AND(BF3&lt;&gt;"缓冲罐",BF3&lt;&gt;""),0.048*SQRT((BF27-BF26)/BF26),"")</f>
        <v/>
      </c>
      <c r="BG31" s="413" t="str">
        <f aca="false">IF(AND(BG3&lt;&gt;"缓冲罐",BG3&lt;&gt;""),0.048*SQRT((BG27-BG26)/BG26),"")</f>
        <v/>
      </c>
      <c r="BH31" s="413" t="str">
        <f aca="false">IF(AND(BH3&lt;&gt;"缓冲罐",BH3&lt;&gt;""),0.048*SQRT((BH27-BH26)/BH26),"")</f>
        <v/>
      </c>
      <c r="BI31" s="413" t="str">
        <f aca="false">IF(AND(BI3&lt;&gt;"缓冲罐",BI3&lt;&gt;""),0.048*SQRT((BI27-BI26)/BI26),"")</f>
        <v/>
      </c>
      <c r="BJ31" s="413" t="str">
        <f aca="false">IF(AND(BJ3&lt;&gt;"缓冲罐",BJ3&lt;&gt;""),0.048*SQRT((BJ27-BJ26)/BJ26),"")</f>
        <v/>
      </c>
      <c r="BK31" s="413" t="str">
        <f aca="false">IF(AND(BK3&lt;&gt;"缓冲罐",BK3&lt;&gt;""),0.048*SQRT((BK27-BK26)/BK26),"")</f>
        <v/>
      </c>
      <c r="BL31" s="413" t="str">
        <f aca="false">IF(AND(BL3&lt;&gt;"缓冲罐",BL3&lt;&gt;""),0.048*SQRT((BL27-BL26)/BL26),"")</f>
        <v/>
      </c>
      <c r="BM31" s="413" t="str">
        <f aca="false">IF(AND(BM3&lt;&gt;"缓冲罐",BM3&lt;&gt;""),0.048*SQRT((BM27-BM26)/BM26),"")</f>
        <v/>
      </c>
      <c r="BN31" s="413" t="str">
        <f aca="false">IF(AND(BN3&lt;&gt;"缓冲罐",BN3&lt;&gt;""),0.048*SQRT((BN27-BN26)/BN26),"")</f>
        <v/>
      </c>
      <c r="BO31" s="413" t="str">
        <f aca="false">IF(AND(BO3&lt;&gt;"缓冲罐",BO3&lt;&gt;""),0.048*SQRT((BO27-BO26)/BO26),"")</f>
        <v/>
      </c>
      <c r="BP31" s="413" t="str">
        <f aca="false">IF(AND(BP3&lt;&gt;"缓冲罐",BP3&lt;&gt;""),0.048*SQRT((BP27-BP26)/BP26),"")</f>
        <v/>
      </c>
      <c r="BQ31" s="413" t="str">
        <f aca="false">IF(AND(BQ3&lt;&gt;"缓冲罐",BQ3&lt;&gt;""),0.048*SQRT((BQ27-BQ26)/BQ26),"")</f>
        <v/>
      </c>
      <c r="BR31" s="413" t="str">
        <f aca="false">IF(AND(BR3&lt;&gt;"缓冲罐",BR3&lt;&gt;""),0.048*SQRT((BR27-BR26)/BR26),"")</f>
        <v/>
      </c>
      <c r="BS31" s="413" t="str">
        <f aca="false">IF(AND(BS3&lt;&gt;"缓冲罐",BS3&lt;&gt;""),0.048*SQRT((BS27-BS26)/BS26),"")</f>
        <v/>
      </c>
      <c r="BT31" s="413" t="str">
        <f aca="false">IF(AND(BT3&lt;&gt;"缓冲罐",BT3&lt;&gt;""),0.048*SQRT((BT27-BT26)/BT26),"")</f>
        <v/>
      </c>
      <c r="BU31" s="413" t="str">
        <f aca="false">IF(AND(BU3&lt;&gt;"缓冲罐",BU3&lt;&gt;""),0.048*SQRT((BU27-BU26)/BU26),"")</f>
        <v/>
      </c>
      <c r="BV31" s="413" t="str">
        <f aca="false">IF(AND(BV3&lt;&gt;"缓冲罐",BV3&lt;&gt;""),0.048*SQRT((BV27-BV26)/BV26),"")</f>
        <v/>
      </c>
      <c r="BW31" s="413" t="str">
        <f aca="false">IF(AND(BW3&lt;&gt;"缓冲罐",BW3&lt;&gt;""),0.048*SQRT((BW27-BW26)/BW26),"")</f>
        <v/>
      </c>
      <c r="BX31" s="413" t="str">
        <f aca="false">IF(AND(BX3&lt;&gt;"缓冲罐",BX3&lt;&gt;""),0.048*SQRT((BX27-BX26)/BX26),"")</f>
        <v/>
      </c>
      <c r="BY31" s="413" t="str">
        <f aca="false">IF(AND(BY3&lt;&gt;"缓冲罐",BY3&lt;&gt;""),0.048*SQRT((BY27-BY26)/BY26),"")</f>
        <v/>
      </c>
      <c r="BZ31" s="413" t="str">
        <f aca="false">IF(AND(BZ3&lt;&gt;"缓冲罐",BZ3&lt;&gt;""),0.048*SQRT((BZ27-BZ26)/BZ26),"")</f>
        <v/>
      </c>
      <c r="CA31" s="413" t="str">
        <f aca="false">IF(AND(CA3&lt;&gt;"缓冲罐",CA3&lt;&gt;""),0.048*SQRT((CA27-CA26)/CA26),"")</f>
        <v/>
      </c>
      <c r="CB31" s="413" t="str">
        <f aca="false">IF(AND(CB3&lt;&gt;"缓冲罐",CB3&lt;&gt;""),0.048*SQRT((CB27-CB26)/CB26),"")</f>
        <v/>
      </c>
      <c r="CC31" s="413" t="str">
        <f aca="false">IF(AND(CC3&lt;&gt;"缓冲罐",CC3&lt;&gt;""),0.048*SQRT((CC27-CC26)/CC26),"")</f>
        <v/>
      </c>
      <c r="CD31" s="413" t="str">
        <f aca="false">IF(AND(CD3&lt;&gt;"缓冲罐",CD3&lt;&gt;""),0.048*SQRT((CD27-CD26)/CD26),"")</f>
        <v/>
      </c>
      <c r="CE31" s="390"/>
    </row>
    <row r="32" s="384" customFormat="true" ht="15" hidden="false" customHeight="false" outlineLevel="0" collapsed="false">
      <c r="A32" s="405" t="s">
        <v>614</v>
      </c>
      <c r="B32" s="386"/>
      <c r="C32" s="386"/>
      <c r="D32" s="386"/>
      <c r="E32" s="386" t="s">
        <v>616</v>
      </c>
      <c r="F32" s="386"/>
      <c r="G32" s="386" t="s">
        <v>615</v>
      </c>
      <c r="H32" s="386" t="s">
        <v>615</v>
      </c>
      <c r="I32" s="386" t="s">
        <v>615</v>
      </c>
      <c r="J32" s="386" t="s">
        <v>615</v>
      </c>
      <c r="K32" s="386" t="s">
        <v>615</v>
      </c>
      <c r="L32" s="386" t="s">
        <v>615</v>
      </c>
      <c r="M32" s="386" t="s">
        <v>615</v>
      </c>
      <c r="N32" s="386" t="s">
        <v>615</v>
      </c>
      <c r="O32" s="386" t="s">
        <v>615</v>
      </c>
      <c r="P32" s="386" t="s">
        <v>615</v>
      </c>
      <c r="Q32" s="386" t="s">
        <v>615</v>
      </c>
      <c r="R32" s="386" t="s">
        <v>615</v>
      </c>
      <c r="S32" s="386" t="s">
        <v>615</v>
      </c>
      <c r="T32" s="386" t="s">
        <v>615</v>
      </c>
      <c r="U32" s="386" t="s">
        <v>615</v>
      </c>
      <c r="V32" s="386" t="s">
        <v>615</v>
      </c>
      <c r="W32" s="386" t="s">
        <v>615</v>
      </c>
      <c r="X32" s="386" t="s">
        <v>615</v>
      </c>
      <c r="Y32" s="386" t="s">
        <v>615</v>
      </c>
      <c r="Z32" s="386" t="s">
        <v>615</v>
      </c>
      <c r="CE32" s="385"/>
    </row>
    <row r="33" s="384" customFormat="true" ht="15" hidden="false" customHeight="false" outlineLevel="0" collapsed="false">
      <c r="A33" s="405" t="s">
        <v>617</v>
      </c>
      <c r="B33" s="386"/>
      <c r="C33" s="386"/>
      <c r="D33" s="386"/>
      <c r="E33" s="386" t="s">
        <v>615</v>
      </c>
      <c r="F33" s="386"/>
      <c r="G33" s="386" t="s">
        <v>615</v>
      </c>
      <c r="H33" s="386" t="s">
        <v>615</v>
      </c>
      <c r="I33" s="386" t="s">
        <v>615</v>
      </c>
      <c r="J33" s="386" t="s">
        <v>615</v>
      </c>
      <c r="K33" s="386" t="s">
        <v>615</v>
      </c>
      <c r="L33" s="386" t="s">
        <v>615</v>
      </c>
      <c r="M33" s="386" t="s">
        <v>615</v>
      </c>
      <c r="N33" s="386" t="s">
        <v>615</v>
      </c>
      <c r="O33" s="386" t="s">
        <v>615</v>
      </c>
      <c r="P33" s="386" t="s">
        <v>615</v>
      </c>
      <c r="Q33" s="386" t="s">
        <v>615</v>
      </c>
      <c r="R33" s="386" t="s">
        <v>615</v>
      </c>
      <c r="S33" s="386" t="s">
        <v>615</v>
      </c>
      <c r="T33" s="386" t="s">
        <v>615</v>
      </c>
      <c r="U33" s="386" t="s">
        <v>615</v>
      </c>
      <c r="V33" s="386" t="s">
        <v>615</v>
      </c>
      <c r="W33" s="386" t="s">
        <v>615</v>
      </c>
      <c r="X33" s="386" t="s">
        <v>615</v>
      </c>
      <c r="Y33" s="386" t="s">
        <v>615</v>
      </c>
      <c r="Z33" s="386" t="s">
        <v>615</v>
      </c>
      <c r="CE33" s="385"/>
    </row>
    <row r="34" s="391" customFormat="true" ht="15" hidden="false" customHeight="false" outlineLevel="0" collapsed="false">
      <c r="A34" s="393" t="s">
        <v>547</v>
      </c>
      <c r="B34" s="413" t="str">
        <f aca="false">IF(AND(B3&lt;&gt;"缓冲罐",B3&lt;&gt;""),IF(B33="是",B31,(IF(B32="是",B31*1.7,B31*0.8))),"")</f>
        <v/>
      </c>
      <c r="C34" s="413" t="str">
        <f aca="false">IF(AND(C3&lt;&gt;"缓冲罐",C3&lt;&gt;""),IF(C33="是",C31,(IF(C32="是",C31*1.7,C31*0.8))),"")</f>
        <v/>
      </c>
      <c r="D34" s="413" t="str">
        <f aca="false">IF(AND(D3&lt;&gt;"缓冲罐",D3&lt;&gt;""),IF(D33="是",D31,(IF(D32="是",D31*1.7,D31*0.8))),"")</f>
        <v/>
      </c>
      <c r="E34" s="413" t="str">
        <f aca="false">IF(AND(E3&lt;&gt;"缓冲罐",E3&lt;&gt;""),IF(E33="是",E31,(IF(E32="是",E31*1.7,E31*0.8))),"")</f>
        <v/>
      </c>
      <c r="F34" s="413" t="str">
        <f aca="false">IF(AND(F3&lt;&gt;"缓冲罐",F3&lt;&gt;""),IF(F33="是",F31,(IF(F32="是",F31*1.7,F31*0.8))),"")</f>
        <v/>
      </c>
      <c r="G34" s="413" t="str">
        <f aca="false">IF(AND(G3&lt;&gt;"缓冲罐",G3&lt;&gt;""),IF(G33="是",G31,(IF(G32="是",G31*1.7,G31*0.8))),"")</f>
        <v/>
      </c>
      <c r="H34" s="413" t="str">
        <f aca="false">IF(AND(H3&lt;&gt;"缓冲罐",H3&lt;&gt;""),IF(H33="是",H31,(IF(H32="是",H31*1.7,H31*0.8))),"")</f>
        <v/>
      </c>
      <c r="I34" s="413" t="str">
        <f aca="false">IF(AND(I3&lt;&gt;"缓冲罐",I3&lt;&gt;""),IF(I33="是",I31,(IF(I32="是",I31*1.7,I31*0.8))),"")</f>
        <v/>
      </c>
      <c r="J34" s="413" t="str">
        <f aca="false">IF(AND(J3&lt;&gt;"缓冲罐",J3&lt;&gt;""),IF(J33="是",J31,(IF(J32="是",J31*1.7,J31*0.8))),"")</f>
        <v/>
      </c>
      <c r="K34" s="413" t="str">
        <f aca="false">IF(AND(K3&lt;&gt;"缓冲罐",K3&lt;&gt;""),IF(K33="是",K31,(IF(K32="是",K31*1.7,K31*0.8))),"")</f>
        <v/>
      </c>
      <c r="L34" s="413" t="n">
        <f aca="false">IF(AND(L3&lt;&gt;"缓冲罐",L3&lt;&gt;""),IF(L33="是",L31,(IF(L32="是",L31*1.7,L31*0.8))),"")</f>
        <v>0.286105504437474</v>
      </c>
      <c r="M34" s="413" t="n">
        <f aca="false">IF(AND(M3&lt;&gt;"缓冲罐",M3&lt;&gt;""),IF(M33="是",M31,(IF(M32="是",M31*1.7,M31*0.8))),"")</f>
        <v>0.281619233002106</v>
      </c>
      <c r="N34" s="413" t="n">
        <f aca="false">IF(AND(N3&lt;&gt;"缓冲罐",N3&lt;&gt;""),IF(N33="是",N31,(IF(N32="是",N31*1.7,N31*0.8))),"")</f>
        <v>0.233051410637224</v>
      </c>
      <c r="O34" s="413" t="n">
        <f aca="false">IF(AND(O3&lt;&gt;"缓冲罐",O3&lt;&gt;""),IF(O33="是",O31,(IF(O32="是",O31*1.7,O31*0.8))),"")</f>
        <v>0.627955720866066</v>
      </c>
      <c r="P34" s="413" t="n">
        <f aca="false">IF(AND(P3&lt;&gt;"缓冲罐",P3&lt;&gt;""),IF(P33="是",P31,(IF(P32="是",P31*1.7,P31*0.8))),"")</f>
        <v>0.386038460393813</v>
      </c>
      <c r="Q34" s="413" t="n">
        <f aca="false">IF(AND(Q3&lt;&gt;"缓冲罐",Q3&lt;&gt;""),IF(Q33="是",Q31,(IF(Q32="是",Q31*1.7,Q31*0.8))),"")</f>
        <v>0.395352197413901</v>
      </c>
      <c r="R34" s="413" t="n">
        <f aca="false">IF(AND(R3&lt;&gt;"缓冲罐",R3&lt;&gt;""),IF(R33="是",R31,(IF(R32="是",R31*1.7,R31*0.8))),"")</f>
        <v>0.49425240515348</v>
      </c>
      <c r="S34" s="413" t="n">
        <f aca="false">IF(AND(S3&lt;&gt;"缓冲罐",S3&lt;&gt;""),IF(S33="是",S31,(IF(S32="是",S31*1.7,S31*0.8))),"")</f>
        <v>0.638205484150677</v>
      </c>
      <c r="T34" s="413" t="n">
        <f aca="false">IF(AND(T3&lt;&gt;"缓冲罐",T3&lt;&gt;""),IF(T33="是",T31,(IF(T32="是",T31*1.7,T31*0.8))),"")</f>
        <v>0.266464619887168</v>
      </c>
      <c r="U34" s="413" t="n">
        <f aca="false">IF(AND(U3&lt;&gt;"缓冲罐",U3&lt;&gt;""),IF(U33="是",U31,(IF(U32="是",U31*1.7,U31*0.8))),"")</f>
        <v>0.273188145022154</v>
      </c>
      <c r="V34" s="413" t="n">
        <f aca="false">IF(AND(V3&lt;&gt;"缓冲罐",V3&lt;&gt;""),IF(V33="是",V31,(IF(V32="是",V31*1.7,V31*0.8))),"")</f>
        <v>0.273188145022154</v>
      </c>
      <c r="W34" s="413" t="n">
        <f aca="false">IF(AND(W3&lt;&gt;"缓冲罐",W3&lt;&gt;""),IF(W33="是",W31,(IF(W32="是",W31*1.7,W31*0.8))),"")</f>
        <v>0.28175948562903</v>
      </c>
      <c r="X34" s="413" t="n">
        <f aca="false">IF(AND(X3&lt;&gt;"缓冲罐",X3&lt;&gt;""),IF(X33="是",X31,(IF(X32="是",X31*1.7,X31*0.8))),"")</f>
        <v>0.404206348407621</v>
      </c>
      <c r="Y34" s="413" t="n">
        <f aca="false">IF(AND(Y3&lt;&gt;"缓冲罐",Y3&lt;&gt;""),IF(Y33="是",Y31,(IF(Y32="是",Y31*1.7,Y31*0.8))),"")</f>
        <v>0.581123403439902</v>
      </c>
      <c r="Z34" s="413" t="n">
        <f aca="false">IF(AND(Z3&lt;&gt;"缓冲罐",Z3&lt;&gt;""),IF(Z33="是",Z31,(IF(Z32="是",Z31*1.7,Z31*0.8))),"")</f>
        <v>0.710104963911578</v>
      </c>
      <c r="AA34" s="413" t="str">
        <f aca="false">IF(AND(AA3&lt;&gt;"缓冲罐",AA3&lt;&gt;""),IF(AA33="是",AA31,(IF(AA32="是",AA31*1.7,AA31*0.8))),"")</f>
        <v/>
      </c>
      <c r="AB34" s="413" t="str">
        <f aca="false">IF(AND(AB3&lt;&gt;"缓冲罐",AB3&lt;&gt;""),IF(AB33="是",AB31,(IF(AB32="是",AB31*1.7,AB31*0.8))),"")</f>
        <v/>
      </c>
      <c r="AC34" s="413" t="str">
        <f aca="false">IF(AND(AC3&lt;&gt;"缓冲罐",AC3&lt;&gt;""),IF(AC33="是",AC31,(IF(AC32="是",AC31*1.7,AC31*0.8))),"")</f>
        <v/>
      </c>
      <c r="AD34" s="413" t="str">
        <f aca="false">IF(AND(AD3&lt;&gt;"缓冲罐",AD3&lt;&gt;""),IF(AD33="是",AD31,(IF(AD32="是",AD31*1.7,AD31*0.8))),"")</f>
        <v/>
      </c>
      <c r="AE34" s="413" t="str">
        <f aca="false">IF(AND(AE3&lt;&gt;"缓冲罐",AE3&lt;&gt;""),IF(AE33="是",AE31,(IF(AE32="是",AE31*1.7,AE31*0.8))),"")</f>
        <v/>
      </c>
      <c r="AF34" s="413" t="str">
        <f aca="false">IF(AND(AF3&lt;&gt;"缓冲罐",AF3&lt;&gt;""),IF(AF33="是",AF31,(IF(AF32="是",AF31*1.7,AF31*0.8))),"")</f>
        <v/>
      </c>
      <c r="AG34" s="413" t="str">
        <f aca="false">IF(AND(AG3&lt;&gt;"缓冲罐",AG3&lt;&gt;""),IF(AG33="是",AG31,(IF(AG32="是",AG31*1.7,AG31*0.8))),"")</f>
        <v/>
      </c>
      <c r="AH34" s="413" t="str">
        <f aca="false">IF(AND(AH3&lt;&gt;"缓冲罐",AH3&lt;&gt;""),IF(AH33="是",AH31,(IF(AH32="是",AH31*1.7,AH31*0.8))),"")</f>
        <v/>
      </c>
      <c r="AI34" s="413" t="str">
        <f aca="false">IF(AND(AI3&lt;&gt;"缓冲罐",AI3&lt;&gt;""),IF(AI33="是",AI31,(IF(AI32="是",AI31*1.7,AI31*0.8))),"")</f>
        <v/>
      </c>
      <c r="AJ34" s="413" t="str">
        <f aca="false">IF(AND(AJ3&lt;&gt;"缓冲罐",AJ3&lt;&gt;""),IF(AJ33="是",AJ31,(IF(AJ32="是",AJ31*1.7,AJ31*0.8))),"")</f>
        <v/>
      </c>
      <c r="AK34" s="413" t="str">
        <f aca="false">IF(AND(AK3&lt;&gt;"缓冲罐",AK3&lt;&gt;""),IF(AK33="是",AK31,(IF(AK32="是",AK31*1.7,AK31*0.8))),"")</f>
        <v/>
      </c>
      <c r="AL34" s="413" t="str">
        <f aca="false">IF(AND(AL3&lt;&gt;"缓冲罐",AL3&lt;&gt;""),IF(AL33="是",AL31,(IF(AL32="是",AL31*1.7,AL31*0.8))),"")</f>
        <v/>
      </c>
      <c r="AM34" s="413" t="str">
        <f aca="false">IF(AND(AM3&lt;&gt;"缓冲罐",AM3&lt;&gt;""),IF(AM33="是",AM31,(IF(AM32="是",AM31*1.7,AM31*0.8))),"")</f>
        <v/>
      </c>
      <c r="AN34" s="413" t="str">
        <f aca="false">IF(AND(AN3&lt;&gt;"缓冲罐",AN3&lt;&gt;""),IF(AN33="是",AN31,(IF(AN32="是",AN31*1.7,AN31*0.8))),"")</f>
        <v/>
      </c>
      <c r="AO34" s="413" t="str">
        <f aca="false">IF(AND(AO3&lt;&gt;"缓冲罐",AO3&lt;&gt;""),IF(AO33="是",AO31,(IF(AO32="是",AO31*1.7,AO31*0.8))),"")</f>
        <v/>
      </c>
      <c r="AP34" s="413" t="str">
        <f aca="false">IF(AND(AP3&lt;&gt;"缓冲罐",AP3&lt;&gt;""),IF(AP33="是",AP31,(IF(AP32="是",AP31*1.7,AP31*0.8))),"")</f>
        <v/>
      </c>
      <c r="AQ34" s="413" t="str">
        <f aca="false">IF(AND(AQ3&lt;&gt;"缓冲罐",AQ3&lt;&gt;""),IF(AQ33="是",AQ31,(IF(AQ32="是",AQ31*1.7,AQ31*0.8))),"")</f>
        <v/>
      </c>
      <c r="AR34" s="413" t="str">
        <f aca="false">IF(AND(AR3&lt;&gt;"缓冲罐",AR3&lt;&gt;""),IF(AR33="是",AR31,(IF(AR32="是",AR31*1.7,AR31*0.8))),"")</f>
        <v/>
      </c>
      <c r="AS34" s="413" t="str">
        <f aca="false">IF(AND(AS3&lt;&gt;"缓冲罐",AS3&lt;&gt;""),IF(AS33="是",AS31,(IF(AS32="是",AS31*1.7,AS31*0.8))),"")</f>
        <v/>
      </c>
      <c r="AT34" s="413" t="str">
        <f aca="false">IF(AND(AT3&lt;&gt;"缓冲罐",AT3&lt;&gt;""),IF(AT33="是",AT31,(IF(AT32="是",AT31*1.7,AT31*0.8))),"")</f>
        <v/>
      </c>
      <c r="AU34" s="413" t="str">
        <f aca="false">IF(AND(AU3&lt;&gt;"缓冲罐",AU3&lt;&gt;""),IF(AU33="是",AU31,(IF(AU32="是",AU31*1.7,AU31*0.8))),"")</f>
        <v/>
      </c>
      <c r="AV34" s="413" t="str">
        <f aca="false">IF(AND(AV3&lt;&gt;"缓冲罐",AV3&lt;&gt;""),IF(AV33="是",AV31,(IF(AV32="是",AV31*1.7,AV31*0.8))),"")</f>
        <v/>
      </c>
      <c r="AW34" s="413" t="str">
        <f aca="false">IF(AND(AW3&lt;&gt;"缓冲罐",AW3&lt;&gt;""),IF(AW33="是",AW31,(IF(AW32="是",AW31*1.7,AW31*0.8))),"")</f>
        <v/>
      </c>
      <c r="AX34" s="413" t="str">
        <f aca="false">IF(AND(AX3&lt;&gt;"缓冲罐",AX3&lt;&gt;""),IF(AX33="是",AX31,(IF(AX32="是",AX31*1.7,AX31*0.8))),"")</f>
        <v/>
      </c>
      <c r="AY34" s="413" t="str">
        <f aca="false">IF(AND(AY3&lt;&gt;"缓冲罐",AY3&lt;&gt;""),IF(AY33="是",AY31,(IF(AY32="是",AY31*1.7,AY31*0.8))),"")</f>
        <v/>
      </c>
      <c r="AZ34" s="413" t="str">
        <f aca="false">IF(AND(AZ3&lt;&gt;"缓冲罐",AZ3&lt;&gt;""),IF(AZ33="是",AZ31,(IF(AZ32="是",AZ31*1.7,AZ31*0.8))),"")</f>
        <v/>
      </c>
      <c r="BA34" s="413" t="str">
        <f aca="false">IF(AND(BA3&lt;&gt;"缓冲罐",BA3&lt;&gt;""),IF(BA33="是",BA31,(IF(BA32="是",BA31*1.7,BA31*0.8))),"")</f>
        <v/>
      </c>
      <c r="BB34" s="413" t="str">
        <f aca="false">IF(AND(BB3&lt;&gt;"缓冲罐",BB3&lt;&gt;""),IF(BB33="是",BB31,(IF(BB32="是",BB31*1.7,BB31*0.8))),"")</f>
        <v/>
      </c>
      <c r="BC34" s="413" t="str">
        <f aca="false">IF(AND(BC3&lt;&gt;"缓冲罐",BC3&lt;&gt;""),IF(BC33="是",BC31,(IF(BC32="是",BC31*1.7,BC31*0.8))),"")</f>
        <v/>
      </c>
      <c r="BD34" s="413" t="str">
        <f aca="false">IF(AND(BD3&lt;&gt;"缓冲罐",BD3&lt;&gt;""),IF(BD33="是",BD31,(IF(BD32="是",BD31*1.7,BD31*0.8))),"")</f>
        <v/>
      </c>
      <c r="BE34" s="413" t="str">
        <f aca="false">IF(AND(BE3&lt;&gt;"缓冲罐",BE3&lt;&gt;""),IF(BE33="是",BE31,(IF(BE32="是",BE31*1.7,BE31*0.8))),"")</f>
        <v/>
      </c>
      <c r="BF34" s="413" t="str">
        <f aca="false">IF(AND(BF3&lt;&gt;"缓冲罐",BF3&lt;&gt;""),IF(BF33="是",BF31,(IF(BF32="是",BF31*1.7,BF31*0.8))),"")</f>
        <v/>
      </c>
      <c r="BG34" s="413" t="str">
        <f aca="false">IF(AND(BG3&lt;&gt;"缓冲罐",BG3&lt;&gt;""),IF(BG33="是",BG31,(IF(BG32="是",BG31*1.7,BG31*0.8))),"")</f>
        <v/>
      </c>
      <c r="BH34" s="413" t="str">
        <f aca="false">IF(AND(BH3&lt;&gt;"缓冲罐",BH3&lt;&gt;""),IF(BH33="是",BH31,(IF(BH32="是",BH31*1.7,BH31*0.8))),"")</f>
        <v/>
      </c>
      <c r="BI34" s="413" t="str">
        <f aca="false">IF(AND(BI3&lt;&gt;"缓冲罐",BI3&lt;&gt;""),IF(BI33="是",BI31,(IF(BI32="是",BI31*1.7,BI31*0.8))),"")</f>
        <v/>
      </c>
      <c r="BJ34" s="413" t="str">
        <f aca="false">IF(AND(BJ3&lt;&gt;"缓冲罐",BJ3&lt;&gt;""),IF(BJ33="是",BJ31,(IF(BJ32="是",BJ31*1.7,BJ31*0.8))),"")</f>
        <v/>
      </c>
      <c r="BK34" s="413" t="str">
        <f aca="false">IF(AND(BK3&lt;&gt;"缓冲罐",BK3&lt;&gt;""),IF(BK33="是",BK31,(IF(BK32="是",BK31*1.7,BK31*0.8))),"")</f>
        <v/>
      </c>
      <c r="BL34" s="413" t="str">
        <f aca="false">IF(AND(BL3&lt;&gt;"缓冲罐",BL3&lt;&gt;""),IF(BL33="是",BL31,(IF(BL32="是",BL31*1.7,BL31*0.8))),"")</f>
        <v/>
      </c>
      <c r="BM34" s="413" t="str">
        <f aca="false">IF(AND(BM3&lt;&gt;"缓冲罐",BM3&lt;&gt;""),IF(BM33="是",BM31,(IF(BM32="是",BM31*1.7,BM31*0.8))),"")</f>
        <v/>
      </c>
      <c r="BN34" s="413" t="str">
        <f aca="false">IF(AND(BN3&lt;&gt;"缓冲罐",BN3&lt;&gt;""),IF(BN33="是",BN31,(IF(BN32="是",BN31*1.7,BN31*0.8))),"")</f>
        <v/>
      </c>
      <c r="BO34" s="413" t="str">
        <f aca="false">IF(AND(BO3&lt;&gt;"缓冲罐",BO3&lt;&gt;""),IF(BO33="是",BO31,(IF(BO32="是",BO31*1.7,BO31*0.8))),"")</f>
        <v/>
      </c>
      <c r="BP34" s="413" t="str">
        <f aca="false">IF(AND(BP3&lt;&gt;"缓冲罐",BP3&lt;&gt;""),IF(BP33="是",BP31,(IF(BP32="是",BP31*1.7,BP31*0.8))),"")</f>
        <v/>
      </c>
      <c r="BQ34" s="413" t="str">
        <f aca="false">IF(AND(BQ3&lt;&gt;"缓冲罐",BQ3&lt;&gt;""),IF(BQ33="是",BQ31,(IF(BQ32="是",BQ31*1.7,BQ31*0.8))),"")</f>
        <v/>
      </c>
      <c r="BR34" s="413" t="str">
        <f aca="false">IF(AND(BR3&lt;&gt;"缓冲罐",BR3&lt;&gt;""),IF(BR33="是",BR31,(IF(BR32="是",BR31*1.7,BR31*0.8))),"")</f>
        <v/>
      </c>
      <c r="BS34" s="413" t="str">
        <f aca="false">IF(AND(BS3&lt;&gt;"缓冲罐",BS3&lt;&gt;""),IF(BS33="是",BS31,(IF(BS32="是",BS31*1.7,BS31*0.8))),"")</f>
        <v/>
      </c>
      <c r="BT34" s="413" t="str">
        <f aca="false">IF(AND(BT3&lt;&gt;"缓冲罐",BT3&lt;&gt;""),IF(BT33="是",BT31,(IF(BT32="是",BT31*1.7,BT31*0.8))),"")</f>
        <v/>
      </c>
      <c r="BU34" s="413" t="str">
        <f aca="false">IF(AND(BU3&lt;&gt;"缓冲罐",BU3&lt;&gt;""),IF(BU33="是",BU31,(IF(BU32="是",BU31*1.7,BU31*0.8))),"")</f>
        <v/>
      </c>
      <c r="BV34" s="413" t="str">
        <f aca="false">IF(AND(BV3&lt;&gt;"缓冲罐",BV3&lt;&gt;""),IF(BV33="是",BV31,(IF(BV32="是",BV31*1.7,BV31*0.8))),"")</f>
        <v/>
      </c>
      <c r="BW34" s="413" t="str">
        <f aca="false">IF(AND(BW3&lt;&gt;"缓冲罐",BW3&lt;&gt;""),IF(BW33="是",BW31,(IF(BW32="是",BW31*1.7,BW31*0.8))),"")</f>
        <v/>
      </c>
      <c r="BX34" s="413" t="str">
        <f aca="false">IF(AND(BX3&lt;&gt;"缓冲罐",BX3&lt;&gt;""),IF(BX33="是",BX31,(IF(BX32="是",BX31*1.7,BX31*0.8))),"")</f>
        <v/>
      </c>
      <c r="BY34" s="413" t="str">
        <f aca="false">IF(AND(BY3&lt;&gt;"缓冲罐",BY3&lt;&gt;""),IF(BY33="是",BY31,(IF(BY32="是",BY31*1.7,BY31*0.8))),"")</f>
        <v/>
      </c>
      <c r="BZ34" s="413" t="str">
        <f aca="false">IF(AND(BZ3&lt;&gt;"缓冲罐",BZ3&lt;&gt;""),IF(BZ33="是",BZ31,(IF(BZ32="是",BZ31*1.7,BZ31*0.8))),"")</f>
        <v/>
      </c>
      <c r="CA34" s="413" t="str">
        <f aca="false">IF(AND(CA3&lt;&gt;"缓冲罐",CA3&lt;&gt;""),IF(CA33="是",CA31,(IF(CA32="是",CA31*1.7,CA31*0.8))),"")</f>
        <v/>
      </c>
      <c r="CB34" s="413" t="str">
        <f aca="false">IF(AND(CB3&lt;&gt;"缓冲罐",CB3&lt;&gt;""),IF(CB33="是",CB31,(IF(CB32="是",CB31*1.7,CB31*0.8))),"")</f>
        <v/>
      </c>
      <c r="CC34" s="413" t="str">
        <f aca="false">IF(AND(CC3&lt;&gt;"缓冲罐",CC3&lt;&gt;""),IF(CC33="是",CC31,(IF(CC32="是",CC31*1.7,CC31*0.8))),"")</f>
        <v/>
      </c>
      <c r="CD34" s="413" t="str">
        <f aca="false">IF(AND(CD3&lt;&gt;"缓冲罐",CD3&lt;&gt;""),IF(CD33="是",CD31,(IF(CD32="是",CD31*1.7,CD31*0.8))),"")</f>
        <v/>
      </c>
      <c r="CE34" s="390"/>
    </row>
    <row r="35" s="384" customFormat="true" ht="15" hidden="false" customHeight="false" outlineLevel="0" collapsed="false">
      <c r="A35" s="420" t="s">
        <v>633</v>
      </c>
      <c r="B35" s="384" t="n">
        <f aca="false">9000/12300</f>
        <v>0.731707317073171</v>
      </c>
      <c r="C35" s="384" t="n">
        <f aca="false">9000/12300</f>
        <v>0.731707317073171</v>
      </c>
      <c r="D35" s="384" t="n">
        <v>0.8</v>
      </c>
      <c r="E35" s="384" t="n">
        <v>0.8</v>
      </c>
      <c r="F35" s="384" t="n">
        <v>0.8</v>
      </c>
      <c r="G35" s="384" t="n">
        <v>0.8</v>
      </c>
      <c r="H35" s="243" t="n">
        <v>0.8</v>
      </c>
      <c r="I35" s="243" t="n">
        <v>0.8</v>
      </c>
      <c r="J35" s="243" t="n">
        <v>0.8</v>
      </c>
      <c r="K35" s="243" t="n">
        <v>0.8</v>
      </c>
      <c r="L35" s="386" t="n">
        <v>0.4</v>
      </c>
      <c r="M35" s="386" t="n">
        <v>0.8</v>
      </c>
      <c r="N35" s="386" t="n">
        <v>0.4</v>
      </c>
      <c r="O35" s="386" t="n">
        <v>0.36</v>
      </c>
      <c r="P35" s="386" t="n">
        <v>0.8</v>
      </c>
      <c r="Q35" s="386" t="n">
        <v>0.4</v>
      </c>
      <c r="R35" s="386" t="n">
        <v>1</v>
      </c>
      <c r="S35" s="386" t="n">
        <v>1</v>
      </c>
      <c r="T35" s="386" t="n">
        <v>1</v>
      </c>
      <c r="U35" s="386" t="n">
        <v>1</v>
      </c>
      <c r="V35" s="386" t="n">
        <v>1</v>
      </c>
      <c r="W35" s="386" t="n">
        <v>1</v>
      </c>
      <c r="X35" s="386" t="n">
        <v>1</v>
      </c>
      <c r="Y35" s="386" t="n">
        <v>1</v>
      </c>
      <c r="Z35" s="386" t="n">
        <v>1</v>
      </c>
      <c r="CE35" s="385"/>
    </row>
    <row r="36" s="391" customFormat="true" ht="15" hidden="false" customHeight="false" outlineLevel="0" collapsed="false">
      <c r="A36" s="421" t="s">
        <v>618</v>
      </c>
      <c r="B36" s="422" t="n">
        <f aca="false">IF(B4&lt;&gt;"",IF(B4="立式",1,1-B35),"")</f>
        <v>1</v>
      </c>
      <c r="C36" s="422" t="n">
        <f aca="false">IF(C4&lt;&gt;"",IF(C4="立式",1,1-C35),"")</f>
        <v>1</v>
      </c>
      <c r="D36" s="422" t="n">
        <f aca="false">IF(D4&lt;&gt;"",IF(D4="立式",1,1-D35),"")</f>
        <v>1</v>
      </c>
      <c r="E36" s="422" t="n">
        <f aca="false">IF(E4&lt;&gt;"",IF(E4="立式",1,1-E35),"")</f>
        <v>1</v>
      </c>
      <c r="F36" s="422" t="n">
        <f aca="false">IF(F4&lt;&gt;"",IF(F4="立式",1,1-F35),"")</f>
        <v>1</v>
      </c>
      <c r="G36" s="422" t="n">
        <f aca="false">IF(G4&lt;&gt;"",IF(G4="立式",1,1-G35),"")</f>
        <v>1</v>
      </c>
      <c r="H36" s="422" t="n">
        <f aca="false">IF(H4&lt;&gt;"",IF(H4="立式",1,1-H35),"")</f>
        <v>1</v>
      </c>
      <c r="I36" s="422" t="n">
        <f aca="false">IF(I4&lt;&gt;"",IF(I4="立式",1,1-I35),"")</f>
        <v>1</v>
      </c>
      <c r="J36" s="422" t="n">
        <f aca="false">IF(J4&lt;&gt;"",IF(J4="立式",1,1-J35),"")</f>
        <v>1</v>
      </c>
      <c r="K36" s="422" t="n">
        <f aca="false">IF(K4&lt;&gt;"",IF(K4="立式",1,1-K35),"")</f>
        <v>1</v>
      </c>
      <c r="L36" s="422" t="n">
        <v>0.4</v>
      </c>
      <c r="M36" s="422" t="n">
        <v>1</v>
      </c>
      <c r="N36" s="422" t="n">
        <f aca="false">IF(N4&lt;&gt;"",IF(N4="立式",1,1-N35),"")</f>
        <v>1</v>
      </c>
      <c r="O36" s="422" t="n">
        <f aca="false">IF(O4&lt;&gt;"",IF(O4="立式",1,1-O35),"")</f>
        <v>1</v>
      </c>
      <c r="P36" s="422" t="n">
        <v>1</v>
      </c>
      <c r="Q36" s="422" t="n">
        <f aca="false">IF(Q4&lt;&gt;"",IF(Q4="立式",1,1-Q35),"")</f>
        <v>1</v>
      </c>
      <c r="R36" s="422" t="n">
        <v>1</v>
      </c>
      <c r="S36" s="422" t="n">
        <v>1</v>
      </c>
      <c r="T36" s="422" t="n">
        <v>0.5</v>
      </c>
      <c r="U36" s="422" t="n">
        <v>0.5</v>
      </c>
      <c r="V36" s="422" t="n">
        <v>0.5</v>
      </c>
      <c r="W36" s="422" t="n">
        <v>0.5</v>
      </c>
      <c r="X36" s="422" t="n">
        <v>0.5</v>
      </c>
      <c r="Y36" s="422" t="n">
        <v>0.5</v>
      </c>
      <c r="Z36" s="422" t="n">
        <v>0.5</v>
      </c>
      <c r="AA36" s="422" t="str">
        <f aca="false">IF(AA4&lt;&gt;"",IF(AA4="立式",1,1-AA35),"")</f>
        <v/>
      </c>
      <c r="AB36" s="422" t="str">
        <f aca="false">IF(AB4&lt;&gt;"",IF(AB4="立式",1,1-AB35),"")</f>
        <v/>
      </c>
      <c r="AC36" s="422" t="str">
        <f aca="false">IF(AC4&lt;&gt;"",IF(AC4="立式",1,1-AC35),"")</f>
        <v/>
      </c>
      <c r="AD36" s="422" t="str">
        <f aca="false">IF(AD4&lt;&gt;"",IF(AD4="立式",1,1-AD35),"")</f>
        <v/>
      </c>
      <c r="AE36" s="422" t="str">
        <f aca="false">IF(AE4&lt;&gt;"",IF(AE4="立式",1,1-AE35),"")</f>
        <v/>
      </c>
      <c r="AF36" s="422" t="str">
        <f aca="false">IF(AF4&lt;&gt;"",IF(AF4="立式",1,1-AF35),"")</f>
        <v/>
      </c>
      <c r="AG36" s="422" t="str">
        <f aca="false">IF(AG4&lt;&gt;"",IF(AG4="立式",1,1-AG35),"")</f>
        <v/>
      </c>
      <c r="AH36" s="422" t="str">
        <f aca="false">IF(AH4&lt;&gt;"",IF(AH4="立式",1,1-AH35),"")</f>
        <v/>
      </c>
      <c r="AI36" s="422" t="str">
        <f aca="false">IF(AI4&lt;&gt;"",IF(AI4="立式",1,1-AI35),"")</f>
        <v/>
      </c>
      <c r="AJ36" s="422" t="str">
        <f aca="false">IF(AJ4&lt;&gt;"",IF(AJ4="立式",1,1-AJ35),"")</f>
        <v/>
      </c>
      <c r="AK36" s="422" t="str">
        <f aca="false">IF(AK4&lt;&gt;"",IF(AK4="立式",1,1-AK35),"")</f>
        <v/>
      </c>
      <c r="AL36" s="422" t="str">
        <f aca="false">IF(AL4&lt;&gt;"",IF(AL4="立式",1,1-AL35),"")</f>
        <v/>
      </c>
      <c r="AM36" s="422" t="str">
        <f aca="false">IF(AM4&lt;&gt;"",IF(AM4="立式",1,1-AM35),"")</f>
        <v/>
      </c>
      <c r="AN36" s="422" t="str">
        <f aca="false">IF(AN4&lt;&gt;"",IF(AN4="立式",1,1-AN35),"")</f>
        <v/>
      </c>
      <c r="AO36" s="422" t="str">
        <f aca="false">IF(AO4&lt;&gt;"",IF(AO4="立式",1,1-AO35),"")</f>
        <v/>
      </c>
      <c r="AP36" s="422" t="str">
        <f aca="false">IF(AP4&lt;&gt;"",IF(AP4="立式",1,1-AP35),"")</f>
        <v/>
      </c>
      <c r="AQ36" s="422" t="str">
        <f aca="false">IF(AQ4&lt;&gt;"",IF(AQ4="立式",1,1-AQ35),"")</f>
        <v/>
      </c>
      <c r="AR36" s="422" t="str">
        <f aca="false">IF(AR4&lt;&gt;"",IF(AR4="立式",1,1-AR35),"")</f>
        <v/>
      </c>
      <c r="AS36" s="422" t="str">
        <f aca="false">IF(AS4&lt;&gt;"",IF(AS4="立式",1,1-AS35),"")</f>
        <v/>
      </c>
      <c r="AT36" s="422" t="str">
        <f aca="false">IF(AT4&lt;&gt;"",IF(AT4="立式",1,1-AT35),"")</f>
        <v/>
      </c>
      <c r="AU36" s="422" t="str">
        <f aca="false">IF(AU4&lt;&gt;"",IF(AU4="立式",1,1-AU35),"")</f>
        <v/>
      </c>
      <c r="AV36" s="422" t="str">
        <f aca="false">IF(AV4&lt;&gt;"",IF(AV4="立式",1,1-AV35),"")</f>
        <v/>
      </c>
      <c r="AW36" s="422" t="str">
        <f aca="false">IF(AW4&lt;&gt;"",IF(AW4="立式",1,1-AW35),"")</f>
        <v/>
      </c>
      <c r="AX36" s="422" t="str">
        <f aca="false">IF(AX4&lt;&gt;"",IF(AX4="立式",1,1-AX35),"")</f>
        <v/>
      </c>
      <c r="AY36" s="422" t="str">
        <f aca="false">IF(AY4&lt;&gt;"",IF(AY4="立式",1,1-AY35),"")</f>
        <v/>
      </c>
      <c r="AZ36" s="422" t="str">
        <f aca="false">IF(AZ4&lt;&gt;"",IF(AZ4="立式",1,1-AZ35),"")</f>
        <v/>
      </c>
      <c r="BA36" s="422" t="str">
        <f aca="false">IF(BA4&lt;&gt;"",IF(BA4="立式",1,1-BA35),"")</f>
        <v/>
      </c>
      <c r="BB36" s="422" t="str">
        <f aca="false">IF(BB4&lt;&gt;"",IF(BB4="立式",1,1-BB35),"")</f>
        <v/>
      </c>
      <c r="BC36" s="422" t="str">
        <f aca="false">IF(BC4&lt;&gt;"",IF(BC4="立式",1,1-BC35),"")</f>
        <v/>
      </c>
      <c r="BD36" s="422" t="str">
        <f aca="false">IF(BD4&lt;&gt;"",IF(BD4="立式",1,1-BD35),"")</f>
        <v/>
      </c>
      <c r="BE36" s="422" t="str">
        <f aca="false">IF(BE4&lt;&gt;"",IF(BE4="立式",1,1-BE35),"")</f>
        <v/>
      </c>
      <c r="BF36" s="422" t="str">
        <f aca="false">IF(BF4&lt;&gt;"",IF(BF4="立式",1,1-BF35),"")</f>
        <v/>
      </c>
      <c r="BG36" s="422" t="str">
        <f aca="false">IF(BG4&lt;&gt;"",IF(BG4="立式",1,1-BG35),"")</f>
        <v/>
      </c>
      <c r="BH36" s="422" t="str">
        <f aca="false">IF(BH4&lt;&gt;"",IF(BH4="立式",1,1-BH35),"")</f>
        <v/>
      </c>
      <c r="BI36" s="422" t="str">
        <f aca="false">IF(BI4&lt;&gt;"",IF(BI4="立式",1,1-BI35),"")</f>
        <v/>
      </c>
      <c r="BJ36" s="422" t="str">
        <f aca="false">IF(BJ4&lt;&gt;"",IF(BJ4="立式",1,1-BJ35),"")</f>
        <v/>
      </c>
      <c r="BK36" s="422" t="str">
        <f aca="false">IF(BK4&lt;&gt;"",IF(BK4="立式",1,1-BK35),"")</f>
        <v/>
      </c>
      <c r="BL36" s="422" t="str">
        <f aca="false">IF(BL4&lt;&gt;"",IF(BL4="立式",1,1-BL35),"")</f>
        <v/>
      </c>
      <c r="BM36" s="422" t="str">
        <f aca="false">IF(BM4&lt;&gt;"",IF(BM4="立式",1,1-BM35),"")</f>
        <v/>
      </c>
      <c r="BN36" s="422" t="str">
        <f aca="false">IF(BN4&lt;&gt;"",IF(BN4="立式",1,1-BN35),"")</f>
        <v/>
      </c>
      <c r="BO36" s="422" t="str">
        <f aca="false">IF(BO4&lt;&gt;"",IF(BO4="立式",1,1-BO35),"")</f>
        <v/>
      </c>
      <c r="BP36" s="422" t="str">
        <f aca="false">IF(BP4&lt;&gt;"",IF(BP4="立式",1,1-BP35),"")</f>
        <v/>
      </c>
      <c r="BQ36" s="422" t="str">
        <f aca="false">IF(BQ4&lt;&gt;"",IF(BQ4="立式",1,1-BQ35),"")</f>
        <v/>
      </c>
      <c r="BR36" s="422" t="str">
        <f aca="false">IF(BR4&lt;&gt;"",IF(BR4="立式",1,1-BR35),"")</f>
        <v/>
      </c>
      <c r="BS36" s="422" t="str">
        <f aca="false">IF(BS4&lt;&gt;"",IF(BS4="立式",1,1-BS35),"")</f>
        <v/>
      </c>
      <c r="BT36" s="422" t="str">
        <f aca="false">IF(BT4&lt;&gt;"",IF(BT4="立式",1,1-BT35),"")</f>
        <v/>
      </c>
      <c r="BU36" s="422" t="str">
        <f aca="false">IF(BU4&lt;&gt;"",IF(BU4="立式",1,1-BU35),"")</f>
        <v/>
      </c>
      <c r="BV36" s="422" t="str">
        <f aca="false">IF(BV4&lt;&gt;"",IF(BV4="立式",1,1-BV35),"")</f>
        <v/>
      </c>
      <c r="BW36" s="422" t="str">
        <f aca="false">IF(BW4&lt;&gt;"",IF(BW4="立式",1,1-BW35),"")</f>
        <v/>
      </c>
      <c r="BX36" s="422" t="str">
        <f aca="false">IF(BX4&lt;&gt;"",IF(BX4="立式",1,1-BX35),"")</f>
        <v/>
      </c>
      <c r="BY36" s="422" t="str">
        <f aca="false">IF(BY4&lt;&gt;"",IF(BY4="立式",1,1-BY35),"")</f>
        <v/>
      </c>
      <c r="BZ36" s="422" t="str">
        <f aca="false">IF(BZ4&lt;&gt;"",IF(BZ4="立式",1,1-BZ35),"")</f>
        <v/>
      </c>
      <c r="CA36" s="422" t="str">
        <f aca="false">IF(CA4&lt;&gt;"",IF(CA4="立式",1,1-CA35),"")</f>
        <v/>
      </c>
      <c r="CB36" s="422" t="str">
        <f aca="false">IF(CB4&lt;&gt;"",IF(CB4="立式",1,1-CB35),"")</f>
        <v/>
      </c>
      <c r="CC36" s="422" t="str">
        <f aca="false">IF(CC4&lt;&gt;"",IF(CC4="立式",1,1-CC35),"")</f>
        <v/>
      </c>
      <c r="CD36" s="422" t="str">
        <f aca="false">IF(CD4&lt;&gt;"",IF(CD4="立式",1,1-CD35),"")</f>
        <v/>
      </c>
      <c r="CE36" s="390"/>
    </row>
    <row r="37" s="391" customFormat="true" ht="15" hidden="false" customHeight="false" outlineLevel="0" collapsed="false">
      <c r="A37" s="388" t="s">
        <v>619</v>
      </c>
      <c r="B37" s="423" t="str">
        <f aca="false">IF(AND(B3&lt;&gt;"缓冲罐",B3&lt;&gt;""),0.785*B6^2*B36,"")</f>
        <v/>
      </c>
      <c r="C37" s="423" t="str">
        <f aca="false">IF(AND(C3&lt;&gt;"缓冲罐",C3&lt;&gt;""),0.785*C6^2*C36,"")</f>
        <v/>
      </c>
      <c r="D37" s="423" t="str">
        <f aca="false">IF(AND(D3&lt;&gt;"缓冲罐",D3&lt;&gt;""),0.785*D6^2*D36,"")</f>
        <v/>
      </c>
      <c r="E37" s="423" t="str">
        <f aca="false">IF(AND(E3&lt;&gt;"缓冲罐",E3&lt;&gt;""),0.785*E6^2*E36,"")</f>
        <v/>
      </c>
      <c r="F37" s="423" t="str">
        <f aca="false">IF(AND(F3&lt;&gt;"缓冲罐",F3&lt;&gt;""),0.785*F6^2*F36,"")</f>
        <v/>
      </c>
      <c r="G37" s="423" t="str">
        <f aca="false">IF(AND(G3&lt;&gt;"缓冲罐",G3&lt;&gt;""),0.785*G6^2*G36,"")</f>
        <v/>
      </c>
      <c r="H37" s="423" t="str">
        <f aca="false">IF(AND(H3&lt;&gt;"缓冲罐",H3&lt;&gt;""),0.785*H6^2*H36,"")</f>
        <v/>
      </c>
      <c r="I37" s="423" t="str">
        <f aca="false">IF(AND(I3&lt;&gt;"缓冲罐",I3&lt;&gt;""),0.785*I6^2*I36,"")</f>
        <v/>
      </c>
      <c r="J37" s="423" t="str">
        <f aca="false">IF(AND(J3&lt;&gt;"缓冲罐",J3&lt;&gt;""),0.785*J6^2*J36,"")</f>
        <v/>
      </c>
      <c r="K37" s="423" t="str">
        <f aca="false">IF(AND(K3&lt;&gt;"缓冲罐",K3&lt;&gt;""),0.785*K6^2*K36,"")</f>
        <v/>
      </c>
      <c r="L37" s="422" t="n">
        <f aca="false">IF(AND(L3&lt;&gt;"缓冲罐",L3&lt;&gt;""),0.785*L6^2*L36,"")</f>
        <v>1.51976</v>
      </c>
      <c r="M37" s="422" t="n">
        <f aca="false">IF(AND(M3&lt;&gt;"缓冲罐",M3&lt;&gt;""),0.785*M6^2*M36,"")</f>
        <v>7.065</v>
      </c>
      <c r="N37" s="423" t="n">
        <f aca="false">IF(AND(N3&lt;&gt;"缓冲罐",N3&lt;&gt;""),0.785*N6^2*N36,"")</f>
        <v>16.6106</v>
      </c>
      <c r="O37" s="422" t="n">
        <f aca="false">IF(AND(O3&lt;&gt;"缓冲罐",O3&lt;&gt;""),0.785*O6^2*O36,"")</f>
        <v>1.5386</v>
      </c>
      <c r="P37" s="422" t="n">
        <f aca="false">IF(AND(P3&lt;&gt;"缓冲罐",P3&lt;&gt;""),0.785*P6^2*P36,"")</f>
        <v>12.56</v>
      </c>
      <c r="Q37" s="422" t="n">
        <f aca="false">IF(AND(Q3&lt;&gt;"缓冲罐",Q3&lt;&gt;""),0.785*Q6^2*Q36,"")</f>
        <v>0.785</v>
      </c>
      <c r="R37" s="422" t="n">
        <f aca="false">IF(AND(R3&lt;&gt;"缓冲罐",R3&lt;&gt;""),0.785*R6^2*R36,"")</f>
        <v>1.5386</v>
      </c>
      <c r="S37" s="422" t="n">
        <f aca="false">IF(AND(S3&lt;&gt;"缓冲罐",S3&lt;&gt;""),0.785*S6^2*S36,"")</f>
        <v>1.5386</v>
      </c>
      <c r="T37" s="422" t="n">
        <f aca="false">IF(AND(T3&lt;&gt;"缓冲罐",T3&lt;&gt;""),0.785*T6^2*T36,"")</f>
        <v>1.57</v>
      </c>
      <c r="U37" s="422" t="n">
        <f aca="false">IF(AND(U3&lt;&gt;"缓冲罐",U3&lt;&gt;""),0.785*U6^2*U36,"")</f>
        <v>5.0868</v>
      </c>
      <c r="V37" s="422" t="n">
        <f aca="false">IF(AND(V3&lt;&gt;"缓冲罐",V3&lt;&gt;""),0.785*V6^2*V36,"")</f>
        <v>1.8997</v>
      </c>
      <c r="W37" s="422" t="n">
        <f aca="false">IF(AND(W3&lt;&gt;"缓冲罐",W3&lt;&gt;""),0.785*W6^2*W36,"")</f>
        <v>1.8997</v>
      </c>
      <c r="X37" s="422" t="n">
        <f aca="false">IF(AND(X3&lt;&gt;"缓冲罐",X3&lt;&gt;""),0.785*X6^2*X36,"")</f>
        <v>1.8997</v>
      </c>
      <c r="Y37" s="422" t="n">
        <f aca="false">IF(AND(Y3&lt;&gt;"缓冲罐",Y3&lt;&gt;""),0.785*Y6^2*Y36,"")</f>
        <v>0.883125</v>
      </c>
      <c r="Z37" s="422" t="n">
        <f aca="false">IF(AND(Z3&lt;&gt;"缓冲罐",Z3&lt;&gt;""),0.785*Z6^2*Z36,"")</f>
        <v>0.883125</v>
      </c>
      <c r="AA37" s="423" t="str">
        <f aca="false">IF(AND(AA3&lt;&gt;"缓冲罐",AA3&lt;&gt;""),0.785*AA6^2*AA36,"")</f>
        <v/>
      </c>
      <c r="AB37" s="423" t="str">
        <f aca="false">IF(AND(AB3&lt;&gt;"缓冲罐",AB3&lt;&gt;""),0.785*AB6^2*AB36,"")</f>
        <v/>
      </c>
      <c r="AC37" s="423" t="str">
        <f aca="false">IF(AND(AC3&lt;&gt;"缓冲罐",AC3&lt;&gt;""),0.785*AC6^2*AC36,"")</f>
        <v/>
      </c>
      <c r="AD37" s="423" t="str">
        <f aca="false">IF(AND(AD3&lt;&gt;"缓冲罐",AD3&lt;&gt;""),0.785*AD6^2*AD36,"")</f>
        <v/>
      </c>
      <c r="AE37" s="423" t="str">
        <f aca="false">IF(AND(AE3&lt;&gt;"缓冲罐",AE3&lt;&gt;""),0.785*AE6^2*AE36,"")</f>
        <v/>
      </c>
      <c r="AF37" s="423" t="str">
        <f aca="false">IF(AND(AF3&lt;&gt;"缓冲罐",AF3&lt;&gt;""),0.785*AF6^2*AF36,"")</f>
        <v/>
      </c>
      <c r="AG37" s="423" t="str">
        <f aca="false">IF(AND(AG3&lt;&gt;"缓冲罐",AG3&lt;&gt;""),0.785*AG6^2*AG36,"")</f>
        <v/>
      </c>
      <c r="AH37" s="423" t="str">
        <f aca="false">IF(AND(AH3&lt;&gt;"缓冲罐",AH3&lt;&gt;""),0.785*AH6^2*AH36,"")</f>
        <v/>
      </c>
      <c r="AI37" s="423" t="str">
        <f aca="false">IF(AND(AI3&lt;&gt;"缓冲罐",AI3&lt;&gt;""),0.785*AI6^2*AI36,"")</f>
        <v/>
      </c>
      <c r="AJ37" s="423" t="str">
        <f aca="false">IF(AND(AJ3&lt;&gt;"缓冲罐",AJ3&lt;&gt;""),0.785*AJ6^2*AJ36,"")</f>
        <v/>
      </c>
      <c r="AK37" s="423" t="str">
        <f aca="false">IF(AND(AK3&lt;&gt;"缓冲罐",AK3&lt;&gt;""),0.785*AK6^2*AK36,"")</f>
        <v/>
      </c>
      <c r="AL37" s="423" t="str">
        <f aca="false">IF(AND(AL3&lt;&gt;"缓冲罐",AL3&lt;&gt;""),0.785*AL6^2*AL36,"")</f>
        <v/>
      </c>
      <c r="AM37" s="423" t="str">
        <f aca="false">IF(AND(AM3&lt;&gt;"缓冲罐",AM3&lt;&gt;""),0.785*AM6^2*AM36,"")</f>
        <v/>
      </c>
      <c r="AN37" s="423" t="str">
        <f aca="false">IF(AND(AN3&lt;&gt;"缓冲罐",AN3&lt;&gt;""),0.785*AN6^2*AN36,"")</f>
        <v/>
      </c>
      <c r="AO37" s="423" t="str">
        <f aca="false">IF(AND(AO3&lt;&gt;"缓冲罐",AO3&lt;&gt;""),0.785*AO6^2*AO36,"")</f>
        <v/>
      </c>
      <c r="AP37" s="423" t="str">
        <f aca="false">IF(AND(AP3&lt;&gt;"缓冲罐",AP3&lt;&gt;""),0.785*AP6^2*AP36,"")</f>
        <v/>
      </c>
      <c r="AQ37" s="423" t="str">
        <f aca="false">IF(AND(AQ3&lt;&gt;"缓冲罐",AQ3&lt;&gt;""),0.785*AQ6^2*AQ36,"")</f>
        <v/>
      </c>
      <c r="AR37" s="423" t="str">
        <f aca="false">IF(AND(AR3&lt;&gt;"缓冲罐",AR3&lt;&gt;""),0.785*AR6^2*AR36,"")</f>
        <v/>
      </c>
      <c r="AS37" s="423" t="str">
        <f aca="false">IF(AND(AS3&lt;&gt;"缓冲罐",AS3&lt;&gt;""),0.785*AS6^2*AS36,"")</f>
        <v/>
      </c>
      <c r="AT37" s="423" t="str">
        <f aca="false">IF(AND(AT3&lt;&gt;"缓冲罐",AT3&lt;&gt;""),0.785*AT6^2*AT36,"")</f>
        <v/>
      </c>
      <c r="AU37" s="423" t="str">
        <f aca="false">IF(AND(AU3&lt;&gt;"缓冲罐",AU3&lt;&gt;""),0.785*AU6^2*AU36,"")</f>
        <v/>
      </c>
      <c r="AV37" s="423" t="str">
        <f aca="false">IF(AND(AV3&lt;&gt;"缓冲罐",AV3&lt;&gt;""),0.785*AV6^2*AV36,"")</f>
        <v/>
      </c>
      <c r="AW37" s="423" t="str">
        <f aca="false">IF(AND(AW3&lt;&gt;"缓冲罐",AW3&lt;&gt;""),0.785*AW6^2*AW36,"")</f>
        <v/>
      </c>
      <c r="AX37" s="423" t="str">
        <f aca="false">IF(AND(AX3&lt;&gt;"缓冲罐",AX3&lt;&gt;""),0.785*AX6^2*AX36,"")</f>
        <v/>
      </c>
      <c r="AY37" s="423" t="str">
        <f aca="false">IF(AND(AY3&lt;&gt;"缓冲罐",AY3&lt;&gt;""),0.785*AY6^2*AY36,"")</f>
        <v/>
      </c>
      <c r="AZ37" s="423" t="str">
        <f aca="false">IF(AND(AZ3&lt;&gt;"缓冲罐",AZ3&lt;&gt;""),0.785*AZ6^2*AZ36,"")</f>
        <v/>
      </c>
      <c r="BA37" s="423" t="str">
        <f aca="false">IF(AND(BA3&lt;&gt;"缓冲罐",BA3&lt;&gt;""),0.785*BA6^2*BA36,"")</f>
        <v/>
      </c>
      <c r="BB37" s="423" t="str">
        <f aca="false">IF(AND(BB3&lt;&gt;"缓冲罐",BB3&lt;&gt;""),0.785*BB6^2*BB36,"")</f>
        <v/>
      </c>
      <c r="BC37" s="423" t="str">
        <f aca="false">IF(AND(BC3&lt;&gt;"缓冲罐",BC3&lt;&gt;""),0.785*BC6^2*BC36,"")</f>
        <v/>
      </c>
      <c r="BD37" s="423" t="str">
        <f aca="false">IF(AND(BD3&lt;&gt;"缓冲罐",BD3&lt;&gt;""),0.785*BD6^2*BD36,"")</f>
        <v/>
      </c>
      <c r="BE37" s="423" t="str">
        <f aca="false">IF(AND(BE3&lt;&gt;"缓冲罐",BE3&lt;&gt;""),0.785*BE6^2*BE36,"")</f>
        <v/>
      </c>
      <c r="BF37" s="423" t="str">
        <f aca="false">IF(AND(BF3&lt;&gt;"缓冲罐",BF3&lt;&gt;""),0.785*BF6^2*BF36,"")</f>
        <v/>
      </c>
      <c r="BG37" s="423" t="str">
        <f aca="false">IF(AND(BG3&lt;&gt;"缓冲罐",BG3&lt;&gt;""),0.785*BG6^2*BG36,"")</f>
        <v/>
      </c>
      <c r="BH37" s="423" t="str">
        <f aca="false">IF(AND(BH3&lt;&gt;"缓冲罐",BH3&lt;&gt;""),0.785*BH6^2*BH36,"")</f>
        <v/>
      </c>
      <c r="BI37" s="423" t="str">
        <f aca="false">IF(AND(BI3&lt;&gt;"缓冲罐",BI3&lt;&gt;""),0.785*BI6^2*BI36,"")</f>
        <v/>
      </c>
      <c r="BJ37" s="423" t="str">
        <f aca="false">IF(AND(BJ3&lt;&gt;"缓冲罐",BJ3&lt;&gt;""),0.785*BJ6^2*BJ36,"")</f>
        <v/>
      </c>
      <c r="BK37" s="423" t="str">
        <f aca="false">IF(AND(BK3&lt;&gt;"缓冲罐",BK3&lt;&gt;""),0.785*BK6^2*BK36,"")</f>
        <v/>
      </c>
      <c r="BL37" s="423" t="str">
        <f aca="false">IF(AND(BL3&lt;&gt;"缓冲罐",BL3&lt;&gt;""),0.785*BL6^2*BL36,"")</f>
        <v/>
      </c>
      <c r="BM37" s="423" t="str">
        <f aca="false">IF(AND(BM3&lt;&gt;"缓冲罐",BM3&lt;&gt;""),0.785*BM6^2*BM36,"")</f>
        <v/>
      </c>
      <c r="BN37" s="423" t="str">
        <f aca="false">IF(AND(BN3&lt;&gt;"缓冲罐",BN3&lt;&gt;""),0.785*BN6^2*BN36,"")</f>
        <v/>
      </c>
      <c r="BO37" s="423" t="str">
        <f aca="false">IF(AND(BO3&lt;&gt;"缓冲罐",BO3&lt;&gt;""),0.785*BO6^2*BO36,"")</f>
        <v/>
      </c>
      <c r="BP37" s="423" t="str">
        <f aca="false">IF(AND(BP3&lt;&gt;"缓冲罐",BP3&lt;&gt;""),0.785*BP6^2*BP36,"")</f>
        <v/>
      </c>
      <c r="BQ37" s="423" t="str">
        <f aca="false">IF(AND(BQ3&lt;&gt;"缓冲罐",BQ3&lt;&gt;""),0.785*BQ6^2*BQ36,"")</f>
        <v/>
      </c>
      <c r="BR37" s="423" t="str">
        <f aca="false">IF(AND(BR3&lt;&gt;"缓冲罐",BR3&lt;&gt;""),0.785*BR6^2*BR36,"")</f>
        <v/>
      </c>
      <c r="BS37" s="423" t="str">
        <f aca="false">IF(AND(BS3&lt;&gt;"缓冲罐",BS3&lt;&gt;""),0.785*BS6^2*BS36,"")</f>
        <v/>
      </c>
      <c r="BT37" s="423" t="str">
        <f aca="false">IF(AND(BT3&lt;&gt;"缓冲罐",BT3&lt;&gt;""),0.785*BT6^2*BT36,"")</f>
        <v/>
      </c>
      <c r="BU37" s="423" t="str">
        <f aca="false">IF(AND(BU3&lt;&gt;"缓冲罐",BU3&lt;&gt;""),0.785*BU6^2*BU36,"")</f>
        <v/>
      </c>
      <c r="BV37" s="423" t="str">
        <f aca="false">IF(AND(BV3&lt;&gt;"缓冲罐",BV3&lt;&gt;""),0.785*BV6^2*BV36,"")</f>
        <v/>
      </c>
      <c r="BW37" s="423" t="str">
        <f aca="false">IF(AND(BW3&lt;&gt;"缓冲罐",BW3&lt;&gt;""),0.785*BW6^2*BW36,"")</f>
        <v/>
      </c>
      <c r="BX37" s="423" t="str">
        <f aca="false">IF(AND(BX3&lt;&gt;"缓冲罐",BX3&lt;&gt;""),0.785*BX6^2*BX36,"")</f>
        <v/>
      </c>
      <c r="BY37" s="423" t="str">
        <f aca="false">IF(AND(BY3&lt;&gt;"缓冲罐",BY3&lt;&gt;""),0.785*BY6^2*BY36,"")</f>
        <v/>
      </c>
      <c r="BZ37" s="423" t="str">
        <f aca="false">IF(AND(BZ3&lt;&gt;"缓冲罐",BZ3&lt;&gt;""),0.785*BZ6^2*BZ36,"")</f>
        <v/>
      </c>
      <c r="CA37" s="423" t="str">
        <f aca="false">IF(AND(CA3&lt;&gt;"缓冲罐",CA3&lt;&gt;""),0.785*CA6^2*CA36,"")</f>
        <v/>
      </c>
      <c r="CB37" s="423" t="str">
        <f aca="false">IF(AND(CB3&lt;&gt;"缓冲罐",CB3&lt;&gt;""),0.785*CB6^2*CB36,"")</f>
        <v/>
      </c>
      <c r="CC37" s="423" t="str">
        <f aca="false">IF(AND(CC3&lt;&gt;"缓冲罐",CC3&lt;&gt;""),0.785*CC6^2*CC36,"")</f>
        <v/>
      </c>
      <c r="CD37" s="423" t="str">
        <f aca="false">IF(AND(CD3&lt;&gt;"缓冲罐",CD3&lt;&gt;""),0.785*CD6^2*CD36,"")</f>
        <v/>
      </c>
      <c r="CE37" s="390"/>
    </row>
    <row r="38" s="391" customFormat="true" ht="15" hidden="false" customHeight="false" outlineLevel="0" collapsed="false">
      <c r="A38" s="388" t="s">
        <v>620</v>
      </c>
      <c r="B38" s="413" t="str">
        <f aca="false">IF(AND(B3&lt;&gt;"缓冲罐",B3&lt;&gt;""),B28/B37,"")</f>
        <v/>
      </c>
      <c r="C38" s="413" t="str">
        <f aca="false">IF(AND(C3&lt;&gt;"缓冲罐",C3&lt;&gt;""),C28/C37,"")</f>
        <v/>
      </c>
      <c r="D38" s="413" t="str">
        <f aca="false">IF(AND(D3&lt;&gt;"缓冲罐",D3&lt;&gt;""),D28/D37,"")</f>
        <v/>
      </c>
      <c r="E38" s="413" t="str">
        <f aca="false">IF(AND(E3&lt;&gt;"缓冲罐",E3&lt;&gt;""),E28/E37,"")</f>
        <v/>
      </c>
      <c r="F38" s="413" t="str">
        <f aca="false">IF(AND(F3&lt;&gt;"缓冲罐",F3&lt;&gt;""),F28/F37,"")</f>
        <v/>
      </c>
      <c r="G38" s="413" t="str">
        <f aca="false">IF(AND(G3&lt;&gt;"缓冲罐",G3&lt;&gt;""),G28/G37,"")</f>
        <v/>
      </c>
      <c r="H38" s="413" t="str">
        <f aca="false">IF(AND(H3&lt;&gt;"缓冲罐",H3&lt;&gt;""),H28/H37,"")</f>
        <v/>
      </c>
      <c r="I38" s="413" t="str">
        <f aca="false">IF(AND(I3&lt;&gt;"缓冲罐",I3&lt;&gt;""),I28/I37,"")</f>
        <v/>
      </c>
      <c r="J38" s="413" t="str">
        <f aca="false">IF(AND(J3&lt;&gt;"缓冲罐",J3&lt;&gt;""),J28/J37,"")</f>
        <v/>
      </c>
      <c r="K38" s="413" t="str">
        <f aca="false">IF(AND(K3&lt;&gt;"缓冲罐",K3&lt;&gt;""),K28/K37,"")</f>
        <v/>
      </c>
      <c r="L38" s="413" t="n">
        <f aca="false">IF(AND(L3&lt;&gt;"缓冲罐",L3&lt;&gt;""),L28/L37,"")</f>
        <v>0.0567365211064934</v>
      </c>
      <c r="M38" s="413" t="n">
        <f aca="false">IF(AND(M3&lt;&gt;"缓冲罐",M3&lt;&gt;""),M28/M37,"")</f>
        <v>0.00194962557440843</v>
      </c>
      <c r="N38" s="413" t="n">
        <f aca="false">IF(AND(N3&lt;&gt;"缓冲罐",N3&lt;&gt;""),N28/N37,"")</f>
        <v>0.0133079864572468</v>
      </c>
      <c r="O38" s="413" t="n">
        <f aca="false">IF(AND(O3&lt;&gt;"缓冲罐",O3&lt;&gt;""),O28/O37,"")</f>
        <v>0.499666287344081</v>
      </c>
      <c r="P38" s="413" t="n">
        <f aca="false">IF(AND(P3&lt;&gt;"缓冲罐",P3&lt;&gt;""),P28/P37,"")</f>
        <v>0.0306018566079949</v>
      </c>
      <c r="Q38" s="413" t="n">
        <f aca="false">IF(AND(Q3&lt;&gt;"缓冲罐",Q3&lt;&gt;""),Q28/Q37,"")</f>
        <v>0.256730976337734</v>
      </c>
      <c r="R38" s="413" t="n">
        <f aca="false">IF(AND(R3&lt;&gt;"缓冲罐",R3&lt;&gt;""),R28/R37,"")</f>
        <v>0.111411307858836</v>
      </c>
      <c r="S38" s="413" t="n">
        <f aca="false">IF(AND(S3&lt;&gt;"缓冲罐",S3&lt;&gt;""),S28/S37,"")</f>
        <v>0.0594902091527812</v>
      </c>
      <c r="T38" s="413" t="n">
        <f aca="false">IF(AND(T3&lt;&gt;"缓冲罐",T3&lt;&gt;""),T28/T37,"")</f>
        <v>0.148226148893911</v>
      </c>
      <c r="U38" s="413" t="n">
        <f aca="false">IF(AND(U3&lt;&gt;"缓冲罐",U3&lt;&gt;""),U28/U37,"")</f>
        <v>0.0581306370864164</v>
      </c>
      <c r="V38" s="413" t="n">
        <f aca="false">IF(AND(V3&lt;&gt;"缓冲罐",V3&lt;&gt;""),V28/V37,"")</f>
        <v>0.103770393476578</v>
      </c>
      <c r="W38" s="413" t="n">
        <f aca="false">IF(AND(W3&lt;&gt;"缓冲罐",W3&lt;&gt;""),W28/W37,"")</f>
        <v>0.103770393476578</v>
      </c>
      <c r="X38" s="413" t="n">
        <f aca="false">IF(AND(X3&lt;&gt;"缓冲罐",X3&lt;&gt;""),X28/X37,"")</f>
        <v>0.0834976270714186</v>
      </c>
      <c r="Y38" s="413" t="n">
        <f aca="false">IF(AND(Y3&lt;&gt;"缓冲罐",Y3&lt;&gt;""),Y28/Y37,"")</f>
        <v>0.461472218250255</v>
      </c>
      <c r="Z38" s="413" t="n">
        <f aca="false">IF(AND(Z3&lt;&gt;"缓冲罐",Z3&lt;&gt;""),Z28/Z37,"")</f>
        <v>0.538101897074393</v>
      </c>
      <c r="AA38" s="413" t="str">
        <f aca="false">IF(AND(AA3&lt;&gt;"缓冲罐",AA3&lt;&gt;""),AA28/AA37,"")</f>
        <v/>
      </c>
      <c r="AB38" s="413" t="str">
        <f aca="false">IF(AND(AB3&lt;&gt;"缓冲罐",AB3&lt;&gt;""),AB28/AB37,"")</f>
        <v/>
      </c>
      <c r="AC38" s="413" t="str">
        <f aca="false">IF(AND(AC3&lt;&gt;"缓冲罐",AC3&lt;&gt;""),AC28/AC37,"")</f>
        <v/>
      </c>
      <c r="AD38" s="413" t="str">
        <f aca="false">IF(AND(AD3&lt;&gt;"缓冲罐",AD3&lt;&gt;""),AD28/AD37,"")</f>
        <v/>
      </c>
      <c r="AE38" s="413" t="str">
        <f aca="false">IF(AND(AE3&lt;&gt;"缓冲罐",AE3&lt;&gt;""),AE28/AE37,"")</f>
        <v/>
      </c>
      <c r="AF38" s="413" t="str">
        <f aca="false">IF(AND(AF3&lt;&gt;"缓冲罐",AF3&lt;&gt;""),AF28/AF37,"")</f>
        <v/>
      </c>
      <c r="AG38" s="413" t="str">
        <f aca="false">IF(AND(AG3&lt;&gt;"缓冲罐",AG3&lt;&gt;""),AG28/AG37,"")</f>
        <v/>
      </c>
      <c r="AH38" s="413" t="str">
        <f aca="false">IF(AND(AH3&lt;&gt;"缓冲罐",AH3&lt;&gt;""),AH28/AH37,"")</f>
        <v/>
      </c>
      <c r="AI38" s="413" t="str">
        <f aca="false">IF(AND(AI3&lt;&gt;"缓冲罐",AI3&lt;&gt;""),AI28/AI37,"")</f>
        <v/>
      </c>
      <c r="AJ38" s="413" t="str">
        <f aca="false">IF(AND(AJ3&lt;&gt;"缓冲罐",AJ3&lt;&gt;""),AJ28/AJ37,"")</f>
        <v/>
      </c>
      <c r="AK38" s="413" t="str">
        <f aca="false">IF(AND(AK3&lt;&gt;"缓冲罐",AK3&lt;&gt;""),AK28/AK37,"")</f>
        <v/>
      </c>
      <c r="AL38" s="413" t="str">
        <f aca="false">IF(AND(AL3&lt;&gt;"缓冲罐",AL3&lt;&gt;""),AL28/AL37,"")</f>
        <v/>
      </c>
      <c r="AM38" s="413" t="str">
        <f aca="false">IF(AND(AM3&lt;&gt;"缓冲罐",AM3&lt;&gt;""),AM28/AM37,"")</f>
        <v/>
      </c>
      <c r="AN38" s="413" t="str">
        <f aca="false">IF(AND(AN3&lt;&gt;"缓冲罐",AN3&lt;&gt;""),AN28/AN37,"")</f>
        <v/>
      </c>
      <c r="AO38" s="413" t="str">
        <f aca="false">IF(AND(AO3&lt;&gt;"缓冲罐",AO3&lt;&gt;""),AO28/AO37,"")</f>
        <v/>
      </c>
      <c r="AP38" s="413" t="str">
        <f aca="false">IF(AND(AP3&lt;&gt;"缓冲罐",AP3&lt;&gt;""),AP28/AP37,"")</f>
        <v/>
      </c>
      <c r="AQ38" s="413" t="str">
        <f aca="false">IF(AND(AQ3&lt;&gt;"缓冲罐",AQ3&lt;&gt;""),AQ28/AQ37,"")</f>
        <v/>
      </c>
      <c r="AR38" s="413" t="str">
        <f aca="false">IF(AND(AR3&lt;&gt;"缓冲罐",AR3&lt;&gt;""),AR28/AR37,"")</f>
        <v/>
      </c>
      <c r="AS38" s="413" t="str">
        <f aca="false">IF(AND(AS3&lt;&gt;"缓冲罐",AS3&lt;&gt;""),AS28/AS37,"")</f>
        <v/>
      </c>
      <c r="AT38" s="413" t="str">
        <f aca="false">IF(AND(AT3&lt;&gt;"缓冲罐",AT3&lt;&gt;""),AT28/AT37,"")</f>
        <v/>
      </c>
      <c r="AU38" s="413" t="str">
        <f aca="false">IF(AND(AU3&lt;&gt;"缓冲罐",AU3&lt;&gt;""),AU28/AU37,"")</f>
        <v/>
      </c>
      <c r="AV38" s="413" t="str">
        <f aca="false">IF(AND(AV3&lt;&gt;"缓冲罐",AV3&lt;&gt;""),AV28/AV37,"")</f>
        <v/>
      </c>
      <c r="AW38" s="413" t="str">
        <f aca="false">IF(AND(AW3&lt;&gt;"缓冲罐",AW3&lt;&gt;""),AW28/AW37,"")</f>
        <v/>
      </c>
      <c r="AX38" s="413" t="str">
        <f aca="false">IF(AND(AX3&lt;&gt;"缓冲罐",AX3&lt;&gt;""),AX28/AX37,"")</f>
        <v/>
      </c>
      <c r="AY38" s="413" t="str">
        <f aca="false">IF(AND(AY3&lt;&gt;"缓冲罐",AY3&lt;&gt;""),AY28/AY37,"")</f>
        <v/>
      </c>
      <c r="AZ38" s="413" t="str">
        <f aca="false">IF(AND(AZ3&lt;&gt;"缓冲罐",AZ3&lt;&gt;""),AZ28/AZ37,"")</f>
        <v/>
      </c>
      <c r="BA38" s="413" t="str">
        <f aca="false">IF(AND(BA3&lt;&gt;"缓冲罐",BA3&lt;&gt;""),BA28/BA37,"")</f>
        <v/>
      </c>
      <c r="BB38" s="413" t="str">
        <f aca="false">IF(AND(BB3&lt;&gt;"缓冲罐",BB3&lt;&gt;""),BB28/BB37,"")</f>
        <v/>
      </c>
      <c r="BC38" s="413" t="str">
        <f aca="false">IF(AND(BC3&lt;&gt;"缓冲罐",BC3&lt;&gt;""),BC28/BC37,"")</f>
        <v/>
      </c>
      <c r="BD38" s="413" t="str">
        <f aca="false">IF(AND(BD3&lt;&gt;"缓冲罐",BD3&lt;&gt;""),BD28/BD37,"")</f>
        <v/>
      </c>
      <c r="BE38" s="413" t="str">
        <f aca="false">IF(AND(BE3&lt;&gt;"缓冲罐",BE3&lt;&gt;""),BE28/BE37,"")</f>
        <v/>
      </c>
      <c r="BF38" s="413" t="str">
        <f aca="false">IF(AND(BF3&lt;&gt;"缓冲罐",BF3&lt;&gt;""),BF28/BF37,"")</f>
        <v/>
      </c>
      <c r="BG38" s="413" t="str">
        <f aca="false">IF(AND(BG3&lt;&gt;"缓冲罐",BG3&lt;&gt;""),BG28/BG37,"")</f>
        <v/>
      </c>
      <c r="BH38" s="413" t="str">
        <f aca="false">IF(AND(BH3&lt;&gt;"缓冲罐",BH3&lt;&gt;""),BH28/BH37,"")</f>
        <v/>
      </c>
      <c r="BI38" s="413" t="str">
        <f aca="false">IF(AND(BI3&lt;&gt;"缓冲罐",BI3&lt;&gt;""),BI28/BI37,"")</f>
        <v/>
      </c>
      <c r="BJ38" s="413" t="str">
        <f aca="false">IF(AND(BJ3&lt;&gt;"缓冲罐",BJ3&lt;&gt;""),BJ28/BJ37,"")</f>
        <v/>
      </c>
      <c r="BK38" s="413" t="str">
        <f aca="false">IF(AND(BK3&lt;&gt;"缓冲罐",BK3&lt;&gt;""),BK28/BK37,"")</f>
        <v/>
      </c>
      <c r="BL38" s="413" t="str">
        <f aca="false">IF(AND(BL3&lt;&gt;"缓冲罐",BL3&lt;&gt;""),BL28/BL37,"")</f>
        <v/>
      </c>
      <c r="BM38" s="413" t="str">
        <f aca="false">IF(AND(BM3&lt;&gt;"缓冲罐",BM3&lt;&gt;""),BM28/BM37,"")</f>
        <v/>
      </c>
      <c r="BN38" s="413" t="str">
        <f aca="false">IF(AND(BN3&lt;&gt;"缓冲罐",BN3&lt;&gt;""),BN28/BN37,"")</f>
        <v/>
      </c>
      <c r="BO38" s="413" t="str">
        <f aca="false">IF(AND(BO3&lt;&gt;"缓冲罐",BO3&lt;&gt;""),BO28/BO37,"")</f>
        <v/>
      </c>
      <c r="BP38" s="413" t="str">
        <f aca="false">IF(AND(BP3&lt;&gt;"缓冲罐",BP3&lt;&gt;""),BP28/BP37,"")</f>
        <v/>
      </c>
      <c r="BQ38" s="413" t="str">
        <f aca="false">IF(AND(BQ3&lt;&gt;"缓冲罐",BQ3&lt;&gt;""),BQ28/BQ37,"")</f>
        <v/>
      </c>
      <c r="BR38" s="413" t="str">
        <f aca="false">IF(AND(BR3&lt;&gt;"缓冲罐",BR3&lt;&gt;""),BR28/BR37,"")</f>
        <v/>
      </c>
      <c r="BS38" s="413" t="str">
        <f aca="false">IF(AND(BS3&lt;&gt;"缓冲罐",BS3&lt;&gt;""),BS28/BS37,"")</f>
        <v/>
      </c>
      <c r="BT38" s="413" t="str">
        <f aca="false">IF(AND(BT3&lt;&gt;"缓冲罐",BT3&lt;&gt;""),BT28/BT37,"")</f>
        <v/>
      </c>
      <c r="BU38" s="413" t="str">
        <f aca="false">IF(AND(BU3&lt;&gt;"缓冲罐",BU3&lt;&gt;""),BU28/BU37,"")</f>
        <v/>
      </c>
      <c r="BV38" s="413" t="str">
        <f aca="false">IF(AND(BV3&lt;&gt;"缓冲罐",BV3&lt;&gt;""),BV28/BV37,"")</f>
        <v/>
      </c>
      <c r="BW38" s="413" t="str">
        <f aca="false">IF(AND(BW3&lt;&gt;"缓冲罐",BW3&lt;&gt;""),BW28/BW37,"")</f>
        <v/>
      </c>
      <c r="BX38" s="413" t="str">
        <f aca="false">IF(AND(BX3&lt;&gt;"缓冲罐",BX3&lt;&gt;""),BX28/BX37,"")</f>
        <v/>
      </c>
      <c r="BY38" s="413" t="str">
        <f aca="false">IF(AND(BY3&lt;&gt;"缓冲罐",BY3&lt;&gt;""),BY28/BY37,"")</f>
        <v/>
      </c>
      <c r="BZ38" s="413" t="str">
        <f aca="false">IF(AND(BZ3&lt;&gt;"缓冲罐",BZ3&lt;&gt;""),BZ28/BZ37,"")</f>
        <v/>
      </c>
      <c r="CA38" s="413" t="str">
        <f aca="false">IF(AND(CA3&lt;&gt;"缓冲罐",CA3&lt;&gt;""),CA28/CA37,"")</f>
        <v/>
      </c>
      <c r="CB38" s="413" t="str">
        <f aca="false">IF(AND(CB3&lt;&gt;"缓冲罐",CB3&lt;&gt;""),CB28/CB37,"")</f>
        <v/>
      </c>
      <c r="CC38" s="413" t="str">
        <f aca="false">IF(AND(CC3&lt;&gt;"缓冲罐",CC3&lt;&gt;""),CC28/CC37,"")</f>
        <v/>
      </c>
      <c r="CD38" s="413" t="str">
        <f aca="false">IF(AND(CD3&lt;&gt;"缓冲罐",CD3&lt;&gt;""),CD28/CD37,"")</f>
        <v/>
      </c>
      <c r="CE38" s="390"/>
    </row>
    <row r="39" s="391" customFormat="true" ht="15" hidden="false" customHeight="false" outlineLevel="0" collapsed="false">
      <c r="A39" s="421" t="s">
        <v>621</v>
      </c>
      <c r="B39" s="424" t="str">
        <f aca="false">IF(OR(B3="缓冲罐",B3=""),"",IF(B38&lt;B34,"是","否"))</f>
        <v/>
      </c>
      <c r="C39" s="424" t="str">
        <f aca="false">IF(OR(C3="缓冲罐",C3=""),"",IF(C38&lt;C34,"是","否"))</f>
        <v/>
      </c>
      <c r="D39" s="424" t="str">
        <f aca="false">IF(OR(D3="缓冲罐",D3=""),"",IF(D38&lt;D34,"是","否"))</f>
        <v/>
      </c>
      <c r="E39" s="424" t="str">
        <f aca="false">IF(OR(E3="缓冲罐",E3=""),"",IF(E38&lt;E34,"是","否"))</f>
        <v/>
      </c>
      <c r="F39" s="424" t="str">
        <f aca="false">IF(OR(F3="缓冲罐",F3=""),"",IF(F38&lt;F34,"是","否"))</f>
        <v/>
      </c>
      <c r="G39" s="424" t="str">
        <f aca="false">IF(OR(G3="缓冲罐",G3=""),"",IF(G38&lt;G34,"是","否"))</f>
        <v/>
      </c>
      <c r="H39" s="424" t="str">
        <f aca="false">IF(OR(H3="缓冲罐",H3=""),"",IF(H38&lt;H34,"是","否"))</f>
        <v/>
      </c>
      <c r="I39" s="424" t="str">
        <f aca="false">IF(OR(I3="缓冲罐",I3=""),"",IF(I38&lt;I34,"是","否"))</f>
        <v/>
      </c>
      <c r="J39" s="424" t="str">
        <f aca="false">IF(OR(J3="缓冲罐",J3=""),"",IF(J38&lt;J34,"是","否"))</f>
        <v/>
      </c>
      <c r="K39" s="424" t="str">
        <f aca="false">IF(OR(K3="缓冲罐",K3=""),"",IF(K38&lt;K34,"是","否"))</f>
        <v/>
      </c>
      <c r="L39" s="425" t="str">
        <f aca="false">IF(OR(L3="缓冲罐",L3=""),"",IF(L38&lt;L34,"是","否"))</f>
        <v>是</v>
      </c>
      <c r="M39" s="425" t="str">
        <f aca="false">IF(OR(M3="缓冲罐",M3=""),"",IF(M38&lt;M34,"是","否"))</f>
        <v>是</v>
      </c>
      <c r="N39" s="424" t="str">
        <f aca="false">IF(OR(N3="缓冲罐",N3=""),"",IF(N38&lt;N34,"是","否"))</f>
        <v>是</v>
      </c>
      <c r="O39" s="425" t="str">
        <f aca="false">IF(OR(O3="缓冲罐",O3=""),"",IF(O38&lt;O34,"是","否"))</f>
        <v>是</v>
      </c>
      <c r="P39" s="425" t="str">
        <f aca="false">IF(OR(P3="缓冲罐",P3=""),"",IF(P38&lt;P34,"是","否"))</f>
        <v>是</v>
      </c>
      <c r="Q39" s="425" t="str">
        <f aca="false">IF(OR(Q3="缓冲罐",Q3=""),"",IF(Q38&lt;Q34,"是","否"))</f>
        <v>是</v>
      </c>
      <c r="R39" s="425" t="str">
        <f aca="false">IF(OR(R3="缓冲罐",R3=""),"",IF(R38&lt;R34,"是","否"))</f>
        <v>是</v>
      </c>
      <c r="S39" s="425" t="str">
        <f aca="false">IF(OR(S3="缓冲罐",S3=""),"",IF(S38&lt;S34,"是","否"))</f>
        <v>是</v>
      </c>
      <c r="T39" s="425" t="str">
        <f aca="false">IF(OR(T3="缓冲罐",T3=""),"",IF(T38&lt;T34,"是","否"))</f>
        <v>是</v>
      </c>
      <c r="U39" s="425" t="str">
        <f aca="false">IF(OR(U3="缓冲罐",U3=""),"",IF(U38&lt;U34,"是","否"))</f>
        <v>是</v>
      </c>
      <c r="V39" s="425" t="str">
        <f aca="false">IF(OR(V3="缓冲罐",V3=""),"",IF(V38&lt;V34,"是","否"))</f>
        <v>是</v>
      </c>
      <c r="W39" s="425" t="str">
        <f aca="false">IF(OR(W3="缓冲罐",W3=""),"",IF(W38&lt;W34,"是","否"))</f>
        <v>是</v>
      </c>
      <c r="X39" s="425" t="str">
        <f aca="false">IF(OR(X3="缓冲罐",X3=""),"",IF(X38&lt;X34,"是","否"))</f>
        <v>是</v>
      </c>
      <c r="Y39" s="425" t="str">
        <f aca="false">IF(OR(Y3="缓冲罐",Y3=""),"",IF(Y38&lt;Y34,"是","否"))</f>
        <v>是</v>
      </c>
      <c r="Z39" s="425" t="str">
        <f aca="false">IF(OR(Z3="缓冲罐",Z3=""),"",IF(Z38&lt;Z34,"是","否"))</f>
        <v>是</v>
      </c>
      <c r="AA39" s="424" t="str">
        <f aca="false">IF(OR(AA3="缓冲罐",AA3=""),"",IF(AA38&lt;AA34,"是","否"))</f>
        <v/>
      </c>
      <c r="AB39" s="424" t="str">
        <f aca="false">IF(OR(AB3="缓冲罐",AB3=""),"",IF(AB38&lt;AB34,"是","否"))</f>
        <v/>
      </c>
      <c r="AC39" s="424" t="str">
        <f aca="false">IF(OR(AC3="缓冲罐",AC3=""),"",IF(AC38&lt;AC34,"是","否"))</f>
        <v/>
      </c>
      <c r="AD39" s="424" t="str">
        <f aca="false">IF(OR(AD3="缓冲罐",AD3=""),"",IF(AD38&lt;AD34,"是","否"))</f>
        <v/>
      </c>
      <c r="AE39" s="424" t="str">
        <f aca="false">IF(OR(AE3="缓冲罐",AE3=""),"",IF(AE38&lt;AE34,"是","否"))</f>
        <v/>
      </c>
      <c r="AF39" s="424" t="str">
        <f aca="false">IF(OR(AF3="缓冲罐",AF3=""),"",IF(AF38&lt;AF34,"是","否"))</f>
        <v/>
      </c>
      <c r="AG39" s="424" t="str">
        <f aca="false">IF(OR(AG3="缓冲罐",AG3=""),"",IF(AG38&lt;AG34,"是","否"))</f>
        <v/>
      </c>
      <c r="AH39" s="424" t="str">
        <f aca="false">IF(OR(AH3="缓冲罐",AH3=""),"",IF(AH38&lt;AH34,"是","否"))</f>
        <v/>
      </c>
      <c r="AI39" s="424" t="str">
        <f aca="false">IF(OR(AI3="缓冲罐",AI3=""),"",IF(AI38&lt;AI34,"是","否"))</f>
        <v/>
      </c>
      <c r="AJ39" s="424" t="str">
        <f aca="false">IF(OR(AJ3="缓冲罐",AJ3=""),"",IF(AJ38&lt;AJ34,"是","否"))</f>
        <v/>
      </c>
      <c r="AK39" s="424" t="str">
        <f aca="false">IF(OR(AK3="缓冲罐",AK3=""),"",IF(AK38&lt;AK34,"是","否"))</f>
        <v/>
      </c>
      <c r="AL39" s="424" t="str">
        <f aca="false">IF(OR(AL3="缓冲罐",AL3=""),"",IF(AL38&lt;AL34,"是","否"))</f>
        <v/>
      </c>
      <c r="AM39" s="424" t="str">
        <f aca="false">IF(OR(AM3="缓冲罐",AM3=""),"",IF(AM38&lt;AM34,"是","否"))</f>
        <v/>
      </c>
      <c r="AN39" s="424" t="str">
        <f aca="false">IF(OR(AN3="缓冲罐",AN3=""),"",IF(AN38&lt;AN34,"是","否"))</f>
        <v/>
      </c>
      <c r="AO39" s="424" t="str">
        <f aca="false">IF(OR(AO3="缓冲罐",AO3=""),"",IF(AO38&lt;AO34,"是","否"))</f>
        <v/>
      </c>
      <c r="AP39" s="424" t="str">
        <f aca="false">IF(OR(AP3="缓冲罐",AP3=""),"",IF(AP38&lt;AP34,"是","否"))</f>
        <v/>
      </c>
      <c r="AQ39" s="424" t="str">
        <f aca="false">IF(OR(AQ3="缓冲罐",AQ3=""),"",IF(AQ38&lt;AQ34,"是","否"))</f>
        <v/>
      </c>
      <c r="AR39" s="424" t="str">
        <f aca="false">IF(OR(AR3="缓冲罐",AR3=""),"",IF(AR38&lt;AR34,"是","否"))</f>
        <v/>
      </c>
      <c r="AS39" s="424" t="str">
        <f aca="false">IF(OR(AS3="缓冲罐",AS3=""),"",IF(AS38&lt;AS34,"是","否"))</f>
        <v/>
      </c>
      <c r="AT39" s="424" t="str">
        <f aca="false">IF(OR(AT3="缓冲罐",AT3=""),"",IF(AT38&lt;AT34,"是","否"))</f>
        <v/>
      </c>
      <c r="AU39" s="424" t="str">
        <f aca="false">IF(OR(AU3="缓冲罐",AU3=""),"",IF(AU38&lt;AU34,"是","否"))</f>
        <v/>
      </c>
      <c r="AV39" s="424" t="str">
        <f aca="false">IF(OR(AV3="缓冲罐",AV3=""),"",IF(AV38&lt;AV34,"是","否"))</f>
        <v/>
      </c>
      <c r="AW39" s="424" t="str">
        <f aca="false">IF(OR(AW3="缓冲罐",AW3=""),"",IF(AW38&lt;AW34,"是","否"))</f>
        <v/>
      </c>
      <c r="AX39" s="424" t="str">
        <f aca="false">IF(OR(AX3="缓冲罐",AX3=""),"",IF(AX38&lt;AX34,"是","否"))</f>
        <v/>
      </c>
      <c r="AY39" s="424" t="str">
        <f aca="false">IF(OR(AY3="缓冲罐",AY3=""),"",IF(AY38&lt;AY34,"是","否"))</f>
        <v/>
      </c>
      <c r="AZ39" s="424" t="str">
        <f aca="false">IF(OR(AZ3="缓冲罐",AZ3=""),"",IF(AZ38&lt;AZ34,"是","否"))</f>
        <v/>
      </c>
      <c r="BA39" s="424" t="str">
        <f aca="false">IF(OR(BA3="缓冲罐",BA3=""),"",IF(BA38&lt;BA34,"是","否"))</f>
        <v/>
      </c>
      <c r="BB39" s="424" t="str">
        <f aca="false">IF(OR(BB3="缓冲罐",BB3=""),"",IF(BB38&lt;BB34,"是","否"))</f>
        <v/>
      </c>
      <c r="BC39" s="424" t="str">
        <f aca="false">IF(OR(BC3="缓冲罐",BC3=""),"",IF(BC38&lt;BC34,"是","否"))</f>
        <v/>
      </c>
      <c r="BD39" s="424" t="str">
        <f aca="false">IF(OR(BD3="缓冲罐",BD3=""),"",IF(BD38&lt;BD34,"是","否"))</f>
        <v/>
      </c>
      <c r="BE39" s="424" t="str">
        <f aca="false">IF(OR(BE3="缓冲罐",BE3=""),"",IF(BE38&lt;BE34,"是","否"))</f>
        <v/>
      </c>
      <c r="BF39" s="424" t="str">
        <f aca="false">IF(OR(BF3="缓冲罐",BF3=""),"",IF(BF38&lt;BF34,"是","否"))</f>
        <v/>
      </c>
      <c r="BG39" s="424" t="str">
        <f aca="false">IF(OR(BG3="缓冲罐",BG3=""),"",IF(BG38&lt;BG34,"是","否"))</f>
        <v/>
      </c>
      <c r="BH39" s="424" t="str">
        <f aca="false">IF(OR(BH3="缓冲罐",BH3=""),"",IF(BH38&lt;BH34,"是","否"))</f>
        <v/>
      </c>
      <c r="BI39" s="424" t="str">
        <f aca="false">IF(OR(BI3="缓冲罐",BI3=""),"",IF(BI38&lt;BI34,"是","否"))</f>
        <v/>
      </c>
      <c r="BJ39" s="424" t="str">
        <f aca="false">IF(OR(BJ3="缓冲罐",BJ3=""),"",IF(BJ38&lt;BJ34,"是","否"))</f>
        <v/>
      </c>
      <c r="BK39" s="424" t="str">
        <f aca="false">IF(OR(BK3="缓冲罐",BK3=""),"",IF(BK38&lt;BK34,"是","否"))</f>
        <v/>
      </c>
      <c r="BL39" s="424" t="str">
        <f aca="false">IF(OR(BL3="缓冲罐",BL3=""),"",IF(BL38&lt;BL34,"是","否"))</f>
        <v/>
      </c>
      <c r="BM39" s="424" t="str">
        <f aca="false">IF(OR(BM3="缓冲罐",BM3=""),"",IF(BM38&lt;BM34,"是","否"))</f>
        <v/>
      </c>
      <c r="BN39" s="424" t="str">
        <f aca="false">IF(OR(BN3="缓冲罐",BN3=""),"",IF(BN38&lt;BN34,"是","否"))</f>
        <v/>
      </c>
      <c r="BO39" s="424" t="str">
        <f aca="false">IF(OR(BO3="缓冲罐",BO3=""),"",IF(BO38&lt;BO34,"是","否"))</f>
        <v/>
      </c>
      <c r="BP39" s="424" t="str">
        <f aca="false">IF(OR(BP3="缓冲罐",BP3=""),"",IF(BP38&lt;BP34,"是","否"))</f>
        <v/>
      </c>
      <c r="BQ39" s="424" t="str">
        <f aca="false">IF(OR(BQ3="缓冲罐",BQ3=""),"",IF(BQ38&lt;BQ34,"是","否"))</f>
        <v/>
      </c>
      <c r="BR39" s="424" t="str">
        <f aca="false">IF(OR(BR3="缓冲罐",BR3=""),"",IF(BR38&lt;BR34,"是","否"))</f>
        <v/>
      </c>
      <c r="BS39" s="424" t="str">
        <f aca="false">IF(OR(BS3="缓冲罐",BS3=""),"",IF(BS38&lt;BS34,"是","否"))</f>
        <v/>
      </c>
      <c r="BT39" s="424" t="str">
        <f aca="false">IF(OR(BT3="缓冲罐",BT3=""),"",IF(BT38&lt;BT34,"是","否"))</f>
        <v/>
      </c>
      <c r="BU39" s="424" t="str">
        <f aca="false">IF(OR(BU3="缓冲罐",BU3=""),"",IF(BU38&lt;BU34,"是","否"))</f>
        <v/>
      </c>
      <c r="BV39" s="424" t="str">
        <f aca="false">IF(OR(BV3="缓冲罐",BV3=""),"",IF(BV38&lt;BV34,"是","否"))</f>
        <v/>
      </c>
      <c r="BW39" s="424" t="str">
        <f aca="false">IF(OR(BW3="缓冲罐",BW3=""),"",IF(BW38&lt;BW34,"是","否"))</f>
        <v/>
      </c>
      <c r="BX39" s="424" t="str">
        <f aca="false">IF(OR(BX3="缓冲罐",BX3=""),"",IF(BX38&lt;BX34,"是","否"))</f>
        <v/>
      </c>
      <c r="BY39" s="424" t="str">
        <f aca="false">IF(OR(BY3="缓冲罐",BY3=""),"",IF(BY38&lt;BY34,"是","否"))</f>
        <v/>
      </c>
      <c r="BZ39" s="424" t="str">
        <f aca="false">IF(OR(BZ3="缓冲罐",BZ3=""),"",IF(BZ38&lt;BZ34,"是","否"))</f>
        <v/>
      </c>
      <c r="CA39" s="424" t="str">
        <f aca="false">IF(OR(CA3="缓冲罐",CA3=""),"",IF(CA38&lt;CA34,"是","否"))</f>
        <v/>
      </c>
      <c r="CB39" s="424" t="str">
        <f aca="false">IF(OR(CB3="缓冲罐",CB3=""),"",IF(CB38&lt;CB34,"是","否"))</f>
        <v/>
      </c>
      <c r="CC39" s="424" t="str">
        <f aca="false">IF(OR(CC3="缓冲罐",CC3=""),"",IF(CC38&lt;CC34,"是","否"))</f>
        <v/>
      </c>
      <c r="CD39" s="424" t="str">
        <f aca="false">IF(OR(CD3="缓冲罐",CD3=""),"",IF(CD38&lt;CD34,"是","否"))</f>
        <v/>
      </c>
      <c r="CE39" s="390"/>
    </row>
    <row r="40" s="391" customFormat="true" ht="15" hidden="false" customHeight="false" outlineLevel="0" collapsed="false">
      <c r="A40" s="388" t="s">
        <v>753</v>
      </c>
      <c r="B40" s="423" t="str">
        <f aca="false">IF(AND(B3="汽液分离罐",B3&lt;&gt;""),IF(B4="立式",MAX(1.5,1.5*B6),MAX(0.3,0.25*B6)),"")</f>
        <v/>
      </c>
      <c r="C40" s="423" t="str">
        <f aca="false">IF(AND(C3="汽液分离罐",C3&lt;&gt;""),IF(C4="立式",MAX(1.5,1.5*C6),MAX(0.3,0.25*C6)),"")</f>
        <v/>
      </c>
      <c r="D40" s="423" t="str">
        <f aca="false">IF(AND(D3="汽液分离罐",D3&lt;&gt;""),IF(D4="立式",MAX(1.5,1.5*D6),MAX(0.3,0.25*D6)),"")</f>
        <v/>
      </c>
      <c r="E40" s="423" t="str">
        <f aca="false">IF(AND(E3="汽液分离罐",E3&lt;&gt;""),IF(E4="立式",MAX(1.5,1.5*E6),MAX(0.3,0.25*E6)),"")</f>
        <v/>
      </c>
      <c r="F40" s="423" t="str">
        <f aca="false">IF(AND(F3="汽液分离罐",F3&lt;&gt;""),IF(F4="立式",MAX(1.5,1.5*F6),MAX(0.3,0.25*F6)),"")</f>
        <v/>
      </c>
      <c r="G40" s="423" t="str">
        <f aca="false">IF(AND(G3="汽液分离罐",G3&lt;&gt;""),IF(G4="立式",MAX(1.5,1.5*G6),MAX(0.3,0.25*G6)),"")</f>
        <v/>
      </c>
      <c r="H40" s="423" t="str">
        <f aca="false">IF(AND(H3="汽液分离罐",H3&lt;&gt;""),IF(H4="立式",MAX(1.5,1.5*H6),MAX(0.3,0.25*H6)),"")</f>
        <v/>
      </c>
      <c r="I40" s="423" t="str">
        <f aca="false">IF(AND(I3="汽液分离罐",I3&lt;&gt;""),IF(I4="立式",MAX(1.5,1.5*I6),MAX(0.3,0.25*I6)),"")</f>
        <v/>
      </c>
      <c r="J40" s="423" t="str">
        <f aca="false">IF(AND(J3="汽液分离罐",J3&lt;&gt;""),IF(J4="立式",MAX(1.5,1.5*J6),MAX(0.3,0.25*J6)),"")</f>
        <v/>
      </c>
      <c r="K40" s="423" t="str">
        <f aca="false">IF(AND(K3="汽液分离罐",K3&lt;&gt;""),IF(K4="立式",MAX(1.5,1.5*K6),MAX(0.3,0.25*K6)),"")</f>
        <v/>
      </c>
      <c r="L40" s="423" t="str">
        <f aca="false">IF(AND(L3="汽液分离罐",L3&lt;&gt;""),IF(L4="立式",MAX(1.5,1.5*L6),MAX(0.3,0.25*L6)),"")</f>
        <v/>
      </c>
      <c r="M40" s="423" t="str">
        <f aca="false">IF(AND(M3="汽液分离罐",M3&lt;&gt;""),IF(M4="立式",MAX(1.5,1.5*M6),MAX(0.3,0.25*M6)),"")</f>
        <v/>
      </c>
      <c r="N40" s="423" t="n">
        <f aca="false">IF(AND(N3="汽液分离罐",N3&lt;&gt;""),IF(N4="立式",MAX(1.5,1.5*N6),MAX(0.3,0.25*N6)),"")</f>
        <v>6.9</v>
      </c>
      <c r="O40" s="422" t="n">
        <f aca="false">IF(AND(O3="汽液分离罐",O3&lt;&gt;""),IF(O4="立式",MAX(1.5,1.5*O6),MAX(0.3,0.25*O6)),"")</f>
        <v>2.1</v>
      </c>
      <c r="P40" s="422" t="n">
        <f aca="false">IF(AND(P3="汽液分离罐",P3&lt;&gt;""),IF(P4="立式",MAX(1.5,1.5*P6),MAX(0.3,0.25*P6)),"")</f>
        <v>6</v>
      </c>
      <c r="Q40" s="422" t="n">
        <f aca="false">IF(AND(Q3="汽液分离罐",Q3&lt;&gt;""),IF(Q4="立式",MAX(1.5,1.5*Q6),MAX(0.3,0.25*Q6)),"")</f>
        <v>1.5</v>
      </c>
      <c r="R40" s="422" t="n">
        <f aca="false">IF(AND(R3="汽液分离罐",R3&lt;&gt;""),IF(R4="立式",MAX(1.5,1.5*R6),MAX(0.3,0.25*R6)),"")</f>
        <v>2.1</v>
      </c>
      <c r="S40" s="422" t="n">
        <f aca="false">IF(AND(S3="汽液分离罐",S3&lt;&gt;""),IF(S4="立式",MAX(1.5,1.5*S6),MAX(0.3,0.25*S6)),"")</f>
        <v>2.1</v>
      </c>
      <c r="T40" s="422" t="n">
        <f aca="false">IF(AND(T3="汽液分离罐",T3&lt;&gt;""),IF(T4="立式",MAX(1.5,1.5*T6),MAX(0.3,0.25*T6)),"")</f>
        <v>0.5</v>
      </c>
      <c r="U40" s="422" t="n">
        <f aca="false">IF(AND(U3="汽液分离罐",U3&lt;&gt;""),IF(U4="立式",MAX(1.5,1.5*U6),MAX(0.3,0.25*U6)),"")</f>
        <v>0.9</v>
      </c>
      <c r="V40" s="422" t="n">
        <f aca="false">IF(AND(V3="汽液分离罐",V3&lt;&gt;""),IF(V4="立式",MAX(1.5,1.5*V6),MAX(0.3,0.25*V6)),"")</f>
        <v>0.55</v>
      </c>
      <c r="W40" s="422" t="n">
        <f aca="false">IF(AND(W3="汽液分离罐",W3&lt;&gt;""),IF(W4="立式",MAX(1.5,1.5*W6),MAX(0.3,0.25*W6)),"")</f>
        <v>0.55</v>
      </c>
      <c r="X40" s="422" t="n">
        <f aca="false">IF(AND(X3="汽液分离罐",X3&lt;&gt;""),IF(X4="立式",MAX(1.5,1.5*X6),MAX(0.3,0.25*X6)),"")</f>
        <v>0.55</v>
      </c>
      <c r="Y40" s="422" t="n">
        <f aca="false">IF(AND(Y3="汽液分离罐",Y3&lt;&gt;""),IF(Y4="立式",MAX(1.5,1.5*Y6),MAX(0.3,0.25*Y6)),"")</f>
        <v>0.375</v>
      </c>
      <c r="Z40" s="422" t="n">
        <f aca="false">IF(AND(Z3="汽液分离罐",Z3&lt;&gt;""),IF(Z4="立式",MAX(1.5,1.5*Z6),MAX(0.3,0.25*Z6)),"")</f>
        <v>0.375</v>
      </c>
      <c r="AA40" s="423" t="str">
        <f aca="false">IF(AND(AA3="汽液分离罐",AA3&lt;&gt;""),IF(AA4="立式",MAX(1.5,1.5*AA6),MAX(0.3,0.25*AA6)),"")</f>
        <v/>
      </c>
      <c r="AB40" s="423" t="str">
        <f aca="false">IF(AND(AB3="汽液分离罐",AB3&lt;&gt;""),IF(AB4="立式",MAX(1.5,1.5*AB6),MAX(0.3,0.25*AB6)),"")</f>
        <v/>
      </c>
      <c r="AC40" s="423" t="str">
        <f aca="false">IF(AND(AC3="汽液分离罐",AC3&lt;&gt;""),IF(AC4="立式",MAX(1.5,1.5*AC6),MAX(0.3,0.25*AC6)),"")</f>
        <v/>
      </c>
      <c r="AD40" s="423" t="str">
        <f aca="false">IF(AND(AD3="汽液分离罐",AD3&lt;&gt;""),IF(AD4="立式",MAX(1.5,1.5*AD6),MAX(0.3,0.25*AD6)),"")</f>
        <v/>
      </c>
      <c r="AE40" s="423" t="str">
        <f aca="false">IF(AND(AE3="汽液分离罐",AE3&lt;&gt;""),IF(AE4="立式",MAX(1.5,1.5*AE6),MAX(0.3,0.25*AE6)),"")</f>
        <v/>
      </c>
      <c r="AF40" s="423" t="str">
        <f aca="false">IF(AND(AF3="汽液分离罐",AF3&lt;&gt;""),IF(AF4="立式",MAX(1.5,1.5*AF6),MAX(0.3,0.25*AF6)),"")</f>
        <v/>
      </c>
      <c r="AG40" s="423" t="str">
        <f aca="false">IF(AND(AG3="汽液分离罐",AG3&lt;&gt;""),IF(AG4="立式",MAX(1.5,1.5*AG6),MAX(0.3,0.25*AG6)),"")</f>
        <v/>
      </c>
      <c r="AH40" s="423" t="str">
        <f aca="false">IF(AND(AH3="汽液分离罐",AH3&lt;&gt;""),IF(AH4="立式",MAX(1.5,1.5*AH6),MAX(0.3,0.25*AH6)),"")</f>
        <v/>
      </c>
      <c r="AI40" s="423" t="str">
        <f aca="false">IF(AND(AI3="汽液分离罐",AI3&lt;&gt;""),IF(AI4="立式",MAX(1.5,1.5*AI6),MAX(0.3,0.25*AI6)),"")</f>
        <v/>
      </c>
      <c r="AJ40" s="423" t="str">
        <f aca="false">IF(AND(AJ3="汽液分离罐",AJ3&lt;&gt;""),IF(AJ4="立式",MAX(1.5,1.5*AJ6),MAX(0.3,0.25*AJ6)),"")</f>
        <v/>
      </c>
      <c r="AK40" s="423" t="str">
        <f aca="false">IF(AND(AK3="汽液分离罐",AK3&lt;&gt;""),IF(AK4="立式",MAX(1.5,1.5*AK6),MAX(0.3,0.25*AK6)),"")</f>
        <v/>
      </c>
      <c r="AL40" s="423" t="str">
        <f aca="false">IF(AND(AL3="汽液分离罐",AL3&lt;&gt;""),IF(AL4="立式",MAX(1.5,1.5*AL6),MAX(0.3,0.25*AL6)),"")</f>
        <v/>
      </c>
      <c r="AM40" s="423" t="str">
        <f aca="false">IF(AND(AM3="汽液分离罐",AM3&lt;&gt;""),IF(AM4="立式",MAX(1.5,1.5*AM6),MAX(0.3,0.25*AM6)),"")</f>
        <v/>
      </c>
      <c r="AN40" s="423" t="str">
        <f aca="false">IF(AND(AN3="汽液分离罐",AN3&lt;&gt;""),IF(AN4="立式",MAX(1.5,1.5*AN6),MAX(0.3,0.25*AN6)),"")</f>
        <v/>
      </c>
      <c r="AO40" s="423" t="str">
        <f aca="false">IF(AND(AO3="汽液分离罐",AO3&lt;&gt;""),IF(AO4="立式",MAX(1.5,1.5*AO6),MAX(0.3,0.25*AO6)),"")</f>
        <v/>
      </c>
      <c r="AP40" s="423" t="str">
        <f aca="false">IF(AND(AP3="汽液分离罐",AP3&lt;&gt;""),IF(AP4="立式",MAX(1.5,1.5*AP6),MAX(0.3,0.25*AP6)),"")</f>
        <v/>
      </c>
      <c r="AQ40" s="423" t="str">
        <f aca="false">IF(AND(AQ3="汽液分离罐",AQ3&lt;&gt;""),IF(AQ4="立式",MAX(1.5,1.5*AQ6),MAX(0.3,0.25*AQ6)),"")</f>
        <v/>
      </c>
      <c r="AR40" s="423" t="str">
        <f aca="false">IF(AND(AR3="汽液分离罐",AR3&lt;&gt;""),IF(AR4="立式",MAX(1.5,1.5*AR6),MAX(0.3,0.25*AR6)),"")</f>
        <v/>
      </c>
      <c r="AS40" s="423" t="str">
        <f aca="false">IF(AND(AS3="汽液分离罐",AS3&lt;&gt;""),IF(AS4="立式",MAX(1.5,1.5*AS6),MAX(0.3,0.25*AS6)),"")</f>
        <v/>
      </c>
      <c r="AT40" s="423" t="str">
        <f aca="false">IF(AND(AT3="汽液分离罐",AT3&lt;&gt;""),IF(AT4="立式",MAX(1.5,1.5*AT6),MAX(0.3,0.25*AT6)),"")</f>
        <v/>
      </c>
      <c r="AU40" s="423" t="str">
        <f aca="false">IF(AND(AU3="汽液分离罐",AU3&lt;&gt;""),IF(AU4="立式",MAX(1.5,1.5*AU6),MAX(0.3,0.25*AU6)),"")</f>
        <v/>
      </c>
      <c r="AV40" s="423" t="str">
        <f aca="false">IF(AND(AV3="汽液分离罐",AV3&lt;&gt;""),IF(AV4="立式",MAX(1.5,1.5*AV6),MAX(0.3,0.25*AV6)),"")</f>
        <v/>
      </c>
      <c r="AW40" s="423" t="str">
        <f aca="false">IF(AND(AW3="汽液分离罐",AW3&lt;&gt;""),IF(AW4="立式",MAX(1.5,1.5*AW6),MAX(0.3,0.25*AW6)),"")</f>
        <v/>
      </c>
      <c r="AX40" s="423" t="str">
        <f aca="false">IF(AND(AX3="汽液分离罐",AX3&lt;&gt;""),IF(AX4="立式",MAX(1.5,1.5*AX6),MAX(0.3,0.25*AX6)),"")</f>
        <v/>
      </c>
      <c r="AY40" s="423" t="str">
        <f aca="false">IF(AND(AY3="汽液分离罐",AY3&lt;&gt;""),IF(AY4="立式",MAX(1.5,1.5*AY6),MAX(0.3,0.25*AY6)),"")</f>
        <v/>
      </c>
      <c r="AZ40" s="423" t="str">
        <f aca="false">IF(AND(AZ3="汽液分离罐",AZ3&lt;&gt;""),IF(AZ4="立式",MAX(1.5,1.5*AZ6),MAX(0.3,0.25*AZ6)),"")</f>
        <v/>
      </c>
      <c r="BA40" s="423" t="str">
        <f aca="false">IF(AND(BA3="汽液分离罐",BA3&lt;&gt;""),IF(BA4="立式",MAX(1.5,1.5*BA6),MAX(0.3,0.25*BA6)),"")</f>
        <v/>
      </c>
      <c r="BB40" s="423" t="str">
        <f aca="false">IF(AND(BB3="汽液分离罐",BB3&lt;&gt;""),IF(BB4="立式",MAX(1.5,1.5*BB6),MAX(0.3,0.25*BB6)),"")</f>
        <v/>
      </c>
      <c r="BC40" s="423" t="str">
        <f aca="false">IF(AND(BC3="汽液分离罐",BC3&lt;&gt;""),IF(BC4="立式",MAX(1.5,1.5*BC6),MAX(0.3,0.25*BC6)),"")</f>
        <v/>
      </c>
      <c r="BD40" s="423" t="str">
        <f aca="false">IF(AND(BD3="汽液分离罐",BD3&lt;&gt;""),IF(BD4="立式",MAX(1.5,1.5*BD6),MAX(0.3,0.25*BD6)),"")</f>
        <v/>
      </c>
      <c r="BE40" s="423" t="str">
        <f aca="false">IF(AND(BE3="汽液分离罐",BE3&lt;&gt;""),IF(BE4="立式",MAX(1.5,1.5*BE6),MAX(0.3,0.25*BE6)),"")</f>
        <v/>
      </c>
      <c r="BF40" s="423" t="str">
        <f aca="false">IF(AND(BF3="汽液分离罐",BF3&lt;&gt;""),IF(BF4="立式",MAX(1.5,1.5*BF6),MAX(0.3,0.25*BF6)),"")</f>
        <v/>
      </c>
      <c r="BG40" s="423" t="str">
        <f aca="false">IF(AND(BG3="汽液分离罐",BG3&lt;&gt;""),IF(BG4="立式",MAX(1.5,1.5*BG6),MAX(0.3,0.25*BG6)),"")</f>
        <v/>
      </c>
      <c r="BH40" s="423" t="str">
        <f aca="false">IF(AND(BH3="汽液分离罐",BH3&lt;&gt;""),IF(BH4="立式",MAX(1.5,1.5*BH6),MAX(0.3,0.25*BH6)),"")</f>
        <v/>
      </c>
      <c r="BI40" s="423" t="str">
        <f aca="false">IF(AND(BI3="汽液分离罐",BI3&lt;&gt;""),IF(BI4="立式",MAX(1.5,1.5*BI6),MAX(0.3,0.25*BI6)),"")</f>
        <v/>
      </c>
      <c r="BJ40" s="423" t="str">
        <f aca="false">IF(AND(BJ3="汽液分离罐",BJ3&lt;&gt;""),IF(BJ4="立式",MAX(1.5,1.5*BJ6),MAX(0.3,0.25*BJ6)),"")</f>
        <v/>
      </c>
      <c r="BK40" s="423" t="str">
        <f aca="false">IF(AND(BK3="汽液分离罐",BK3&lt;&gt;""),IF(BK4="立式",MAX(1.5,1.5*BK6),MAX(0.3,0.25*BK6)),"")</f>
        <v/>
      </c>
      <c r="BL40" s="423" t="str">
        <f aca="false">IF(AND(BL3="汽液分离罐",BL3&lt;&gt;""),IF(BL4="立式",MAX(1.5,1.5*BL6),MAX(0.3,0.25*BL6)),"")</f>
        <v/>
      </c>
      <c r="BM40" s="423" t="str">
        <f aca="false">IF(AND(BM3="汽液分离罐",BM3&lt;&gt;""),IF(BM4="立式",MAX(1.5,1.5*BM6),MAX(0.3,0.25*BM6)),"")</f>
        <v/>
      </c>
      <c r="BN40" s="423" t="str">
        <f aca="false">IF(AND(BN3="汽液分离罐",BN3&lt;&gt;""),IF(BN4="立式",MAX(1.5,1.5*BN6),MAX(0.3,0.25*BN6)),"")</f>
        <v/>
      </c>
      <c r="BO40" s="423" t="str">
        <f aca="false">IF(AND(BO3="汽液分离罐",BO3&lt;&gt;""),IF(BO4="立式",MAX(1.5,1.5*BO6),MAX(0.3,0.25*BO6)),"")</f>
        <v/>
      </c>
      <c r="BP40" s="423" t="str">
        <f aca="false">IF(AND(BP3="汽液分离罐",BP3&lt;&gt;""),IF(BP4="立式",MAX(1.5,1.5*BP6),MAX(0.3,0.25*BP6)),"")</f>
        <v/>
      </c>
      <c r="BQ40" s="423" t="str">
        <f aca="false">IF(AND(BQ3="汽液分离罐",BQ3&lt;&gt;""),IF(BQ4="立式",MAX(1.5,1.5*BQ6),MAX(0.3,0.25*BQ6)),"")</f>
        <v/>
      </c>
      <c r="BR40" s="423" t="str">
        <f aca="false">IF(AND(BR3="汽液分离罐",BR3&lt;&gt;""),IF(BR4="立式",MAX(1.5,1.5*BR6),MAX(0.3,0.25*BR6)),"")</f>
        <v/>
      </c>
      <c r="BS40" s="423" t="str">
        <f aca="false">IF(AND(BS3="汽液分离罐",BS3&lt;&gt;""),IF(BS4="立式",MAX(1.5,1.5*BS6),MAX(0.3,0.25*BS6)),"")</f>
        <v/>
      </c>
      <c r="BT40" s="423" t="str">
        <f aca="false">IF(AND(BT3="汽液分离罐",BT3&lt;&gt;""),IF(BT4="立式",MAX(1.5,1.5*BT6),MAX(0.3,0.25*BT6)),"")</f>
        <v/>
      </c>
      <c r="BU40" s="423" t="str">
        <f aca="false">IF(AND(BU3="汽液分离罐",BU3&lt;&gt;""),IF(BU4="立式",MAX(1.5,1.5*BU6),MAX(0.3,0.25*BU6)),"")</f>
        <v/>
      </c>
      <c r="BV40" s="423" t="str">
        <f aca="false">IF(AND(BV3="汽液分离罐",BV3&lt;&gt;""),IF(BV4="立式",MAX(1.5,1.5*BV6),MAX(0.3,0.25*BV6)),"")</f>
        <v/>
      </c>
      <c r="BW40" s="423" t="str">
        <f aca="false">IF(AND(BW3="汽液分离罐",BW3&lt;&gt;""),IF(BW4="立式",MAX(1.5,1.5*BW6),MAX(0.3,0.25*BW6)),"")</f>
        <v/>
      </c>
      <c r="BX40" s="423" t="str">
        <f aca="false">IF(AND(BX3="汽液分离罐",BX3&lt;&gt;""),IF(BX4="立式",MAX(1.5,1.5*BX6),MAX(0.3,0.25*BX6)),"")</f>
        <v/>
      </c>
      <c r="BY40" s="423" t="str">
        <f aca="false">IF(AND(BY3="汽液分离罐",BY3&lt;&gt;""),IF(BY4="立式",MAX(1.5,1.5*BY6),MAX(0.3,0.25*BY6)),"")</f>
        <v/>
      </c>
      <c r="BZ40" s="423" t="str">
        <f aca="false">IF(AND(BZ3="汽液分离罐",BZ3&lt;&gt;""),IF(BZ4="立式",MAX(1.5,1.5*BZ6),MAX(0.3,0.25*BZ6)),"")</f>
        <v/>
      </c>
      <c r="CA40" s="423" t="str">
        <f aca="false">IF(AND(CA3="汽液分离罐",CA3&lt;&gt;""),IF(CA4="立式",MAX(1.5,1.5*CA6),MAX(0.3,0.25*CA6)),"")</f>
        <v/>
      </c>
      <c r="CB40" s="423" t="str">
        <f aca="false">IF(AND(CB3="汽液分离罐",CB3&lt;&gt;""),IF(CB4="立式",MAX(1.5,1.5*CB6),MAX(0.3,0.25*CB6)),"")</f>
        <v/>
      </c>
      <c r="CC40" s="423" t="str">
        <f aca="false">IF(AND(CC3="汽液分离罐",CC3&lt;&gt;""),IF(CC4="立式",MAX(1.5,1.5*CC6),MAX(0.3,0.25*CC6)),"")</f>
        <v/>
      </c>
      <c r="CD40" s="423" t="str">
        <f aca="false">IF(AND(CD3="汽液分离罐",CD3&lt;&gt;""),IF(CD4="立式",MAX(1.5,1.5*CD6),MAX(0.3,0.25*CD6)),"")</f>
        <v/>
      </c>
      <c r="CE40" s="390"/>
    </row>
    <row r="41" s="429" customFormat="true" ht="15" hidden="false" customHeight="false" outlineLevel="0" collapsed="false">
      <c r="A41" s="426" t="s">
        <v>754</v>
      </c>
      <c r="B41" s="427" t="str">
        <f aca="false">IF(AND(B3="汽液分离罐",B3&lt;&gt;""),IF(B4="立式",B40/B7,(B42-0.25*B6^2*ACOS((B40-B6/2)*2/B6)-((B6/2)^2-(B40-B6/2)^2)^0.5*(B40-B6/2))/B42),"")</f>
        <v/>
      </c>
      <c r="C41" s="427" t="str">
        <f aca="false">IF(AND(C3="汽液分离罐",C3&lt;&gt;""),IF(C4="立式",C40/C7,(C42-0.25*C6^2*ACOS((C40-C6/2)*2/C6)-((C6/2)^2-(C40-C6/2)^2)^0.5*(C40-C6/2))/C42),"")</f>
        <v/>
      </c>
      <c r="D41" s="427" t="str">
        <f aca="false">IF(AND(D3="汽液分离罐",D3&lt;&gt;""),IF(D4="立式",D40/D7,(D42-0.25*D6^2*ACOS((D40-D6/2)*2/D6)-((D6/2)^2-(D40-D6/2)^2)^0.5*(D40-D6/2))/D42),"")</f>
        <v/>
      </c>
      <c r="E41" s="427" t="str">
        <f aca="false">IF(AND(E3="汽液分离罐",E3&lt;&gt;""),IF(E4="立式",E40/E7,(E42-0.25*E6^2*ACOS((E40-E6/2)*2/E6)-((E6/2)^2-(E40-E6/2)^2)^0.5*(E40-E6/2))/E42),"")</f>
        <v/>
      </c>
      <c r="F41" s="427" t="str">
        <f aca="false">IF(AND(F3="汽液分离罐",F3&lt;&gt;""),IF(F4="立式",F40/F7,(F42-0.25*F6^2*ACOS((F40-F6/2)*2/F6)-((F6/2)^2-(F40-F6/2)^2)^0.5*(F40-F6/2))/F42),"")</f>
        <v/>
      </c>
      <c r="G41" s="427" t="str">
        <f aca="false">IF(AND(G3="汽液分离罐",G3&lt;&gt;""),IF(G4="立式",G40/G7,(G42-0.25*G6^2*ACOS((G40-G6/2)*2/G6)-((G6/2)^2-(G40-G6/2)^2)^0.5*(G40-G6/2))/G42),"")</f>
        <v/>
      </c>
      <c r="H41" s="427" t="str">
        <f aca="false">IF(AND(H3="汽液分离罐",H3&lt;&gt;""),IF(H4="立式",H40/H7,(H42-0.25*H6^2*ACOS((H40-H6/2)*2/H6)-((H6/2)^2-(H40-H6/2)^2)^0.5*(H40-H6/2))/H42),"")</f>
        <v/>
      </c>
      <c r="I41" s="427" t="str">
        <f aca="false">IF(AND(I3="汽液分离罐",I3&lt;&gt;""),IF(I4="立式",I40/I7,(I42-0.25*I6^2*ACOS((I40-I6/2)*2/I6)-((I6/2)^2-(I40-I6/2)^2)^0.5*(I40-I6/2))/I42),"")</f>
        <v/>
      </c>
      <c r="J41" s="427" t="str">
        <f aca="false">IF(AND(J3="汽液分离罐",J3&lt;&gt;""),IF(J4="立式",J40/J7,(J42-0.25*J6^2*ACOS((J40-J6/2)*2/J6)-((J6/2)^2-(J40-J6/2)^2)^0.5*(J40-J6/2))/J42),"")</f>
        <v/>
      </c>
      <c r="K41" s="427" t="str">
        <f aca="false">IF(AND(K3="汽液分离罐",K3&lt;&gt;""),IF(K4="立式",K40/K7,(K42-0.25*K6^2*ACOS((K40-K6/2)*2/K6)-((K6/2)^2-(K40-K6/2)^2)^0.5*(K40-K6/2))/K42),"")</f>
        <v/>
      </c>
      <c r="L41" s="427" t="str">
        <f aca="false">IF(AND(L3="汽液分离罐",L3&lt;&gt;""),IF(L4="立式",L40/L7,(L42-0.25*L6^2*ACOS((L40-L6/2)*2/L6)-((L6/2)^2-(L40-L6/2)^2)^0.5*(L40-L6/2))/L42),"")</f>
        <v/>
      </c>
      <c r="M41" s="427" t="str">
        <f aca="false">IF(AND(M3="汽液分离罐",M3&lt;&gt;""),IF(M4="立式",M40/M7,(M42-0.25*M6^2*ACOS((M40-M6/2)*2/M6)-((M6/2)^2-(M40-M6/2)^2)^0.5*(M40-M6/2))/M42),"")</f>
        <v/>
      </c>
      <c r="N41" s="427" t="n">
        <f aca="false">IF(AND(N3="汽液分离罐",N3&lt;&gt;""),IF(N4="立式",N40/N7,(N42-0.25*N6^2*ACOS((N40-N6/2)*2/N6)-((N6/2)^2-(N40-N6/2)^2)^0.5*(N40-N6/2))/N42),"")</f>
        <v>0.377049180327869</v>
      </c>
      <c r="O41" s="427" t="n">
        <f aca="false">IF(AND(O3="汽液分离罐",O3&lt;&gt;""),IF(O4="立式",O40/O7,(O42-0.25*O6^2*ACOS((O40-O6/2)*2/O6)-((O6/2)^2-(O40-O6/2)^2)^0.5*(O40-O6/2))/O42),"")</f>
        <v>0.5</v>
      </c>
      <c r="P41" s="427" t="n">
        <f aca="false">IF(AND(P3="汽液分离罐",P3&lt;&gt;""),IF(P4="立式",P40/P7,(P42-0.25*P6^2*ACOS((P40-P6/2)*2/P6)-((P6/2)^2-(P40-P6/2)^2)^0.5*(P40-P6/2))/P42),"")</f>
        <v>0.491803278688525</v>
      </c>
      <c r="Q41" s="427" t="n">
        <f aca="false">IF(AND(Q3="汽液分离罐",Q3&lt;&gt;""),IF(Q4="立式",Q40/Q7,(Q42-0.25*Q6^2*ACOS((Q40-Q6/2)*2/Q6)-((Q6/2)^2-(Q40-Q6/2)^2)^0.5*(Q40-Q6/2))/Q42),"")</f>
        <v>0.5</v>
      </c>
      <c r="R41" s="427" t="n">
        <f aca="false">IF(AND(R3="汽液分离罐",R3&lt;&gt;""),IF(R4="立式",R40/R7,(R42-0.25*R6^2*ACOS((R40-R6/2)*2/R6)-((R6/2)^2-(R40-R6/2)^2)^0.5*(R40-R6/2))/R42),"")</f>
        <v>0.525</v>
      </c>
      <c r="S41" s="427" t="n">
        <f aca="false">IF(AND(S3="汽液分离罐",S3&lt;&gt;""),IF(S4="立式",S40/S7,(S42-0.25*S6^2*ACOS((S40-S6/2)*2/S6)-((S6/2)^2-(S40-S6/2)^2)^0.5*(S40-S6/2))/S42),"")</f>
        <v>0.525</v>
      </c>
      <c r="T41" s="427" t="n">
        <f aca="false">IF(AND(T3="汽液分离罐",T3&lt;&gt;""),IF(T4="立式",T40/T7,(T42-0.25*T6^2*ACOS((T40-T6/2)*2/T6)-((T6/2)^2-(T40-T6/2)^2)^0.5*(T40-T6/2))/T42),"")</f>
        <v>0.470897324681218</v>
      </c>
      <c r="U41" s="427" t="n">
        <f aca="false">IF(AND(U3="汽液分离罐",U3&lt;&gt;""),IF(U4="立式",U40/U7,(U42-0.25*U6^2*ACOS((U40-U6/2)*2/U6)-((U6/2)^2-(U40-U6/2)^2)^0.5*(U40-U6/2))/U42),"")</f>
        <v>0.470897324681218</v>
      </c>
      <c r="V41" s="427" t="n">
        <f aca="false">IF(AND(V3="汽液分离罐",V3&lt;&gt;""),IF(V4="立式",V40/V7,(V42-0.25*V6^2*ACOS((V40-V6/2)*2/V6)-((V6/2)^2-(V40-V6/2)^2)^0.5*(V40-V6/2))/V42),"")</f>
        <v>0.470897324681218</v>
      </c>
      <c r="W41" s="427" t="n">
        <f aca="false">IF(AND(W3="汽液分离罐",W3&lt;&gt;""),IF(W4="立式",W40/W7,(W42-0.25*W6^2*ACOS((W40-W6/2)*2/W6)-((W6/2)^2-(W40-W6/2)^2)^0.5*(W40-W6/2))/W42),"")</f>
        <v>0.470897324681218</v>
      </c>
      <c r="X41" s="427" t="n">
        <f aca="false">IF(AND(X3="汽液分离罐",X3&lt;&gt;""),IF(X4="立式",X40/X7,(X42-0.25*X6^2*ACOS((X40-X6/2)*2/X6)-((X6/2)^2-(X40-X6/2)^2)^0.5*(X40-X6/2))/X42),"")</f>
        <v>0.470897324681218</v>
      </c>
      <c r="Y41" s="427" t="n">
        <f aca="false">IF(AND(Y3="汽液分离罐",Y3&lt;&gt;""),IF(Y4="立式",Y40/Y7,(Y42-0.25*Y6^2*ACOS((Y40-Y6/2)*2/Y6)-((Y6/2)^2-(Y40-Y6/2)^2)^0.5*(Y40-Y6/2))/Y42),"")</f>
        <v>0.470897324681218</v>
      </c>
      <c r="Z41" s="427" t="n">
        <f aca="false">IF(AND(Z3="汽液分离罐",Z3&lt;&gt;""),IF(Z4="立式",Z40/Z7,(Z42-0.25*Z6^2*ACOS((Z40-Z6/2)*2/Z6)-((Z6/2)^2-(Z40-Z6/2)^2)^0.5*(Z40-Z6/2))/Z42),"")</f>
        <v>0.470897324681218</v>
      </c>
      <c r="AA41" s="427" t="str">
        <f aca="false">IF(AND(AA3="汽液分离罐",AA3&lt;&gt;""),IF(AA4="立式",AA40/AA7,(AA42-0.25*AA6^2*ACOS((AA40-AA6/2)*2/AA6)-((AA6/2)^2-(AA40-AA6/2)^2)^0.5*(AA40-AA6/2))/AA42),"")</f>
        <v/>
      </c>
      <c r="AB41" s="427" t="str">
        <f aca="false">IF(AND(AB3="汽液分离罐",AB3&lt;&gt;""),IF(AB4="立式",AB40/AB7,(AB42-0.25*AB6^2*ACOS((AB40-AB6/2)*2/AB6)-((AB6/2)^2-(AB40-AB6/2)^2)^0.5*(AB40-AB6/2))/AB42),"")</f>
        <v/>
      </c>
      <c r="AC41" s="427" t="str">
        <f aca="false">IF(AND(AC3="汽液分离罐",AC3&lt;&gt;""),IF(AC4="立式",AC40/AC7,(AC42-0.25*AC6^2*ACOS((AC40-AC6/2)*2/AC6)-((AC6/2)^2-(AC40-AC6/2)^2)^0.5*(AC40-AC6/2))/AC42),"")</f>
        <v/>
      </c>
      <c r="AD41" s="427" t="str">
        <f aca="false">IF(AND(AD3="汽液分离罐",AD3&lt;&gt;""),IF(AD4="立式",AD40/AD7,(AD42-0.25*AD6^2*ACOS((AD40-AD6/2)*2/AD6)-((AD6/2)^2-(AD40-AD6/2)^2)^0.5*(AD40-AD6/2))/AD42),"")</f>
        <v/>
      </c>
      <c r="AE41" s="427" t="str">
        <f aca="false">IF(AND(AE3="汽液分离罐",AE3&lt;&gt;""),IF(AE4="立式",AE40/AE7,(AE42-0.25*AE6^2*ACOS((AE40-AE6/2)*2/AE6)-((AE6/2)^2-(AE40-AE6/2)^2)^0.5*(AE40-AE6/2))/AE42),"")</f>
        <v/>
      </c>
      <c r="AF41" s="427" t="str">
        <f aca="false">IF(AND(AF3="汽液分离罐",AF3&lt;&gt;""),IF(AF4="立式",AF40/AF7,(AF42-0.25*AF6^2*ACOS((AF40-AF6/2)*2/AF6)-((AF6/2)^2-(AF40-AF6/2)^2)^0.5*(AF40-AF6/2))/AF42),"")</f>
        <v/>
      </c>
      <c r="AG41" s="427" t="str">
        <f aca="false">IF(AND(AG3="汽液分离罐",AG3&lt;&gt;""),IF(AG4="立式",AG40/AG7,(AG42-0.25*AG6^2*ACOS((AG40-AG6/2)*2/AG6)-((AG6/2)^2-(AG40-AG6/2)^2)^0.5*(AG40-AG6/2))/AG42),"")</f>
        <v/>
      </c>
      <c r="AH41" s="427" t="str">
        <f aca="false">IF(AND(AH3="汽液分离罐",AH3&lt;&gt;""),IF(AH4="立式",AH40/AH7,(AH42-0.25*AH6^2*ACOS((AH40-AH6/2)*2/AH6)-((AH6/2)^2-(AH40-AH6/2)^2)^0.5*(AH40-AH6/2))/AH42),"")</f>
        <v/>
      </c>
      <c r="AI41" s="427" t="str">
        <f aca="false">IF(AND(AI3="汽液分离罐",AI3&lt;&gt;""),IF(AI4="立式",AI40/AI7,(AI42-0.25*AI6^2*ACOS((AI40-AI6/2)*2/AI6)-((AI6/2)^2-(AI40-AI6/2)^2)^0.5*(AI40-AI6/2))/AI42),"")</f>
        <v/>
      </c>
      <c r="AJ41" s="427" t="str">
        <f aca="false">IF(AND(AJ3="汽液分离罐",AJ3&lt;&gt;""),IF(AJ4="立式",AJ40/AJ7,(AJ42-0.25*AJ6^2*ACOS((AJ40-AJ6/2)*2/AJ6)-((AJ6/2)^2-(AJ40-AJ6/2)^2)^0.5*(AJ40-AJ6/2))/AJ42),"")</f>
        <v/>
      </c>
      <c r="AK41" s="427" t="str">
        <f aca="false">IF(AND(AK3="汽液分离罐",AK3&lt;&gt;""),IF(AK4="立式",AK40/AK7,(AK42-0.25*AK6^2*ACOS((AK40-AK6/2)*2/AK6)-((AK6/2)^2-(AK40-AK6/2)^2)^0.5*(AK40-AK6/2))/AK42),"")</f>
        <v/>
      </c>
      <c r="AL41" s="427" t="str">
        <f aca="false">IF(AND(AL3="汽液分离罐",AL3&lt;&gt;""),IF(AL4="立式",AL40/AL7,(AL42-0.25*AL6^2*ACOS((AL40-AL6/2)*2/AL6)-((AL6/2)^2-(AL40-AL6/2)^2)^0.5*(AL40-AL6/2))/AL42),"")</f>
        <v/>
      </c>
      <c r="AM41" s="427" t="str">
        <f aca="false">IF(AND(AM3="汽液分离罐",AM3&lt;&gt;""),IF(AM4="立式",AM40/AM7,(AM42-0.25*AM6^2*ACOS((AM40-AM6/2)*2/AM6)-((AM6/2)^2-(AM40-AM6/2)^2)^0.5*(AM40-AM6/2))/AM42),"")</f>
        <v/>
      </c>
      <c r="AN41" s="427" t="str">
        <f aca="false">IF(AND(AN3="汽液分离罐",AN3&lt;&gt;""),IF(AN4="立式",AN40/AN7,(AN42-0.25*AN6^2*ACOS((AN40-AN6/2)*2/AN6)-((AN6/2)^2-(AN40-AN6/2)^2)^0.5*(AN40-AN6/2))/AN42),"")</f>
        <v/>
      </c>
      <c r="AO41" s="427" t="str">
        <f aca="false">IF(AND(AO3="汽液分离罐",AO3&lt;&gt;""),IF(AO4="立式",AO40/AO7,(AO42-0.25*AO6^2*ACOS((AO40-AO6/2)*2/AO6)-((AO6/2)^2-(AO40-AO6/2)^2)^0.5*(AO40-AO6/2))/AO42),"")</f>
        <v/>
      </c>
      <c r="AP41" s="427" t="str">
        <f aca="false">IF(AND(AP3="汽液分离罐",AP3&lt;&gt;""),IF(AP4="立式",AP40/AP7,(AP42-0.25*AP6^2*ACOS((AP40-AP6/2)*2/AP6)-((AP6/2)^2-(AP40-AP6/2)^2)^0.5*(AP40-AP6/2))/AP42),"")</f>
        <v/>
      </c>
      <c r="AQ41" s="427" t="str">
        <f aca="false">IF(AND(AQ3="汽液分离罐",AQ3&lt;&gt;""),IF(AQ4="立式",AQ40/AQ7,(AQ42-0.25*AQ6^2*ACOS((AQ40-AQ6/2)*2/AQ6)-((AQ6/2)^2-(AQ40-AQ6/2)^2)^0.5*(AQ40-AQ6/2))/AQ42),"")</f>
        <v/>
      </c>
      <c r="AR41" s="427" t="str">
        <f aca="false">IF(AND(AR3="汽液分离罐",AR3&lt;&gt;""),IF(AR4="立式",AR40/AR7,(AR42-0.25*AR6^2*ACOS((AR40-AR6/2)*2/AR6)-((AR6/2)^2-(AR40-AR6/2)^2)^0.5*(AR40-AR6/2))/AR42),"")</f>
        <v/>
      </c>
      <c r="AS41" s="427" t="str">
        <f aca="false">IF(AND(AS3="汽液分离罐",AS3&lt;&gt;""),IF(AS4="立式",AS40/AS7,(AS42-0.25*AS6^2*ACOS((AS40-AS6/2)*2/AS6)-((AS6/2)^2-(AS40-AS6/2)^2)^0.5*(AS40-AS6/2))/AS42),"")</f>
        <v/>
      </c>
      <c r="AT41" s="427" t="str">
        <f aca="false">IF(AND(AT3="汽液分离罐",AT3&lt;&gt;""),IF(AT4="立式",AT40/AT7,(AT42-0.25*AT6^2*ACOS((AT40-AT6/2)*2/AT6)-((AT6/2)^2-(AT40-AT6/2)^2)^0.5*(AT40-AT6/2))/AT42),"")</f>
        <v/>
      </c>
      <c r="AU41" s="427" t="str">
        <f aca="false">IF(AND(AU3="汽液分离罐",AU3&lt;&gt;""),IF(AU4="立式",AU40/AU7,(AU42-0.25*AU6^2*ACOS((AU40-AU6/2)*2/AU6)-((AU6/2)^2-(AU40-AU6/2)^2)^0.5*(AU40-AU6/2))/AU42),"")</f>
        <v/>
      </c>
      <c r="AV41" s="427" t="str">
        <f aca="false">IF(AND(AV3="汽液分离罐",AV3&lt;&gt;""),IF(AV4="立式",AV40/AV7,(AV42-0.25*AV6^2*ACOS((AV40-AV6/2)*2/AV6)-((AV6/2)^2-(AV40-AV6/2)^2)^0.5*(AV40-AV6/2))/AV42),"")</f>
        <v/>
      </c>
      <c r="AW41" s="427" t="str">
        <f aca="false">IF(AND(AW3="汽液分离罐",AW3&lt;&gt;""),IF(AW4="立式",AW40/AW7,(AW42-0.25*AW6^2*ACOS((AW40-AW6/2)*2/AW6)-((AW6/2)^2-(AW40-AW6/2)^2)^0.5*(AW40-AW6/2))/AW42),"")</f>
        <v/>
      </c>
      <c r="AX41" s="427" t="str">
        <f aca="false">IF(AND(AX3="汽液分离罐",AX3&lt;&gt;""),IF(AX4="立式",AX40/AX7,(AX42-0.25*AX6^2*ACOS((AX40-AX6/2)*2/AX6)-((AX6/2)^2-(AX40-AX6/2)^2)^0.5*(AX40-AX6/2))/AX42),"")</f>
        <v/>
      </c>
      <c r="AY41" s="427" t="str">
        <f aca="false">IF(AND(AY3="汽液分离罐",AY3&lt;&gt;""),IF(AY4="立式",AY40/AY7,(AY42-0.25*AY6^2*ACOS((AY40-AY6/2)*2/AY6)-((AY6/2)^2-(AY40-AY6/2)^2)^0.5*(AY40-AY6/2))/AY42),"")</f>
        <v/>
      </c>
      <c r="AZ41" s="427" t="str">
        <f aca="false">IF(AND(AZ3="汽液分离罐",AZ3&lt;&gt;""),IF(AZ4="立式",AZ40/AZ7,(AZ42-0.25*AZ6^2*ACOS((AZ40-AZ6/2)*2/AZ6)-((AZ6/2)^2-(AZ40-AZ6/2)^2)^0.5*(AZ40-AZ6/2))/AZ42),"")</f>
        <v/>
      </c>
      <c r="BA41" s="427" t="str">
        <f aca="false">IF(AND(BA3="汽液分离罐",BA3&lt;&gt;""),IF(BA4="立式",BA40/BA7,(BA42-0.25*BA6^2*ACOS((BA40-BA6/2)*2/BA6)-((BA6/2)^2-(BA40-BA6/2)^2)^0.5*(BA40-BA6/2))/BA42),"")</f>
        <v/>
      </c>
      <c r="BB41" s="427" t="str">
        <f aca="false">IF(AND(BB3="汽液分离罐",BB3&lt;&gt;""),IF(BB4="立式",BB40/BB7,(BB42-0.25*BB6^2*ACOS((BB40-BB6/2)*2/BB6)-((BB6/2)^2-(BB40-BB6/2)^2)^0.5*(BB40-BB6/2))/BB42),"")</f>
        <v/>
      </c>
      <c r="BC41" s="427" t="str">
        <f aca="false">IF(AND(BC3="汽液分离罐",BC3&lt;&gt;""),IF(BC4="立式",BC40/BC7,(BC42-0.25*BC6^2*ACOS((BC40-BC6/2)*2/BC6)-((BC6/2)^2-(BC40-BC6/2)^2)^0.5*(BC40-BC6/2))/BC42),"")</f>
        <v/>
      </c>
      <c r="BD41" s="427" t="str">
        <f aca="false">IF(AND(BD3="汽液分离罐",BD3&lt;&gt;""),IF(BD4="立式",BD40/BD7,(BD42-0.25*BD6^2*ACOS((BD40-BD6/2)*2/BD6)-((BD6/2)^2-(BD40-BD6/2)^2)^0.5*(BD40-BD6/2))/BD42),"")</f>
        <v/>
      </c>
      <c r="BE41" s="427" t="str">
        <f aca="false">IF(AND(BE3="汽液分离罐",BE3&lt;&gt;""),IF(BE4="立式",BE40/BE7,(BE42-0.25*BE6^2*ACOS((BE40-BE6/2)*2/BE6)-((BE6/2)^2-(BE40-BE6/2)^2)^0.5*(BE40-BE6/2))/BE42),"")</f>
        <v/>
      </c>
      <c r="BF41" s="427" t="str">
        <f aca="false">IF(AND(BF3="汽液分离罐",BF3&lt;&gt;""),IF(BF4="立式",BF40/BF7,(BF42-0.25*BF6^2*ACOS((BF40-BF6/2)*2/BF6)-((BF6/2)^2-(BF40-BF6/2)^2)^0.5*(BF40-BF6/2))/BF42),"")</f>
        <v/>
      </c>
      <c r="BG41" s="427" t="str">
        <f aca="false">IF(AND(BG3="汽液分离罐",BG3&lt;&gt;""),IF(BG4="立式",BG40/BG7,(BG42-0.25*BG6^2*ACOS((BG40-BG6/2)*2/BG6)-((BG6/2)^2-(BG40-BG6/2)^2)^0.5*(BG40-BG6/2))/BG42),"")</f>
        <v/>
      </c>
      <c r="BH41" s="427" t="str">
        <f aca="false">IF(AND(BH3="汽液分离罐",BH3&lt;&gt;""),IF(BH4="立式",BH40/BH7,(BH42-0.25*BH6^2*ACOS((BH40-BH6/2)*2/BH6)-((BH6/2)^2-(BH40-BH6/2)^2)^0.5*(BH40-BH6/2))/BH42),"")</f>
        <v/>
      </c>
      <c r="BI41" s="427" t="str">
        <f aca="false">IF(AND(BI3="汽液分离罐",BI3&lt;&gt;""),IF(BI4="立式",BI40/BI7,(BI42-0.25*BI6^2*ACOS((BI40-BI6/2)*2/BI6)-((BI6/2)^2-(BI40-BI6/2)^2)^0.5*(BI40-BI6/2))/BI42),"")</f>
        <v/>
      </c>
      <c r="BJ41" s="427" t="str">
        <f aca="false">IF(AND(BJ3="汽液分离罐",BJ3&lt;&gt;""),IF(BJ4="立式",BJ40/BJ7,(BJ42-0.25*BJ6^2*ACOS((BJ40-BJ6/2)*2/BJ6)-((BJ6/2)^2-(BJ40-BJ6/2)^2)^0.5*(BJ40-BJ6/2))/BJ42),"")</f>
        <v/>
      </c>
      <c r="BK41" s="427" t="str">
        <f aca="false">IF(AND(BK3="汽液分离罐",BK3&lt;&gt;""),IF(BK4="立式",BK40/BK7,(BK42-0.25*BK6^2*ACOS((BK40-BK6/2)*2/BK6)-((BK6/2)^2-(BK40-BK6/2)^2)^0.5*(BK40-BK6/2))/BK42),"")</f>
        <v/>
      </c>
      <c r="BL41" s="427" t="str">
        <f aca="false">IF(AND(BL3="汽液分离罐",BL3&lt;&gt;""),IF(BL4="立式",BL40/BL7,(BL42-0.25*BL6^2*ACOS((BL40-BL6/2)*2/BL6)-((BL6/2)^2-(BL40-BL6/2)^2)^0.5*(BL40-BL6/2))/BL42),"")</f>
        <v/>
      </c>
      <c r="BM41" s="427" t="str">
        <f aca="false">IF(AND(BM3="汽液分离罐",BM3&lt;&gt;""),IF(BM4="立式",BM40/BM7,(BM42-0.25*BM6^2*ACOS((BM40-BM6/2)*2/BM6)-((BM6/2)^2-(BM40-BM6/2)^2)^0.5*(BM40-BM6/2))/BM42),"")</f>
        <v/>
      </c>
      <c r="BN41" s="427" t="str">
        <f aca="false">IF(AND(BN3="汽液分离罐",BN3&lt;&gt;""),IF(BN4="立式",BN40/BN7,(BN42-0.25*BN6^2*ACOS((BN40-BN6/2)*2/BN6)-((BN6/2)^2-(BN40-BN6/2)^2)^0.5*(BN40-BN6/2))/BN42),"")</f>
        <v/>
      </c>
      <c r="BO41" s="427" t="str">
        <f aca="false">IF(AND(BO3="汽液分离罐",BO3&lt;&gt;""),IF(BO4="立式",BO40/BO7,(BO42-0.25*BO6^2*ACOS((BO40-BO6/2)*2/BO6)-((BO6/2)^2-(BO40-BO6/2)^2)^0.5*(BO40-BO6/2))/BO42),"")</f>
        <v/>
      </c>
      <c r="BP41" s="427" t="str">
        <f aca="false">IF(AND(BP3="汽液分离罐",BP3&lt;&gt;""),IF(BP4="立式",BP40/BP7,(BP42-0.25*BP6^2*ACOS((BP40-BP6/2)*2/BP6)-((BP6/2)^2-(BP40-BP6/2)^2)^0.5*(BP40-BP6/2))/BP42),"")</f>
        <v/>
      </c>
      <c r="BQ41" s="427" t="str">
        <f aca="false">IF(AND(BQ3="汽液分离罐",BQ3&lt;&gt;""),IF(BQ4="立式",BQ40/BQ7,(BQ42-0.25*BQ6^2*ACOS((BQ40-BQ6/2)*2/BQ6)-((BQ6/2)^2-(BQ40-BQ6/2)^2)^0.5*(BQ40-BQ6/2))/BQ42),"")</f>
        <v/>
      </c>
      <c r="BR41" s="427" t="str">
        <f aca="false">IF(AND(BR3="汽液分离罐",BR3&lt;&gt;""),IF(BR4="立式",BR40/BR7,(BR42-0.25*BR6^2*ACOS((BR40-BR6/2)*2/BR6)-((BR6/2)^2-(BR40-BR6/2)^2)^0.5*(BR40-BR6/2))/BR42),"")</f>
        <v/>
      </c>
      <c r="BS41" s="427" t="str">
        <f aca="false">IF(AND(BS3="汽液分离罐",BS3&lt;&gt;""),IF(BS4="立式",BS40/BS7,(BS42-0.25*BS6^2*ACOS((BS40-BS6/2)*2/BS6)-((BS6/2)^2-(BS40-BS6/2)^2)^0.5*(BS40-BS6/2))/BS42),"")</f>
        <v/>
      </c>
      <c r="BT41" s="427" t="str">
        <f aca="false">IF(AND(BT3="汽液分离罐",BT3&lt;&gt;""),IF(BT4="立式",BT40/BT7,(BT42-0.25*BT6^2*ACOS((BT40-BT6/2)*2/BT6)-((BT6/2)^2-(BT40-BT6/2)^2)^0.5*(BT40-BT6/2))/BT42),"")</f>
        <v/>
      </c>
      <c r="BU41" s="427" t="str">
        <f aca="false">IF(AND(BU3="汽液分离罐",BU3&lt;&gt;""),IF(BU4="立式",BU40/BU7,(BU42-0.25*BU6^2*ACOS((BU40-BU6/2)*2/BU6)-((BU6/2)^2-(BU40-BU6/2)^2)^0.5*(BU40-BU6/2))/BU42),"")</f>
        <v/>
      </c>
      <c r="BV41" s="427" t="str">
        <f aca="false">IF(AND(BV3="汽液分离罐",BV3&lt;&gt;""),IF(BV4="立式",BV40/BV7,(BV42-0.25*BV6^2*ACOS((BV40-BV6/2)*2/BV6)-((BV6/2)^2-(BV40-BV6/2)^2)^0.5*(BV40-BV6/2))/BV42),"")</f>
        <v/>
      </c>
      <c r="BW41" s="427" t="str">
        <f aca="false">IF(AND(BW3="汽液分离罐",BW3&lt;&gt;""),IF(BW4="立式",BW40/BW7,(BW42-0.25*BW6^2*ACOS((BW40-BW6/2)*2/BW6)-((BW6/2)^2-(BW40-BW6/2)^2)^0.5*(BW40-BW6/2))/BW42),"")</f>
        <v/>
      </c>
      <c r="BX41" s="427" t="str">
        <f aca="false">IF(AND(BX3="汽液分离罐",BX3&lt;&gt;""),IF(BX4="立式",BX40/BX7,(BX42-0.25*BX6^2*ACOS((BX40-BX6/2)*2/BX6)-((BX6/2)^2-(BX40-BX6/2)^2)^0.5*(BX40-BX6/2))/BX42),"")</f>
        <v/>
      </c>
      <c r="BY41" s="427" t="str">
        <f aca="false">IF(AND(BY3="汽液分离罐",BY3&lt;&gt;""),IF(BY4="立式",BY40/BY7,(BY42-0.25*BY6^2*ACOS((BY40-BY6/2)*2/BY6)-((BY6/2)^2-(BY40-BY6/2)^2)^0.5*(BY40-BY6/2))/BY42),"")</f>
        <v/>
      </c>
      <c r="BZ41" s="427" t="str">
        <f aca="false">IF(AND(BZ3="汽液分离罐",BZ3&lt;&gt;""),IF(BZ4="立式",BZ40/BZ7,(BZ42-0.25*BZ6^2*ACOS((BZ40-BZ6/2)*2/BZ6)-((BZ6/2)^2-(BZ40-BZ6/2)^2)^0.5*(BZ40-BZ6/2))/BZ42),"")</f>
        <v/>
      </c>
      <c r="CA41" s="427" t="str">
        <f aca="false">IF(AND(CA3="汽液分离罐",CA3&lt;&gt;""),IF(CA4="立式",CA40/CA7,(CA42-0.25*CA6^2*ACOS((CA40-CA6/2)*2/CA6)-((CA6/2)^2-(CA40-CA6/2)^2)^0.5*(CA40-CA6/2))/CA42),"")</f>
        <v/>
      </c>
      <c r="CB41" s="427" t="str">
        <f aca="false">IF(AND(CB3="汽液分离罐",CB3&lt;&gt;""),IF(CB4="立式",CB40/CB7,(CB42-0.25*CB6^2*ACOS((CB40-CB6/2)*2/CB6)-((CB6/2)^2-(CB40-CB6/2)^2)^0.5*(CB40-CB6/2))/CB42),"")</f>
        <v/>
      </c>
      <c r="CC41" s="427" t="str">
        <f aca="false">IF(AND(CC3="汽液分离罐",CC3&lt;&gt;""),IF(CC4="立式",CC40/CC7,(CC42-0.25*CC6^2*ACOS((CC40-CC6/2)*2/CC6)-((CC6/2)^2-(CC40-CC6/2)^2)^0.5*(CC40-CC6/2))/CC42),"")</f>
        <v/>
      </c>
      <c r="CD41" s="427" t="str">
        <f aca="false">IF(AND(CD3="汽液分离罐",CD3&lt;&gt;""),IF(CD4="立式",CD40/CD7,(CD42-0.25*CD6^2*ACOS((CD40-CD6/2)*2/CD6)-((CD6/2)^2-(CD40-CD6/2)^2)^0.5*(CD40-CD6/2))/CD42),"")</f>
        <v/>
      </c>
      <c r="CE41" s="428"/>
    </row>
    <row r="42" s="391" customFormat="true" ht="15" hidden="false" customHeight="false" outlineLevel="0" collapsed="false">
      <c r="A42" s="388" t="s">
        <v>649</v>
      </c>
      <c r="B42" s="422" t="n">
        <f aca="false">IF(B3&lt;&gt;"",IF(B4="立式",0.785*B6*B6,0.785*B6^2*B35),"")</f>
        <v>12.56</v>
      </c>
      <c r="C42" s="422" t="n">
        <f aca="false">IF(C3&lt;&gt;"",IF(C4="立式",0.785*C6*C6,0.785*C6^2*C35),"")</f>
        <v>12.56</v>
      </c>
      <c r="D42" s="422" t="n">
        <f aca="false">IF(D3&lt;&gt;"",IF(D4="立式",0.785*D6*D6,0.785*D6^2*D35),"")</f>
        <v>1.5386</v>
      </c>
      <c r="E42" s="422" t="n">
        <f aca="false">IF(E3&lt;&gt;"",IF(E4="立式",0.785*E6*E6,0.785*E6^2*E35),"")</f>
        <v>3.14</v>
      </c>
      <c r="F42" s="422" t="n">
        <f aca="false">IF(F3&lt;&gt;"",IF(F4="立式",0.785*F6*F6,0.785*F6^2*F35),"")</f>
        <v>2.5434</v>
      </c>
      <c r="G42" s="422" t="n">
        <f aca="false">IF(G3&lt;&gt;"",IF(G4="立式",0.785*G6*G6,0.785*G6^2*G35),"")</f>
        <v>7.065</v>
      </c>
      <c r="H42" s="422" t="n">
        <f aca="false">IF(H3&lt;&gt;"",IF(H4="立式",0.785*H6*H6,0.785*H6^2*H35),"")</f>
        <v>3.7994</v>
      </c>
      <c r="I42" s="422" t="n">
        <f aca="false">IF(I3&lt;&gt;"",IF(I4="立式",0.785*I6*I6,0.785*I6^2*I35),"")</f>
        <v>3.14</v>
      </c>
      <c r="J42" s="422" t="n">
        <f aca="false">IF(J3&lt;&gt;"",IF(J4="立式",0.785*J6*J6,0.785*J6^2*J35),"")</f>
        <v>2.5434</v>
      </c>
      <c r="K42" s="422" t="n">
        <f aca="false">IF(K3&lt;&gt;"",IF(K4="立式",0.785*K6*K6,0.785*K6^2*K35),"")</f>
        <v>0.785</v>
      </c>
      <c r="L42" s="422" t="n">
        <f aca="false">IF(L3&lt;&gt;"",IF(L4="立式",0.785*L6*L6,0.785*L6^2*L35),"")</f>
        <v>3.7994</v>
      </c>
      <c r="M42" s="422" t="n">
        <f aca="false">IF(M3&lt;&gt;"",IF(M4="立式",0.785*M6*M6,0.785*M6^2*M35),"")</f>
        <v>5.652</v>
      </c>
      <c r="N42" s="422" t="n">
        <f aca="false">IF(N3&lt;&gt;"",IF(N4="立式",0.785*N6*N6,0.785*N6^2*N35),"")</f>
        <v>16.6106</v>
      </c>
      <c r="O42" s="422" t="n">
        <f aca="false">IF(O3&lt;&gt;"",IF(O4="立式",0.785*O6*O6,0.785*O6^2*O35),"")</f>
        <v>1.5386</v>
      </c>
      <c r="P42" s="422" t="n">
        <f aca="false">IF(P3&lt;&gt;"",IF(P4="立式",0.785*P6*P6,0.785*P6^2*P35),"")</f>
        <v>12.56</v>
      </c>
      <c r="Q42" s="422" t="n">
        <f aca="false">IF(Q3&lt;&gt;"",IF(Q4="立式",0.785*Q6*Q6,0.785*Q6^2*Q35),"")</f>
        <v>0.785</v>
      </c>
      <c r="R42" s="422" t="n">
        <f aca="false">IF(R3&lt;&gt;"",IF(R4="立式",0.785*R6*R6,0.785*R6^2*R35),"")</f>
        <v>1.5386</v>
      </c>
      <c r="S42" s="422" t="n">
        <f aca="false">IF(S3&lt;&gt;"",IF(S4="立式",0.785*S6*S6,0.785*S6^2*S35),"")</f>
        <v>1.5386</v>
      </c>
      <c r="T42" s="422" t="n">
        <f aca="false">IF(T3&lt;&gt;"",IF(T4="立式",0.785*T6*T6,0.785*T6^2*T35),"")</f>
        <v>3.14</v>
      </c>
      <c r="U42" s="422" t="n">
        <f aca="false">IF(U3&lt;&gt;"",IF(U4="立式",0.785*U6*U6,0.785*U6^2*U35),"")</f>
        <v>10.1736</v>
      </c>
      <c r="V42" s="422" t="n">
        <f aca="false">IF(V3&lt;&gt;"",IF(V4="立式",0.785*V6*V6,0.785*V6^2*V35),"")</f>
        <v>3.7994</v>
      </c>
      <c r="W42" s="422" t="n">
        <f aca="false">IF(W3&lt;&gt;"",IF(W4="立式",0.785*W6*W6,0.785*W6^2*W35),"")</f>
        <v>3.7994</v>
      </c>
      <c r="X42" s="422" t="n">
        <f aca="false">IF(X3&lt;&gt;"",IF(X4="立式",0.785*X6*X6,0.785*X6^2*X35),"")</f>
        <v>3.7994</v>
      </c>
      <c r="Y42" s="422" t="n">
        <f aca="false">IF(Y3&lt;&gt;"",IF(Y4="立式",0.785*Y6*Y6,0.785*Y6^2*Y35),"")</f>
        <v>1.76625</v>
      </c>
      <c r="Z42" s="422" t="n">
        <f aca="false">IF(Z3&lt;&gt;"",IF(Z4="立式",0.785*Z6*Z6,0.785*Z6^2*Z35),"")</f>
        <v>1.76625</v>
      </c>
      <c r="AA42" s="422" t="str">
        <f aca="false">IF(AA3&lt;&gt;"",IF(AA4="立式",0.785*AA6*AA6,0.785*AA6^2*AA35),"")</f>
        <v/>
      </c>
      <c r="AB42" s="422" t="str">
        <f aca="false">IF(AB3&lt;&gt;"",IF(AB4="立式",0.785*AB6*AB6,0.785*AB6^2*AB35),"")</f>
        <v/>
      </c>
      <c r="AC42" s="422" t="str">
        <f aca="false">IF(AC3&lt;&gt;"",IF(AC4="立式",0.785*AC6*AC6,0.785*AC6^2*AC35),"")</f>
        <v/>
      </c>
      <c r="AD42" s="422" t="str">
        <f aca="false">IF(AD3&lt;&gt;"",IF(AD4="立式",0.785*AD6*AD6,0.785*AD6^2*AD35),"")</f>
        <v/>
      </c>
      <c r="AE42" s="422" t="str">
        <f aca="false">IF(AE3&lt;&gt;"",IF(AE4="立式",0.785*AE6*AE6,0.785*AE6^2*AE35),"")</f>
        <v/>
      </c>
      <c r="AF42" s="422" t="str">
        <f aca="false">IF(AF3&lt;&gt;"",IF(AF4="立式",0.785*AF6*AF6,0.785*AF6^2*AF35),"")</f>
        <v/>
      </c>
      <c r="AG42" s="422" t="str">
        <f aca="false">IF(AG3&lt;&gt;"",IF(AG4="立式",0.785*AG6*AG6,0.785*AG6^2*AG35),"")</f>
        <v/>
      </c>
      <c r="AH42" s="422" t="str">
        <f aca="false">IF(AH3&lt;&gt;"",IF(AH4="立式",0.785*AH6*AH6,0.785*AH6^2*AH35),"")</f>
        <v/>
      </c>
      <c r="AI42" s="422" t="str">
        <f aca="false">IF(AI3&lt;&gt;"",IF(AI4="立式",0.785*AI6*AI6,0.785*AI6^2*AI35),"")</f>
        <v/>
      </c>
      <c r="AJ42" s="422" t="str">
        <f aca="false">IF(AJ3&lt;&gt;"",IF(AJ4="立式",0.785*AJ6*AJ6,0.785*AJ6^2*AJ35),"")</f>
        <v/>
      </c>
      <c r="AK42" s="422" t="str">
        <f aca="false">IF(AK3&lt;&gt;"",IF(AK4="立式",0.785*AK6*AK6,0.785*AK6^2*AK35),"")</f>
        <v/>
      </c>
      <c r="AL42" s="422" t="str">
        <f aca="false">IF(AL3&lt;&gt;"",IF(AL4="立式",0.785*AL6*AL6,0.785*AL6^2*AL35),"")</f>
        <v/>
      </c>
      <c r="AM42" s="422" t="str">
        <f aca="false">IF(AM3&lt;&gt;"",IF(AM4="立式",0.785*AM6*AM6,0.785*AM6^2*AM35),"")</f>
        <v/>
      </c>
      <c r="AN42" s="422" t="str">
        <f aca="false">IF(AN3&lt;&gt;"",IF(AN4="立式",0.785*AN6*AN6,0.785*AN6^2*AN35),"")</f>
        <v/>
      </c>
      <c r="AO42" s="422" t="str">
        <f aca="false">IF(AO3&lt;&gt;"",IF(AO4="立式",0.785*AO6*AO6,0.785*AO6^2*AO35),"")</f>
        <v/>
      </c>
      <c r="AP42" s="422" t="str">
        <f aca="false">IF(AP3&lt;&gt;"",IF(AP4="立式",0.785*AP6*AP6,0.785*AP6^2*AP35),"")</f>
        <v/>
      </c>
      <c r="AQ42" s="422" t="str">
        <f aca="false">IF(AQ3&lt;&gt;"",IF(AQ4="立式",0.785*AQ6*AQ6,0.785*AQ6^2*AQ35),"")</f>
        <v/>
      </c>
      <c r="AR42" s="422" t="str">
        <f aca="false">IF(AR3&lt;&gt;"",IF(AR4="立式",0.785*AR6*AR6,0.785*AR6^2*AR35),"")</f>
        <v/>
      </c>
      <c r="AS42" s="422" t="str">
        <f aca="false">IF(AS3&lt;&gt;"",IF(AS4="立式",0.785*AS6*AS6,0.785*AS6^2*AS35),"")</f>
        <v/>
      </c>
      <c r="AT42" s="422" t="str">
        <f aca="false">IF(AT3&lt;&gt;"",IF(AT4="立式",0.785*AT6*AT6,0.785*AT6^2*AT35),"")</f>
        <v/>
      </c>
      <c r="AU42" s="422" t="str">
        <f aca="false">IF(AU3&lt;&gt;"",IF(AU4="立式",0.785*AU6*AU6,0.785*AU6^2*AU35),"")</f>
        <v/>
      </c>
      <c r="AV42" s="422" t="str">
        <f aca="false">IF(AV3&lt;&gt;"",IF(AV4="立式",0.785*AV6*AV6,0.785*AV6^2*AV35),"")</f>
        <v/>
      </c>
      <c r="AW42" s="422" t="str">
        <f aca="false">IF(AW3&lt;&gt;"",IF(AW4="立式",0.785*AW6*AW6,0.785*AW6^2*AW35),"")</f>
        <v/>
      </c>
      <c r="AX42" s="422" t="str">
        <f aca="false">IF(AX3&lt;&gt;"",IF(AX4="立式",0.785*AX6*AX6,0.785*AX6^2*AX35),"")</f>
        <v/>
      </c>
      <c r="AY42" s="422" t="str">
        <f aca="false">IF(AY3&lt;&gt;"",IF(AY4="立式",0.785*AY6*AY6,0.785*AY6^2*AY35),"")</f>
        <v/>
      </c>
      <c r="AZ42" s="422" t="str">
        <f aca="false">IF(AZ3&lt;&gt;"",IF(AZ4="立式",0.785*AZ6*AZ6,0.785*AZ6^2*AZ35),"")</f>
        <v/>
      </c>
      <c r="BA42" s="422" t="str">
        <f aca="false">IF(BA3&lt;&gt;"",IF(BA4="立式",0.785*BA6*BA6,0.785*BA6^2*BA35),"")</f>
        <v/>
      </c>
      <c r="BB42" s="422" t="str">
        <f aca="false">IF(BB3&lt;&gt;"",IF(BB4="立式",0.785*BB6*BB6,0.785*BB6^2*BB35),"")</f>
        <v/>
      </c>
      <c r="BC42" s="422" t="str">
        <f aca="false">IF(BC3&lt;&gt;"",IF(BC4="立式",0.785*BC6*BC6,0.785*BC6^2*BC35),"")</f>
        <v/>
      </c>
      <c r="BD42" s="422" t="str">
        <f aca="false">IF(BD3&lt;&gt;"",IF(BD4="立式",0.785*BD6*BD6,0.785*BD6^2*BD35),"")</f>
        <v/>
      </c>
      <c r="BE42" s="422" t="str">
        <f aca="false">IF(BE3&lt;&gt;"",IF(BE4="立式",0.785*BE6*BE6,0.785*BE6^2*BE35),"")</f>
        <v/>
      </c>
      <c r="BF42" s="422" t="str">
        <f aca="false">IF(BF3&lt;&gt;"",IF(BF4="立式",0.785*BF6*BF6,0.785*BF6^2*BF35),"")</f>
        <v/>
      </c>
      <c r="BG42" s="422" t="str">
        <f aca="false">IF(BG3&lt;&gt;"",IF(BG4="立式",0.785*BG6*BG6,0.785*BG6^2*BG35),"")</f>
        <v/>
      </c>
      <c r="BH42" s="422" t="str">
        <f aca="false">IF(BH3&lt;&gt;"",IF(BH4="立式",0.785*BH6*BH6,0.785*BH6^2*BH35),"")</f>
        <v/>
      </c>
      <c r="BI42" s="422" t="str">
        <f aca="false">IF(BI3&lt;&gt;"",IF(BI4="立式",0.785*BI6*BI6,0.785*BI6^2*BI35),"")</f>
        <v/>
      </c>
      <c r="BJ42" s="422" t="str">
        <f aca="false">IF(BJ3&lt;&gt;"",IF(BJ4="立式",0.785*BJ6*BJ6,0.785*BJ6^2*BJ35),"")</f>
        <v/>
      </c>
      <c r="BK42" s="422" t="str">
        <f aca="false">IF(BK3&lt;&gt;"",IF(BK4="立式",0.785*BK6*BK6,0.785*BK6^2*BK35),"")</f>
        <v/>
      </c>
      <c r="BL42" s="422" t="str">
        <f aca="false">IF(BL3&lt;&gt;"",IF(BL4="立式",0.785*BL6*BL6,0.785*BL6^2*BL35),"")</f>
        <v/>
      </c>
      <c r="BM42" s="422" t="str">
        <f aca="false">IF(BM3&lt;&gt;"",IF(BM4="立式",0.785*BM6*BM6,0.785*BM6^2*BM35),"")</f>
        <v/>
      </c>
      <c r="BN42" s="422" t="str">
        <f aca="false">IF(BN3&lt;&gt;"",IF(BN4="立式",0.785*BN6*BN6,0.785*BN6^2*BN35),"")</f>
        <v/>
      </c>
      <c r="BO42" s="422" t="str">
        <f aca="false">IF(BO3&lt;&gt;"",IF(BO4="立式",0.785*BO6*BO6,0.785*BO6^2*BO35),"")</f>
        <v/>
      </c>
      <c r="BP42" s="422" t="str">
        <f aca="false">IF(BP3&lt;&gt;"",IF(BP4="立式",0.785*BP6*BP6,0.785*BP6^2*BP35),"")</f>
        <v/>
      </c>
      <c r="BQ42" s="422" t="str">
        <f aca="false">IF(BQ3&lt;&gt;"",IF(BQ4="立式",0.785*BQ6*BQ6,0.785*BQ6^2*BQ35),"")</f>
        <v/>
      </c>
      <c r="BR42" s="422" t="str">
        <f aca="false">IF(BR3&lt;&gt;"",IF(BR4="立式",0.785*BR6*BR6,0.785*BR6^2*BR35),"")</f>
        <v/>
      </c>
      <c r="BS42" s="422" t="str">
        <f aca="false">IF(BS3&lt;&gt;"",IF(BS4="立式",0.785*BS6*BS6,0.785*BS6^2*BS35),"")</f>
        <v/>
      </c>
      <c r="BT42" s="422" t="str">
        <f aca="false">IF(BT3&lt;&gt;"",IF(BT4="立式",0.785*BT6*BT6,0.785*BT6^2*BT35),"")</f>
        <v/>
      </c>
      <c r="BU42" s="422" t="str">
        <f aca="false">IF(BU3&lt;&gt;"",IF(BU4="立式",0.785*BU6*BU6,0.785*BU6^2*BU35),"")</f>
        <v/>
      </c>
      <c r="BV42" s="422" t="str">
        <f aca="false">IF(BV3&lt;&gt;"",IF(BV4="立式",0.785*BV6*BV6,0.785*BV6^2*BV35),"")</f>
        <v/>
      </c>
      <c r="BW42" s="422" t="str">
        <f aca="false">IF(BW3&lt;&gt;"",IF(BW4="立式",0.785*BW6*BW6,0.785*BW6^2*BW35),"")</f>
        <v/>
      </c>
      <c r="BX42" s="422" t="str">
        <f aca="false">IF(BX3&lt;&gt;"",IF(BX4="立式",0.785*BX6*BX6,0.785*BX6^2*BX35),"")</f>
        <v/>
      </c>
      <c r="BY42" s="422" t="str">
        <f aca="false">IF(BY3&lt;&gt;"",IF(BY4="立式",0.785*BY6*BY6,0.785*BY6^2*BY35),"")</f>
        <v/>
      </c>
      <c r="BZ42" s="422" t="str">
        <f aca="false">IF(BZ3&lt;&gt;"",IF(BZ4="立式",0.785*BZ6*BZ6,0.785*BZ6^2*BZ35),"")</f>
        <v/>
      </c>
      <c r="CA42" s="422" t="str">
        <f aca="false">IF(CA3&lt;&gt;"",IF(CA4="立式",0.785*CA6*CA6,0.785*CA6^2*CA35),"")</f>
        <v/>
      </c>
      <c r="CB42" s="422" t="str">
        <f aca="false">IF(CB3&lt;&gt;"",IF(CB4="立式",0.785*CB6*CB6,0.785*CB6^2*CB35),"")</f>
        <v/>
      </c>
      <c r="CC42" s="422" t="str">
        <f aca="false">IF(CC3&lt;&gt;"",IF(CC4="立式",0.785*CC6*CC6,0.785*CC6^2*CC35),"")</f>
        <v/>
      </c>
      <c r="CD42" s="422" t="str">
        <f aca="false">IF(CD3&lt;&gt;"",IF(CD4="立式",0.785*CD6*CD6,0.785*CD6^2*CD35),"")</f>
        <v/>
      </c>
      <c r="CE42" s="390"/>
    </row>
    <row r="43" s="391" customFormat="true" ht="15" hidden="false" customHeight="false" outlineLevel="0" collapsed="false">
      <c r="A43" s="393" t="s">
        <v>624</v>
      </c>
      <c r="B43" s="430" t="n">
        <f aca="false">IF(B6&lt;&gt;"",IF(B4="立式",0.785*B6^2*B7,0.785*B6^2*B35*B7),"")</f>
        <v>154.488</v>
      </c>
      <c r="C43" s="430" t="n">
        <f aca="false">IF(C6&lt;&gt;"",IF(C4="立式",0.785*C6^2*C7,0.785*C6^2*C35*C7),"")</f>
        <v>154.488</v>
      </c>
      <c r="D43" s="430" t="n">
        <f aca="false">IF(D6&lt;&gt;"",IF(D4="立式",0.785*D6^2*D7,0.785*D6^2*D35*D7),"")</f>
        <v>6.1544</v>
      </c>
      <c r="E43" s="430" t="n">
        <f aca="false">IF(E6&lt;&gt;"",IF(E4="立式",0.785*E6^2*E7,0.785*E6^2*E35*E7),"")</f>
        <v>12.56</v>
      </c>
      <c r="F43" s="430" t="n">
        <f aca="false">IF(F6&lt;&gt;"",IF(F4="立式",0.785*F6^2*F7,0.785*F6^2*F35*F7),"")</f>
        <v>14.49738</v>
      </c>
      <c r="G43" s="430" t="n">
        <f aca="false">IF(G6&lt;&gt;"",IF(G4="立式",0.785*G6^2*G7,0.785*G6^2*G35*G7),"")</f>
        <v>63.585</v>
      </c>
      <c r="H43" s="430" t="n">
        <f aca="false">IF(H6&lt;&gt;"",IF(H4="立式",0.785*H6^2*H7,0.785*H6^2*H35*H7),"")</f>
        <v>22.7964</v>
      </c>
      <c r="I43" s="430" t="n">
        <f aca="false">IF(I6&lt;&gt;"",IF(I4="立式",0.785*I6^2*I7,0.785*I6^2*I35*I7),"")</f>
        <v>8.2739</v>
      </c>
      <c r="J43" s="430" t="n">
        <f aca="false">IF(J6&lt;&gt;"",IF(J4="立式",0.785*J6^2*J7,0.785*J6^2*J35*J7),"")</f>
        <v>10.1736</v>
      </c>
      <c r="K43" s="430" t="n">
        <f aca="false">IF(K6&lt;&gt;"",IF(K4="立式",0.785*K6^2*K7,0.785*K6^2*K35*K7),"")</f>
        <v>1.9625</v>
      </c>
      <c r="L43" s="430" t="n">
        <f aca="false">IF(L6&lt;&gt;"",IF(L4="立式",0.785*L6^2*L7,0.785*L6^2*L35*L7),"")</f>
        <v>13.2979</v>
      </c>
      <c r="M43" s="430" t="n">
        <f aca="false">IF(M6&lt;&gt;"",IF(M4="立式",0.785*M6^2*M7,0.785*M6^2*M35*M7),"")</f>
        <v>28.8252</v>
      </c>
      <c r="N43" s="430" t="n">
        <f aca="false">IF(N6&lt;&gt;"",IF(N4="立式",0.785*N6^2*N7,0.785*N6^2*N35*N7),"")</f>
        <v>303.97398</v>
      </c>
      <c r="O43" s="430" t="n">
        <f aca="false">IF(O6&lt;&gt;"",IF(O4="立式",0.785*O6^2*O7,0.785*O6^2*O35*O7),"")</f>
        <v>6.46212</v>
      </c>
      <c r="P43" s="430" t="n">
        <f aca="false">IF(P6&lt;&gt;"",IF(P4="立式",0.785*P6^2*P7,0.785*P6^2*P35*P7),"")</f>
        <v>153.232</v>
      </c>
      <c r="Q43" s="430" t="n">
        <f aca="false">IF(Q6&lt;&gt;"",IF(Q4="立式",0.785*Q6^2*Q7,0.785*Q6^2*Q35*Q7),"")</f>
        <v>2.355</v>
      </c>
      <c r="R43" s="430" t="n">
        <f aca="false">IF(R6&lt;&gt;"",IF(R4="立式",0.785*R6^2*R7,0.785*R6^2*R35*R7),"")</f>
        <v>6.1544</v>
      </c>
      <c r="S43" s="430" t="n">
        <f aca="false">IF(S6&lt;&gt;"",IF(S4="立式",0.785*S6^2*S7,0.785*S6^2*S35*S7),"")</f>
        <v>6.1544</v>
      </c>
      <c r="T43" s="430" t="n">
        <f aca="false">IF(T6&lt;&gt;"",IF(T4="立式",0.785*T6^2*T7,0.785*T6^2*T35*T7),"")</f>
        <v>16.014</v>
      </c>
      <c r="U43" s="430" t="n">
        <f aca="false">IF(U6&lt;&gt;"",IF(U4="立式",0.785*U6^2*U7,0.785*U6^2*U35*U7),"")</f>
        <v>81.3888</v>
      </c>
      <c r="V43" s="430" t="n">
        <f aca="false">IF(V6&lt;&gt;"",IF(V4="立式",0.785*V6^2*V7,0.785*V6^2*V35*V7),"")</f>
        <v>15.1976</v>
      </c>
      <c r="W43" s="430" t="n">
        <f aca="false">IF(W6&lt;&gt;"",IF(W4="立式",0.785*W6^2*W7,0.785*W6^2*W35*W7),"")</f>
        <v>15.1976</v>
      </c>
      <c r="X43" s="430" t="n">
        <f aca="false">IF(X6&lt;&gt;"",IF(X4="立式",0.785*X6^2*X7,0.785*X6^2*X35*X7),"")</f>
        <v>31.34505</v>
      </c>
      <c r="Y43" s="430" t="n">
        <f aca="false">IF(Y6&lt;&gt;"",IF(Y4="立式",0.785*Y6^2*Y7,0.785*Y6^2*Y35*Y7),"")</f>
        <v>7.065</v>
      </c>
      <c r="Z43" s="430" t="n">
        <f aca="false">IF(Z6&lt;&gt;"",IF(Z4="立式",0.785*Z6^2*Z7,0.785*Z6^2*Z35*Z7),"")</f>
        <v>7.065</v>
      </c>
      <c r="AA43" s="430" t="str">
        <f aca="false">IF(AA6&lt;&gt;"",IF(AA4="立式",0.785*AA6^2*AA7,0.785*AA6^2*AA35*AA7),"")</f>
        <v/>
      </c>
      <c r="AB43" s="430" t="str">
        <f aca="false">IF(AB6&lt;&gt;"",IF(AB4="立式",0.785*AB6^2*AB7,0.785*AB6^2*AB35*AB7),"")</f>
        <v/>
      </c>
      <c r="AC43" s="430" t="str">
        <f aca="false">IF(AC6&lt;&gt;"",IF(AC4="立式",0.785*AC6^2*AC7,0.785*AC6^2*AC35*AC7),"")</f>
        <v/>
      </c>
      <c r="AD43" s="430" t="str">
        <f aca="false">IF(AD6&lt;&gt;"",IF(AD4="立式",0.785*AD6^2*AD7,0.785*AD6^2*AD35*AD7),"")</f>
        <v/>
      </c>
      <c r="AE43" s="430" t="str">
        <f aca="false">IF(AE6&lt;&gt;"",IF(AE4="立式",0.785*AE6^2*AE7,0.785*AE6^2*AE35*AE7),"")</f>
        <v/>
      </c>
      <c r="AF43" s="430" t="str">
        <f aca="false">IF(AF6&lt;&gt;"",IF(AF4="立式",0.785*AF6^2*AF7,0.785*AF6^2*AF35*AF7),"")</f>
        <v/>
      </c>
      <c r="AG43" s="430" t="str">
        <f aca="false">IF(AG6&lt;&gt;"",IF(AG4="立式",0.785*AG6^2*AG7,0.785*AG6^2*AG35*AG7),"")</f>
        <v/>
      </c>
      <c r="AH43" s="430" t="str">
        <f aca="false">IF(AH6&lt;&gt;"",IF(AH4="立式",0.785*AH6^2*AH7,0.785*AH6^2*AH35*AH7),"")</f>
        <v/>
      </c>
      <c r="AI43" s="430" t="str">
        <f aca="false">IF(AI6&lt;&gt;"",IF(AI4="立式",0.785*AI6^2*AI7,0.785*AI6^2*AI35*AI7),"")</f>
        <v/>
      </c>
      <c r="AJ43" s="430" t="str">
        <f aca="false">IF(AJ6&lt;&gt;"",IF(AJ4="立式",0.785*AJ6^2*AJ7,0.785*AJ6^2*AJ35*AJ7),"")</f>
        <v/>
      </c>
      <c r="AK43" s="430" t="str">
        <f aca="false">IF(AK6&lt;&gt;"",IF(AK4="立式",0.785*AK6^2*AK7,0.785*AK6^2*AK35*AK7),"")</f>
        <v/>
      </c>
      <c r="AL43" s="430" t="str">
        <f aca="false">IF(AL6&lt;&gt;"",IF(AL4="立式",0.785*AL6^2*AL7,0.785*AL6^2*AL35*AL7),"")</f>
        <v/>
      </c>
      <c r="AM43" s="430" t="str">
        <f aca="false">IF(AM6&lt;&gt;"",IF(AM4="立式",0.785*AM6^2*AM7,0.785*AM6^2*AM35*AM7),"")</f>
        <v/>
      </c>
      <c r="AN43" s="430" t="str">
        <f aca="false">IF(AN6&lt;&gt;"",IF(AN4="立式",0.785*AN6^2*AN7,0.785*AN6^2*AN35*AN7),"")</f>
        <v/>
      </c>
      <c r="AO43" s="430" t="str">
        <f aca="false">IF(AO6&lt;&gt;"",IF(AO4="立式",0.785*AO6^2*AO7,0.785*AO6^2*AO35*AO7),"")</f>
        <v/>
      </c>
      <c r="AP43" s="430" t="str">
        <f aca="false">IF(AP6&lt;&gt;"",IF(AP4="立式",0.785*AP6^2*AP7,0.785*AP6^2*AP35*AP7),"")</f>
        <v/>
      </c>
      <c r="AQ43" s="430" t="str">
        <f aca="false">IF(AQ6&lt;&gt;"",IF(AQ4="立式",0.785*AQ6^2*AQ7,0.785*AQ6^2*AQ35*AQ7),"")</f>
        <v/>
      </c>
      <c r="AR43" s="430" t="str">
        <f aca="false">IF(AR6&lt;&gt;"",IF(AR4="立式",0.785*AR6^2*AR7,0.785*AR6^2*AR35*AR7),"")</f>
        <v/>
      </c>
      <c r="AS43" s="430" t="str">
        <f aca="false">IF(AS6&lt;&gt;"",IF(AS4="立式",0.785*AS6^2*AS7,0.785*AS6^2*AS35*AS7),"")</f>
        <v/>
      </c>
      <c r="AT43" s="430" t="str">
        <f aca="false">IF(AT6&lt;&gt;"",IF(AT4="立式",0.785*AT6^2*AT7,0.785*AT6^2*AT35*AT7),"")</f>
        <v/>
      </c>
      <c r="AU43" s="430" t="str">
        <f aca="false">IF(AU6&lt;&gt;"",IF(AU4="立式",0.785*AU6^2*AU7,0.785*AU6^2*AU35*AU7),"")</f>
        <v/>
      </c>
      <c r="AV43" s="430" t="str">
        <f aca="false">IF(AV6&lt;&gt;"",IF(AV4="立式",0.785*AV6^2*AV7,0.785*AV6^2*AV35*AV7),"")</f>
        <v/>
      </c>
      <c r="AW43" s="430" t="str">
        <f aca="false">IF(AW6&lt;&gt;"",IF(AW4="立式",0.785*AW6^2*AW7,0.785*AW6^2*AW35*AW7),"")</f>
        <v/>
      </c>
      <c r="AX43" s="430" t="str">
        <f aca="false">IF(AX6&lt;&gt;"",IF(AX4="立式",0.785*AX6^2*AX7,0.785*AX6^2*AX35*AX7),"")</f>
        <v/>
      </c>
      <c r="AY43" s="430" t="str">
        <f aca="false">IF(AY6&lt;&gt;"",IF(AY4="立式",0.785*AY6^2*AY7,0.785*AY6^2*AY35*AY7),"")</f>
        <v/>
      </c>
      <c r="AZ43" s="430" t="str">
        <f aca="false">IF(AZ6&lt;&gt;"",IF(AZ4="立式",0.785*AZ6^2*AZ7,0.785*AZ6^2*AZ35*AZ7),"")</f>
        <v/>
      </c>
      <c r="BA43" s="430" t="str">
        <f aca="false">IF(BA6&lt;&gt;"",IF(BA4="立式",0.785*BA6^2*BA7,0.785*BA6^2*BA35*BA7),"")</f>
        <v/>
      </c>
      <c r="BB43" s="430" t="str">
        <f aca="false">IF(BB6&lt;&gt;"",IF(BB4="立式",0.785*BB6^2*BB7,0.785*BB6^2*BB35*BB7),"")</f>
        <v/>
      </c>
      <c r="BC43" s="430" t="str">
        <f aca="false">IF(BC6&lt;&gt;"",IF(BC4="立式",0.785*BC6^2*BC7,0.785*BC6^2*BC35*BC7),"")</f>
        <v/>
      </c>
      <c r="BD43" s="430" t="str">
        <f aca="false">IF(BD6&lt;&gt;"",IF(BD4="立式",0.785*BD6^2*BD7,0.785*BD6^2*BD35*BD7),"")</f>
        <v/>
      </c>
      <c r="BE43" s="430" t="str">
        <f aca="false">IF(BE6&lt;&gt;"",IF(BE4="立式",0.785*BE6^2*BE7,0.785*BE6^2*BE35*BE7),"")</f>
        <v/>
      </c>
      <c r="BF43" s="430" t="str">
        <f aca="false">IF(BF6&lt;&gt;"",IF(BF4="立式",0.785*BF6^2*BF7,0.785*BF6^2*BF35*BF7),"")</f>
        <v/>
      </c>
      <c r="BG43" s="430" t="str">
        <f aca="false">IF(BG6&lt;&gt;"",IF(BG4="立式",0.785*BG6^2*BG7,0.785*BG6^2*BG35*BG7),"")</f>
        <v/>
      </c>
      <c r="BH43" s="430" t="str">
        <f aca="false">IF(BH6&lt;&gt;"",IF(BH4="立式",0.785*BH6^2*BH7,0.785*BH6^2*BH35*BH7),"")</f>
        <v/>
      </c>
      <c r="BI43" s="430" t="str">
        <f aca="false">IF(BI6&lt;&gt;"",IF(BI4="立式",0.785*BI6^2*BI7,0.785*BI6^2*BI35*BI7),"")</f>
        <v/>
      </c>
      <c r="BJ43" s="430" t="str">
        <f aca="false">IF(BJ6&lt;&gt;"",IF(BJ4="立式",0.785*BJ6^2*BJ7,0.785*BJ6^2*BJ35*BJ7),"")</f>
        <v/>
      </c>
      <c r="BK43" s="430" t="str">
        <f aca="false">IF(BK6&lt;&gt;"",IF(BK4="立式",0.785*BK6^2*BK7,0.785*BK6^2*BK35*BK7),"")</f>
        <v/>
      </c>
      <c r="BL43" s="430" t="str">
        <f aca="false">IF(BL6&lt;&gt;"",IF(BL4="立式",0.785*BL6^2*BL7,0.785*BL6^2*BL35*BL7),"")</f>
        <v/>
      </c>
      <c r="BM43" s="430" t="str">
        <f aca="false">IF(BM6&lt;&gt;"",IF(BM4="立式",0.785*BM6^2*BM7,0.785*BM6^2*BM35*BM7),"")</f>
        <v/>
      </c>
      <c r="BN43" s="430" t="str">
        <f aca="false">IF(BN6&lt;&gt;"",IF(BN4="立式",0.785*BN6^2*BN7,0.785*BN6^2*BN35*BN7),"")</f>
        <v/>
      </c>
      <c r="BO43" s="430" t="str">
        <f aca="false">IF(BO6&lt;&gt;"",IF(BO4="立式",0.785*BO6^2*BO7,0.785*BO6^2*BO35*BO7),"")</f>
        <v/>
      </c>
      <c r="BP43" s="430" t="str">
        <f aca="false">IF(BP6&lt;&gt;"",IF(BP4="立式",0.785*BP6^2*BP7,0.785*BP6^2*BP35*BP7),"")</f>
        <v/>
      </c>
      <c r="BQ43" s="430" t="str">
        <f aca="false">IF(BQ6&lt;&gt;"",IF(BQ4="立式",0.785*BQ6^2*BQ7,0.785*BQ6^2*BQ35*BQ7),"")</f>
        <v/>
      </c>
      <c r="BR43" s="430" t="str">
        <f aca="false">IF(BR6&lt;&gt;"",IF(BR4="立式",0.785*BR6^2*BR7,0.785*BR6^2*BR35*BR7),"")</f>
        <v/>
      </c>
      <c r="BS43" s="430" t="str">
        <f aca="false">IF(BS6&lt;&gt;"",IF(BS4="立式",0.785*BS6^2*BS7,0.785*BS6^2*BS35*BS7),"")</f>
        <v/>
      </c>
      <c r="BT43" s="430" t="str">
        <f aca="false">IF(BT6&lt;&gt;"",IF(BT4="立式",0.785*BT6^2*BT7,0.785*BT6^2*BT35*BT7),"")</f>
        <v/>
      </c>
      <c r="BU43" s="430" t="str">
        <f aca="false">IF(BU6&lt;&gt;"",IF(BU4="立式",0.785*BU6^2*BU7,0.785*BU6^2*BU35*BU7),"")</f>
        <v/>
      </c>
      <c r="BV43" s="430" t="str">
        <f aca="false">IF(BV6&lt;&gt;"",IF(BV4="立式",0.785*BV6^2*BV7,0.785*BV6^2*BV35*BV7),"")</f>
        <v/>
      </c>
      <c r="BW43" s="430" t="str">
        <f aca="false">IF(BW6&lt;&gt;"",IF(BW4="立式",0.785*BW6^2*BW7,0.785*BW6^2*BW35*BW7),"")</f>
        <v/>
      </c>
      <c r="BX43" s="430" t="str">
        <f aca="false">IF(BX6&lt;&gt;"",IF(BX4="立式",0.785*BX6^2*BX7,0.785*BX6^2*BX35*BX7),"")</f>
        <v/>
      </c>
      <c r="BY43" s="430" t="str">
        <f aca="false">IF(BY6&lt;&gt;"",IF(BY4="立式",0.785*BY6^2*BY7,0.785*BY6^2*BY35*BY7),"")</f>
        <v/>
      </c>
      <c r="BZ43" s="430" t="str">
        <f aca="false">IF(BZ6&lt;&gt;"",IF(BZ4="立式",0.785*BZ6^2*BZ7,0.785*BZ6^2*BZ35*BZ7),"")</f>
        <v/>
      </c>
      <c r="CA43" s="430" t="str">
        <f aca="false">IF(CA6&lt;&gt;"",IF(CA4="立式",0.785*CA6^2*CA7,0.785*CA6^2*CA35*CA7),"")</f>
        <v/>
      </c>
      <c r="CB43" s="430" t="str">
        <f aca="false">IF(CB6&lt;&gt;"",IF(CB4="立式",0.785*CB6^2*CB7,0.785*CB6^2*CB35*CB7),"")</f>
        <v/>
      </c>
      <c r="CC43" s="430" t="str">
        <f aca="false">IF(CC6&lt;&gt;"",IF(CC4="立式",0.785*CC6^2*CC7,0.785*CC6^2*CC35*CC7),"")</f>
        <v/>
      </c>
      <c r="CD43" s="430" t="str">
        <f aca="false">IF(CD6&lt;&gt;"",IF(CD4="立式",0.785*CD6^2*CD7,0.785*CD6^2*CD35*CD7),"")</f>
        <v/>
      </c>
      <c r="CE43" s="390"/>
    </row>
    <row r="44" s="391" customFormat="true" ht="15" hidden="false" customHeight="false" outlineLevel="0" collapsed="false">
      <c r="A44" s="431" t="s">
        <v>691</v>
      </c>
      <c r="B44" s="432" t="n">
        <f aca="false">IF(AND(B3="缓冲罐",B3&lt;&gt;""),B29/B42,"")</f>
        <v>0.00945860850485466</v>
      </c>
      <c r="C44" s="432" t="n">
        <f aca="false">IF(AND(C3="缓冲罐",C3&lt;&gt;""),C29/C42,"")</f>
        <v>0.00945860850485466</v>
      </c>
      <c r="D44" s="432" t="n">
        <f aca="false">IF(AND(D3="缓冲罐",D3&lt;&gt;""),D29/D42,"")</f>
        <v>0.00272787188227774</v>
      </c>
      <c r="E44" s="432" t="n">
        <f aca="false">IF(AND(E3="缓冲罐",E3&lt;&gt;""),E29/E42,"")</f>
        <v>0.00377045299923398</v>
      </c>
      <c r="F44" s="432" t="n">
        <f aca="false">IF(AND(F3="缓冲罐",F3&lt;&gt;""),F29/F42,"")</f>
        <v>0.00133485166642882</v>
      </c>
      <c r="G44" s="432" t="n">
        <f aca="false">IF(AND(G3="缓冲罐",G3&lt;&gt;""),G29/G42,"")</f>
        <v>0.00702403229821369</v>
      </c>
      <c r="H44" s="432" t="n">
        <f aca="false">IF(AND(H3="缓冲罐",H3&lt;&gt;""),H29/H42,"")</f>
        <v>0.000473070911437341</v>
      </c>
      <c r="I44" s="432" t="n">
        <f aca="false">IF(AND(I3="缓冲罐",I3&lt;&gt;""),I29/I42,"")</f>
        <v>0.00184711570403108</v>
      </c>
      <c r="J44" s="432" t="n">
        <f aca="false">IF(AND(J3="缓冲罐",J3&lt;&gt;""),J29/J42,"")</f>
        <v>0.00237894356393255</v>
      </c>
      <c r="K44" s="432" t="n">
        <f aca="false">IF(AND(K3="缓冲罐",K3&lt;&gt;""),K29/K42,"")</f>
        <v>4.57932642271346E-005</v>
      </c>
      <c r="L44" s="432" t="str">
        <f aca="false">IF(AND(L3="缓冲罐",L3&lt;&gt;""),L29/L42,"")</f>
        <v/>
      </c>
      <c r="M44" s="432" t="str">
        <f aca="false">IF(AND(M3="缓冲罐",M3&lt;&gt;""),M29/M42,"")</f>
        <v/>
      </c>
      <c r="N44" s="432" t="str">
        <f aca="false">IF(AND(N3="缓冲罐",N3&lt;&gt;""),N29/N42,"")</f>
        <v/>
      </c>
      <c r="O44" s="432" t="str">
        <f aca="false">IF(AND(O3="缓冲罐",O3&lt;&gt;""),O29/O42,"")</f>
        <v/>
      </c>
      <c r="P44" s="432"/>
      <c r="Q44" s="432" t="str">
        <f aca="false">IF(AND(Q3="缓冲罐",Q3&lt;&gt;""),Q29/Q42,"")</f>
        <v/>
      </c>
      <c r="R44" s="432" t="str">
        <f aca="false">IF(AND(R3="缓冲罐",R3&lt;&gt;""),R29/R42,"")</f>
        <v/>
      </c>
      <c r="S44" s="432" t="str">
        <f aca="false">IF(AND(S3="缓冲罐",S3&lt;&gt;""),S29/S42,"")</f>
        <v/>
      </c>
      <c r="T44" s="432" t="str">
        <f aca="false">IF(AND(T3="缓冲罐",T3&lt;&gt;""),T29/T42,"")</f>
        <v/>
      </c>
      <c r="U44" s="432" t="str">
        <f aca="false">IF(AND(U3="缓冲罐",U3&lt;&gt;""),U29/U42,"")</f>
        <v/>
      </c>
      <c r="V44" s="432" t="str">
        <f aca="false">IF(AND(V3="缓冲罐",V3&lt;&gt;""),V29/V42,"")</f>
        <v/>
      </c>
      <c r="W44" s="432" t="str">
        <f aca="false">IF(AND(W3="缓冲罐",W3&lt;&gt;""),W29/W42,"")</f>
        <v/>
      </c>
      <c r="X44" s="432" t="str">
        <f aca="false">IF(AND(X3="缓冲罐",X3&lt;&gt;""),X29/X42,"")</f>
        <v/>
      </c>
      <c r="Y44" s="432" t="str">
        <f aca="false">IF(AND(Y3="缓冲罐",Y3&lt;&gt;""),Y29/Y42,"")</f>
        <v/>
      </c>
      <c r="Z44" s="432" t="str">
        <f aca="false">IF(AND(Z3="缓冲罐",Z3&lt;&gt;""),Z29/Z42,"")</f>
        <v/>
      </c>
      <c r="AA44" s="432" t="str">
        <f aca="false">IF(AND(AA3="缓冲罐",AA3&lt;&gt;""),AA29/AA42,"")</f>
        <v/>
      </c>
      <c r="AB44" s="432" t="str">
        <f aca="false">IF(AND(AB3="缓冲罐",AB3&lt;&gt;""),AB29/AB42,"")</f>
        <v/>
      </c>
      <c r="AC44" s="432" t="str">
        <f aca="false">IF(AND(AC3="缓冲罐",AC3&lt;&gt;""),AC29/AC42,"")</f>
        <v/>
      </c>
      <c r="AD44" s="432" t="str">
        <f aca="false">IF(AND(AD3="缓冲罐",AD3&lt;&gt;""),AD29/AD42,"")</f>
        <v/>
      </c>
      <c r="AE44" s="432" t="str">
        <f aca="false">IF(AND(AE3="缓冲罐",AE3&lt;&gt;""),AE29/AE42,"")</f>
        <v/>
      </c>
      <c r="AF44" s="432" t="str">
        <f aca="false">IF(AND(AF3="缓冲罐",AF3&lt;&gt;""),AF29/AF42,"")</f>
        <v/>
      </c>
      <c r="AG44" s="432" t="str">
        <f aca="false">IF(AND(AG3="缓冲罐",AG3&lt;&gt;""),AG29/AG42,"")</f>
        <v/>
      </c>
      <c r="AH44" s="432" t="str">
        <f aca="false">IF(AND(AH3="缓冲罐",AH3&lt;&gt;""),AH29/AH42,"")</f>
        <v/>
      </c>
      <c r="AI44" s="432" t="str">
        <f aca="false">IF(AND(AI3="缓冲罐",AI3&lt;&gt;""),AI29/AI42,"")</f>
        <v/>
      </c>
      <c r="AJ44" s="432" t="str">
        <f aca="false">IF(AND(AJ3="缓冲罐",AJ3&lt;&gt;""),AJ29/AJ42,"")</f>
        <v/>
      </c>
      <c r="AK44" s="432" t="str">
        <f aca="false">IF(AND(AK3="缓冲罐",AK3&lt;&gt;""),AK29/AK42,"")</f>
        <v/>
      </c>
      <c r="AL44" s="432" t="str">
        <f aca="false">IF(AND(AL3="缓冲罐",AL3&lt;&gt;""),AL29/AL42,"")</f>
        <v/>
      </c>
      <c r="AM44" s="432" t="str">
        <f aca="false">IF(AND(AM3="缓冲罐",AM3&lt;&gt;""),AM29/AM42,"")</f>
        <v/>
      </c>
      <c r="AN44" s="432" t="str">
        <f aca="false">IF(AND(AN3="缓冲罐",AN3&lt;&gt;""),AN29/AN42,"")</f>
        <v/>
      </c>
      <c r="AO44" s="432" t="str">
        <f aca="false">IF(AND(AO3="缓冲罐",AO3&lt;&gt;""),AO29/AO42,"")</f>
        <v/>
      </c>
      <c r="AP44" s="432" t="str">
        <f aca="false">IF(AND(AP3="缓冲罐",AP3&lt;&gt;""),AP29/AP42,"")</f>
        <v/>
      </c>
      <c r="AQ44" s="432" t="str">
        <f aca="false">IF(AND(AQ3="缓冲罐",AQ3&lt;&gt;""),AQ29/AQ42,"")</f>
        <v/>
      </c>
      <c r="AR44" s="432" t="str">
        <f aca="false">IF(AND(AR3="缓冲罐",AR3&lt;&gt;""),AR29/AR42,"")</f>
        <v/>
      </c>
      <c r="AS44" s="432" t="str">
        <f aca="false">IF(AND(AS3="缓冲罐",AS3&lt;&gt;""),AS29/AS42,"")</f>
        <v/>
      </c>
      <c r="AT44" s="432" t="str">
        <f aca="false">IF(AND(AT3="缓冲罐",AT3&lt;&gt;""),AT29/AT42,"")</f>
        <v/>
      </c>
      <c r="AU44" s="432" t="str">
        <f aca="false">IF(AND(AU3="缓冲罐",AU3&lt;&gt;""),AU29/AU42,"")</f>
        <v/>
      </c>
      <c r="AV44" s="432" t="str">
        <f aca="false">IF(AND(AV3="缓冲罐",AV3&lt;&gt;""),AV29/AV42,"")</f>
        <v/>
      </c>
      <c r="AW44" s="432" t="str">
        <f aca="false">IF(AND(AW3="缓冲罐",AW3&lt;&gt;""),AW29/AW42,"")</f>
        <v/>
      </c>
      <c r="AX44" s="432" t="str">
        <f aca="false">IF(AND(AX3="缓冲罐",AX3&lt;&gt;""),AX29/AX42,"")</f>
        <v/>
      </c>
      <c r="AY44" s="432" t="str">
        <f aca="false">IF(AND(AY3="缓冲罐",AY3&lt;&gt;""),AY29/AY42,"")</f>
        <v/>
      </c>
      <c r="AZ44" s="432" t="str">
        <f aca="false">IF(AND(AZ3="缓冲罐",AZ3&lt;&gt;""),AZ29/AZ42,"")</f>
        <v/>
      </c>
      <c r="BA44" s="432" t="str">
        <f aca="false">IF(AND(BA3="缓冲罐",BA3&lt;&gt;""),BA29/BA42,"")</f>
        <v/>
      </c>
      <c r="BB44" s="432" t="str">
        <f aca="false">IF(AND(BB3="缓冲罐",BB3&lt;&gt;""),BB29/BB42,"")</f>
        <v/>
      </c>
      <c r="BC44" s="432" t="str">
        <f aca="false">IF(AND(BC3="缓冲罐",BC3&lt;&gt;""),BC29/BC42,"")</f>
        <v/>
      </c>
      <c r="BD44" s="432" t="str">
        <f aca="false">IF(AND(BD3="缓冲罐",BD3&lt;&gt;""),BD29/BD42,"")</f>
        <v/>
      </c>
      <c r="BE44" s="432" t="str">
        <f aca="false">IF(AND(BE3="缓冲罐",BE3&lt;&gt;""),BE29/BE42,"")</f>
        <v/>
      </c>
      <c r="BF44" s="432" t="str">
        <f aca="false">IF(AND(BF3="缓冲罐",BF3&lt;&gt;""),BF29/BF42,"")</f>
        <v/>
      </c>
      <c r="BG44" s="432" t="str">
        <f aca="false">IF(AND(BG3="缓冲罐",BG3&lt;&gt;""),BG29/BG42,"")</f>
        <v/>
      </c>
      <c r="BH44" s="432" t="str">
        <f aca="false">IF(AND(BH3="缓冲罐",BH3&lt;&gt;""),BH29/BH42,"")</f>
        <v/>
      </c>
      <c r="BI44" s="432" t="str">
        <f aca="false">IF(AND(BI3="缓冲罐",BI3&lt;&gt;""),BI29/BI42,"")</f>
        <v/>
      </c>
      <c r="BJ44" s="432" t="str">
        <f aca="false">IF(AND(BJ3="缓冲罐",BJ3&lt;&gt;""),BJ29/BJ42,"")</f>
        <v/>
      </c>
      <c r="BK44" s="432" t="str">
        <f aca="false">IF(AND(BK3="缓冲罐",BK3&lt;&gt;""),BK29/BK42,"")</f>
        <v/>
      </c>
      <c r="BL44" s="432" t="str">
        <f aca="false">IF(AND(BL3="缓冲罐",BL3&lt;&gt;""),BL29/BL42,"")</f>
        <v/>
      </c>
      <c r="BM44" s="432" t="str">
        <f aca="false">IF(AND(BM3="缓冲罐",BM3&lt;&gt;""),BM29/BM42,"")</f>
        <v/>
      </c>
      <c r="BN44" s="432" t="str">
        <f aca="false">IF(AND(BN3="缓冲罐",BN3&lt;&gt;""),BN29/BN42,"")</f>
        <v/>
      </c>
      <c r="BO44" s="432" t="str">
        <f aca="false">IF(AND(BO3="缓冲罐",BO3&lt;&gt;""),BO29/BO42,"")</f>
        <v/>
      </c>
      <c r="BP44" s="432" t="str">
        <f aca="false">IF(AND(BP3="缓冲罐",BP3&lt;&gt;""),BP29/BP42,"")</f>
        <v/>
      </c>
      <c r="BQ44" s="432" t="str">
        <f aca="false">IF(AND(BQ3="缓冲罐",BQ3&lt;&gt;""),BQ29/BQ42,"")</f>
        <v/>
      </c>
      <c r="BR44" s="432" t="str">
        <f aca="false">IF(AND(BR3="缓冲罐",BR3&lt;&gt;""),BR29/BR42,"")</f>
        <v/>
      </c>
      <c r="BS44" s="432" t="str">
        <f aca="false">IF(AND(BS3="缓冲罐",BS3&lt;&gt;""),BS29/BS42,"")</f>
        <v/>
      </c>
      <c r="BT44" s="432" t="str">
        <f aca="false">IF(AND(BT3="缓冲罐",BT3&lt;&gt;""),BT29/BT42,"")</f>
        <v/>
      </c>
      <c r="BU44" s="432" t="str">
        <f aca="false">IF(AND(BU3="缓冲罐",BU3&lt;&gt;""),BU29/BU42,"")</f>
        <v/>
      </c>
      <c r="BV44" s="432" t="str">
        <f aca="false">IF(AND(BV3="缓冲罐",BV3&lt;&gt;""),BV29/BV42,"")</f>
        <v/>
      </c>
      <c r="BW44" s="432" t="str">
        <f aca="false">IF(AND(BW3="缓冲罐",BW3&lt;&gt;""),BW29/BW42,"")</f>
        <v/>
      </c>
      <c r="BX44" s="432" t="str">
        <f aca="false">IF(AND(BX3="缓冲罐",BX3&lt;&gt;""),BX29/BX42,"")</f>
        <v/>
      </c>
      <c r="BY44" s="432" t="str">
        <f aca="false">IF(AND(BY3="缓冲罐",BY3&lt;&gt;""),BY29/BY42,"")</f>
        <v/>
      </c>
      <c r="BZ44" s="432" t="str">
        <f aca="false">IF(AND(BZ3="缓冲罐",BZ3&lt;&gt;""),BZ29/BZ42,"")</f>
        <v/>
      </c>
      <c r="CA44" s="432" t="str">
        <f aca="false">IF(AND(CA3="缓冲罐",CA3&lt;&gt;""),CA29/CA42,"")</f>
        <v/>
      </c>
      <c r="CB44" s="432" t="str">
        <f aca="false">IF(AND(CB3="缓冲罐",CB3&lt;&gt;""),CB29/CB42,"")</f>
        <v/>
      </c>
      <c r="CC44" s="432" t="str">
        <f aca="false">IF(AND(CC3="缓冲罐",CC3&lt;&gt;""),CC29/CC42,"")</f>
        <v/>
      </c>
      <c r="CD44" s="432" t="str">
        <f aca="false">IF(AND(CD3="缓冲罐",CD3&lt;&gt;""),CD29/CD42,"")</f>
        <v/>
      </c>
      <c r="CE44" s="390"/>
    </row>
    <row r="45" s="384" customFormat="true" ht="15" hidden="false" customHeight="false" outlineLevel="0" collapsed="false">
      <c r="A45" s="433" t="s">
        <v>692</v>
      </c>
      <c r="B45" s="401" t="n">
        <v>0.015</v>
      </c>
      <c r="C45" s="401" t="n">
        <v>0.015</v>
      </c>
      <c r="D45" s="401" t="n">
        <v>0.015</v>
      </c>
      <c r="E45" s="401" t="n">
        <v>0.015</v>
      </c>
      <c r="F45" s="401" t="n">
        <v>0.015</v>
      </c>
      <c r="G45" s="401" t="n">
        <v>0.015</v>
      </c>
      <c r="H45" s="401" t="n">
        <v>0.015</v>
      </c>
      <c r="I45" s="401" t="n">
        <v>0.015</v>
      </c>
      <c r="J45" s="401" t="n">
        <v>0.015</v>
      </c>
      <c r="K45" s="401" t="n">
        <v>0.015</v>
      </c>
      <c r="L45" s="401" t="n">
        <v>0.015</v>
      </c>
      <c r="M45" s="401" t="n">
        <v>0.015</v>
      </c>
      <c r="N45" s="401"/>
      <c r="O45" s="401"/>
      <c r="P45" s="401"/>
      <c r="Q45" s="401"/>
      <c r="R45" s="401"/>
      <c r="S45" s="401"/>
      <c r="T45" s="401"/>
      <c r="U45" s="401"/>
      <c r="V45" s="401"/>
      <c r="W45" s="401"/>
      <c r="X45" s="401"/>
      <c r="Y45" s="401"/>
      <c r="Z45" s="401"/>
      <c r="AA45" s="401"/>
      <c r="AB45" s="401"/>
      <c r="AC45" s="401"/>
      <c r="AD45" s="401"/>
      <c r="AE45" s="401"/>
      <c r="AF45" s="401"/>
      <c r="AG45" s="401"/>
      <c r="AH45" s="401"/>
      <c r="AI45" s="401"/>
      <c r="AJ45" s="401"/>
      <c r="AK45" s="401"/>
      <c r="AL45" s="401"/>
      <c r="AM45" s="401"/>
      <c r="AN45" s="401"/>
      <c r="AO45" s="401"/>
      <c r="AP45" s="401"/>
      <c r="AQ45" s="401"/>
      <c r="AR45" s="401"/>
      <c r="AS45" s="401"/>
      <c r="AT45" s="401"/>
      <c r="AU45" s="401"/>
      <c r="AV45" s="401"/>
      <c r="AW45" s="401"/>
      <c r="AX45" s="401"/>
      <c r="AY45" s="401"/>
      <c r="AZ45" s="401"/>
      <c r="BA45" s="401"/>
      <c r="BB45" s="401"/>
      <c r="BC45" s="401"/>
      <c r="BD45" s="401"/>
      <c r="BE45" s="401"/>
      <c r="BF45" s="401"/>
      <c r="BG45" s="401"/>
      <c r="BH45" s="401"/>
      <c r="BI45" s="401"/>
      <c r="BJ45" s="401"/>
      <c r="BK45" s="401"/>
      <c r="BL45" s="401"/>
      <c r="BM45" s="401"/>
      <c r="BN45" s="401"/>
      <c r="BO45" s="401"/>
      <c r="BP45" s="401"/>
      <c r="BQ45" s="401"/>
      <c r="BR45" s="401"/>
      <c r="BS45" s="401"/>
      <c r="BT45" s="401"/>
      <c r="BU45" s="401"/>
      <c r="BV45" s="401"/>
      <c r="BW45" s="401"/>
      <c r="BX45" s="401"/>
      <c r="BY45" s="401"/>
      <c r="BZ45" s="401"/>
      <c r="CA45" s="401"/>
      <c r="CB45" s="401"/>
      <c r="CC45" s="401"/>
      <c r="CD45" s="401"/>
      <c r="CE45" s="385"/>
    </row>
    <row r="46" customFormat="false" ht="15" hidden="false" customHeight="false" outlineLevel="0" collapsed="false">
      <c r="A46" s="273" t="s">
        <v>755</v>
      </c>
      <c r="B46" s="318" t="str">
        <f aca="false">IF(AND(B3="缓冲罐",B3&lt;&gt;""),IF(B44&lt;B45,"是","否"),"")</f>
        <v>是</v>
      </c>
      <c r="C46" s="318" t="str">
        <f aca="false">IF(AND(C3="缓冲罐",C3&lt;&gt;""),IF(C44&lt;C45,"是","否"),"")</f>
        <v>是</v>
      </c>
      <c r="D46" s="318" t="str">
        <f aca="false">IF(AND(D3="缓冲罐",D3&lt;&gt;""),IF(D44&lt;D45,"是","否"),"")</f>
        <v>是</v>
      </c>
      <c r="E46" s="318" t="str">
        <f aca="false">IF(AND(E3="缓冲罐",E3&lt;&gt;""),IF(E44&lt;E45,"是","否"),"")</f>
        <v>是</v>
      </c>
      <c r="F46" s="318" t="str">
        <f aca="false">IF(AND(F3="缓冲罐",F3&lt;&gt;""),IF(F44&lt;F45,"是","否"),"")</f>
        <v>是</v>
      </c>
      <c r="G46" s="318" t="str">
        <f aca="false">IF(AND(G3="缓冲罐",G3&lt;&gt;""),IF(G44&lt;G45,"是","否"),"")</f>
        <v>是</v>
      </c>
      <c r="H46" s="318" t="str">
        <f aca="false">IF(AND(H3="缓冲罐",H3&lt;&gt;""),IF(H44&lt;H45,"是","否"),"")</f>
        <v>是</v>
      </c>
      <c r="I46" s="318" t="str">
        <f aca="false">IF(AND(I3="缓冲罐",I3&lt;&gt;""),IF(I44&lt;I45,"是","否"),"")</f>
        <v>是</v>
      </c>
      <c r="J46" s="318" t="str">
        <f aca="false">IF(AND(J3="缓冲罐",J3&lt;&gt;""),IF(J44&lt;J45,"是","否"),"")</f>
        <v>是</v>
      </c>
      <c r="K46" s="318" t="str">
        <f aca="false">IF(AND(K3="缓冲罐",K3&lt;&gt;""),IF(K44&lt;K45,"是","否"),"")</f>
        <v>是</v>
      </c>
      <c r="L46" s="434" t="str">
        <f aca="false">IF(AND(L3="缓冲罐",L3&lt;&gt;""),IF(L44&lt;L45,"是","否"),"")</f>
        <v/>
      </c>
      <c r="M46" s="434" t="str">
        <f aca="false">IF(AND(M3="缓冲罐",M3&lt;&gt;""),IF(M44&lt;M45,"是","否"),"")</f>
        <v/>
      </c>
      <c r="N46" s="318" t="str">
        <f aca="false">IF(AND(N3="缓冲罐",N3&lt;&gt;""),IF(N44&lt;N45,"是","否"),"")</f>
        <v/>
      </c>
      <c r="O46" s="434" t="str">
        <f aca="false">IF(AND(O3="缓冲罐",O3&lt;&gt;""),IF(O44&lt;O45,"是","否"),"")</f>
        <v/>
      </c>
      <c r="P46" s="434"/>
      <c r="Q46" s="434" t="str">
        <f aca="false">IF(AND(Q3="缓冲罐",Q3&lt;&gt;""),IF(Q44&lt;Q45,"是","否"),"")</f>
        <v/>
      </c>
      <c r="R46" s="434" t="str">
        <f aca="false">IF(AND(R3="缓冲罐",R3&lt;&gt;""),IF(R44&lt;R45,"是","否"),"")</f>
        <v/>
      </c>
      <c r="S46" s="434" t="str">
        <f aca="false">IF(AND(S3="缓冲罐",S3&lt;&gt;""),IF(S44&lt;S45,"是","否"),"")</f>
        <v/>
      </c>
      <c r="T46" s="434" t="str">
        <f aca="false">IF(AND(T3="缓冲罐",T3&lt;&gt;""),IF(T44&lt;T45,"是","否"),"")</f>
        <v/>
      </c>
      <c r="U46" s="434" t="str">
        <f aca="false">IF(AND(U3="缓冲罐",U3&lt;&gt;""),IF(U44&lt;U45,"是","否"),"")</f>
        <v/>
      </c>
      <c r="V46" s="434" t="str">
        <f aca="false">IF(AND(V3="缓冲罐",V3&lt;&gt;""),IF(V44&lt;V45,"是","否"),"")</f>
        <v/>
      </c>
      <c r="W46" s="434" t="str">
        <f aca="false">IF(AND(W3="缓冲罐",W3&lt;&gt;""),IF(W44&lt;W45,"是","否"),"")</f>
        <v/>
      </c>
      <c r="X46" s="434" t="str">
        <f aca="false">IF(AND(X3="缓冲罐",X3&lt;&gt;""),IF(X44&lt;X45,"是","否"),"")</f>
        <v/>
      </c>
      <c r="Y46" s="434" t="str">
        <f aca="false">IF(AND(Y3="缓冲罐",Y3&lt;&gt;""),IF(Y44&lt;Y45,"是","否"),"")</f>
        <v/>
      </c>
      <c r="Z46" s="434" t="str">
        <f aca="false">IF(AND(Z3="缓冲罐",Z3&lt;&gt;""),IF(Z44&lt;Z45,"是","否"),"")</f>
        <v/>
      </c>
      <c r="AA46" s="318" t="str">
        <f aca="false">IF(AND(AA3="缓冲罐",AA3&lt;&gt;""),IF(AA44&lt;AA45,"是","否"),"")</f>
        <v/>
      </c>
      <c r="AB46" s="318" t="str">
        <f aca="false">IF(AND(AB3="缓冲罐",AB3&lt;&gt;""),IF(AB44&lt;AB45,"是","否"),"")</f>
        <v/>
      </c>
      <c r="AC46" s="318" t="str">
        <f aca="false">IF(AND(AC3="缓冲罐",AC3&lt;&gt;""),IF(AC44&lt;AC45,"是","否"),"")</f>
        <v/>
      </c>
      <c r="AD46" s="318" t="str">
        <f aca="false">IF(AND(AD3="缓冲罐",AD3&lt;&gt;""),IF(AD44&lt;AD45,"是","否"),"")</f>
        <v/>
      </c>
      <c r="AE46" s="318" t="str">
        <f aca="false">IF(AND(AE3="缓冲罐",AE3&lt;&gt;""),IF(AE44&lt;AE45,"是","否"),"")</f>
        <v/>
      </c>
      <c r="AF46" s="318" t="str">
        <f aca="false">IF(AND(AF3="缓冲罐",AF3&lt;&gt;""),IF(AF44&lt;AF45,"是","否"),"")</f>
        <v/>
      </c>
      <c r="AG46" s="318" t="str">
        <f aca="false">IF(AND(AG3="缓冲罐",AG3&lt;&gt;""),IF(AG44&lt;AG45,"是","否"),"")</f>
        <v/>
      </c>
      <c r="AH46" s="318" t="str">
        <f aca="false">IF(AND(AH3="缓冲罐",AH3&lt;&gt;""),IF(AH44&lt;AH45,"是","否"),"")</f>
        <v/>
      </c>
      <c r="AI46" s="318" t="str">
        <f aca="false">IF(AND(AI3="缓冲罐",AI3&lt;&gt;""),IF(AI44&lt;AI45,"是","否"),"")</f>
        <v/>
      </c>
      <c r="AJ46" s="318" t="str">
        <f aca="false">IF(AND(AJ3="缓冲罐",AJ3&lt;&gt;""),IF(AJ44&lt;AJ45,"是","否"),"")</f>
        <v/>
      </c>
      <c r="AK46" s="318" t="str">
        <f aca="false">IF(AND(AK3="缓冲罐",AK3&lt;&gt;""),IF(AK44&lt;AK45,"是","否"),"")</f>
        <v/>
      </c>
      <c r="AL46" s="318" t="str">
        <f aca="false">IF(AND(AL3="缓冲罐",AL3&lt;&gt;""),IF(AL44&lt;AL45,"是","否"),"")</f>
        <v/>
      </c>
      <c r="AM46" s="318" t="str">
        <f aca="false">IF(AND(AM3="缓冲罐",AM3&lt;&gt;""),IF(AM44&lt;AM45,"是","否"),"")</f>
        <v/>
      </c>
      <c r="AN46" s="318" t="str">
        <f aca="false">IF(AND(AN3="缓冲罐",AN3&lt;&gt;""),IF(AN44&lt;AN45,"是","否"),"")</f>
        <v/>
      </c>
      <c r="AO46" s="318" t="str">
        <f aca="false">IF(AND(AO3="缓冲罐",AO3&lt;&gt;""),IF(AO44&lt;AO45,"是","否"),"")</f>
        <v/>
      </c>
      <c r="AP46" s="318" t="str">
        <f aca="false">IF(AND(AP3="缓冲罐",AP3&lt;&gt;""),IF(AP44&lt;AP45,"是","否"),"")</f>
        <v/>
      </c>
      <c r="AQ46" s="318" t="str">
        <f aca="false">IF(AND(AQ3="缓冲罐",AQ3&lt;&gt;""),IF(AQ44&lt;AQ45,"是","否"),"")</f>
        <v/>
      </c>
      <c r="AR46" s="318" t="str">
        <f aca="false">IF(AND(AR3="缓冲罐",AR3&lt;&gt;""),IF(AR44&lt;AR45,"是","否"),"")</f>
        <v/>
      </c>
      <c r="AS46" s="318" t="str">
        <f aca="false">IF(AND(AS3="缓冲罐",AS3&lt;&gt;""),IF(AS44&lt;AS45,"是","否"),"")</f>
        <v/>
      </c>
      <c r="AT46" s="318" t="str">
        <f aca="false">IF(AND(AT3="缓冲罐",AT3&lt;&gt;""),IF(AT44&lt;AT45,"是","否"),"")</f>
        <v/>
      </c>
      <c r="AU46" s="318" t="str">
        <f aca="false">IF(AND(AU3="缓冲罐",AU3&lt;&gt;""),IF(AU44&lt;AU45,"是","否"),"")</f>
        <v/>
      </c>
      <c r="AV46" s="318" t="str">
        <f aca="false">IF(AND(AV3="缓冲罐",AV3&lt;&gt;""),IF(AV44&lt;AV45,"是","否"),"")</f>
        <v/>
      </c>
      <c r="AW46" s="318" t="str">
        <f aca="false">IF(AND(AW3="缓冲罐",AW3&lt;&gt;""),IF(AW44&lt;AW45,"是","否"),"")</f>
        <v/>
      </c>
      <c r="AX46" s="318" t="str">
        <f aca="false">IF(AND(AX3="缓冲罐",AX3&lt;&gt;""),IF(AX44&lt;AX45,"是","否"),"")</f>
        <v/>
      </c>
      <c r="AY46" s="318" t="str">
        <f aca="false">IF(AND(AY3="缓冲罐",AY3&lt;&gt;""),IF(AY44&lt;AY45,"是","否"),"")</f>
        <v/>
      </c>
      <c r="AZ46" s="318" t="str">
        <f aca="false">IF(AND(AZ3="缓冲罐",AZ3&lt;&gt;""),IF(AZ44&lt;AZ45,"是","否"),"")</f>
        <v/>
      </c>
      <c r="BA46" s="318" t="str">
        <f aca="false">IF(AND(BA3="缓冲罐",BA3&lt;&gt;""),IF(BA44&lt;BA45,"是","否"),"")</f>
        <v/>
      </c>
      <c r="BB46" s="318" t="str">
        <f aca="false">IF(AND(BB3="缓冲罐",BB3&lt;&gt;""),IF(BB44&lt;BB45,"是","否"),"")</f>
        <v/>
      </c>
      <c r="BC46" s="318" t="str">
        <f aca="false">IF(AND(BC3="缓冲罐",BC3&lt;&gt;""),IF(BC44&lt;BC45,"是","否"),"")</f>
        <v/>
      </c>
      <c r="BD46" s="318" t="str">
        <f aca="false">IF(AND(BD3="缓冲罐",BD3&lt;&gt;""),IF(BD44&lt;BD45,"是","否"),"")</f>
        <v/>
      </c>
      <c r="BE46" s="318" t="str">
        <f aca="false">IF(AND(BE3="缓冲罐",BE3&lt;&gt;""),IF(BE44&lt;BE45,"是","否"),"")</f>
        <v/>
      </c>
      <c r="BF46" s="318" t="str">
        <f aca="false">IF(AND(BF3="缓冲罐",BF3&lt;&gt;""),IF(BF44&lt;BF45,"是","否"),"")</f>
        <v/>
      </c>
      <c r="BG46" s="318" t="str">
        <f aca="false">IF(AND(BG3="缓冲罐",BG3&lt;&gt;""),IF(BG44&lt;BG45,"是","否"),"")</f>
        <v/>
      </c>
      <c r="BH46" s="318" t="str">
        <f aca="false">IF(AND(BH3="缓冲罐",BH3&lt;&gt;""),IF(BH44&lt;BH45,"是","否"),"")</f>
        <v/>
      </c>
      <c r="BI46" s="318" t="str">
        <f aca="false">IF(AND(BI3="缓冲罐",BI3&lt;&gt;""),IF(BI44&lt;BI45,"是","否"),"")</f>
        <v/>
      </c>
      <c r="BJ46" s="318" t="str">
        <f aca="false">IF(AND(BJ3="缓冲罐",BJ3&lt;&gt;""),IF(BJ44&lt;BJ45,"是","否"),"")</f>
        <v/>
      </c>
      <c r="BK46" s="318" t="str">
        <f aca="false">IF(AND(BK3="缓冲罐",BK3&lt;&gt;""),IF(BK44&lt;BK45,"是","否"),"")</f>
        <v/>
      </c>
      <c r="BL46" s="318" t="str">
        <f aca="false">IF(AND(BL3="缓冲罐",BL3&lt;&gt;""),IF(BL44&lt;BL45,"是","否"),"")</f>
        <v/>
      </c>
      <c r="BM46" s="318" t="str">
        <f aca="false">IF(AND(BM3="缓冲罐",BM3&lt;&gt;""),IF(BM44&lt;BM45,"是","否"),"")</f>
        <v/>
      </c>
      <c r="BN46" s="318" t="str">
        <f aca="false">IF(AND(BN3="缓冲罐",BN3&lt;&gt;""),IF(BN44&lt;BN45,"是","否"),"")</f>
        <v/>
      </c>
      <c r="BO46" s="318" t="str">
        <f aca="false">IF(AND(BO3="缓冲罐",BO3&lt;&gt;""),IF(BO44&lt;BO45,"是","否"),"")</f>
        <v/>
      </c>
      <c r="BP46" s="318" t="str">
        <f aca="false">IF(AND(BP3="缓冲罐",BP3&lt;&gt;""),IF(BP44&lt;BP45,"是","否"),"")</f>
        <v/>
      </c>
      <c r="BQ46" s="318" t="str">
        <f aca="false">IF(AND(BQ3="缓冲罐",BQ3&lt;&gt;""),IF(BQ44&lt;BQ45,"是","否"),"")</f>
        <v/>
      </c>
      <c r="BR46" s="318" t="str">
        <f aca="false">IF(AND(BR3="缓冲罐",BR3&lt;&gt;""),IF(BR44&lt;BR45,"是","否"),"")</f>
        <v/>
      </c>
      <c r="BS46" s="318" t="str">
        <f aca="false">IF(AND(BS3="缓冲罐",BS3&lt;&gt;""),IF(BS44&lt;BS45,"是","否"),"")</f>
        <v/>
      </c>
      <c r="BT46" s="318" t="str">
        <f aca="false">IF(AND(BT3="缓冲罐",BT3&lt;&gt;""),IF(BT44&lt;BT45,"是","否"),"")</f>
        <v/>
      </c>
      <c r="BU46" s="318" t="str">
        <f aca="false">IF(AND(BU3="缓冲罐",BU3&lt;&gt;""),IF(BU44&lt;BU45,"是","否"),"")</f>
        <v/>
      </c>
      <c r="BV46" s="318" t="str">
        <f aca="false">IF(AND(BV3="缓冲罐",BV3&lt;&gt;""),IF(BV44&lt;BV45,"是","否"),"")</f>
        <v/>
      </c>
      <c r="BW46" s="318" t="str">
        <f aca="false">IF(AND(BW3="缓冲罐",BW3&lt;&gt;""),IF(BW44&lt;BW45,"是","否"),"")</f>
        <v/>
      </c>
      <c r="BX46" s="318" t="str">
        <f aca="false">IF(AND(BX3="缓冲罐",BX3&lt;&gt;""),IF(BX44&lt;BX45,"是","否"),"")</f>
        <v/>
      </c>
      <c r="BY46" s="318" t="str">
        <f aca="false">IF(AND(BY3="缓冲罐",BY3&lt;&gt;""),IF(BY44&lt;BY45,"是","否"),"")</f>
        <v/>
      </c>
      <c r="BZ46" s="318" t="str">
        <f aca="false">IF(AND(BZ3="缓冲罐",BZ3&lt;&gt;""),IF(BZ44&lt;BZ45,"是","否"),"")</f>
        <v/>
      </c>
      <c r="CA46" s="318" t="str">
        <f aca="false">IF(AND(CA3="缓冲罐",CA3&lt;&gt;""),IF(CA44&lt;CA45,"是","否"),"")</f>
        <v/>
      </c>
      <c r="CB46" s="318" t="str">
        <f aca="false">IF(AND(CB3="缓冲罐",CB3&lt;&gt;""),IF(CB44&lt;CB45,"是","否"),"")</f>
        <v/>
      </c>
      <c r="CC46" s="318" t="str">
        <f aca="false">IF(AND(CC3="缓冲罐",CC3&lt;&gt;""),IF(CC44&lt;CC45,"是","否"),"")</f>
        <v/>
      </c>
      <c r="CD46" s="318" t="str">
        <f aca="false">IF(AND(CD3="缓冲罐",CD3&lt;&gt;""),IF(CD44&lt;CD45,"是","否"),"")</f>
        <v/>
      </c>
    </row>
    <row r="47" s="384" customFormat="true" ht="15" hidden="false" customHeight="false" outlineLevel="0" collapsed="false">
      <c r="A47" s="405" t="s">
        <v>625</v>
      </c>
      <c r="B47" s="386"/>
      <c r="C47" s="386"/>
      <c r="D47" s="386"/>
      <c r="E47" s="386" t="s">
        <v>626</v>
      </c>
      <c r="F47" s="386"/>
      <c r="G47" s="386"/>
      <c r="H47" s="386" t="s">
        <v>626</v>
      </c>
      <c r="I47" s="386" t="s">
        <v>626</v>
      </c>
      <c r="J47" s="386" t="s">
        <v>626</v>
      </c>
      <c r="K47" s="386" t="s">
        <v>626</v>
      </c>
      <c r="L47" s="386" t="s">
        <v>626</v>
      </c>
      <c r="M47" s="386" t="s">
        <v>626</v>
      </c>
      <c r="N47" s="386" t="s">
        <v>626</v>
      </c>
      <c r="O47" s="386" t="s">
        <v>626</v>
      </c>
      <c r="P47" s="386" t="s">
        <v>626</v>
      </c>
      <c r="Q47" s="386" t="s">
        <v>626</v>
      </c>
      <c r="R47" s="386" t="s">
        <v>626</v>
      </c>
      <c r="S47" s="386" t="s">
        <v>626</v>
      </c>
      <c r="T47" s="386" t="s">
        <v>626</v>
      </c>
      <c r="U47" s="386" t="s">
        <v>626</v>
      </c>
      <c r="V47" s="386" t="s">
        <v>626</v>
      </c>
      <c r="W47" s="386" t="s">
        <v>626</v>
      </c>
      <c r="X47" s="386" t="s">
        <v>626</v>
      </c>
      <c r="Y47" s="386" t="s">
        <v>626</v>
      </c>
      <c r="Z47" s="386" t="s">
        <v>626</v>
      </c>
      <c r="CE47" s="385"/>
    </row>
    <row r="48" s="391" customFormat="true" ht="15" hidden="false" customHeight="false" outlineLevel="0" collapsed="false">
      <c r="A48" s="388" t="s">
        <v>494</v>
      </c>
      <c r="B48" s="427" t="n">
        <f aca="false">IF(AND(B29&lt;&gt;0,B29&lt;&gt;""),B43/B29/60,"")</f>
        <v>21.6733782664525</v>
      </c>
      <c r="C48" s="427" t="n">
        <f aca="false">IF(AND(C29&lt;&gt;0,C29&lt;&gt;""),C43/C29/60,"")</f>
        <v>21.6733782664525</v>
      </c>
      <c r="D48" s="427" t="n">
        <f aca="false">IF(AND(D29&lt;&gt;0,D29&lt;&gt;""),D43/D29/60,"")</f>
        <v>24.4390754198473</v>
      </c>
      <c r="E48" s="427" t="n">
        <f aca="false">IF(AND(E29&lt;&gt;0,E29&lt;&gt;""),E43/E29/60,"")</f>
        <v>17.6813413879475</v>
      </c>
      <c r="F48" s="427" t="n">
        <f aca="false">IF(AND(F29&lt;&gt;0,F29&lt;&gt;""),F43/F29/60,"")</f>
        <v>71.1689563636364</v>
      </c>
      <c r="G48" s="427" t="n">
        <f aca="false">IF(AND(G29&lt;&gt;0,G29&lt;&gt;""),G43/G29/60,"")</f>
        <v>21.3552548780488</v>
      </c>
      <c r="H48" s="427" t="n">
        <f aca="false">IF(AND(H29&lt;&gt;0,H29&lt;&gt;""),H43/H29/60,"")</f>
        <v>211.3848</v>
      </c>
      <c r="I48" s="427" t="n">
        <f aca="false">IF(AND(I29&lt;&gt;0,I29&lt;&gt;""),I43/I29/60,"")</f>
        <v>23.775807097966</v>
      </c>
      <c r="J48" s="427" t="n">
        <f aca="false">IF(AND(J29&lt;&gt;0,J29&lt;&gt;""),J43/J29/60,"")</f>
        <v>28.0236436363636</v>
      </c>
      <c r="K48" s="427" t="n">
        <f aca="false">IF(AND(K29&lt;&gt;0,K29&lt;&gt;""),K43/K29/60,"")</f>
        <v>909.886363636364</v>
      </c>
      <c r="L48" s="427" t="n">
        <f aca="false">IF(AND(L29&lt;&gt;0,L29&lt;&gt;""),L43/L29/60,"")</f>
        <v>29.9469899222764</v>
      </c>
      <c r="M48" s="427" t="n">
        <f aca="false">IF(AND(M29&lt;&gt;0,M29&lt;&gt;""),M43/M29/60,"")</f>
        <v>17.4005364343344</v>
      </c>
      <c r="N48" s="427" t="n">
        <f aca="false">IF(AND(N29&lt;&gt;0,N29&lt;&gt;""),N43/N29/60,"")</f>
        <v>36.3775866268099</v>
      </c>
      <c r="O48" s="427" t="n">
        <f aca="false">IF(AND(O29&lt;&gt;0,O29&lt;&gt;""),O43/O29/60,"")</f>
        <v>3760.40452600551</v>
      </c>
      <c r="P48" s="427" t="n">
        <f aca="false">IF(AND(P29&lt;&gt;0,P29&lt;&gt;""),P43/P29/60,"")</f>
        <v>18.0501246774167</v>
      </c>
      <c r="Q48" s="427" t="n">
        <f aca="false">IF(AND(Q29&lt;&gt;0,Q29&lt;&gt;""),Q43/Q29/60,"")</f>
        <v>63225.3272727273</v>
      </c>
      <c r="R48" s="427" t="n">
        <f aca="false">IF(AND(R29&lt;&gt;0,R29&lt;&gt;""),R43/R29/60,"")</f>
        <v>9973.05509166941</v>
      </c>
      <c r="S48" s="427" t="n">
        <f aca="false">IF(AND(S29&lt;&gt;0,S29&lt;&gt;""),S43/S29/60,"")</f>
        <v>31066.4254583772</v>
      </c>
      <c r="T48" s="427" t="n">
        <f aca="false">IF(AND(T29&lt;&gt;0,T29&lt;&gt;""),T43/T29/60,"")</f>
        <v>41.8223846153846</v>
      </c>
      <c r="U48" s="427" t="n">
        <f aca="false">IF(AND(U29&lt;&gt;0,U29&lt;&gt;""),U43/U29/60,"")</f>
        <v>355.151127272727</v>
      </c>
      <c r="V48" s="427" t="n">
        <f aca="false">IF(AND(V29&lt;&gt;0,V29&lt;&gt;""),V43/V29/60,"")</f>
        <v>33.1584</v>
      </c>
      <c r="W48" s="427" t="n">
        <f aca="false">IF(AND(W29&lt;&gt;0,W29&lt;&gt;""),W43/W29/60,"")</f>
        <v>35.2308</v>
      </c>
      <c r="X48" s="427" t="n">
        <f aca="false">IF(AND(X29&lt;&gt;0,X29&lt;&gt;""),X43/X29/60,"")</f>
        <v>19.3798663671374</v>
      </c>
      <c r="Y48" s="427" t="n">
        <f aca="false">IF(AND(Y29&lt;&gt;0,Y29&lt;&gt;""),Y43/Y29/60,"")</f>
        <v>3.4978891585278</v>
      </c>
      <c r="Z48" s="427" t="n">
        <f aca="false">IF(AND(Z29&lt;&gt;0,Z29&lt;&gt;""),Z43/Z29/60,"")</f>
        <v>14.9970112489998</v>
      </c>
      <c r="AA48" s="427" t="str">
        <f aca="false">IF(AND(AA29&lt;&gt;0,AA29&lt;&gt;""),AA43/AA29/60,"")</f>
        <v/>
      </c>
      <c r="AB48" s="427" t="str">
        <f aca="false">IF(AND(AB29&lt;&gt;0,AB29&lt;&gt;""),AB43/AB29/60,"")</f>
        <v/>
      </c>
      <c r="AC48" s="427" t="str">
        <f aca="false">IF(AND(AC29&lt;&gt;0,AC29&lt;&gt;""),AC43/AC29/60,"")</f>
        <v/>
      </c>
      <c r="AD48" s="427" t="str">
        <f aca="false">IF(AND(AD29&lt;&gt;0,AD29&lt;&gt;""),AD43/AD29/60,"")</f>
        <v/>
      </c>
      <c r="AE48" s="427" t="str">
        <f aca="false">IF(AND(AE29&lt;&gt;0,AE29&lt;&gt;""),AE43/AE29/60,"")</f>
        <v/>
      </c>
      <c r="AF48" s="427" t="str">
        <f aca="false">IF(AND(AF29&lt;&gt;0,AF29&lt;&gt;""),AF43/AF29/60,"")</f>
        <v/>
      </c>
      <c r="AG48" s="427" t="str">
        <f aca="false">IF(AND(AG29&lt;&gt;0,AG29&lt;&gt;""),AG43/AG29/60,"")</f>
        <v/>
      </c>
      <c r="AH48" s="427" t="str">
        <f aca="false">IF(AND(AH29&lt;&gt;0,AH29&lt;&gt;""),AH43/AH29/60,"")</f>
        <v/>
      </c>
      <c r="AI48" s="427" t="str">
        <f aca="false">IF(AND(AI29&lt;&gt;0,AI29&lt;&gt;""),AI43/AI29/60,"")</f>
        <v/>
      </c>
      <c r="AJ48" s="427" t="str">
        <f aca="false">IF(AND(AJ29&lt;&gt;0,AJ29&lt;&gt;""),AJ43/AJ29/60,"")</f>
        <v/>
      </c>
      <c r="AK48" s="427" t="str">
        <f aca="false">IF(AND(AK29&lt;&gt;0,AK29&lt;&gt;""),AK43/AK29/60,"")</f>
        <v/>
      </c>
      <c r="AL48" s="427" t="str">
        <f aca="false">IF(AND(AL29&lt;&gt;0,AL29&lt;&gt;""),AL43/AL29/60,"")</f>
        <v/>
      </c>
      <c r="AM48" s="427" t="str">
        <f aca="false">IF(AND(AM29&lt;&gt;0,AM29&lt;&gt;""),AM43/AM29/60,"")</f>
        <v/>
      </c>
      <c r="AN48" s="427" t="str">
        <f aca="false">IF(AND(AN29&lt;&gt;0,AN29&lt;&gt;""),AN43/AN29/60,"")</f>
        <v/>
      </c>
      <c r="AO48" s="427" t="str">
        <f aca="false">IF(AND(AO29&lt;&gt;0,AO29&lt;&gt;""),AO43/AO29/60,"")</f>
        <v/>
      </c>
      <c r="AP48" s="427" t="str">
        <f aca="false">IF(AND(AP29&lt;&gt;0,AP29&lt;&gt;""),AP43/AP29/60,"")</f>
        <v/>
      </c>
      <c r="AQ48" s="427" t="str">
        <f aca="false">IF(AND(AQ29&lt;&gt;0,AQ29&lt;&gt;""),AQ43/AQ29/60,"")</f>
        <v/>
      </c>
      <c r="AR48" s="427" t="str">
        <f aca="false">IF(AND(AR29&lt;&gt;0,AR29&lt;&gt;""),AR43/AR29/60,"")</f>
        <v/>
      </c>
      <c r="AS48" s="427" t="str">
        <f aca="false">IF(AND(AS29&lt;&gt;0,AS29&lt;&gt;""),AS43/AS29/60,"")</f>
        <v/>
      </c>
      <c r="AT48" s="427" t="str">
        <f aca="false">IF(AND(AT29&lt;&gt;0,AT29&lt;&gt;""),AT43/AT29/60,"")</f>
        <v/>
      </c>
      <c r="AU48" s="427" t="str">
        <f aca="false">IF(AND(AU29&lt;&gt;0,AU29&lt;&gt;""),AU43/AU29/60,"")</f>
        <v/>
      </c>
      <c r="AV48" s="427" t="str">
        <f aca="false">IF(AND(AV29&lt;&gt;0,AV29&lt;&gt;""),AV43/AV29/60,"")</f>
        <v/>
      </c>
      <c r="AW48" s="427" t="str">
        <f aca="false">IF(AND(AW29&lt;&gt;0,AW29&lt;&gt;""),AW43/AW29/60,"")</f>
        <v/>
      </c>
      <c r="AX48" s="427" t="str">
        <f aca="false">IF(AND(AX29&lt;&gt;0,AX29&lt;&gt;""),AX43/AX29/60,"")</f>
        <v/>
      </c>
      <c r="AY48" s="427" t="str">
        <f aca="false">IF(AND(AY29&lt;&gt;0,AY29&lt;&gt;""),AY43/AY29/60,"")</f>
        <v/>
      </c>
      <c r="AZ48" s="427" t="str">
        <f aca="false">IF(AND(AZ29&lt;&gt;0,AZ29&lt;&gt;""),AZ43/AZ29/60,"")</f>
        <v/>
      </c>
      <c r="BA48" s="427" t="str">
        <f aca="false">IF(AND(BA29&lt;&gt;0,BA29&lt;&gt;""),BA43/BA29/60,"")</f>
        <v/>
      </c>
      <c r="BB48" s="427" t="str">
        <f aca="false">IF(AND(BB29&lt;&gt;0,BB29&lt;&gt;""),BB43/BB29/60,"")</f>
        <v/>
      </c>
      <c r="BC48" s="427" t="str">
        <f aca="false">IF(AND(BC29&lt;&gt;0,BC29&lt;&gt;""),BC43/BC29/60,"")</f>
        <v/>
      </c>
      <c r="BD48" s="427" t="str">
        <f aca="false">IF(AND(BD29&lt;&gt;0,BD29&lt;&gt;""),BD43/BD29/60,"")</f>
        <v/>
      </c>
      <c r="BE48" s="427" t="str">
        <f aca="false">IF(AND(BE29&lt;&gt;0,BE29&lt;&gt;""),BE43/BE29/60,"")</f>
        <v/>
      </c>
      <c r="BF48" s="427" t="str">
        <f aca="false">IF(AND(BF29&lt;&gt;0,BF29&lt;&gt;""),BF43/BF29/60,"")</f>
        <v/>
      </c>
      <c r="BG48" s="427" t="str">
        <f aca="false">IF(AND(BG29&lt;&gt;0,BG29&lt;&gt;""),BG43/BG29/60,"")</f>
        <v/>
      </c>
      <c r="BH48" s="427" t="str">
        <f aca="false">IF(AND(BH29&lt;&gt;0,BH29&lt;&gt;""),BH43/BH29/60,"")</f>
        <v/>
      </c>
      <c r="BI48" s="427" t="str">
        <f aca="false">IF(AND(BI29&lt;&gt;0,BI29&lt;&gt;""),BI43/BI29/60,"")</f>
        <v/>
      </c>
      <c r="BJ48" s="427" t="str">
        <f aca="false">IF(AND(BJ29&lt;&gt;0,BJ29&lt;&gt;""),BJ43/BJ29/60,"")</f>
        <v/>
      </c>
      <c r="BK48" s="427" t="str">
        <f aca="false">IF(AND(BK29&lt;&gt;0,BK29&lt;&gt;""),BK43/BK29/60,"")</f>
        <v/>
      </c>
      <c r="BL48" s="427" t="str">
        <f aca="false">IF(AND(BL29&lt;&gt;0,BL29&lt;&gt;""),BL43/BL29/60,"")</f>
        <v/>
      </c>
      <c r="BM48" s="427" t="str">
        <f aca="false">IF(AND(BM29&lt;&gt;0,BM29&lt;&gt;""),BM43/BM29/60,"")</f>
        <v/>
      </c>
      <c r="BN48" s="427" t="str">
        <f aca="false">IF(AND(BN29&lt;&gt;0,BN29&lt;&gt;""),BN43/BN29/60,"")</f>
        <v/>
      </c>
      <c r="BO48" s="427" t="str">
        <f aca="false">IF(AND(BO29&lt;&gt;0,BO29&lt;&gt;""),BO43/BO29/60,"")</f>
        <v/>
      </c>
      <c r="BP48" s="427" t="str">
        <f aca="false">IF(AND(BP29&lt;&gt;0,BP29&lt;&gt;""),BP43/BP29/60,"")</f>
        <v/>
      </c>
      <c r="BQ48" s="427" t="str">
        <f aca="false">IF(AND(BQ29&lt;&gt;0,BQ29&lt;&gt;""),BQ43/BQ29/60,"")</f>
        <v/>
      </c>
      <c r="BR48" s="427" t="str">
        <f aca="false">IF(AND(BR29&lt;&gt;0,BR29&lt;&gt;""),BR43/BR29/60,"")</f>
        <v/>
      </c>
      <c r="BS48" s="427" t="str">
        <f aca="false">IF(AND(BS29&lt;&gt;0,BS29&lt;&gt;""),BS43/BS29/60,"")</f>
        <v/>
      </c>
      <c r="BT48" s="427" t="str">
        <f aca="false">IF(AND(BT29&lt;&gt;0,BT29&lt;&gt;""),BT43/BT29/60,"")</f>
        <v/>
      </c>
      <c r="BU48" s="427" t="str">
        <f aca="false">IF(AND(BU29&lt;&gt;0,BU29&lt;&gt;""),BU43/BU29/60,"")</f>
        <v/>
      </c>
      <c r="BV48" s="427" t="str">
        <f aca="false">IF(AND(BV29&lt;&gt;0,BV29&lt;&gt;""),BV43/BV29/60,"")</f>
        <v/>
      </c>
      <c r="BW48" s="427" t="str">
        <f aca="false">IF(AND(BW29&lt;&gt;0,BW29&lt;&gt;""),BW43/BW29/60,"")</f>
        <v/>
      </c>
      <c r="BX48" s="427" t="str">
        <f aca="false">IF(AND(BX29&lt;&gt;0,BX29&lt;&gt;""),BX43/BX29/60,"")</f>
        <v/>
      </c>
      <c r="BY48" s="427" t="str">
        <f aca="false">IF(AND(BY29&lt;&gt;0,BY29&lt;&gt;""),BY43/BY29/60,"")</f>
        <v/>
      </c>
      <c r="BZ48" s="427" t="str">
        <f aca="false">IF(AND(BZ29&lt;&gt;0,BZ29&lt;&gt;""),BZ43/BZ29/60,"")</f>
        <v/>
      </c>
      <c r="CA48" s="427" t="str">
        <f aca="false">IF(AND(CA29&lt;&gt;0,CA29&lt;&gt;""),CA43/CA29/60,"")</f>
        <v/>
      </c>
      <c r="CB48" s="427" t="str">
        <f aca="false">IF(AND(CB29&lt;&gt;0,CB29&lt;&gt;""),CB43/CB29/60,"")</f>
        <v/>
      </c>
      <c r="CC48" s="427" t="str">
        <f aca="false">IF(AND(CC29&lt;&gt;0,CC29&lt;&gt;""),CC43/CC29/60,"")</f>
        <v/>
      </c>
      <c r="CD48" s="427" t="str">
        <f aca="false">IF(AND(CD29&lt;&gt;0,CD29&lt;&gt;""),CD43/CD29/60,"")</f>
        <v/>
      </c>
      <c r="CE48" s="390"/>
    </row>
    <row r="49" s="391" customFormat="true" ht="15" hidden="false" customHeight="false" outlineLevel="0" collapsed="false">
      <c r="A49" s="388" t="s">
        <v>650</v>
      </c>
      <c r="B49" s="427" t="str">
        <f aca="false">IF(AND(B3="卧式回流罐",B3&lt;&gt;""),B43/B30/60,"")</f>
        <v/>
      </c>
      <c r="C49" s="427" t="str">
        <f aca="false">IF(AND(C3="卧式回流罐",C3&lt;&gt;""),C43/C30/60,"")</f>
        <v/>
      </c>
      <c r="D49" s="427" t="str">
        <f aca="false">IF(AND(D3="卧式回流罐",D3&lt;&gt;""),D43/D30/60,"")</f>
        <v/>
      </c>
      <c r="E49" s="427" t="str">
        <f aca="false">IF(AND(E3="卧式回流罐",E3&lt;&gt;""),E43/E30/60,"")</f>
        <v/>
      </c>
      <c r="F49" s="427" t="str">
        <f aca="false">IF(AND(F3="卧式回流罐",F3&lt;&gt;""),F43/F30/60,"")</f>
        <v/>
      </c>
      <c r="G49" s="427" t="str">
        <f aca="false">IF(AND(G3="卧式回流罐",G3&lt;&gt;""),G43/G30/60,"")</f>
        <v/>
      </c>
      <c r="H49" s="427" t="str">
        <f aca="false">IF(AND(H3="卧式回流罐",H3&lt;&gt;""),H43/H30/60,"")</f>
        <v/>
      </c>
      <c r="I49" s="427" t="str">
        <f aca="false">IF(AND(I3="卧式回流罐",I3&lt;&gt;""),I43/I30/60,"")</f>
        <v/>
      </c>
      <c r="J49" s="427" t="str">
        <f aca="false">IF(AND(J3="卧式回流罐",J3&lt;&gt;""),J43/J30/60,"")</f>
        <v/>
      </c>
      <c r="K49" s="427" t="str">
        <f aca="false">IF(AND(K3="卧式回流罐",K3&lt;&gt;""),K43/K30/60,"")</f>
        <v/>
      </c>
      <c r="L49" s="427" t="n">
        <f aca="false">IF(AND(L3="卧式回流罐",L3&lt;&gt;""),L43/L30/60,"")</f>
        <v>61.8578504761905</v>
      </c>
      <c r="M49" s="427" t="n">
        <f aca="false">IF(AND(M3="卧式回流罐",M3&lt;&gt;""),M43/M30/60,"")</f>
        <v>18.7973174493871</v>
      </c>
      <c r="N49" s="427" t="str">
        <f aca="false">IF(AND(N3="卧式回流罐",N3&lt;&gt;""),N43/N30/60,"")</f>
        <v/>
      </c>
      <c r="O49" s="427" t="str">
        <f aca="false">IF(AND(O3="卧式回流罐",O3&lt;&gt;""),O43/O30/60,"")</f>
        <v/>
      </c>
      <c r="P49" s="427"/>
      <c r="Q49" s="427" t="str">
        <f aca="false">IF(AND(Q3="卧式回流罐",Q3&lt;&gt;""),Q43/Q30/60,"")</f>
        <v/>
      </c>
      <c r="R49" s="427" t="str">
        <f aca="false">IF(AND(R3="卧式回流罐",R3&lt;&gt;""),R43/R30/60,"")</f>
        <v/>
      </c>
      <c r="S49" s="427" t="str">
        <f aca="false">IF(AND(S3="卧式回流罐",S3&lt;&gt;""),S43/S30/60,"")</f>
        <v/>
      </c>
      <c r="T49" s="427" t="str">
        <f aca="false">IF(AND(T3="卧式回流罐",T3&lt;&gt;""),T43/T30/60,"")</f>
        <v/>
      </c>
      <c r="U49" s="427" t="str">
        <f aca="false">IF(AND(U3="卧式回流罐",U3&lt;&gt;""),U43/U30/60,"")</f>
        <v/>
      </c>
      <c r="V49" s="427" t="str">
        <f aca="false">IF(AND(V3="卧式回流罐",V3&lt;&gt;""),V43/V30/60,"")</f>
        <v/>
      </c>
      <c r="W49" s="427" t="str">
        <f aca="false">IF(AND(W3="卧式回流罐",W3&lt;&gt;""),W43/W30/60,"")</f>
        <v/>
      </c>
      <c r="X49" s="427" t="str">
        <f aca="false">IF(AND(X3="卧式回流罐",X3&lt;&gt;""),X43/X30/60,"")</f>
        <v/>
      </c>
      <c r="Y49" s="427" t="str">
        <f aca="false">IF(AND(Y3="卧式回流罐",Y3&lt;&gt;""),Y43/Y30/60,"")</f>
        <v/>
      </c>
      <c r="Z49" s="427" t="str">
        <f aca="false">IF(AND(Z3="卧式回流罐",Z3&lt;&gt;""),Z43/Z30/60,"")</f>
        <v/>
      </c>
      <c r="AA49" s="427" t="str">
        <f aca="false">IF(AND(AA3="卧式回流罐",AA3&lt;&gt;""),AA43/AA30/60,"")</f>
        <v/>
      </c>
      <c r="AB49" s="427" t="str">
        <f aca="false">IF(AND(AB3="卧式回流罐",AB3&lt;&gt;""),AB43/AB30/60,"")</f>
        <v/>
      </c>
      <c r="AC49" s="427" t="str">
        <f aca="false">IF(AND(AC3="卧式回流罐",AC3&lt;&gt;""),AC43/AC30/60,"")</f>
        <v/>
      </c>
      <c r="AD49" s="427" t="str">
        <f aca="false">IF(AND(AD3="卧式回流罐",AD3&lt;&gt;""),AD43/AD30/60,"")</f>
        <v/>
      </c>
      <c r="AE49" s="427" t="str">
        <f aca="false">IF(AND(AE3="卧式回流罐",AE3&lt;&gt;""),AE43/AE30/60,"")</f>
        <v/>
      </c>
      <c r="AF49" s="427" t="str">
        <f aca="false">IF(AND(AF3="卧式回流罐",AF3&lt;&gt;""),AF43/AF30/60,"")</f>
        <v/>
      </c>
      <c r="AG49" s="427" t="str">
        <f aca="false">IF(AND(AG3="卧式回流罐",AG3&lt;&gt;""),AG43/AG30/60,"")</f>
        <v/>
      </c>
      <c r="AH49" s="427" t="str">
        <f aca="false">IF(AND(AH3="卧式回流罐",AH3&lt;&gt;""),AH43/AH30/60,"")</f>
        <v/>
      </c>
      <c r="AI49" s="427" t="str">
        <f aca="false">IF(AND(AI3="卧式回流罐",AI3&lt;&gt;""),AI43/AI30/60,"")</f>
        <v/>
      </c>
      <c r="AJ49" s="427" t="str">
        <f aca="false">IF(AND(AJ3="卧式回流罐",AJ3&lt;&gt;""),AJ43/AJ30/60,"")</f>
        <v/>
      </c>
      <c r="AK49" s="427" t="str">
        <f aca="false">IF(AND(AK3="卧式回流罐",AK3&lt;&gt;""),AK43/AK30/60,"")</f>
        <v/>
      </c>
      <c r="AL49" s="427" t="str">
        <f aca="false">IF(AND(AL3="卧式回流罐",AL3&lt;&gt;""),AL43/AL30/60,"")</f>
        <v/>
      </c>
      <c r="AM49" s="427" t="str">
        <f aca="false">IF(AND(AM3="卧式回流罐",AM3&lt;&gt;""),AM43/AM30/60,"")</f>
        <v/>
      </c>
      <c r="AN49" s="427" t="str">
        <f aca="false">IF(AND(AN3="卧式回流罐",AN3&lt;&gt;""),AN43/AN30/60,"")</f>
        <v/>
      </c>
      <c r="AO49" s="427" t="str">
        <f aca="false">IF(AND(AO3="卧式回流罐",AO3&lt;&gt;""),AO43/AO30/60,"")</f>
        <v/>
      </c>
      <c r="AP49" s="427" t="str">
        <f aca="false">IF(AND(AP3="卧式回流罐",AP3&lt;&gt;""),AP43/AP30/60,"")</f>
        <v/>
      </c>
      <c r="AQ49" s="427" t="str">
        <f aca="false">IF(AND(AQ3="卧式回流罐",AQ3&lt;&gt;""),AQ43/AQ30/60,"")</f>
        <v/>
      </c>
      <c r="AR49" s="427" t="str">
        <f aca="false">IF(AND(AR3="卧式回流罐",AR3&lt;&gt;""),AR43/AR30/60,"")</f>
        <v/>
      </c>
      <c r="AS49" s="427" t="str">
        <f aca="false">IF(AND(AS3="卧式回流罐",AS3&lt;&gt;""),AS43/AS30/60,"")</f>
        <v/>
      </c>
      <c r="AT49" s="427" t="str">
        <f aca="false">IF(AND(AT3="卧式回流罐",AT3&lt;&gt;""),AT43/AT30/60,"")</f>
        <v/>
      </c>
      <c r="AU49" s="427" t="str">
        <f aca="false">IF(AND(AU3="卧式回流罐",AU3&lt;&gt;""),AU43/AU30/60,"")</f>
        <v/>
      </c>
      <c r="AV49" s="427" t="str">
        <f aca="false">IF(AND(AV3="卧式回流罐",AV3&lt;&gt;""),AV43/AV30/60,"")</f>
        <v/>
      </c>
      <c r="AW49" s="427" t="str">
        <f aca="false">IF(AND(AW3="卧式回流罐",AW3&lt;&gt;""),AW43/AW30/60,"")</f>
        <v/>
      </c>
      <c r="AX49" s="427" t="str">
        <f aca="false">IF(AND(AX3="卧式回流罐",AX3&lt;&gt;""),AX43/AX30/60,"")</f>
        <v/>
      </c>
      <c r="AY49" s="427" t="str">
        <f aca="false">IF(AND(AY3="卧式回流罐",AY3&lt;&gt;""),AY43/AY30/60,"")</f>
        <v/>
      </c>
      <c r="AZ49" s="427" t="str">
        <f aca="false">IF(AND(AZ3="卧式回流罐",AZ3&lt;&gt;""),AZ43/AZ30/60,"")</f>
        <v/>
      </c>
      <c r="BA49" s="427" t="str">
        <f aca="false">IF(AND(BA3="卧式回流罐",BA3&lt;&gt;""),BA43/BA30/60,"")</f>
        <v/>
      </c>
      <c r="BB49" s="427" t="str">
        <f aca="false">IF(AND(BB3="卧式回流罐",BB3&lt;&gt;""),BB43/BB30/60,"")</f>
        <v/>
      </c>
      <c r="BC49" s="427" t="str">
        <f aca="false">IF(AND(BC3="卧式回流罐",BC3&lt;&gt;""),BC43/BC30/60,"")</f>
        <v/>
      </c>
      <c r="BD49" s="427" t="str">
        <f aca="false">IF(AND(BD3="卧式回流罐",BD3&lt;&gt;""),BD43/BD30/60,"")</f>
        <v/>
      </c>
      <c r="BE49" s="427" t="str">
        <f aca="false">IF(AND(BE3="卧式回流罐",BE3&lt;&gt;""),BE43/BE30/60,"")</f>
        <v/>
      </c>
      <c r="BF49" s="427" t="str">
        <f aca="false">IF(AND(BF3="卧式回流罐",BF3&lt;&gt;""),BF43/BF30/60,"")</f>
        <v/>
      </c>
      <c r="BG49" s="427" t="str">
        <f aca="false">IF(AND(BG3="卧式回流罐",BG3&lt;&gt;""),BG43/BG30/60,"")</f>
        <v/>
      </c>
      <c r="BH49" s="427" t="str">
        <f aca="false">IF(AND(BH3="卧式回流罐",BH3&lt;&gt;""),BH43/BH30/60,"")</f>
        <v/>
      </c>
      <c r="BI49" s="427" t="str">
        <f aca="false">IF(AND(BI3="卧式回流罐",BI3&lt;&gt;""),BI43/BI30/60,"")</f>
        <v/>
      </c>
      <c r="BJ49" s="427" t="str">
        <f aca="false">IF(AND(BJ3="卧式回流罐",BJ3&lt;&gt;""),BJ43/BJ30/60,"")</f>
        <v/>
      </c>
      <c r="BK49" s="427" t="str">
        <f aca="false">IF(AND(BK3="卧式回流罐",BK3&lt;&gt;""),BK43/BK30/60,"")</f>
        <v/>
      </c>
      <c r="BL49" s="427" t="str">
        <f aca="false">IF(AND(BL3="卧式回流罐",BL3&lt;&gt;""),BL43/BL30/60,"")</f>
        <v/>
      </c>
      <c r="BM49" s="427" t="str">
        <f aca="false">IF(AND(BM3="卧式回流罐",BM3&lt;&gt;""),BM43/BM30/60,"")</f>
        <v/>
      </c>
      <c r="BN49" s="427" t="str">
        <f aca="false">IF(AND(BN3="卧式回流罐",BN3&lt;&gt;""),BN43/BN30/60,"")</f>
        <v/>
      </c>
      <c r="BO49" s="427" t="str">
        <f aca="false">IF(AND(BO3="卧式回流罐",BO3&lt;&gt;""),BO43/BO30/60,"")</f>
        <v/>
      </c>
      <c r="BP49" s="427" t="str">
        <f aca="false">IF(AND(BP3="卧式回流罐",BP3&lt;&gt;""),BP43/BP30/60,"")</f>
        <v/>
      </c>
      <c r="BQ49" s="427" t="str">
        <f aca="false">IF(AND(BQ3="卧式回流罐",BQ3&lt;&gt;""),BQ43/BQ30/60,"")</f>
        <v/>
      </c>
      <c r="BR49" s="427" t="str">
        <f aca="false">IF(AND(BR3="卧式回流罐",BR3&lt;&gt;""),BR43/BR30/60,"")</f>
        <v/>
      </c>
      <c r="BS49" s="427" t="str">
        <f aca="false">IF(AND(BS3="卧式回流罐",BS3&lt;&gt;""),BS43/BS30/60,"")</f>
        <v/>
      </c>
      <c r="BT49" s="427" t="str">
        <f aca="false">IF(AND(BT3="卧式回流罐",BT3&lt;&gt;""),BT43/BT30/60,"")</f>
        <v/>
      </c>
      <c r="BU49" s="427" t="str">
        <f aca="false">IF(AND(BU3="卧式回流罐",BU3&lt;&gt;""),BU43/BU30/60,"")</f>
        <v/>
      </c>
      <c r="BV49" s="427" t="str">
        <f aca="false">IF(AND(BV3="卧式回流罐",BV3&lt;&gt;""),BV43/BV30/60,"")</f>
        <v/>
      </c>
      <c r="BW49" s="427" t="str">
        <f aca="false">IF(AND(BW3="卧式回流罐",BW3&lt;&gt;""),BW43/BW30/60,"")</f>
        <v/>
      </c>
      <c r="BX49" s="427" t="str">
        <f aca="false">IF(AND(BX3="卧式回流罐",BX3&lt;&gt;""),BX43/BX30/60,"")</f>
        <v/>
      </c>
      <c r="BY49" s="427" t="str">
        <f aca="false">IF(AND(BY3="卧式回流罐",BY3&lt;&gt;""),BY43/BY30/60,"")</f>
        <v/>
      </c>
      <c r="BZ49" s="427" t="str">
        <f aca="false">IF(AND(BZ3="卧式回流罐",BZ3&lt;&gt;""),BZ43/BZ30/60,"")</f>
        <v/>
      </c>
      <c r="CA49" s="427" t="str">
        <f aca="false">IF(AND(CA3="卧式回流罐",CA3&lt;&gt;""),CA43/CA30/60,"")</f>
        <v/>
      </c>
      <c r="CB49" s="427" t="str">
        <f aca="false">IF(AND(CB3="卧式回流罐",CB3&lt;&gt;""),CB43/CB30/60,"")</f>
        <v/>
      </c>
      <c r="CC49" s="427" t="str">
        <f aca="false">IF(AND(CC3="卧式回流罐",CC3&lt;&gt;""),CC43/CC30/60,"")</f>
        <v/>
      </c>
      <c r="CD49" s="427" t="str">
        <f aca="false">IF(AND(CD3="卧式回流罐",CD3&lt;&gt;""),CD43/CD30/60,"")</f>
        <v/>
      </c>
      <c r="CE49" s="390"/>
    </row>
    <row r="50" s="391" customFormat="true" ht="15" hidden="false" customHeight="false" outlineLevel="0" collapsed="false">
      <c r="A50" s="388" t="s">
        <v>756</v>
      </c>
      <c r="B50" s="422" t="n">
        <f aca="false">IF(B3&lt;&gt;"",IF(B3="卧式回流罐",IF(B47="储罐","液体产品3min或回流5min",IF(B47="下一工序","液体产品15min或回流5min",30)),15),"")</f>
        <v>15</v>
      </c>
      <c r="C50" s="422" t="n">
        <f aca="false">IF(C3&lt;&gt;"",IF(C3="卧式回流罐",IF(C47="储罐","液体产品3min或回流5min",IF(C47="下一工序","液体产品15min或回流5min",30)),15),"")</f>
        <v>15</v>
      </c>
      <c r="D50" s="422" t="n">
        <f aca="false">IF(D3&lt;&gt;"",IF(D3="卧式回流罐",IF(D47="储罐","液体产品3min或回流5min",IF(D47="下一工序","液体产品15min或回流5min",30)),15),"")</f>
        <v>15</v>
      </c>
      <c r="E50" s="422" t="n">
        <f aca="false">IF(E3&lt;&gt;"",IF(E3="卧式回流罐",IF(E47="储罐","液体产品3min或回流5min",IF(E47="下一工序","液体产品15min或回流5min",30)),15),"")</f>
        <v>15</v>
      </c>
      <c r="F50" s="422" t="n">
        <f aca="false">IF(F3&lt;&gt;"",IF(F3="卧式回流罐",IF(F47="储罐","液体产品3min或回流5min",IF(F47="下一工序","液体产品15min或回流5min",30)),15),"")</f>
        <v>15</v>
      </c>
      <c r="G50" s="422" t="n">
        <f aca="false">IF(G3&lt;&gt;"",IF(G3="卧式回流罐",IF(G47="储罐","液体产品3min或回流5min",IF(G47="下一工序","液体产品15min或回流5min",30)),15),"")</f>
        <v>15</v>
      </c>
      <c r="H50" s="422" t="n">
        <f aca="false">IF(H3&lt;&gt;"",IF(H3="卧式回流罐",IF(H47="储罐","液体产品3min或回流5min",IF(H47="下一工序","液体产品15min或回流5min",30)),15),"")</f>
        <v>15</v>
      </c>
      <c r="I50" s="422" t="n">
        <f aca="false">IF(I3&lt;&gt;"",IF(I3="卧式回流罐",IF(I47="储罐","液体产品3min或回流5min",IF(I47="下一工序","液体产品15min或回流5min",30)),15),"")</f>
        <v>15</v>
      </c>
      <c r="J50" s="422" t="n">
        <f aca="false">IF(J3&lt;&gt;"",IF(J3="卧式回流罐",IF(J47="储罐","液体产品3min或回流5min",IF(J47="下一工序","液体产品15min或回流5min",30)),15),"")</f>
        <v>15</v>
      </c>
      <c r="K50" s="422" t="n">
        <f aca="false">IF(K3&lt;&gt;"",IF(K3="卧式回流罐",IF(K47="储罐","液体产品3min或回流5min",IF(K47="下一工序","液体产品15min或回流5min",30)),15),"")</f>
        <v>15</v>
      </c>
      <c r="L50" s="422" t="str">
        <f aca="false">IF(L3&lt;&gt;"",IF(L3="卧式回流罐",IF(L47="储罐","液体产品3min或回流5min",IF(L47="下一工序","液体产品15min或回流5min",30)),15),"")</f>
        <v>液体产品15min或回流5min</v>
      </c>
      <c r="M50" s="422" t="str">
        <f aca="false">IF(M3&lt;&gt;"",IF(M3="卧式回流罐",IF(M47="储罐","液体产品3min或回流5min",IF(M47="下一工序","液体产品15min或回流5min",30)),15),"")</f>
        <v>液体产品15min或回流5min</v>
      </c>
      <c r="N50" s="422" t="n">
        <f aca="false">IF(N3&lt;&gt;"",IF(N3="卧式回流罐",IF(N47="储罐","液体产品3min或回流5min",IF(N47="下一工序","液体产品15min或回流5min",30)),15),"")</f>
        <v>15</v>
      </c>
      <c r="O50" s="422" t="n">
        <f aca="false">IF(O3&lt;&gt;"",IF(O3="卧式回流罐",IF(O47="储罐","液体产品3min或回流5min",IF(O47="下一工序","液体产品15min或回流5min",30)),15),"")</f>
        <v>15</v>
      </c>
      <c r="P50" s="422" t="n">
        <f aca="false">IF(P3&lt;&gt;"",IF(P3="卧式回流罐",IF(P47="储罐","液体产品3min或回流5min",IF(P47="下一工序","液体产品15min或回流5min",30)),15),"")</f>
        <v>15</v>
      </c>
      <c r="Q50" s="422" t="n">
        <f aca="false">IF(Q3&lt;&gt;"",IF(Q3="卧式回流罐",IF(Q47="储罐","液体产品3min或回流5min",IF(Q47="下一工序","液体产品15min或回流5min",30)),15),"")</f>
        <v>15</v>
      </c>
      <c r="R50" s="422" t="n">
        <f aca="false">IF(R3&lt;&gt;"",IF(R3="卧式回流罐",IF(R47="储罐","液体产品3min或回流5min",IF(R47="下一工序","液体产品15min或回流5min",30)),15),"")</f>
        <v>15</v>
      </c>
      <c r="S50" s="422" t="n">
        <f aca="false">IF(S3&lt;&gt;"",IF(S3="卧式回流罐",IF(S47="储罐","液体产品3min或回流5min",IF(S47="下一工序","液体产品15min或回流5min",30)),15),"")</f>
        <v>15</v>
      </c>
      <c r="T50" s="422" t="n">
        <f aca="false">IF(T3&lt;&gt;"",IF(T3="卧式回流罐",IF(T47="储罐","液体产品3min或回流5min",IF(T47="下一工序","液体产品15min或回流5min",30)),15),"")</f>
        <v>15</v>
      </c>
      <c r="U50" s="422" t="n">
        <f aca="false">IF(U3&lt;&gt;"",IF(U3="卧式回流罐",IF(U47="储罐","液体产品3min或回流5min",IF(U47="下一工序","液体产品15min或回流5min",30)),15),"")</f>
        <v>15</v>
      </c>
      <c r="V50" s="422" t="n">
        <f aca="false">IF(V3&lt;&gt;"",IF(V3="卧式回流罐",IF(V47="储罐","液体产品3min或回流5min",IF(V47="下一工序","液体产品15min或回流5min",30)),15),"")</f>
        <v>15</v>
      </c>
      <c r="W50" s="422" t="n">
        <f aca="false">IF(W3&lt;&gt;"",IF(W3="卧式回流罐",IF(W47="储罐","液体产品3min或回流5min",IF(W47="下一工序","液体产品15min或回流5min",30)),15),"")</f>
        <v>15</v>
      </c>
      <c r="X50" s="422" t="n">
        <f aca="false">IF(X3&lt;&gt;"",IF(X3="卧式回流罐",IF(X47="储罐","液体产品3min或回流5min",IF(X47="下一工序","液体产品15min或回流5min",30)),15),"")</f>
        <v>15</v>
      </c>
      <c r="Y50" s="422" t="n">
        <f aca="false">IF(Y3&lt;&gt;"",IF(Y3="卧式回流罐",IF(Y47="储罐","液体产品3min或回流5min",IF(Y47="下一工序","液体产品15min或回流5min",30)),15),"")</f>
        <v>15</v>
      </c>
      <c r="Z50" s="422" t="n">
        <f aca="false">IF(Z3&lt;&gt;"",IF(Z3="卧式回流罐",IF(Z47="储罐","液体产品3min或回流5min",IF(Z47="下一工序","液体产品15min或回流5min",30)),15),"")</f>
        <v>15</v>
      </c>
      <c r="AA50" s="422" t="str">
        <f aca="false">IF(AA3&lt;&gt;"",IF(AA3="卧式回流罐",IF(AA47="储罐","液体产品3min或回流5min",IF(AA47="下一工序","液体产品15min或回流5min",30)),15),"")</f>
        <v/>
      </c>
      <c r="AB50" s="422" t="str">
        <f aca="false">IF(AB3&lt;&gt;"",IF(AB3="卧式回流罐",IF(AB47="储罐","液体产品3min或回流5min",IF(AB47="下一工序","液体产品15min或回流5min",30)),15),"")</f>
        <v/>
      </c>
      <c r="AC50" s="422" t="str">
        <f aca="false">IF(AC3&lt;&gt;"",IF(AC3="卧式回流罐",IF(AC47="储罐","液体产品3min或回流5min",IF(AC47="下一工序","液体产品15min或回流5min",30)),15),"")</f>
        <v/>
      </c>
      <c r="AD50" s="422" t="str">
        <f aca="false">IF(AD3&lt;&gt;"",IF(AD3="卧式回流罐",IF(AD47="储罐","液体产品3min或回流5min",IF(AD47="下一工序","液体产品15min或回流5min",30)),15),"")</f>
        <v/>
      </c>
      <c r="AE50" s="422" t="str">
        <f aca="false">IF(AE3&lt;&gt;"",IF(AE3="卧式回流罐",IF(AE47="储罐","液体产品3min或回流5min",IF(AE47="下一工序","液体产品15min或回流5min",30)),15),"")</f>
        <v/>
      </c>
      <c r="AF50" s="422" t="str">
        <f aca="false">IF(AF3&lt;&gt;"",IF(AF3="卧式回流罐",IF(AF47="储罐","液体产品3min或回流5min",IF(AF47="下一工序","液体产品15min或回流5min",30)),15),"")</f>
        <v/>
      </c>
      <c r="AG50" s="422" t="str">
        <f aca="false">IF(AG3&lt;&gt;"",IF(AG3="卧式回流罐",IF(AG47="储罐","液体产品3min或回流5min",IF(AG47="下一工序","液体产品15min或回流5min",30)),15),"")</f>
        <v/>
      </c>
      <c r="AH50" s="422" t="str">
        <f aca="false">IF(AH3&lt;&gt;"",IF(AH3="卧式回流罐",IF(AH47="储罐","液体产品3min或回流5min",IF(AH47="下一工序","液体产品15min或回流5min",30)),15),"")</f>
        <v/>
      </c>
      <c r="AI50" s="422" t="str">
        <f aca="false">IF(AI3&lt;&gt;"",IF(AI3="卧式回流罐",IF(AI47="储罐","液体产品3min或回流5min",IF(AI47="下一工序","液体产品15min或回流5min",30)),15),"")</f>
        <v/>
      </c>
      <c r="AJ50" s="422" t="str">
        <f aca="false">IF(AJ3&lt;&gt;"",IF(AJ3="卧式回流罐",IF(AJ47="储罐","液体产品3min或回流5min",IF(AJ47="下一工序","液体产品15min或回流5min",30)),15),"")</f>
        <v/>
      </c>
      <c r="AK50" s="422" t="str">
        <f aca="false">IF(AK3&lt;&gt;"",IF(AK3="卧式回流罐",IF(AK47="储罐","液体产品3min或回流5min",IF(AK47="下一工序","液体产品15min或回流5min",30)),15),"")</f>
        <v/>
      </c>
      <c r="AL50" s="422" t="str">
        <f aca="false">IF(AL3&lt;&gt;"",IF(AL3="卧式回流罐",IF(AL47="储罐","液体产品3min或回流5min",IF(AL47="下一工序","液体产品15min或回流5min",30)),15),"")</f>
        <v/>
      </c>
      <c r="AM50" s="422" t="str">
        <f aca="false">IF(AM3&lt;&gt;"",IF(AM3="卧式回流罐",IF(AM47="储罐","液体产品3min或回流5min",IF(AM47="下一工序","液体产品15min或回流5min",30)),15),"")</f>
        <v/>
      </c>
      <c r="AN50" s="422" t="str">
        <f aca="false">IF(AN3&lt;&gt;"",IF(AN3="卧式回流罐",IF(AN47="储罐","液体产品3min或回流5min",IF(AN47="下一工序","液体产品15min或回流5min",30)),15),"")</f>
        <v/>
      </c>
      <c r="AO50" s="422" t="str">
        <f aca="false">IF(AO3&lt;&gt;"",IF(AO3="卧式回流罐",IF(AO47="储罐","液体产品3min或回流5min",IF(AO47="下一工序","液体产品15min或回流5min",30)),15),"")</f>
        <v/>
      </c>
      <c r="AP50" s="422" t="str">
        <f aca="false">IF(AP3&lt;&gt;"",IF(AP3="卧式回流罐",IF(AP47="储罐","液体产品3min或回流5min",IF(AP47="下一工序","液体产品15min或回流5min",30)),15),"")</f>
        <v/>
      </c>
      <c r="AQ50" s="422" t="str">
        <f aca="false">IF(AQ3&lt;&gt;"",IF(AQ3="卧式回流罐",IF(AQ47="储罐","液体产品3min或回流5min",IF(AQ47="下一工序","液体产品15min或回流5min",30)),15),"")</f>
        <v/>
      </c>
      <c r="AR50" s="422" t="str">
        <f aca="false">IF(AR3&lt;&gt;"",IF(AR3="卧式回流罐",IF(AR47="储罐","液体产品3min或回流5min",IF(AR47="下一工序","液体产品15min或回流5min",30)),15),"")</f>
        <v/>
      </c>
      <c r="AS50" s="422" t="str">
        <f aca="false">IF(AS3&lt;&gt;"",IF(AS3="卧式回流罐",IF(AS47="储罐","液体产品3min或回流5min",IF(AS47="下一工序","液体产品15min或回流5min",30)),15),"")</f>
        <v/>
      </c>
      <c r="AT50" s="422" t="str">
        <f aca="false">IF(AT3&lt;&gt;"",IF(AT3="卧式回流罐",IF(AT47="储罐","液体产品3min或回流5min",IF(AT47="下一工序","液体产品15min或回流5min",30)),15),"")</f>
        <v/>
      </c>
      <c r="AU50" s="422" t="str">
        <f aca="false">IF(AU3&lt;&gt;"",IF(AU3="卧式回流罐",IF(AU47="储罐","液体产品3min或回流5min",IF(AU47="下一工序","液体产品15min或回流5min",30)),15),"")</f>
        <v/>
      </c>
      <c r="AV50" s="422" t="str">
        <f aca="false">IF(AV3&lt;&gt;"",IF(AV3="卧式回流罐",IF(AV47="储罐","液体产品3min或回流5min",IF(AV47="下一工序","液体产品15min或回流5min",30)),15),"")</f>
        <v/>
      </c>
      <c r="AW50" s="422" t="str">
        <f aca="false">IF(AW3&lt;&gt;"",IF(AW3="卧式回流罐",IF(AW47="储罐","液体产品3min或回流5min",IF(AW47="下一工序","液体产品15min或回流5min",30)),15),"")</f>
        <v/>
      </c>
      <c r="AX50" s="422" t="str">
        <f aca="false">IF(AX3&lt;&gt;"",IF(AX3="卧式回流罐",IF(AX47="储罐","液体产品3min或回流5min",IF(AX47="下一工序","液体产品15min或回流5min",30)),15),"")</f>
        <v/>
      </c>
      <c r="AY50" s="422" t="str">
        <f aca="false">IF(AY3&lt;&gt;"",IF(AY3="卧式回流罐",IF(AY47="储罐","液体产品3min或回流5min",IF(AY47="下一工序","液体产品15min或回流5min",30)),15),"")</f>
        <v/>
      </c>
      <c r="AZ50" s="422" t="str">
        <f aca="false">IF(AZ3&lt;&gt;"",IF(AZ3="卧式回流罐",IF(AZ47="储罐","液体产品3min或回流5min",IF(AZ47="下一工序","液体产品15min或回流5min",30)),15),"")</f>
        <v/>
      </c>
      <c r="BA50" s="422" t="str">
        <f aca="false">IF(BA3&lt;&gt;"",IF(BA3="卧式回流罐",IF(BA47="储罐","液体产品3min或回流5min",IF(BA47="下一工序","液体产品15min或回流5min",30)),15),"")</f>
        <v/>
      </c>
      <c r="BB50" s="422" t="str">
        <f aca="false">IF(BB3&lt;&gt;"",IF(BB3="卧式回流罐",IF(BB47="储罐","液体产品3min或回流5min",IF(BB47="下一工序","液体产品15min或回流5min",30)),15),"")</f>
        <v/>
      </c>
      <c r="BC50" s="422" t="str">
        <f aca="false">IF(BC3&lt;&gt;"",IF(BC3="卧式回流罐",IF(BC47="储罐","液体产品3min或回流5min",IF(BC47="下一工序","液体产品15min或回流5min",30)),15),"")</f>
        <v/>
      </c>
      <c r="BD50" s="422" t="str">
        <f aca="false">IF(BD3&lt;&gt;"",IF(BD3="卧式回流罐",IF(BD47="储罐","液体产品3min或回流5min",IF(BD47="下一工序","液体产品15min或回流5min",30)),15),"")</f>
        <v/>
      </c>
      <c r="BE50" s="422" t="str">
        <f aca="false">IF(BE3&lt;&gt;"",IF(BE3="卧式回流罐",IF(BE47="储罐","液体产品3min或回流5min",IF(BE47="下一工序","液体产品15min或回流5min",30)),15),"")</f>
        <v/>
      </c>
      <c r="BF50" s="422" t="str">
        <f aca="false">IF(BF3&lt;&gt;"",IF(BF3="卧式回流罐",IF(BF47="储罐","液体产品3min或回流5min",IF(BF47="下一工序","液体产品15min或回流5min",30)),15),"")</f>
        <v/>
      </c>
      <c r="BG50" s="422" t="str">
        <f aca="false">IF(BG3&lt;&gt;"",IF(BG3="卧式回流罐",IF(BG47="储罐","液体产品3min或回流5min",IF(BG47="下一工序","液体产品15min或回流5min",30)),15),"")</f>
        <v/>
      </c>
      <c r="BH50" s="422" t="str">
        <f aca="false">IF(BH3&lt;&gt;"",IF(BH3="卧式回流罐",IF(BH47="储罐","液体产品3min或回流5min",IF(BH47="下一工序","液体产品15min或回流5min",30)),15),"")</f>
        <v/>
      </c>
      <c r="BI50" s="422" t="str">
        <f aca="false">IF(BI3&lt;&gt;"",IF(BI3="卧式回流罐",IF(BI47="储罐","液体产品3min或回流5min",IF(BI47="下一工序","液体产品15min或回流5min",30)),15),"")</f>
        <v/>
      </c>
      <c r="BJ50" s="422" t="str">
        <f aca="false">IF(BJ3&lt;&gt;"",IF(BJ3="卧式回流罐",IF(BJ47="储罐","液体产品3min或回流5min",IF(BJ47="下一工序","液体产品15min或回流5min",30)),15),"")</f>
        <v/>
      </c>
      <c r="BK50" s="422" t="str">
        <f aca="false">IF(BK3&lt;&gt;"",IF(BK3="卧式回流罐",IF(BK47="储罐","液体产品3min或回流5min",IF(BK47="下一工序","液体产品15min或回流5min",30)),15),"")</f>
        <v/>
      </c>
      <c r="BL50" s="422" t="str">
        <f aca="false">IF(BL3&lt;&gt;"",IF(BL3="卧式回流罐",IF(BL47="储罐","液体产品3min或回流5min",IF(BL47="下一工序","液体产品15min或回流5min",30)),15),"")</f>
        <v/>
      </c>
      <c r="BM50" s="422" t="str">
        <f aca="false">IF(BM3&lt;&gt;"",IF(BM3="卧式回流罐",IF(BM47="储罐","液体产品3min或回流5min",IF(BM47="下一工序","液体产品15min或回流5min",30)),15),"")</f>
        <v/>
      </c>
      <c r="BN50" s="422" t="str">
        <f aca="false">IF(BN3&lt;&gt;"",IF(BN3="卧式回流罐",IF(BN47="储罐","液体产品3min或回流5min",IF(BN47="下一工序","液体产品15min或回流5min",30)),15),"")</f>
        <v/>
      </c>
      <c r="BO50" s="422" t="str">
        <f aca="false">IF(BO3&lt;&gt;"",IF(BO3="卧式回流罐",IF(BO47="储罐","液体产品3min或回流5min",IF(BO47="下一工序","液体产品15min或回流5min",30)),15),"")</f>
        <v/>
      </c>
      <c r="BP50" s="422" t="str">
        <f aca="false">IF(BP3&lt;&gt;"",IF(BP3="卧式回流罐",IF(BP47="储罐","液体产品3min或回流5min",IF(BP47="下一工序","液体产品15min或回流5min",30)),15),"")</f>
        <v/>
      </c>
      <c r="BQ50" s="422" t="str">
        <f aca="false">IF(BQ3&lt;&gt;"",IF(BQ3="卧式回流罐",IF(BQ47="储罐","液体产品3min或回流5min",IF(BQ47="下一工序","液体产品15min或回流5min",30)),15),"")</f>
        <v/>
      </c>
      <c r="BR50" s="422" t="str">
        <f aca="false">IF(BR3&lt;&gt;"",IF(BR3="卧式回流罐",IF(BR47="储罐","液体产品3min或回流5min",IF(BR47="下一工序","液体产品15min或回流5min",30)),15),"")</f>
        <v/>
      </c>
      <c r="BS50" s="422" t="str">
        <f aca="false">IF(BS3&lt;&gt;"",IF(BS3="卧式回流罐",IF(BS47="储罐","液体产品3min或回流5min",IF(BS47="下一工序","液体产品15min或回流5min",30)),15),"")</f>
        <v/>
      </c>
      <c r="BT50" s="422" t="str">
        <f aca="false">IF(BT3&lt;&gt;"",IF(BT3="卧式回流罐",IF(BT47="储罐","液体产品3min或回流5min",IF(BT47="下一工序","液体产品15min或回流5min",30)),15),"")</f>
        <v/>
      </c>
      <c r="BU50" s="422" t="str">
        <f aca="false">IF(BU3&lt;&gt;"",IF(BU3="卧式回流罐",IF(BU47="储罐","液体产品3min或回流5min",IF(BU47="下一工序","液体产品15min或回流5min",30)),15),"")</f>
        <v/>
      </c>
      <c r="BV50" s="422" t="str">
        <f aca="false">IF(BV3&lt;&gt;"",IF(BV3="卧式回流罐",IF(BV47="储罐","液体产品3min或回流5min",IF(BV47="下一工序","液体产品15min或回流5min",30)),15),"")</f>
        <v/>
      </c>
      <c r="BW50" s="422" t="str">
        <f aca="false">IF(BW3&lt;&gt;"",IF(BW3="卧式回流罐",IF(BW47="储罐","液体产品3min或回流5min",IF(BW47="下一工序","液体产品15min或回流5min",30)),15),"")</f>
        <v/>
      </c>
      <c r="BX50" s="422" t="str">
        <f aca="false">IF(BX3&lt;&gt;"",IF(BX3="卧式回流罐",IF(BX47="储罐","液体产品3min或回流5min",IF(BX47="下一工序","液体产品15min或回流5min",30)),15),"")</f>
        <v/>
      </c>
      <c r="BY50" s="422" t="str">
        <f aca="false">IF(BY3&lt;&gt;"",IF(BY3="卧式回流罐",IF(BY47="储罐","液体产品3min或回流5min",IF(BY47="下一工序","液体产品15min或回流5min",30)),15),"")</f>
        <v/>
      </c>
      <c r="BZ50" s="422" t="str">
        <f aca="false">IF(BZ3&lt;&gt;"",IF(BZ3="卧式回流罐",IF(BZ47="储罐","液体产品3min或回流5min",IF(BZ47="下一工序","液体产品15min或回流5min",30)),15),"")</f>
        <v/>
      </c>
      <c r="CA50" s="422" t="str">
        <f aca="false">IF(CA3&lt;&gt;"",IF(CA3="卧式回流罐",IF(CA47="储罐","液体产品3min或回流5min",IF(CA47="下一工序","液体产品15min或回流5min",30)),15),"")</f>
        <v/>
      </c>
      <c r="CB50" s="422" t="str">
        <f aca="false">IF(CB3&lt;&gt;"",IF(CB3="卧式回流罐",IF(CB47="储罐","液体产品3min或回流5min",IF(CB47="下一工序","液体产品15min或回流5min",30)),15),"")</f>
        <v/>
      </c>
      <c r="CC50" s="422" t="str">
        <f aca="false">IF(CC3&lt;&gt;"",IF(CC3="卧式回流罐",IF(CC47="储罐","液体产品3min或回流5min",IF(CC47="下一工序","液体产品15min或回流5min",30)),15),"")</f>
        <v/>
      </c>
      <c r="CD50" s="422" t="str">
        <f aca="false">IF(CD3&lt;&gt;"",IF(CD3="卧式回流罐",IF(CD47="储罐","液体产品3min或回流5min",IF(CD47="下一工序","液体产品15min或回流5min",30)),15),"")</f>
        <v/>
      </c>
      <c r="CE50" s="390"/>
    </row>
    <row r="51" s="391" customFormat="true" ht="15" hidden="false" customHeight="false" outlineLevel="0" collapsed="false">
      <c r="A51" s="421" t="s">
        <v>628</v>
      </c>
      <c r="B51" s="425" t="str">
        <f aca="false">IF(B3&lt;&gt;"",IF(OR(AND(B3="卧式回流罐",B47="下一工序",B48&gt;15,B49&gt;5),AND(B3="卧式回流罐",B47="储罐",B48&gt;3,B49&gt;5),AND(B3="卧式回流罐",B47="其他装置进料",B48&gt;B50),AND(B3&lt;&gt;"卧式回流罐",B48&gt;B50)),"是","否"),"")</f>
        <v>是</v>
      </c>
      <c r="C51" s="425" t="str">
        <f aca="false">IF(C3&lt;&gt;"",IF(OR(AND(C3="卧式回流罐",C47="下一工序",C48&gt;15,C49&gt;5),AND(C3="卧式回流罐",C47="储罐",C48&gt;3,C49&gt;5),AND(C3="卧式回流罐",C47="其他装置进料",C48&gt;C50),AND(C3&lt;&gt;"卧式回流罐",C48&gt;C50)),"是","否"),"")</f>
        <v>是</v>
      </c>
      <c r="D51" s="425" t="str">
        <f aca="false">IF(D3&lt;&gt;"",IF(OR(AND(D3="卧式回流罐",D47="下一工序",D48&gt;15,D49&gt;5),AND(D3="卧式回流罐",D47="储罐",D48&gt;3,D49&gt;5),AND(D3="卧式回流罐",D47="其他装置进料",D48&gt;D50),AND(D3&lt;&gt;"卧式回流罐",D48&gt;D50)),"是","否"),"")</f>
        <v>是</v>
      </c>
      <c r="E51" s="425" t="str">
        <f aca="false">IF(E3&lt;&gt;"",IF(OR(AND(E3="卧式回流罐",E47="下一工序",E48&gt;15,E49&gt;5),AND(E3="卧式回流罐",E47="储罐",E48&gt;3,E49&gt;5),AND(E3="卧式回流罐",E47="其他装置进料",E48&gt;E50),AND(E3&lt;&gt;"卧式回流罐",E48&gt;E50)),"是","否"),"")</f>
        <v>是</v>
      </c>
      <c r="F51" s="425" t="str">
        <f aca="false">IF(F3&lt;&gt;"",IF(OR(AND(F3="卧式回流罐",F47="下一工序",F48&gt;15,F49&gt;5),AND(F3="卧式回流罐",F47="储罐",F48&gt;3,F49&gt;5),AND(F3="卧式回流罐",F47="其他装置进料",F48&gt;F50),AND(F3&lt;&gt;"卧式回流罐",F48&gt;F50)),"是","否"),"")</f>
        <v>是</v>
      </c>
      <c r="G51" s="425" t="str">
        <f aca="false">IF(G3&lt;&gt;"",IF(OR(AND(G3="卧式回流罐",G47="下一工序",G48&gt;15,G49&gt;5),AND(G3="卧式回流罐",G47="储罐",G48&gt;3,G49&gt;5),AND(G3="卧式回流罐",G47="其他装置进料",G48&gt;G50),AND(G3&lt;&gt;"卧式回流罐",G48&gt;G50)),"是","否"),"")</f>
        <v>是</v>
      </c>
      <c r="H51" s="425" t="str">
        <f aca="false">IF(H3&lt;&gt;"",IF(OR(AND(H3="卧式回流罐",H47="下一工序",H48&gt;15,H49&gt;5),AND(H3="卧式回流罐",H47="储罐",H48&gt;3,H49&gt;5),AND(H3="卧式回流罐",H47="其他装置进料",H48&gt;H50),AND(H3&lt;&gt;"卧式回流罐",H48&gt;H50)),"是","否"),"")</f>
        <v>是</v>
      </c>
      <c r="I51" s="425" t="str">
        <f aca="false">IF(I3&lt;&gt;"",IF(OR(AND(I3="卧式回流罐",I47="下一工序",I48&gt;15,I49&gt;5),AND(I3="卧式回流罐",I47="储罐",I48&gt;3,I49&gt;5),AND(I3="卧式回流罐",I47="其他装置进料",I48&gt;I50),AND(I3&lt;&gt;"卧式回流罐",I48&gt;I50)),"是","否"),"")</f>
        <v>是</v>
      </c>
      <c r="J51" s="425" t="str">
        <f aca="false">IF(J3&lt;&gt;"",IF(OR(AND(J3="卧式回流罐",J47="下一工序",J48&gt;15,J49&gt;5),AND(J3="卧式回流罐",J47="储罐",J48&gt;3,J49&gt;5),AND(J3="卧式回流罐",J47="其他装置进料",J48&gt;J50),AND(J3&lt;&gt;"卧式回流罐",J48&gt;J50)),"是","否"),"")</f>
        <v>是</v>
      </c>
      <c r="K51" s="425" t="str">
        <f aca="false">IF(K3&lt;&gt;"",IF(OR(AND(K3="卧式回流罐",K47="下一工序",K48&gt;15,K49&gt;5),AND(K3="卧式回流罐",K47="储罐",K48&gt;3,K49&gt;5),AND(K3="卧式回流罐",K47="其他装置进料",K48&gt;K50),AND(K3&lt;&gt;"卧式回流罐",K48&gt;K50)),"是","否"),"")</f>
        <v>是</v>
      </c>
      <c r="L51" s="425" t="str">
        <f aca="false">IF(L3&lt;&gt;"",IF(OR(AND(L3="卧式回流罐",L47="下一工序",L48&gt;15,L49&gt;5),AND(L3="卧式回流罐",L47="储罐",L48&gt;3,L49&gt;5),AND(L3="卧式回流罐",L47="其他装置进料",L48&gt;L50),AND(L3&lt;&gt;"卧式回流罐",L48&gt;L50)),"是","否"),"")</f>
        <v>是</v>
      </c>
      <c r="M51" s="425" t="str">
        <f aca="false">IF(M3&lt;&gt;"",IF(OR(AND(M3="卧式回流罐",M47="下一工序",M48&gt;15,M49&gt;5),AND(M3="卧式回流罐",M47="储罐",M48&gt;3,M49&gt;5),AND(M3="卧式回流罐",M47="其他装置进料",M48&gt;M50),AND(M3&lt;&gt;"卧式回流罐",M48&gt;M50)),"是","否"),"")</f>
        <v>是</v>
      </c>
      <c r="N51" s="425" t="str">
        <f aca="false">IF(N3&lt;&gt;"",IF(OR(AND(N3="卧式回流罐",N47="下一工序",N48&gt;15,N49&gt;5),AND(N3="卧式回流罐",N47="储罐",N48&gt;3,N49&gt;5),AND(N3="卧式回流罐",N47="其他装置进料",N48&gt;N50),AND(N3&lt;&gt;"卧式回流罐",N48&gt;N50)),"是","否"),"")</f>
        <v>是</v>
      </c>
      <c r="O51" s="425" t="str">
        <f aca="false">IF(O3&lt;&gt;"",IF(OR(AND(O3="卧式回流罐",O47="下一工序",O48&gt;15,O49&gt;5),AND(O3="卧式回流罐",O47="储罐",O48&gt;3,O49&gt;5),AND(O3="卧式回流罐",O47="其他装置进料",O48&gt;O50),AND(O3&lt;&gt;"卧式回流罐",O48&gt;O50)),"是","否"),"")</f>
        <v>是</v>
      </c>
      <c r="P51" s="425" t="str">
        <f aca="false">IF(P3&lt;&gt;"",IF(OR(AND(P3="卧式回流罐",P47="下一工序",P48&gt;15,P49&gt;5),AND(P3="卧式回流罐",P47="储罐",P48&gt;3,P49&gt;5),AND(P3="卧式回流罐",P47="其他装置进料",P48&gt;P50),AND(P3&lt;&gt;"卧式回流罐",P48&gt;P50)),"是","否"),"")</f>
        <v>是</v>
      </c>
      <c r="Q51" s="425" t="str">
        <f aca="false">IF(Q3&lt;&gt;"",IF(OR(AND(Q3="卧式回流罐",Q47="下一工序",Q48&gt;15,Q49&gt;5),AND(Q3="卧式回流罐",Q47="储罐",Q48&gt;3,Q49&gt;5),AND(Q3="卧式回流罐",Q47="其他装置进料",Q48&gt;Q50),AND(Q3&lt;&gt;"卧式回流罐",Q48&gt;Q50)),"是","否"),"")</f>
        <v>是</v>
      </c>
      <c r="R51" s="425" t="str">
        <f aca="false">IF(R3&lt;&gt;"",IF(OR(AND(R3="卧式回流罐",R47="下一工序",R48&gt;15,R49&gt;5),AND(R3="卧式回流罐",R47="储罐",R48&gt;3,R49&gt;5),AND(R3="卧式回流罐",R47="其他装置进料",R48&gt;R50),AND(R3&lt;&gt;"卧式回流罐",R48&gt;R50)),"是","否"),"")</f>
        <v>是</v>
      </c>
      <c r="S51" s="425" t="str">
        <f aca="false">IF(S3&lt;&gt;"",IF(OR(AND(S3="卧式回流罐",S47="下一工序",S48&gt;15,S49&gt;5),AND(S3="卧式回流罐",S47="储罐",S48&gt;3,S49&gt;5),AND(S3="卧式回流罐",S47="其他装置进料",S48&gt;S50),AND(S3&lt;&gt;"卧式回流罐",S48&gt;S50)),"是","否"),"")</f>
        <v>是</v>
      </c>
      <c r="T51" s="425" t="str">
        <f aca="false">IF(T3&lt;&gt;"",IF(OR(AND(T3="卧式回流罐",T47="下一工序",T48&gt;15,T49&gt;5),AND(T3="卧式回流罐",T47="储罐",T48&gt;3,T49&gt;5),AND(T3="卧式回流罐",T47="其他装置进料",T48&gt;T50),AND(T3&lt;&gt;"卧式回流罐",T48&gt;T50)),"是","否"),"")</f>
        <v>是</v>
      </c>
      <c r="U51" s="425" t="str">
        <f aca="false">IF(U3&lt;&gt;"",IF(OR(AND(U3="卧式回流罐",U47="下一工序",U48&gt;15,U49&gt;5),AND(U3="卧式回流罐",U47="储罐",U48&gt;3,U49&gt;5),AND(U3="卧式回流罐",U47="其他装置进料",U48&gt;U50),AND(U3&lt;&gt;"卧式回流罐",U48&gt;U50)),"是","否"),"")</f>
        <v>是</v>
      </c>
      <c r="V51" s="425" t="str">
        <f aca="false">IF(V3&lt;&gt;"",IF(OR(AND(V3="卧式回流罐",V47="下一工序",V48&gt;15,V49&gt;5),AND(V3="卧式回流罐",V47="储罐",V48&gt;3,V49&gt;5),AND(V3="卧式回流罐",V47="其他装置进料",V48&gt;V50),AND(V3&lt;&gt;"卧式回流罐",V48&gt;V50)),"是","否"),"")</f>
        <v>是</v>
      </c>
      <c r="W51" s="425" t="str">
        <f aca="false">IF(W3&lt;&gt;"",IF(OR(AND(W3="卧式回流罐",W47="下一工序",W48&gt;15,W49&gt;5),AND(W3="卧式回流罐",W47="储罐",W48&gt;3,W49&gt;5),AND(W3="卧式回流罐",W47="其他装置进料",W48&gt;W50),AND(W3&lt;&gt;"卧式回流罐",W48&gt;W50)),"是","否"),"")</f>
        <v>是</v>
      </c>
      <c r="X51" s="425" t="str">
        <f aca="false">IF(X3&lt;&gt;"",IF(OR(AND(X3="卧式回流罐",X47="下一工序",X48&gt;15,X49&gt;5),AND(X3="卧式回流罐",X47="储罐",X48&gt;3,X49&gt;5),AND(X3="卧式回流罐",X47="其他装置进料",X48&gt;X50),AND(X3&lt;&gt;"卧式回流罐",X48&gt;X50)),"是","否"),"")</f>
        <v>是</v>
      </c>
      <c r="Y51" s="425" t="str">
        <f aca="false">IF(Y3&lt;&gt;"",IF(OR(AND(Y3="卧式回流罐",Y47="下一工序",Y48&gt;15,Y49&gt;5),AND(Y3="卧式回流罐",Y47="储罐",Y48&gt;3,Y49&gt;5),AND(Y3="卧式回流罐",Y47="其他装置进料",Y48&gt;Y50),AND(Y3&lt;&gt;"卧式回流罐",Y48&gt;Y50)),"是","否"),"")</f>
        <v>否</v>
      </c>
      <c r="Z51" s="425" t="str">
        <f aca="false">IF(Z3&lt;&gt;"",IF(OR(AND(Z3="卧式回流罐",Z47="下一工序",Z48&gt;15,Z49&gt;5),AND(Z3="卧式回流罐",Z47="储罐",Z48&gt;3,Z49&gt;5),AND(Z3="卧式回流罐",Z47="其他装置进料",Z48&gt;Z50),AND(Z3&lt;&gt;"卧式回流罐",Z48&gt;Z50)),"是","否"),"")</f>
        <v>否</v>
      </c>
      <c r="AA51" s="425" t="str">
        <f aca="false">IF(AA3&lt;&gt;"",IF(OR(AND(AA3="卧式回流罐",AA47="下一工序",AA48&gt;15,AA49&gt;5),AND(AA3="卧式回流罐",AA47="储罐",AA48&gt;3,AA49&gt;5),AND(AA3="卧式回流罐",AA47="其他装置进料",AA48&gt;AA50),AND(AA3&lt;&gt;"卧式回流罐",AA48&gt;AA50)),"是","否"),"")</f>
        <v/>
      </c>
      <c r="AB51" s="425" t="str">
        <f aca="false">IF(AB3&lt;&gt;"",IF(OR(AND(AB3="卧式回流罐",AB47="下一工序",AB48&gt;15,AB49&gt;5),AND(AB3="卧式回流罐",AB47="储罐",AB48&gt;3,AB49&gt;5),AND(AB3="卧式回流罐",AB47="其他装置进料",AB48&gt;AB50),AND(AB3&lt;&gt;"卧式回流罐",AB48&gt;AB50)),"是","否"),"")</f>
        <v/>
      </c>
      <c r="AC51" s="425" t="str">
        <f aca="false">IF(AC3&lt;&gt;"",IF(OR(AND(AC3="卧式回流罐",AC47="下一工序",AC48&gt;15,AC49&gt;5),AND(AC3="卧式回流罐",AC47="储罐",AC48&gt;3,AC49&gt;5),AND(AC3="卧式回流罐",AC47="其他装置进料",AC48&gt;AC50),AND(AC3&lt;&gt;"卧式回流罐",AC48&gt;AC50)),"是","否"),"")</f>
        <v/>
      </c>
      <c r="AD51" s="425" t="str">
        <f aca="false">IF(AD3&lt;&gt;"",IF(OR(AND(AD3="卧式回流罐",AD47="下一工序",AD48&gt;15,AD49&gt;5),AND(AD3="卧式回流罐",AD47="储罐",AD48&gt;3,AD49&gt;5),AND(AD3="卧式回流罐",AD47="其他装置进料",AD48&gt;AD50),AND(AD3&lt;&gt;"卧式回流罐",AD48&gt;AD50)),"是","否"),"")</f>
        <v/>
      </c>
      <c r="AE51" s="425" t="str">
        <f aca="false">IF(AE3&lt;&gt;"",IF(OR(AND(AE3="卧式回流罐",AE47="下一工序",AE48&gt;15,AE49&gt;5),AND(AE3="卧式回流罐",AE47="储罐",AE48&gt;3,AE49&gt;5),AND(AE3="卧式回流罐",AE47="其他装置进料",AE48&gt;AE50),AND(AE3&lt;&gt;"卧式回流罐",AE48&gt;AE50)),"是","否"),"")</f>
        <v/>
      </c>
      <c r="AF51" s="425" t="str">
        <f aca="false">IF(AF3&lt;&gt;"",IF(OR(AND(AF3="卧式回流罐",AF47="下一工序",AF48&gt;15,AF49&gt;5),AND(AF3="卧式回流罐",AF47="储罐",AF48&gt;3,AF49&gt;5),AND(AF3="卧式回流罐",AF47="其他装置进料",AF48&gt;AF50),AND(AF3&lt;&gt;"卧式回流罐",AF48&gt;AF50)),"是","否"),"")</f>
        <v/>
      </c>
      <c r="AG51" s="425" t="str">
        <f aca="false">IF(AG3&lt;&gt;"",IF(OR(AND(AG3="卧式回流罐",AG47="下一工序",AG48&gt;15,AG49&gt;5),AND(AG3="卧式回流罐",AG47="储罐",AG48&gt;3,AG49&gt;5),AND(AG3="卧式回流罐",AG47="其他装置进料",AG48&gt;AG50),AND(AG3&lt;&gt;"卧式回流罐",AG48&gt;AG50)),"是","否"),"")</f>
        <v/>
      </c>
      <c r="AH51" s="425" t="str">
        <f aca="false">IF(AH3&lt;&gt;"",IF(OR(AND(AH3="卧式回流罐",AH47="下一工序",AH48&gt;15,AH49&gt;5),AND(AH3="卧式回流罐",AH47="储罐",AH48&gt;3,AH49&gt;5),AND(AH3="卧式回流罐",AH47="其他装置进料",AH48&gt;AH50),AND(AH3&lt;&gt;"卧式回流罐",AH48&gt;AH50)),"是","否"),"")</f>
        <v/>
      </c>
      <c r="AI51" s="425" t="str">
        <f aca="false">IF(AI3&lt;&gt;"",IF(OR(AND(AI3="卧式回流罐",AI47="下一工序",AI48&gt;15,AI49&gt;5),AND(AI3="卧式回流罐",AI47="储罐",AI48&gt;3,AI49&gt;5),AND(AI3="卧式回流罐",AI47="其他装置进料",AI48&gt;AI50),AND(AI3&lt;&gt;"卧式回流罐",AI48&gt;AI50)),"是","否"),"")</f>
        <v/>
      </c>
      <c r="AJ51" s="425" t="str">
        <f aca="false">IF(AJ3&lt;&gt;"",IF(OR(AND(AJ3="卧式回流罐",AJ47="下一工序",AJ48&gt;15,AJ49&gt;5),AND(AJ3="卧式回流罐",AJ47="储罐",AJ48&gt;3,AJ49&gt;5),AND(AJ3="卧式回流罐",AJ47="其他装置进料",AJ48&gt;AJ50),AND(AJ3&lt;&gt;"卧式回流罐",AJ48&gt;AJ50)),"是","否"),"")</f>
        <v/>
      </c>
      <c r="AK51" s="425" t="str">
        <f aca="false">IF(AK3&lt;&gt;"",IF(OR(AND(AK3="卧式回流罐",AK47="下一工序",AK48&gt;15,AK49&gt;5),AND(AK3="卧式回流罐",AK47="储罐",AK48&gt;3,AK49&gt;5),AND(AK3="卧式回流罐",AK47="其他装置进料",AK48&gt;AK50),AND(AK3&lt;&gt;"卧式回流罐",AK48&gt;AK50)),"是","否"),"")</f>
        <v/>
      </c>
      <c r="AL51" s="425" t="str">
        <f aca="false">IF(AL3&lt;&gt;"",IF(OR(AND(AL3="卧式回流罐",AL47="下一工序",AL48&gt;15,AL49&gt;5),AND(AL3="卧式回流罐",AL47="储罐",AL48&gt;3,AL49&gt;5),AND(AL3="卧式回流罐",AL47="其他装置进料",AL48&gt;AL50),AND(AL3&lt;&gt;"卧式回流罐",AL48&gt;AL50)),"是","否"),"")</f>
        <v/>
      </c>
      <c r="AM51" s="425" t="str">
        <f aca="false">IF(AM3&lt;&gt;"",IF(OR(AND(AM3="卧式回流罐",AM47="下一工序",AM48&gt;15,AM49&gt;5),AND(AM3="卧式回流罐",AM47="储罐",AM48&gt;3,AM49&gt;5),AND(AM3="卧式回流罐",AM47="其他装置进料",AM48&gt;AM50),AND(AM3&lt;&gt;"卧式回流罐",AM48&gt;AM50)),"是","否"),"")</f>
        <v/>
      </c>
      <c r="AN51" s="425" t="str">
        <f aca="false">IF(AN3&lt;&gt;"",IF(OR(AND(AN3="卧式回流罐",AN47="下一工序",AN48&gt;15,AN49&gt;5),AND(AN3="卧式回流罐",AN47="储罐",AN48&gt;3,AN49&gt;5),AND(AN3="卧式回流罐",AN47="其他装置进料",AN48&gt;AN50),AND(AN3&lt;&gt;"卧式回流罐",AN48&gt;AN50)),"是","否"),"")</f>
        <v/>
      </c>
      <c r="AO51" s="425" t="str">
        <f aca="false">IF(AO3&lt;&gt;"",IF(OR(AND(AO3="卧式回流罐",AO47="下一工序",AO48&gt;15,AO49&gt;5),AND(AO3="卧式回流罐",AO47="储罐",AO48&gt;3,AO49&gt;5),AND(AO3="卧式回流罐",AO47="其他装置进料",AO48&gt;AO50),AND(AO3&lt;&gt;"卧式回流罐",AO48&gt;AO50)),"是","否"),"")</f>
        <v/>
      </c>
      <c r="AP51" s="425" t="str">
        <f aca="false">IF(AP3&lt;&gt;"",IF(OR(AND(AP3="卧式回流罐",AP47="下一工序",AP48&gt;15,AP49&gt;5),AND(AP3="卧式回流罐",AP47="储罐",AP48&gt;3,AP49&gt;5),AND(AP3="卧式回流罐",AP47="其他装置进料",AP48&gt;AP50),AND(AP3&lt;&gt;"卧式回流罐",AP48&gt;AP50)),"是","否"),"")</f>
        <v/>
      </c>
      <c r="AQ51" s="425" t="str">
        <f aca="false">IF(AQ3&lt;&gt;"",IF(OR(AND(AQ3="卧式回流罐",AQ47="下一工序",AQ48&gt;15,AQ49&gt;5),AND(AQ3="卧式回流罐",AQ47="储罐",AQ48&gt;3,AQ49&gt;5),AND(AQ3="卧式回流罐",AQ47="其他装置进料",AQ48&gt;AQ50),AND(AQ3&lt;&gt;"卧式回流罐",AQ48&gt;AQ50)),"是","否"),"")</f>
        <v/>
      </c>
      <c r="AR51" s="425" t="str">
        <f aca="false">IF(AR3&lt;&gt;"",IF(OR(AND(AR3="卧式回流罐",AR47="下一工序",AR48&gt;15,AR49&gt;5),AND(AR3="卧式回流罐",AR47="储罐",AR48&gt;3,AR49&gt;5),AND(AR3="卧式回流罐",AR47="其他装置进料",AR48&gt;AR50),AND(AR3&lt;&gt;"卧式回流罐",AR48&gt;AR50)),"是","否"),"")</f>
        <v/>
      </c>
      <c r="AS51" s="425" t="str">
        <f aca="false">IF(AS3&lt;&gt;"",IF(OR(AND(AS3="卧式回流罐",AS47="下一工序",AS48&gt;15,AS49&gt;5),AND(AS3="卧式回流罐",AS47="储罐",AS48&gt;3,AS49&gt;5),AND(AS3="卧式回流罐",AS47="其他装置进料",AS48&gt;AS50),AND(AS3&lt;&gt;"卧式回流罐",AS48&gt;AS50)),"是","否"),"")</f>
        <v/>
      </c>
      <c r="AT51" s="425" t="str">
        <f aca="false">IF(AT3&lt;&gt;"",IF(OR(AND(AT3="卧式回流罐",AT47="下一工序",AT48&gt;15,AT49&gt;5),AND(AT3="卧式回流罐",AT47="储罐",AT48&gt;3,AT49&gt;5),AND(AT3="卧式回流罐",AT47="其他装置进料",AT48&gt;AT50),AND(AT3&lt;&gt;"卧式回流罐",AT48&gt;AT50)),"是","否"),"")</f>
        <v/>
      </c>
      <c r="AU51" s="425" t="str">
        <f aca="false">IF(AU3&lt;&gt;"",IF(OR(AND(AU3="卧式回流罐",AU47="下一工序",AU48&gt;15,AU49&gt;5),AND(AU3="卧式回流罐",AU47="储罐",AU48&gt;3,AU49&gt;5),AND(AU3="卧式回流罐",AU47="其他装置进料",AU48&gt;AU50),AND(AU3&lt;&gt;"卧式回流罐",AU48&gt;AU50)),"是","否"),"")</f>
        <v/>
      </c>
      <c r="AV51" s="425" t="str">
        <f aca="false">IF(AV3&lt;&gt;"",IF(OR(AND(AV3="卧式回流罐",AV47="下一工序",AV48&gt;15,AV49&gt;5),AND(AV3="卧式回流罐",AV47="储罐",AV48&gt;3,AV49&gt;5),AND(AV3="卧式回流罐",AV47="其他装置进料",AV48&gt;AV50),AND(AV3&lt;&gt;"卧式回流罐",AV48&gt;AV50)),"是","否"),"")</f>
        <v/>
      </c>
      <c r="AW51" s="425" t="str">
        <f aca="false">IF(AW3&lt;&gt;"",IF(OR(AND(AW3="卧式回流罐",AW47="下一工序",AW48&gt;15,AW49&gt;5),AND(AW3="卧式回流罐",AW47="储罐",AW48&gt;3,AW49&gt;5),AND(AW3="卧式回流罐",AW47="其他装置进料",AW48&gt;AW50),AND(AW3&lt;&gt;"卧式回流罐",AW48&gt;AW50)),"是","否"),"")</f>
        <v/>
      </c>
      <c r="AX51" s="425" t="str">
        <f aca="false">IF(AX3&lt;&gt;"",IF(OR(AND(AX3="卧式回流罐",AX47="下一工序",AX48&gt;15,AX49&gt;5),AND(AX3="卧式回流罐",AX47="储罐",AX48&gt;3,AX49&gt;5),AND(AX3="卧式回流罐",AX47="其他装置进料",AX48&gt;AX50),AND(AX3&lt;&gt;"卧式回流罐",AX48&gt;AX50)),"是","否"),"")</f>
        <v/>
      </c>
      <c r="AY51" s="425" t="str">
        <f aca="false">IF(AY3&lt;&gt;"",IF(OR(AND(AY3="卧式回流罐",AY47="下一工序",AY48&gt;15,AY49&gt;5),AND(AY3="卧式回流罐",AY47="储罐",AY48&gt;3,AY49&gt;5),AND(AY3="卧式回流罐",AY47="其他装置进料",AY48&gt;AY50),AND(AY3&lt;&gt;"卧式回流罐",AY48&gt;AY50)),"是","否"),"")</f>
        <v/>
      </c>
      <c r="AZ51" s="425" t="str">
        <f aca="false">IF(AZ3&lt;&gt;"",IF(OR(AND(AZ3="卧式回流罐",AZ47="下一工序",AZ48&gt;15,AZ49&gt;5),AND(AZ3="卧式回流罐",AZ47="储罐",AZ48&gt;3,AZ49&gt;5),AND(AZ3="卧式回流罐",AZ47="其他装置进料",AZ48&gt;AZ50),AND(AZ3&lt;&gt;"卧式回流罐",AZ48&gt;AZ50)),"是","否"),"")</f>
        <v/>
      </c>
      <c r="BA51" s="425" t="str">
        <f aca="false">IF(BA3&lt;&gt;"",IF(OR(AND(BA3="卧式回流罐",BA47="下一工序",BA48&gt;15,BA49&gt;5),AND(BA3="卧式回流罐",BA47="储罐",BA48&gt;3,BA49&gt;5),AND(BA3="卧式回流罐",BA47="其他装置进料",BA48&gt;BA50),AND(BA3&lt;&gt;"卧式回流罐",BA48&gt;BA50)),"是","否"),"")</f>
        <v/>
      </c>
      <c r="BB51" s="425" t="str">
        <f aca="false">IF(BB3&lt;&gt;"",IF(OR(AND(BB3="卧式回流罐",BB47="下一工序",BB48&gt;15,BB49&gt;5),AND(BB3="卧式回流罐",BB47="储罐",BB48&gt;3,BB49&gt;5),AND(BB3="卧式回流罐",BB47="其他装置进料",BB48&gt;BB50),AND(BB3&lt;&gt;"卧式回流罐",BB48&gt;BB50)),"是","否"),"")</f>
        <v/>
      </c>
      <c r="BC51" s="425" t="str">
        <f aca="false">IF(BC3&lt;&gt;"",IF(OR(AND(BC3="卧式回流罐",BC47="下一工序",BC48&gt;15,BC49&gt;5),AND(BC3="卧式回流罐",BC47="储罐",BC48&gt;3,BC49&gt;5),AND(BC3="卧式回流罐",BC47="其他装置进料",BC48&gt;BC50),AND(BC3&lt;&gt;"卧式回流罐",BC48&gt;BC50)),"是","否"),"")</f>
        <v/>
      </c>
      <c r="BD51" s="425" t="str">
        <f aca="false">IF(BD3&lt;&gt;"",IF(OR(AND(BD3="卧式回流罐",BD47="下一工序",BD48&gt;15,BD49&gt;5),AND(BD3="卧式回流罐",BD47="储罐",BD48&gt;3,BD49&gt;5),AND(BD3="卧式回流罐",BD47="其他装置进料",BD48&gt;BD50),AND(BD3&lt;&gt;"卧式回流罐",BD48&gt;BD50)),"是","否"),"")</f>
        <v/>
      </c>
      <c r="BE51" s="425" t="str">
        <f aca="false">IF(BE3&lt;&gt;"",IF(OR(AND(BE3="卧式回流罐",BE47="下一工序",BE48&gt;15,BE49&gt;5),AND(BE3="卧式回流罐",BE47="储罐",BE48&gt;3,BE49&gt;5),AND(BE3="卧式回流罐",BE47="其他装置进料",BE48&gt;BE50),AND(BE3&lt;&gt;"卧式回流罐",BE48&gt;BE50)),"是","否"),"")</f>
        <v/>
      </c>
      <c r="BF51" s="425" t="str">
        <f aca="false">IF(BF3&lt;&gt;"",IF(OR(AND(BF3="卧式回流罐",BF47="下一工序",BF48&gt;15,BF49&gt;5),AND(BF3="卧式回流罐",BF47="储罐",BF48&gt;3,BF49&gt;5),AND(BF3="卧式回流罐",BF47="其他装置进料",BF48&gt;BF50),AND(BF3&lt;&gt;"卧式回流罐",BF48&gt;BF50)),"是","否"),"")</f>
        <v/>
      </c>
      <c r="BG51" s="425" t="str">
        <f aca="false">IF(BG3&lt;&gt;"",IF(OR(AND(BG3="卧式回流罐",BG47="下一工序",BG48&gt;15,BG49&gt;5),AND(BG3="卧式回流罐",BG47="储罐",BG48&gt;3,BG49&gt;5),AND(BG3="卧式回流罐",BG47="其他装置进料",BG48&gt;BG50),AND(BG3&lt;&gt;"卧式回流罐",BG48&gt;BG50)),"是","否"),"")</f>
        <v/>
      </c>
      <c r="BH51" s="425" t="str">
        <f aca="false">IF(BH3&lt;&gt;"",IF(OR(AND(BH3="卧式回流罐",BH47="下一工序",BH48&gt;15,BH49&gt;5),AND(BH3="卧式回流罐",BH47="储罐",BH48&gt;3,BH49&gt;5),AND(BH3="卧式回流罐",BH47="其他装置进料",BH48&gt;BH50),AND(BH3&lt;&gt;"卧式回流罐",BH48&gt;BH50)),"是","否"),"")</f>
        <v/>
      </c>
      <c r="BI51" s="425" t="str">
        <f aca="false">IF(BI3&lt;&gt;"",IF(OR(AND(BI3="卧式回流罐",BI47="下一工序",BI48&gt;15,BI49&gt;5),AND(BI3="卧式回流罐",BI47="储罐",BI48&gt;3,BI49&gt;5),AND(BI3="卧式回流罐",BI47="其他装置进料",BI48&gt;BI50),AND(BI3&lt;&gt;"卧式回流罐",BI48&gt;BI50)),"是","否"),"")</f>
        <v/>
      </c>
      <c r="BJ51" s="425" t="str">
        <f aca="false">IF(BJ3&lt;&gt;"",IF(OR(AND(BJ3="卧式回流罐",BJ47="下一工序",BJ48&gt;15,BJ49&gt;5),AND(BJ3="卧式回流罐",BJ47="储罐",BJ48&gt;3,BJ49&gt;5),AND(BJ3="卧式回流罐",BJ47="其他装置进料",BJ48&gt;BJ50),AND(BJ3&lt;&gt;"卧式回流罐",BJ48&gt;BJ50)),"是","否"),"")</f>
        <v/>
      </c>
      <c r="BK51" s="425" t="str">
        <f aca="false">IF(BK3&lt;&gt;"",IF(OR(AND(BK3="卧式回流罐",BK47="下一工序",BK48&gt;15,BK49&gt;5),AND(BK3="卧式回流罐",BK47="储罐",BK48&gt;3,BK49&gt;5),AND(BK3="卧式回流罐",BK47="其他装置进料",BK48&gt;BK50),AND(BK3&lt;&gt;"卧式回流罐",BK48&gt;BK50)),"是","否"),"")</f>
        <v/>
      </c>
      <c r="BL51" s="425" t="str">
        <f aca="false">IF(BL3&lt;&gt;"",IF(OR(AND(BL3="卧式回流罐",BL47="下一工序",BL48&gt;15,BL49&gt;5),AND(BL3="卧式回流罐",BL47="储罐",BL48&gt;3,BL49&gt;5),AND(BL3="卧式回流罐",BL47="其他装置进料",BL48&gt;BL50),AND(BL3&lt;&gt;"卧式回流罐",BL48&gt;BL50)),"是","否"),"")</f>
        <v/>
      </c>
      <c r="BM51" s="425" t="str">
        <f aca="false">IF(BM3&lt;&gt;"",IF(OR(AND(BM3="卧式回流罐",BM47="下一工序",BM48&gt;15,BM49&gt;5),AND(BM3="卧式回流罐",BM47="储罐",BM48&gt;3,BM49&gt;5),AND(BM3="卧式回流罐",BM47="其他装置进料",BM48&gt;BM50),AND(BM3&lt;&gt;"卧式回流罐",BM48&gt;BM50)),"是","否"),"")</f>
        <v/>
      </c>
      <c r="BN51" s="425" t="str">
        <f aca="false">IF(BN3&lt;&gt;"",IF(OR(AND(BN3="卧式回流罐",BN47="下一工序",BN48&gt;15,BN49&gt;5),AND(BN3="卧式回流罐",BN47="储罐",BN48&gt;3,BN49&gt;5),AND(BN3="卧式回流罐",BN47="其他装置进料",BN48&gt;BN50),AND(BN3&lt;&gt;"卧式回流罐",BN48&gt;BN50)),"是","否"),"")</f>
        <v/>
      </c>
      <c r="BO51" s="425" t="str">
        <f aca="false">IF(BO3&lt;&gt;"",IF(OR(AND(BO3="卧式回流罐",BO47="下一工序",BO48&gt;15,BO49&gt;5),AND(BO3="卧式回流罐",BO47="储罐",BO48&gt;3,BO49&gt;5),AND(BO3="卧式回流罐",BO47="其他装置进料",BO48&gt;BO50),AND(BO3&lt;&gt;"卧式回流罐",BO48&gt;BO50)),"是","否"),"")</f>
        <v/>
      </c>
      <c r="BP51" s="425" t="str">
        <f aca="false">IF(BP3&lt;&gt;"",IF(OR(AND(BP3="卧式回流罐",BP47="下一工序",BP48&gt;15,BP49&gt;5),AND(BP3="卧式回流罐",BP47="储罐",BP48&gt;3,BP49&gt;5),AND(BP3="卧式回流罐",BP47="其他装置进料",BP48&gt;BP50),AND(BP3&lt;&gt;"卧式回流罐",BP48&gt;BP50)),"是","否"),"")</f>
        <v/>
      </c>
      <c r="BQ51" s="425" t="str">
        <f aca="false">IF(BQ3&lt;&gt;"",IF(OR(AND(BQ3="卧式回流罐",BQ47="下一工序",BQ48&gt;15,BQ49&gt;5),AND(BQ3="卧式回流罐",BQ47="储罐",BQ48&gt;3,BQ49&gt;5),AND(BQ3="卧式回流罐",BQ47="其他装置进料",BQ48&gt;BQ50),AND(BQ3&lt;&gt;"卧式回流罐",BQ48&gt;BQ50)),"是","否"),"")</f>
        <v/>
      </c>
      <c r="BR51" s="425" t="str">
        <f aca="false">IF(BR3&lt;&gt;"",IF(OR(AND(BR3="卧式回流罐",BR47="下一工序",BR48&gt;15,BR49&gt;5),AND(BR3="卧式回流罐",BR47="储罐",BR48&gt;3,BR49&gt;5),AND(BR3="卧式回流罐",BR47="其他装置进料",BR48&gt;BR50),AND(BR3&lt;&gt;"卧式回流罐",BR48&gt;BR50)),"是","否"),"")</f>
        <v/>
      </c>
      <c r="BS51" s="425" t="str">
        <f aca="false">IF(BS3&lt;&gt;"",IF(OR(AND(BS3="卧式回流罐",BS47="下一工序",BS48&gt;15,BS49&gt;5),AND(BS3="卧式回流罐",BS47="储罐",BS48&gt;3,BS49&gt;5),AND(BS3="卧式回流罐",BS47="其他装置进料",BS48&gt;BS50),AND(BS3&lt;&gt;"卧式回流罐",BS48&gt;BS50)),"是","否"),"")</f>
        <v/>
      </c>
      <c r="BT51" s="425" t="str">
        <f aca="false">IF(BT3&lt;&gt;"",IF(OR(AND(BT3="卧式回流罐",BT47="下一工序",BT48&gt;15,BT49&gt;5),AND(BT3="卧式回流罐",BT47="储罐",BT48&gt;3,BT49&gt;5),AND(BT3="卧式回流罐",BT47="其他装置进料",BT48&gt;BT50),AND(BT3&lt;&gt;"卧式回流罐",BT48&gt;BT50)),"是","否"),"")</f>
        <v/>
      </c>
      <c r="BU51" s="425" t="str">
        <f aca="false">IF(BU3&lt;&gt;"",IF(OR(AND(BU3="卧式回流罐",BU47="下一工序",BU48&gt;15,BU49&gt;5),AND(BU3="卧式回流罐",BU47="储罐",BU48&gt;3,BU49&gt;5),AND(BU3="卧式回流罐",BU47="其他装置进料",BU48&gt;BU50),AND(BU3&lt;&gt;"卧式回流罐",BU48&gt;BU50)),"是","否"),"")</f>
        <v/>
      </c>
      <c r="BV51" s="425" t="str">
        <f aca="false">IF(BV3&lt;&gt;"",IF(OR(AND(BV3="卧式回流罐",BV47="下一工序",BV48&gt;15,BV49&gt;5),AND(BV3="卧式回流罐",BV47="储罐",BV48&gt;3,BV49&gt;5),AND(BV3="卧式回流罐",BV47="其他装置进料",BV48&gt;BV50),AND(BV3&lt;&gt;"卧式回流罐",BV48&gt;BV50)),"是","否"),"")</f>
        <v/>
      </c>
      <c r="BW51" s="425" t="str">
        <f aca="false">IF(BW3&lt;&gt;"",IF(OR(AND(BW3="卧式回流罐",BW47="下一工序",BW48&gt;15,BW49&gt;5),AND(BW3="卧式回流罐",BW47="储罐",BW48&gt;3,BW49&gt;5),AND(BW3="卧式回流罐",BW47="其他装置进料",BW48&gt;BW50),AND(BW3&lt;&gt;"卧式回流罐",BW48&gt;BW50)),"是","否"),"")</f>
        <v/>
      </c>
      <c r="BX51" s="425" t="str">
        <f aca="false">IF(BX3&lt;&gt;"",IF(OR(AND(BX3="卧式回流罐",BX47="下一工序",BX48&gt;15,BX49&gt;5),AND(BX3="卧式回流罐",BX47="储罐",BX48&gt;3,BX49&gt;5),AND(BX3="卧式回流罐",BX47="其他装置进料",BX48&gt;BX50),AND(BX3&lt;&gt;"卧式回流罐",BX48&gt;BX50)),"是","否"),"")</f>
        <v/>
      </c>
      <c r="BY51" s="425" t="str">
        <f aca="false">IF(BY3&lt;&gt;"",IF(OR(AND(BY3="卧式回流罐",BY47="下一工序",BY48&gt;15,BY49&gt;5),AND(BY3="卧式回流罐",BY47="储罐",BY48&gt;3,BY49&gt;5),AND(BY3="卧式回流罐",BY47="其他装置进料",BY48&gt;BY50),AND(BY3&lt;&gt;"卧式回流罐",BY48&gt;BY50)),"是","否"),"")</f>
        <v/>
      </c>
      <c r="BZ51" s="425" t="str">
        <f aca="false">IF(BZ3&lt;&gt;"",IF(OR(AND(BZ3="卧式回流罐",BZ47="下一工序",BZ48&gt;15,BZ49&gt;5),AND(BZ3="卧式回流罐",BZ47="储罐",BZ48&gt;3,BZ49&gt;5),AND(BZ3="卧式回流罐",BZ47="其他装置进料",BZ48&gt;BZ50),AND(BZ3&lt;&gt;"卧式回流罐",BZ48&gt;BZ50)),"是","否"),"")</f>
        <v/>
      </c>
      <c r="CA51" s="425" t="str">
        <f aca="false">IF(CA3&lt;&gt;"",IF(OR(AND(CA3="卧式回流罐",CA47="下一工序",CA48&gt;15,CA49&gt;5),AND(CA3="卧式回流罐",CA47="储罐",CA48&gt;3,CA49&gt;5),AND(CA3="卧式回流罐",CA47="其他装置进料",CA48&gt;CA50),AND(CA3&lt;&gt;"卧式回流罐",CA48&gt;CA50)),"是","否"),"")</f>
        <v/>
      </c>
      <c r="CB51" s="425" t="str">
        <f aca="false">IF(CB3&lt;&gt;"",IF(OR(AND(CB3="卧式回流罐",CB47="下一工序",CB48&gt;15,CB49&gt;5),AND(CB3="卧式回流罐",CB47="储罐",CB48&gt;3,CB49&gt;5),AND(CB3="卧式回流罐",CB47="其他装置进料",CB48&gt;CB50),AND(CB3&lt;&gt;"卧式回流罐",CB48&gt;CB50)),"是","否"),"")</f>
        <v/>
      </c>
      <c r="CC51" s="425" t="str">
        <f aca="false">IF(CC3&lt;&gt;"",IF(OR(AND(CC3="卧式回流罐",CC47="下一工序",CC48&gt;15,CC49&gt;5),AND(CC3="卧式回流罐",CC47="储罐",CC48&gt;3,CC49&gt;5),AND(CC3="卧式回流罐",CC47="其他装置进料",CC48&gt;CC50),AND(CC3&lt;&gt;"卧式回流罐",CC48&gt;CC50)),"是","否"),"")</f>
        <v/>
      </c>
      <c r="CD51" s="425" t="str">
        <f aca="false">IF(CD3&lt;&gt;"",IF(OR(AND(CD3="卧式回流罐",CD47="下一工序",CD48&gt;15,CD49&gt;5),AND(CD3="卧式回流罐",CD47="储罐",CD48&gt;3,CD49&gt;5),AND(CD3="卧式回流罐",CD47="其他装置进料",CD48&gt;CD50),AND(CD3&lt;&gt;"卧式回流罐",CD48&gt;CD50)),"是","否"),"")</f>
        <v/>
      </c>
      <c r="CE51" s="390"/>
    </row>
    <row r="52" s="411" customFormat="true" ht="15" hidden="false" customHeight="false" outlineLevel="0" collapsed="false">
      <c r="A52" s="407" t="s">
        <v>637</v>
      </c>
      <c r="B52" s="435" t="str">
        <f aca="false">IF(AND(B9&lt;&gt;"",B10&lt;&gt;""),0.785*B9*B9*B10/(B25/1000)*60,"")</f>
        <v/>
      </c>
      <c r="C52" s="435" t="str">
        <f aca="false">IF(AND(C9&lt;&gt;"",C10&lt;&gt;""),0.785*C9*C9*C10/(C25/1000)*60,"")</f>
        <v/>
      </c>
      <c r="D52" s="435" t="str">
        <f aca="false">IF(AND(D9&lt;&gt;"",D10&lt;&gt;""),0.785*D9*D9*D10/(D25/1000)*60,"")</f>
        <v/>
      </c>
      <c r="E52" s="435" t="str">
        <f aca="false">IF(AND(E9&lt;&gt;"",E10&lt;&gt;""),0.785*E9*E9*E10/(E25/1000)*60,"")</f>
        <v/>
      </c>
      <c r="F52" s="435" t="str">
        <f aca="false">IF(AND(F9&lt;&gt;"",F10&lt;&gt;""),0.785*F9*F9*F10/(F25/1000)*60,"")</f>
        <v/>
      </c>
      <c r="G52" s="435" t="str">
        <f aca="false">IF(AND(G9&lt;&gt;"",G10&lt;&gt;""),0.785*G9*G9*G10/(G25/1000)*60,"")</f>
        <v/>
      </c>
      <c r="H52" s="435" t="str">
        <f aca="false">IF(AND(H9&lt;&gt;"",H10&lt;&gt;""),0.785*H9*H9*H10/(H25/1000)*60,"")</f>
        <v/>
      </c>
      <c r="I52" s="435" t="str">
        <f aca="false">IF(AND(I9&lt;&gt;"",I10&lt;&gt;""),0.785*I9*I9*I10/(I25/1000)*60,"")</f>
        <v/>
      </c>
      <c r="J52" s="435" t="str">
        <f aca="false">IF(AND(J9&lt;&gt;"",J10&lt;&gt;""),0.785*J9*J9*J10/(J25/1000)*60,"")</f>
        <v/>
      </c>
      <c r="K52" s="435" t="str">
        <f aca="false">IF(AND(K9&lt;&gt;"",K10&lt;&gt;""),0.785*K9*K9*K10/(K25/1000)*60,"")</f>
        <v/>
      </c>
      <c r="L52" s="436" t="n">
        <f aca="false">IF(AND(L9&lt;&gt;"",L10&lt;&gt;""),0.785*L9*L9*L10/(L25/1000)*60,"")</f>
        <v>21.9410961780765</v>
      </c>
      <c r="M52" s="436" t="n">
        <f aca="false">IF(AND(M9&lt;&gt;"",M10&lt;&gt;""),0.785*M9*M9*M10/(M25/1000)*60,"")</f>
        <v>21.7338310967612</v>
      </c>
      <c r="N52" s="435" t="str">
        <f aca="false">IF(AND(N9&lt;&gt;"",N10&lt;&gt;""),0.785*N9*N9*N10/(N25/1000)*60,"")</f>
        <v/>
      </c>
      <c r="O52" s="435" t="str">
        <f aca="false">IF(AND(O9&lt;&gt;"",O10&lt;&gt;""),0.785*O9*O9*O10/(O25/1000)*60,"")</f>
        <v/>
      </c>
      <c r="P52" s="435"/>
      <c r="Q52" s="435" t="str">
        <f aca="false">IF(AND(Q9&lt;&gt;"",Q10&lt;&gt;""),0.785*Q9*Q9*Q10/(Q25/1000)*60,"")</f>
        <v/>
      </c>
      <c r="R52" s="435" t="str">
        <f aca="false">IF(AND(R9&lt;&gt;"",R10&lt;&gt;""),0.785*R9*R9*R10/(R25/1000)*60,"")</f>
        <v/>
      </c>
      <c r="S52" s="435" t="str">
        <f aca="false">IF(AND(S9&lt;&gt;"",S10&lt;&gt;""),0.785*S9*S9*S10/(S25/1000)*60,"")</f>
        <v/>
      </c>
      <c r="T52" s="435" t="str">
        <f aca="false">IF(AND(T9&lt;&gt;"",T10&lt;&gt;""),0.785*T9*T9*T10/(T25/1000)*60,"")</f>
        <v/>
      </c>
      <c r="U52" s="435" t="str">
        <f aca="false">IF(AND(U9&lt;&gt;"",U10&lt;&gt;""),0.785*U9*U9*U10/(U25/1000)*60,"")</f>
        <v/>
      </c>
      <c r="V52" s="435" t="str">
        <f aca="false">IF(AND(V9&lt;&gt;"",V10&lt;&gt;""),0.785*V9*V9*V10/(V25/1000)*60,"")</f>
        <v/>
      </c>
      <c r="W52" s="435" t="str">
        <f aca="false">IF(AND(W9&lt;&gt;"",W10&lt;&gt;""),0.785*W9*W9*W10/(W25/1000)*60,"")</f>
        <v/>
      </c>
      <c r="X52" s="435" t="str">
        <f aca="false">IF(AND(X9&lt;&gt;"",X10&lt;&gt;""),0.785*X9*X9*X10/(X25/1000)*60,"")</f>
        <v/>
      </c>
      <c r="Y52" s="435" t="str">
        <f aca="false">IF(AND(Y9&lt;&gt;"",Y10&lt;&gt;""),0.785*Y9*Y9*Y10/(Y25/1000)*60,"")</f>
        <v/>
      </c>
      <c r="Z52" s="435" t="str">
        <f aca="false">IF(AND(Z9&lt;&gt;"",Z10&lt;&gt;""),0.785*Z9*Z9*Z10/(Z25/1000)*60,"")</f>
        <v/>
      </c>
      <c r="AA52" s="435" t="str">
        <f aca="false">IF(AND(AA9&lt;&gt;"",AA10&lt;&gt;""),0.785*AA9*AA9*AA10/(AA25/1000)*60,"")</f>
        <v/>
      </c>
      <c r="AB52" s="435" t="str">
        <f aca="false">IF(AND(AB9&lt;&gt;"",AB10&lt;&gt;""),0.785*AB9*AB9*AB10/(AB25/1000)*60,"")</f>
        <v/>
      </c>
      <c r="AC52" s="435" t="str">
        <f aca="false">IF(AND(AC9&lt;&gt;"",AC10&lt;&gt;""),0.785*AC9*AC9*AC10/(AC25/1000)*60,"")</f>
        <v/>
      </c>
      <c r="AD52" s="435" t="str">
        <f aca="false">IF(AND(AD9&lt;&gt;"",AD10&lt;&gt;""),0.785*AD9*AD9*AD10/(AD25/1000)*60,"")</f>
        <v/>
      </c>
      <c r="AE52" s="435" t="str">
        <f aca="false">IF(AND(AE9&lt;&gt;"",AE10&lt;&gt;""),0.785*AE9*AE9*AE10/(AE25/1000)*60,"")</f>
        <v/>
      </c>
      <c r="AF52" s="435" t="str">
        <f aca="false">IF(AND(AF9&lt;&gt;"",AF10&lt;&gt;""),0.785*AF9*AF9*AF10/(AF25/1000)*60,"")</f>
        <v/>
      </c>
      <c r="AG52" s="435" t="str">
        <f aca="false">IF(AND(AG9&lt;&gt;"",AG10&lt;&gt;""),0.785*AG9*AG9*AG10/(AG25/1000)*60,"")</f>
        <v/>
      </c>
      <c r="AH52" s="435" t="str">
        <f aca="false">IF(AND(AH9&lt;&gt;"",AH10&lt;&gt;""),0.785*AH9*AH9*AH10/(AH25/1000)*60,"")</f>
        <v/>
      </c>
      <c r="AI52" s="435" t="str">
        <f aca="false">IF(AND(AI9&lt;&gt;"",AI10&lt;&gt;""),0.785*AI9*AI9*AI10/(AI25/1000)*60,"")</f>
        <v/>
      </c>
      <c r="AJ52" s="435" t="str">
        <f aca="false">IF(AND(AJ9&lt;&gt;"",AJ10&lt;&gt;""),0.785*AJ9*AJ9*AJ10/(AJ25/1000)*60,"")</f>
        <v/>
      </c>
      <c r="AK52" s="435" t="str">
        <f aca="false">IF(AND(AK9&lt;&gt;"",AK10&lt;&gt;""),0.785*AK9*AK9*AK10/(AK25/1000)*60,"")</f>
        <v/>
      </c>
      <c r="AL52" s="435" t="str">
        <f aca="false">IF(AND(AL9&lt;&gt;"",AL10&lt;&gt;""),0.785*AL9*AL9*AL10/(AL25/1000)*60,"")</f>
        <v/>
      </c>
      <c r="AM52" s="435" t="str">
        <f aca="false">IF(AND(AM9&lt;&gt;"",AM10&lt;&gt;""),0.785*AM9*AM9*AM10/(AM25/1000)*60,"")</f>
        <v/>
      </c>
      <c r="AN52" s="435" t="str">
        <f aca="false">IF(AND(AN9&lt;&gt;"",AN10&lt;&gt;""),0.785*AN9*AN9*AN10/(AN25/1000)*60,"")</f>
        <v/>
      </c>
      <c r="AO52" s="435" t="str">
        <f aca="false">IF(AND(AO9&lt;&gt;"",AO10&lt;&gt;""),0.785*AO9*AO9*AO10/(AO25/1000)*60,"")</f>
        <v/>
      </c>
      <c r="AP52" s="435" t="str">
        <f aca="false">IF(AND(AP9&lt;&gt;"",AP10&lt;&gt;""),0.785*AP9*AP9*AP10/(AP25/1000)*60,"")</f>
        <v/>
      </c>
      <c r="AQ52" s="435" t="str">
        <f aca="false">IF(AND(AQ9&lt;&gt;"",AQ10&lt;&gt;""),0.785*AQ9*AQ9*AQ10/(AQ25/1000)*60,"")</f>
        <v/>
      </c>
      <c r="AR52" s="435" t="str">
        <f aca="false">IF(AND(AR9&lt;&gt;"",AR10&lt;&gt;""),0.785*AR9*AR9*AR10/(AR25/1000)*60,"")</f>
        <v/>
      </c>
      <c r="AS52" s="435" t="str">
        <f aca="false">IF(AND(AS9&lt;&gt;"",AS10&lt;&gt;""),0.785*AS9*AS9*AS10/(AS25/1000)*60,"")</f>
        <v/>
      </c>
      <c r="AT52" s="435" t="str">
        <f aca="false">IF(AND(AT9&lt;&gt;"",AT10&lt;&gt;""),0.785*AT9*AT9*AT10/(AT25/1000)*60,"")</f>
        <v/>
      </c>
      <c r="AU52" s="435" t="str">
        <f aca="false">IF(AND(AU9&lt;&gt;"",AU10&lt;&gt;""),0.785*AU9*AU9*AU10/(AU25/1000)*60,"")</f>
        <v/>
      </c>
      <c r="AV52" s="435" t="str">
        <f aca="false">IF(AND(AV9&lt;&gt;"",AV10&lt;&gt;""),0.785*AV9*AV9*AV10/(AV25/1000)*60,"")</f>
        <v/>
      </c>
      <c r="AW52" s="435" t="str">
        <f aca="false">IF(AND(AW9&lt;&gt;"",AW10&lt;&gt;""),0.785*AW9*AW9*AW10/(AW25/1000)*60,"")</f>
        <v/>
      </c>
      <c r="AX52" s="435" t="str">
        <f aca="false">IF(AND(AX9&lt;&gt;"",AX10&lt;&gt;""),0.785*AX9*AX9*AX10/(AX25/1000)*60,"")</f>
        <v/>
      </c>
      <c r="AY52" s="435" t="str">
        <f aca="false">IF(AND(AY9&lt;&gt;"",AY10&lt;&gt;""),0.785*AY9*AY9*AY10/(AY25/1000)*60,"")</f>
        <v/>
      </c>
      <c r="AZ52" s="435" t="str">
        <f aca="false">IF(AND(AZ9&lt;&gt;"",AZ10&lt;&gt;""),0.785*AZ9*AZ9*AZ10/(AZ25/1000)*60,"")</f>
        <v/>
      </c>
      <c r="BA52" s="435" t="str">
        <f aca="false">IF(AND(BA9&lt;&gt;"",BA10&lt;&gt;""),0.785*BA9*BA9*BA10/(BA25/1000)*60,"")</f>
        <v/>
      </c>
      <c r="BB52" s="435" t="str">
        <f aca="false">IF(AND(BB9&lt;&gt;"",BB10&lt;&gt;""),0.785*BB9*BB9*BB10/(BB25/1000)*60,"")</f>
        <v/>
      </c>
      <c r="BC52" s="435" t="str">
        <f aca="false">IF(AND(BC9&lt;&gt;"",BC10&lt;&gt;""),0.785*BC9*BC9*BC10/(BC25/1000)*60,"")</f>
        <v/>
      </c>
      <c r="BD52" s="435" t="str">
        <f aca="false">IF(AND(BD9&lt;&gt;"",BD10&lt;&gt;""),0.785*BD9*BD9*BD10/(BD25/1000)*60,"")</f>
        <v/>
      </c>
      <c r="BE52" s="435" t="str">
        <f aca="false">IF(AND(BE9&lt;&gt;"",BE10&lt;&gt;""),0.785*BE9*BE9*BE10/(BE25/1000)*60,"")</f>
        <v/>
      </c>
      <c r="BF52" s="435" t="str">
        <f aca="false">IF(AND(BF9&lt;&gt;"",BF10&lt;&gt;""),0.785*BF9*BF9*BF10/(BF25/1000)*60,"")</f>
        <v/>
      </c>
      <c r="BG52" s="435" t="str">
        <f aca="false">IF(AND(BG9&lt;&gt;"",BG10&lt;&gt;""),0.785*BG9*BG9*BG10/(BG25/1000)*60,"")</f>
        <v/>
      </c>
      <c r="BH52" s="435" t="str">
        <f aca="false">IF(AND(BH9&lt;&gt;"",BH10&lt;&gt;""),0.785*BH9*BH9*BH10/(BH25/1000)*60,"")</f>
        <v/>
      </c>
      <c r="BI52" s="435" t="str">
        <f aca="false">IF(AND(BI9&lt;&gt;"",BI10&lt;&gt;""),0.785*BI9*BI9*BI10/(BI25/1000)*60,"")</f>
        <v/>
      </c>
      <c r="BJ52" s="435" t="str">
        <f aca="false">IF(AND(BJ9&lt;&gt;"",BJ10&lt;&gt;""),0.785*BJ9*BJ9*BJ10/(BJ25/1000)*60,"")</f>
        <v/>
      </c>
      <c r="BK52" s="435" t="str">
        <f aca="false">IF(AND(BK9&lt;&gt;"",BK10&lt;&gt;""),0.785*BK9*BK9*BK10/(BK25/1000)*60,"")</f>
        <v/>
      </c>
      <c r="BL52" s="435" t="str">
        <f aca="false">IF(AND(BL9&lt;&gt;"",BL10&lt;&gt;""),0.785*BL9*BL9*BL10/(BL25/1000)*60,"")</f>
        <v/>
      </c>
      <c r="BM52" s="435" t="str">
        <f aca="false">IF(AND(BM9&lt;&gt;"",BM10&lt;&gt;""),0.785*BM9*BM9*BM10/(BM25/1000)*60,"")</f>
        <v/>
      </c>
      <c r="BN52" s="435" t="str">
        <f aca="false">IF(AND(BN9&lt;&gt;"",BN10&lt;&gt;""),0.785*BN9*BN9*BN10/(BN25/1000)*60,"")</f>
        <v/>
      </c>
      <c r="BO52" s="435" t="str">
        <f aca="false">IF(AND(BO9&lt;&gt;"",BO10&lt;&gt;""),0.785*BO9*BO9*BO10/(BO25/1000)*60,"")</f>
        <v/>
      </c>
      <c r="BP52" s="435" t="str">
        <f aca="false">IF(AND(BP9&lt;&gt;"",BP10&lt;&gt;""),0.785*BP9*BP9*BP10/(BP25/1000)*60,"")</f>
        <v/>
      </c>
      <c r="BQ52" s="435" t="str">
        <f aca="false">IF(AND(BQ9&lt;&gt;"",BQ10&lt;&gt;""),0.785*BQ9*BQ9*BQ10/(BQ25/1000)*60,"")</f>
        <v/>
      </c>
      <c r="BR52" s="435" t="str">
        <f aca="false">IF(AND(BR9&lt;&gt;"",BR10&lt;&gt;""),0.785*BR9*BR9*BR10/(BR25/1000)*60,"")</f>
        <v/>
      </c>
      <c r="BS52" s="435" t="str">
        <f aca="false">IF(AND(BS9&lt;&gt;"",BS10&lt;&gt;""),0.785*BS9*BS9*BS10/(BS25/1000)*60,"")</f>
        <v/>
      </c>
      <c r="BT52" s="435" t="str">
        <f aca="false">IF(AND(BT9&lt;&gt;"",BT10&lt;&gt;""),0.785*BT9*BT9*BT10/(BT25/1000)*60,"")</f>
        <v/>
      </c>
      <c r="BU52" s="435" t="str">
        <f aca="false">IF(AND(BU9&lt;&gt;"",BU10&lt;&gt;""),0.785*BU9*BU9*BU10/(BU25/1000)*60,"")</f>
        <v/>
      </c>
      <c r="BV52" s="435" t="str">
        <f aca="false">IF(AND(BV9&lt;&gt;"",BV10&lt;&gt;""),0.785*BV9*BV9*BV10/(BV25/1000)*60,"")</f>
        <v/>
      </c>
      <c r="BW52" s="435" t="str">
        <f aca="false">IF(AND(BW9&lt;&gt;"",BW10&lt;&gt;""),0.785*BW9*BW9*BW10/(BW25/1000)*60,"")</f>
        <v/>
      </c>
      <c r="BX52" s="435" t="str">
        <f aca="false">IF(AND(BX9&lt;&gt;"",BX10&lt;&gt;""),0.785*BX9*BX9*BX10/(BX25/1000)*60,"")</f>
        <v/>
      </c>
      <c r="BY52" s="435" t="str">
        <f aca="false">IF(AND(BY9&lt;&gt;"",BY10&lt;&gt;""),0.785*BY9*BY9*BY10/(BY25/1000)*60,"")</f>
        <v/>
      </c>
      <c r="BZ52" s="435" t="str">
        <f aca="false">IF(AND(BZ9&lt;&gt;"",BZ10&lt;&gt;""),0.785*BZ9*BZ9*BZ10/(BZ25/1000)*60,"")</f>
        <v/>
      </c>
      <c r="CA52" s="435" t="str">
        <f aca="false">IF(AND(CA9&lt;&gt;"",CA10&lt;&gt;""),0.785*CA9*CA9*CA10/(CA25/1000)*60,"")</f>
        <v/>
      </c>
      <c r="CB52" s="435" t="str">
        <f aca="false">IF(AND(CB9&lt;&gt;"",CB10&lt;&gt;""),0.785*CB9*CB9*CB10/(CB25/1000)*60,"")</f>
        <v/>
      </c>
      <c r="CC52" s="435" t="str">
        <f aca="false">IF(AND(CC9&lt;&gt;"",CC10&lt;&gt;""),0.785*CC9*CC9*CC10/(CC25/1000)*60,"")</f>
        <v/>
      </c>
      <c r="CD52" s="435" t="str">
        <f aca="false">IF(AND(CD9&lt;&gt;"",CD10&lt;&gt;""),0.785*CD9*CD9*CD10/(CD25/1000)*60,"")</f>
        <v/>
      </c>
      <c r="CE52" s="410"/>
    </row>
    <row r="53" s="391" customFormat="true" ht="15" hidden="false" customHeight="false" outlineLevel="0" collapsed="false">
      <c r="A53" s="388" t="s">
        <v>638</v>
      </c>
      <c r="B53" s="423" t="str">
        <f aca="false">IF(AND(B9&lt;&gt;"",B10&lt;&gt;""),3,"")</f>
        <v/>
      </c>
      <c r="C53" s="423" t="str">
        <f aca="false">IF(AND(C9&lt;&gt;"",C10&lt;&gt;""),3,"")</f>
        <v/>
      </c>
      <c r="D53" s="423" t="str">
        <f aca="false">IF(AND(D9&lt;&gt;"",D10&lt;&gt;""),3,"")</f>
        <v/>
      </c>
      <c r="E53" s="423" t="str">
        <f aca="false">IF(AND(E9&lt;&gt;"",E10&lt;&gt;""),3,"")</f>
        <v/>
      </c>
      <c r="F53" s="423" t="str">
        <f aca="false">IF(AND(F9&lt;&gt;"",F10&lt;&gt;""),3,"")</f>
        <v/>
      </c>
      <c r="G53" s="423" t="str">
        <f aca="false">IF(AND(G9&lt;&gt;"",G10&lt;&gt;""),3,"")</f>
        <v/>
      </c>
      <c r="H53" s="423" t="str">
        <f aca="false">IF(AND(H9&lt;&gt;"",H10&lt;&gt;""),3,"")</f>
        <v/>
      </c>
      <c r="I53" s="423" t="str">
        <f aca="false">IF(AND(I9&lt;&gt;"",I10&lt;&gt;""),3,"")</f>
        <v/>
      </c>
      <c r="J53" s="423" t="str">
        <f aca="false">IF(AND(J9&lt;&gt;"",J10&lt;&gt;""),3,"")</f>
        <v/>
      </c>
      <c r="K53" s="423" t="str">
        <f aca="false">IF(AND(K9&lt;&gt;"",K10&lt;&gt;""),3,"")</f>
        <v/>
      </c>
      <c r="L53" s="422" t="n">
        <f aca="false">IF(AND(L9&lt;&gt;"",L10&lt;&gt;""),3,"")</f>
        <v>3</v>
      </c>
      <c r="M53" s="422" t="n">
        <f aca="false">IF(AND(M9&lt;&gt;"",M10&lt;&gt;""),3,"")</f>
        <v>3</v>
      </c>
      <c r="N53" s="423" t="str">
        <f aca="false">IF(AND(N9&lt;&gt;"",N10&lt;&gt;""),3,"")</f>
        <v/>
      </c>
      <c r="O53" s="423" t="str">
        <f aca="false">IF(AND(O9&lt;&gt;"",O10&lt;&gt;""),3,"")</f>
        <v/>
      </c>
      <c r="P53" s="423"/>
      <c r="Q53" s="423" t="str">
        <f aca="false">IF(AND(Q9&lt;&gt;"",Q10&lt;&gt;""),3,"")</f>
        <v/>
      </c>
      <c r="R53" s="423" t="str">
        <f aca="false">IF(AND(R9&lt;&gt;"",R10&lt;&gt;""),3,"")</f>
        <v/>
      </c>
      <c r="S53" s="423" t="str">
        <f aca="false">IF(AND(S9&lt;&gt;"",S10&lt;&gt;""),3,"")</f>
        <v/>
      </c>
      <c r="T53" s="423" t="str">
        <f aca="false">IF(AND(T9&lt;&gt;"",T10&lt;&gt;""),3,"")</f>
        <v/>
      </c>
      <c r="U53" s="423" t="str">
        <f aca="false">IF(AND(U9&lt;&gt;"",U10&lt;&gt;""),3,"")</f>
        <v/>
      </c>
      <c r="V53" s="423" t="str">
        <f aca="false">IF(AND(V9&lt;&gt;"",V10&lt;&gt;""),3,"")</f>
        <v/>
      </c>
      <c r="W53" s="423" t="str">
        <f aca="false">IF(AND(W9&lt;&gt;"",W10&lt;&gt;""),3,"")</f>
        <v/>
      </c>
      <c r="X53" s="423" t="str">
        <f aca="false">IF(AND(X9&lt;&gt;"",X10&lt;&gt;""),3,"")</f>
        <v/>
      </c>
      <c r="Y53" s="423" t="str">
        <f aca="false">IF(AND(Y9&lt;&gt;"",Y10&lt;&gt;""),3,"")</f>
        <v/>
      </c>
      <c r="Z53" s="423" t="str">
        <f aca="false">IF(AND(Z9&lt;&gt;"",Z10&lt;&gt;""),3,"")</f>
        <v/>
      </c>
      <c r="AA53" s="423" t="str">
        <f aca="false">IF(AND(AA9&lt;&gt;"",AA10&lt;&gt;""),3,"")</f>
        <v/>
      </c>
      <c r="AB53" s="423" t="str">
        <f aca="false">IF(AND(AB9&lt;&gt;"",AB10&lt;&gt;""),3,"")</f>
        <v/>
      </c>
      <c r="AC53" s="423" t="str">
        <f aca="false">IF(AND(AC9&lt;&gt;"",AC10&lt;&gt;""),3,"")</f>
        <v/>
      </c>
      <c r="AD53" s="423" t="str">
        <f aca="false">IF(AND(AD9&lt;&gt;"",AD10&lt;&gt;""),3,"")</f>
        <v/>
      </c>
      <c r="AE53" s="423" t="str">
        <f aca="false">IF(AND(AE9&lt;&gt;"",AE10&lt;&gt;""),3,"")</f>
        <v/>
      </c>
      <c r="AF53" s="423" t="str">
        <f aca="false">IF(AND(AF9&lt;&gt;"",AF10&lt;&gt;""),3,"")</f>
        <v/>
      </c>
      <c r="AG53" s="423" t="str">
        <f aca="false">IF(AND(AG9&lt;&gt;"",AG10&lt;&gt;""),3,"")</f>
        <v/>
      </c>
      <c r="AH53" s="423" t="str">
        <f aca="false">IF(AND(AH9&lt;&gt;"",AH10&lt;&gt;""),3,"")</f>
        <v/>
      </c>
      <c r="AI53" s="423" t="str">
        <f aca="false">IF(AND(AI9&lt;&gt;"",AI10&lt;&gt;""),3,"")</f>
        <v/>
      </c>
      <c r="AJ53" s="423" t="str">
        <f aca="false">IF(AND(AJ9&lt;&gt;"",AJ10&lt;&gt;""),3,"")</f>
        <v/>
      </c>
      <c r="AK53" s="423" t="str">
        <f aca="false">IF(AND(AK9&lt;&gt;"",AK10&lt;&gt;""),3,"")</f>
        <v/>
      </c>
      <c r="AL53" s="423" t="str">
        <f aca="false">IF(AND(AL9&lt;&gt;"",AL10&lt;&gt;""),3,"")</f>
        <v/>
      </c>
      <c r="AM53" s="423" t="str">
        <f aca="false">IF(AND(AM9&lt;&gt;"",AM10&lt;&gt;""),3,"")</f>
        <v/>
      </c>
      <c r="AN53" s="423" t="str">
        <f aca="false">IF(AND(AN9&lt;&gt;"",AN10&lt;&gt;""),3,"")</f>
        <v/>
      </c>
      <c r="AO53" s="423" t="str">
        <f aca="false">IF(AND(AO9&lt;&gt;"",AO10&lt;&gt;""),3,"")</f>
        <v/>
      </c>
      <c r="AP53" s="423" t="str">
        <f aca="false">IF(AND(AP9&lt;&gt;"",AP10&lt;&gt;""),3,"")</f>
        <v/>
      </c>
      <c r="AQ53" s="423" t="str">
        <f aca="false">IF(AND(AQ9&lt;&gt;"",AQ10&lt;&gt;""),3,"")</f>
        <v/>
      </c>
      <c r="AR53" s="423" t="str">
        <f aca="false">IF(AND(AR9&lt;&gt;"",AR10&lt;&gt;""),3,"")</f>
        <v/>
      </c>
      <c r="AS53" s="423" t="str">
        <f aca="false">IF(AND(AS9&lt;&gt;"",AS10&lt;&gt;""),3,"")</f>
        <v/>
      </c>
      <c r="AT53" s="423" t="str">
        <f aca="false">IF(AND(AT9&lt;&gt;"",AT10&lt;&gt;""),3,"")</f>
        <v/>
      </c>
      <c r="AU53" s="423" t="str">
        <f aca="false">IF(AND(AU9&lt;&gt;"",AU10&lt;&gt;""),3,"")</f>
        <v/>
      </c>
      <c r="AV53" s="423" t="str">
        <f aca="false">IF(AND(AV9&lt;&gt;"",AV10&lt;&gt;""),3,"")</f>
        <v/>
      </c>
      <c r="AW53" s="423" t="str">
        <f aca="false">IF(AND(AW9&lt;&gt;"",AW10&lt;&gt;""),3,"")</f>
        <v/>
      </c>
      <c r="AX53" s="423" t="str">
        <f aca="false">IF(AND(AX9&lt;&gt;"",AX10&lt;&gt;""),3,"")</f>
        <v/>
      </c>
      <c r="AY53" s="423" t="str">
        <f aca="false">IF(AND(AY9&lt;&gt;"",AY10&lt;&gt;""),3,"")</f>
        <v/>
      </c>
      <c r="AZ53" s="423" t="str">
        <f aca="false">IF(AND(AZ9&lt;&gt;"",AZ10&lt;&gt;""),3,"")</f>
        <v/>
      </c>
      <c r="BA53" s="423" t="str">
        <f aca="false">IF(AND(BA9&lt;&gt;"",BA10&lt;&gt;""),3,"")</f>
        <v/>
      </c>
      <c r="BB53" s="423" t="str">
        <f aca="false">IF(AND(BB9&lt;&gt;"",BB10&lt;&gt;""),3,"")</f>
        <v/>
      </c>
      <c r="BC53" s="423" t="str">
        <f aca="false">IF(AND(BC9&lt;&gt;"",BC10&lt;&gt;""),3,"")</f>
        <v/>
      </c>
      <c r="BD53" s="423" t="str">
        <f aca="false">IF(AND(BD9&lt;&gt;"",BD10&lt;&gt;""),3,"")</f>
        <v/>
      </c>
      <c r="BE53" s="423" t="str">
        <f aca="false">IF(AND(BE9&lt;&gt;"",BE10&lt;&gt;""),3,"")</f>
        <v/>
      </c>
      <c r="BF53" s="423" t="str">
        <f aca="false">IF(AND(BF9&lt;&gt;"",BF10&lt;&gt;""),3,"")</f>
        <v/>
      </c>
      <c r="BG53" s="423" t="str">
        <f aca="false">IF(AND(BG9&lt;&gt;"",BG10&lt;&gt;""),3,"")</f>
        <v/>
      </c>
      <c r="BH53" s="423" t="str">
        <f aca="false">IF(AND(BH9&lt;&gt;"",BH10&lt;&gt;""),3,"")</f>
        <v/>
      </c>
      <c r="BI53" s="423" t="str">
        <f aca="false">IF(AND(BI9&lt;&gt;"",BI10&lt;&gt;""),3,"")</f>
        <v/>
      </c>
      <c r="BJ53" s="423" t="str">
        <f aca="false">IF(AND(BJ9&lt;&gt;"",BJ10&lt;&gt;""),3,"")</f>
        <v/>
      </c>
      <c r="BK53" s="423" t="str">
        <f aca="false">IF(AND(BK9&lt;&gt;"",BK10&lt;&gt;""),3,"")</f>
        <v/>
      </c>
      <c r="BL53" s="423" t="str">
        <f aca="false">IF(AND(BL9&lt;&gt;"",BL10&lt;&gt;""),3,"")</f>
        <v/>
      </c>
      <c r="BM53" s="423" t="str">
        <f aca="false">IF(AND(BM9&lt;&gt;"",BM10&lt;&gt;""),3,"")</f>
        <v/>
      </c>
      <c r="BN53" s="423" t="str">
        <f aca="false">IF(AND(BN9&lt;&gt;"",BN10&lt;&gt;""),3,"")</f>
        <v/>
      </c>
      <c r="BO53" s="423" t="str">
        <f aca="false">IF(AND(BO9&lt;&gt;"",BO10&lt;&gt;""),3,"")</f>
        <v/>
      </c>
      <c r="BP53" s="423" t="str">
        <f aca="false">IF(AND(BP9&lt;&gt;"",BP10&lt;&gt;""),3,"")</f>
        <v/>
      </c>
      <c r="BQ53" s="423" t="str">
        <f aca="false">IF(AND(BQ9&lt;&gt;"",BQ10&lt;&gt;""),3,"")</f>
        <v/>
      </c>
      <c r="BR53" s="423" t="str">
        <f aca="false">IF(AND(BR9&lt;&gt;"",BR10&lt;&gt;""),3,"")</f>
        <v/>
      </c>
      <c r="BS53" s="423" t="str">
        <f aca="false">IF(AND(BS9&lt;&gt;"",BS10&lt;&gt;""),3,"")</f>
        <v/>
      </c>
      <c r="BT53" s="423" t="str">
        <f aca="false">IF(AND(BT9&lt;&gt;"",BT10&lt;&gt;""),3,"")</f>
        <v/>
      </c>
      <c r="BU53" s="423" t="str">
        <f aca="false">IF(AND(BU9&lt;&gt;"",BU10&lt;&gt;""),3,"")</f>
        <v/>
      </c>
      <c r="BV53" s="423" t="str">
        <f aca="false">IF(AND(BV9&lt;&gt;"",BV10&lt;&gt;""),3,"")</f>
        <v/>
      </c>
      <c r="BW53" s="423" t="str">
        <f aca="false">IF(AND(BW9&lt;&gt;"",BW10&lt;&gt;""),3,"")</f>
        <v/>
      </c>
      <c r="BX53" s="423" t="str">
        <f aca="false">IF(AND(BX9&lt;&gt;"",BX10&lt;&gt;""),3,"")</f>
        <v/>
      </c>
      <c r="BY53" s="423" t="str">
        <f aca="false">IF(AND(BY9&lt;&gt;"",BY10&lt;&gt;""),3,"")</f>
        <v/>
      </c>
      <c r="BZ53" s="423" t="str">
        <f aca="false">IF(AND(BZ9&lt;&gt;"",BZ10&lt;&gt;""),3,"")</f>
        <v/>
      </c>
      <c r="CA53" s="423" t="str">
        <f aca="false">IF(AND(CA9&lt;&gt;"",CA10&lt;&gt;""),3,"")</f>
        <v/>
      </c>
      <c r="CB53" s="423" t="str">
        <f aca="false">IF(AND(CB9&lt;&gt;"",CB10&lt;&gt;""),3,"")</f>
        <v/>
      </c>
      <c r="CC53" s="423" t="str">
        <f aca="false">IF(AND(CC9&lt;&gt;"",CC10&lt;&gt;""),3,"")</f>
        <v/>
      </c>
      <c r="CD53" s="423" t="str">
        <f aca="false">IF(AND(CD9&lt;&gt;"",CD10&lt;&gt;""),3,"")</f>
        <v/>
      </c>
      <c r="CE53" s="390"/>
    </row>
    <row r="54" s="391" customFormat="true" ht="15" hidden="false" customHeight="false" outlineLevel="0" collapsed="false">
      <c r="A54" s="421" t="s">
        <v>639</v>
      </c>
      <c r="B54" s="424" t="str">
        <f aca="false">IF(OR(B9="",B10=""),"",IF(B53&lt;B52,"是","否"))</f>
        <v/>
      </c>
      <c r="C54" s="424" t="str">
        <f aca="false">IF(OR(C9="",C10=""),"",IF(C53&lt;C52,"是","否"))</f>
        <v/>
      </c>
      <c r="D54" s="424" t="str">
        <f aca="false">IF(OR(D9="",D10=""),"",IF(D53&lt;D52,"是","否"))</f>
        <v/>
      </c>
      <c r="E54" s="424" t="str">
        <f aca="false">IF(OR(E9="",E10=""),"",IF(E53&lt;E52,"是","否"))</f>
        <v/>
      </c>
      <c r="F54" s="424" t="str">
        <f aca="false">IF(OR(F9="",F10=""),"",IF(F53&lt;F52,"是","否"))</f>
        <v/>
      </c>
      <c r="G54" s="424" t="str">
        <f aca="false">IF(OR(G9="",G10=""),"",IF(G53&lt;G52,"是","否"))</f>
        <v/>
      </c>
      <c r="H54" s="424" t="str">
        <f aca="false">IF(OR(H9="",H10=""),"",IF(H53&lt;H52,"是","否"))</f>
        <v/>
      </c>
      <c r="I54" s="424" t="str">
        <f aca="false">IF(OR(I9="",I10=""),"",IF(I53&lt;I52,"是","否"))</f>
        <v/>
      </c>
      <c r="J54" s="424" t="str">
        <f aca="false">IF(OR(J9="",J10=""),"",IF(J53&lt;J52,"是","否"))</f>
        <v/>
      </c>
      <c r="K54" s="424" t="str">
        <f aca="false">IF(OR(K9="",K10=""),"",IF(K53&lt;K52,"是","否"))</f>
        <v/>
      </c>
      <c r="L54" s="425" t="str">
        <f aca="false">IF(OR(L9="",L10=""),"",IF(L53&lt;L52,"是","否"))</f>
        <v>是</v>
      </c>
      <c r="M54" s="425" t="str">
        <f aca="false">IF(OR(M9="",M10=""),"",IF(M53&lt;M52,"是","否"))</f>
        <v>是</v>
      </c>
      <c r="N54" s="424" t="str">
        <f aca="false">IF(OR(N9="",N10=""),"",IF(N53&lt;N52,"是","否"))</f>
        <v/>
      </c>
      <c r="O54" s="424" t="str">
        <f aca="false">IF(OR(O9="",O10=""),"",IF(O53&lt;O52,"是","否"))</f>
        <v/>
      </c>
      <c r="P54" s="424"/>
      <c r="Q54" s="424" t="str">
        <f aca="false">IF(OR(Q9="",Q10=""),"",IF(Q53&lt;Q52,"是","否"))</f>
        <v/>
      </c>
      <c r="R54" s="424" t="str">
        <f aca="false">IF(OR(R9="",R10=""),"",IF(R53&lt;R52,"是","否"))</f>
        <v/>
      </c>
      <c r="S54" s="424" t="str">
        <f aca="false">IF(OR(S9="",S10=""),"",IF(S53&lt;S52,"是","否"))</f>
        <v/>
      </c>
      <c r="T54" s="424" t="str">
        <f aca="false">IF(OR(T9="",T10=""),"",IF(T53&lt;T52,"是","否"))</f>
        <v/>
      </c>
      <c r="U54" s="424" t="str">
        <f aca="false">IF(OR(U9="",U10=""),"",IF(U53&lt;U52,"是","否"))</f>
        <v/>
      </c>
      <c r="V54" s="424" t="str">
        <f aca="false">IF(OR(V9="",V10=""),"",IF(V53&lt;V52,"是","否"))</f>
        <v/>
      </c>
      <c r="W54" s="424" t="str">
        <f aca="false">IF(OR(W9="",W10=""),"",IF(W53&lt;W52,"是","否"))</f>
        <v/>
      </c>
      <c r="X54" s="424" t="str">
        <f aca="false">IF(OR(X9="",X10=""),"",IF(X53&lt;X52,"是","否"))</f>
        <v/>
      </c>
      <c r="Y54" s="424" t="str">
        <f aca="false">IF(OR(Y9="",Y10=""),"",IF(Y53&lt;Y52,"是","否"))</f>
        <v/>
      </c>
      <c r="Z54" s="424" t="str">
        <f aca="false">IF(OR(Z9="",Z10=""),"",IF(Z53&lt;Z52,"是","否"))</f>
        <v/>
      </c>
      <c r="AA54" s="424" t="str">
        <f aca="false">IF(OR(AA9="",AA10=""),"",IF(AA53&lt;AA52,"是","否"))</f>
        <v/>
      </c>
      <c r="AB54" s="424" t="str">
        <f aca="false">IF(OR(AB9="",AB10=""),"",IF(AB53&lt;AB52,"是","否"))</f>
        <v/>
      </c>
      <c r="AC54" s="424" t="str">
        <f aca="false">IF(OR(AC9="",AC10=""),"",IF(AC53&lt;AC52,"是","否"))</f>
        <v/>
      </c>
      <c r="AD54" s="424" t="str">
        <f aca="false">IF(OR(AD9="",AD10=""),"",IF(AD53&lt;AD52,"是","否"))</f>
        <v/>
      </c>
      <c r="AE54" s="424" t="str">
        <f aca="false">IF(OR(AE9="",AE10=""),"",IF(AE53&lt;AE52,"是","否"))</f>
        <v/>
      </c>
      <c r="AF54" s="424" t="str">
        <f aca="false">IF(OR(AF9="",AF10=""),"",IF(AF53&lt;AF52,"是","否"))</f>
        <v/>
      </c>
      <c r="AG54" s="424" t="str">
        <f aca="false">IF(OR(AG9="",AG10=""),"",IF(AG53&lt;AG52,"是","否"))</f>
        <v/>
      </c>
      <c r="AH54" s="424" t="str">
        <f aca="false">IF(OR(AH9="",AH10=""),"",IF(AH53&lt;AH52,"是","否"))</f>
        <v/>
      </c>
      <c r="AI54" s="424" t="str">
        <f aca="false">IF(OR(AI9="",AI10=""),"",IF(AI53&lt;AI52,"是","否"))</f>
        <v/>
      </c>
      <c r="AJ54" s="424" t="str">
        <f aca="false">IF(OR(AJ9="",AJ10=""),"",IF(AJ53&lt;AJ52,"是","否"))</f>
        <v/>
      </c>
      <c r="AK54" s="424" t="str">
        <f aca="false">IF(OR(AK9="",AK10=""),"",IF(AK53&lt;AK52,"是","否"))</f>
        <v/>
      </c>
      <c r="AL54" s="424" t="str">
        <f aca="false">IF(OR(AL9="",AL10=""),"",IF(AL53&lt;AL52,"是","否"))</f>
        <v/>
      </c>
      <c r="AM54" s="424" t="str">
        <f aca="false">IF(OR(AM9="",AM10=""),"",IF(AM53&lt;AM52,"是","否"))</f>
        <v/>
      </c>
      <c r="AN54" s="424" t="str">
        <f aca="false">IF(OR(AN9="",AN10=""),"",IF(AN53&lt;AN52,"是","否"))</f>
        <v/>
      </c>
      <c r="AO54" s="424" t="str">
        <f aca="false">IF(OR(AO9="",AO10=""),"",IF(AO53&lt;AO52,"是","否"))</f>
        <v/>
      </c>
      <c r="AP54" s="424" t="str">
        <f aca="false">IF(OR(AP9="",AP10=""),"",IF(AP53&lt;AP52,"是","否"))</f>
        <v/>
      </c>
      <c r="AQ54" s="424" t="str">
        <f aca="false">IF(OR(AQ9="",AQ10=""),"",IF(AQ53&lt;AQ52,"是","否"))</f>
        <v/>
      </c>
      <c r="AR54" s="424" t="str">
        <f aca="false">IF(OR(AR9="",AR10=""),"",IF(AR53&lt;AR52,"是","否"))</f>
        <v/>
      </c>
      <c r="AS54" s="424" t="str">
        <f aca="false">IF(OR(AS9="",AS10=""),"",IF(AS53&lt;AS52,"是","否"))</f>
        <v/>
      </c>
      <c r="AT54" s="424" t="str">
        <f aca="false">IF(OR(AT9="",AT10=""),"",IF(AT53&lt;AT52,"是","否"))</f>
        <v/>
      </c>
      <c r="AU54" s="424" t="str">
        <f aca="false">IF(OR(AU9="",AU10=""),"",IF(AU53&lt;AU52,"是","否"))</f>
        <v/>
      </c>
      <c r="AV54" s="424" t="str">
        <f aca="false">IF(OR(AV9="",AV10=""),"",IF(AV53&lt;AV52,"是","否"))</f>
        <v/>
      </c>
      <c r="AW54" s="424" t="str">
        <f aca="false">IF(OR(AW9="",AW10=""),"",IF(AW53&lt;AW52,"是","否"))</f>
        <v/>
      </c>
      <c r="AX54" s="424" t="str">
        <f aca="false">IF(OR(AX9="",AX10=""),"",IF(AX53&lt;AX52,"是","否"))</f>
        <v/>
      </c>
      <c r="AY54" s="424" t="str">
        <f aca="false">IF(OR(AY9="",AY10=""),"",IF(AY53&lt;AY52,"是","否"))</f>
        <v/>
      </c>
      <c r="AZ54" s="424" t="str">
        <f aca="false">IF(OR(AZ9="",AZ10=""),"",IF(AZ53&lt;AZ52,"是","否"))</f>
        <v/>
      </c>
      <c r="BA54" s="424" t="str">
        <f aca="false">IF(OR(BA9="",BA10=""),"",IF(BA53&lt;BA52,"是","否"))</f>
        <v/>
      </c>
      <c r="BB54" s="424" t="str">
        <f aca="false">IF(OR(BB9="",BB10=""),"",IF(BB53&lt;BB52,"是","否"))</f>
        <v/>
      </c>
      <c r="BC54" s="424" t="str">
        <f aca="false">IF(OR(BC9="",BC10=""),"",IF(BC53&lt;BC52,"是","否"))</f>
        <v/>
      </c>
      <c r="BD54" s="424" t="str">
        <f aca="false">IF(OR(BD9="",BD10=""),"",IF(BD53&lt;BD52,"是","否"))</f>
        <v/>
      </c>
      <c r="BE54" s="424" t="str">
        <f aca="false">IF(OR(BE9="",BE10=""),"",IF(BE53&lt;BE52,"是","否"))</f>
        <v/>
      </c>
      <c r="BF54" s="424" t="str">
        <f aca="false">IF(OR(BF9="",BF10=""),"",IF(BF53&lt;BF52,"是","否"))</f>
        <v/>
      </c>
      <c r="BG54" s="424" t="str">
        <f aca="false">IF(OR(BG9="",BG10=""),"",IF(BG53&lt;BG52,"是","否"))</f>
        <v/>
      </c>
      <c r="BH54" s="424" t="str">
        <f aca="false">IF(OR(BH9="",BH10=""),"",IF(BH53&lt;BH52,"是","否"))</f>
        <v/>
      </c>
      <c r="BI54" s="424" t="str">
        <f aca="false">IF(OR(BI9="",BI10=""),"",IF(BI53&lt;BI52,"是","否"))</f>
        <v/>
      </c>
      <c r="BJ54" s="424" t="str">
        <f aca="false">IF(OR(BJ9="",BJ10=""),"",IF(BJ53&lt;BJ52,"是","否"))</f>
        <v/>
      </c>
      <c r="BK54" s="424" t="str">
        <f aca="false">IF(OR(BK9="",BK10=""),"",IF(BK53&lt;BK52,"是","否"))</f>
        <v/>
      </c>
      <c r="BL54" s="424" t="str">
        <f aca="false">IF(OR(BL9="",BL10=""),"",IF(BL53&lt;BL52,"是","否"))</f>
        <v/>
      </c>
      <c r="BM54" s="424" t="str">
        <f aca="false">IF(OR(BM9="",BM10=""),"",IF(BM53&lt;BM52,"是","否"))</f>
        <v/>
      </c>
      <c r="BN54" s="424" t="str">
        <f aca="false">IF(OR(BN9="",BN10=""),"",IF(BN53&lt;BN52,"是","否"))</f>
        <v/>
      </c>
      <c r="BO54" s="424" t="str">
        <f aca="false">IF(OR(BO9="",BO10=""),"",IF(BO53&lt;BO52,"是","否"))</f>
        <v/>
      </c>
      <c r="BP54" s="424" t="str">
        <f aca="false">IF(OR(BP9="",BP10=""),"",IF(BP53&lt;BP52,"是","否"))</f>
        <v/>
      </c>
      <c r="BQ54" s="424" t="str">
        <f aca="false">IF(OR(BQ9="",BQ10=""),"",IF(BQ53&lt;BQ52,"是","否"))</f>
        <v/>
      </c>
      <c r="BR54" s="424" t="str">
        <f aca="false">IF(OR(BR9="",BR10=""),"",IF(BR53&lt;BR52,"是","否"))</f>
        <v/>
      </c>
      <c r="BS54" s="424" t="str">
        <f aca="false">IF(OR(BS9="",BS10=""),"",IF(BS53&lt;BS52,"是","否"))</f>
        <v/>
      </c>
      <c r="BT54" s="424" t="str">
        <f aca="false">IF(OR(BT9="",BT10=""),"",IF(BT53&lt;BT52,"是","否"))</f>
        <v/>
      </c>
      <c r="BU54" s="424" t="str">
        <f aca="false">IF(OR(BU9="",BU10=""),"",IF(BU53&lt;BU52,"是","否"))</f>
        <v/>
      </c>
      <c r="BV54" s="424" t="str">
        <f aca="false">IF(OR(BV9="",BV10=""),"",IF(BV53&lt;BV52,"是","否"))</f>
        <v/>
      </c>
      <c r="BW54" s="424" t="str">
        <f aca="false">IF(OR(BW9="",BW10=""),"",IF(BW53&lt;BW52,"是","否"))</f>
        <v/>
      </c>
      <c r="BX54" s="424" t="str">
        <f aca="false">IF(OR(BX9="",BX10=""),"",IF(BX53&lt;BX52,"是","否"))</f>
        <v/>
      </c>
      <c r="BY54" s="424" t="str">
        <f aca="false">IF(OR(BY9="",BY10=""),"",IF(BY53&lt;BY52,"是","否"))</f>
        <v/>
      </c>
      <c r="BZ54" s="424" t="str">
        <f aca="false">IF(OR(BZ9="",BZ10=""),"",IF(BZ53&lt;BZ52,"是","否"))</f>
        <v/>
      </c>
      <c r="CA54" s="424" t="str">
        <f aca="false">IF(OR(CA9="",CA10=""),"",IF(CA53&lt;CA52,"是","否"))</f>
        <v/>
      </c>
      <c r="CB54" s="424" t="str">
        <f aca="false">IF(OR(CB9="",CB10=""),"",IF(CB53&lt;CB52,"是","否"))</f>
        <v/>
      </c>
      <c r="CC54" s="424" t="str">
        <f aca="false">IF(OR(CC9="",CC10=""),"",IF(CC53&lt;CC52,"是","否"))</f>
        <v/>
      </c>
      <c r="CD54" s="424" t="str">
        <f aca="false">IF(OR(CD9="",CD10=""),"",IF(CD53&lt;CD52,"是","否"))</f>
        <v/>
      </c>
      <c r="CE54" s="390"/>
    </row>
    <row r="55" s="391" customFormat="true" ht="15" hidden="false" customHeight="false" outlineLevel="0" collapsed="false">
      <c r="A55" s="437" t="s">
        <v>629</v>
      </c>
      <c r="B55" s="438" t="str">
        <f aca="false">IF(B2&lt;&gt;"",IF(AND(B3="汽液分离罐",B36&lt;B41),"警告,结构系数可能需要修改！",IF(OR(B39="否",B46="否",B51="否",B54="否"),"警告,可能需要修改！","核算通过")),"")</f>
        <v>核算通过</v>
      </c>
      <c r="C55" s="438" t="str">
        <f aca="false">IF(C2&lt;&gt;"",IF(AND(C3="汽液分离罐",C36&lt;C41),"警告,结构系数可能需要修改！",IF(OR(C39="否",C46="否",C51="否",C54="否"),"警告,可能需要修改！","核算通过")),"")</f>
        <v>核算通过</v>
      </c>
      <c r="D55" s="438" t="str">
        <f aca="false">IF(D2&lt;&gt;"",IF(AND(D3="汽液分离罐",D36&lt;D41),"警告,结构系数可能需要修改！",IF(OR(D39="否",D46="否",D51="否",D54="否"),"警告,可能需要修改！","核算通过")),"")</f>
        <v>核算通过</v>
      </c>
      <c r="E55" s="438" t="str">
        <f aca="false">IF(E2&lt;&gt;"",IF(AND(E3="汽液分离罐",E36&lt;E41),"警告,结构系数可能需要修改！",IF(OR(E39="否",E46="否",E51="否",E54="否"),"警告,可能需要修改！","核算通过")),"")</f>
        <v>核算通过</v>
      </c>
      <c r="F55" s="438" t="str">
        <f aca="false">IF(F2&lt;&gt;"",IF(AND(F3="汽液分离罐",F36&lt;F41),"警告,结构系数可能需要修改！",IF(OR(F39="否",F46="否",F51="否",F54="否"),"警告,可能需要修改！","核算通过")),"")</f>
        <v>核算通过</v>
      </c>
      <c r="G55" s="438" t="str">
        <f aca="false">IF(G2&lt;&gt;"",IF(AND(G3="汽液分离罐",G36&lt;G41),"警告,结构系数可能需要修改！",IF(OR(G39="否",G46="否",G51="否",G54="否"),"警告,可能需要修改！","核算通过")),"")</f>
        <v>核算通过</v>
      </c>
      <c r="H55" s="438" t="str">
        <f aca="false">IF(H2&lt;&gt;"",IF(AND(H3="汽液分离罐",H36&lt;H41),"警告,结构系数可能需要修改！",IF(OR(H39="否",H46="否",H51="否",H54="否"),"警告,可能需要修改！","核算通过")),"")</f>
        <v>核算通过</v>
      </c>
      <c r="I55" s="438" t="str">
        <f aca="false">IF(I2&lt;&gt;"",IF(AND(I3="汽液分离罐",I36&lt;I41),"警告,结构系数可能需要修改！",IF(OR(I39="否",I46="否",I51="否",I54="否"),"警告,可能需要修改！","核算通过")),"")</f>
        <v>核算通过</v>
      </c>
      <c r="J55" s="438" t="str">
        <f aca="false">IF(J2&lt;&gt;"",IF(AND(J3="汽液分离罐",J36&lt;J41),"警告,结构系数可能需要修改！",IF(OR(J39="否",J46="否",J51="否",J54="否"),"警告,可能需要修改！","核算通过")),"")</f>
        <v>核算通过</v>
      </c>
      <c r="K55" s="438" t="str">
        <f aca="false">IF(K2&lt;&gt;"",IF(AND(K3="汽液分离罐",K36&lt;K41),"警告,结构系数可能需要修改！",IF(OR(K39="否",K46="否",K51="否",K54="否"),"警告,可能需要修改！","核算通过")),"")</f>
        <v>核算通过</v>
      </c>
      <c r="L55" s="438" t="str">
        <f aca="false">IF(L2&lt;&gt;"",IF(AND(L3="汽液分离罐",L36&lt;L41),"警告,结构系数可能需要修改！",IF(OR(L39="否",L46="否",L51="否",L54="否"),"警告,可能需要修改！","核算通过")),"")</f>
        <v>核算通过</v>
      </c>
      <c r="M55" s="438" t="str">
        <f aca="false">IF(M2&lt;&gt;"",IF(AND(M3="汽液分离罐",M36&lt;M41),"警告,结构系数可能需要修改！",IF(OR(M39="否",M46="否",M51="否",M54="否"),"警告,可能需要修改！","核算通过")),"")</f>
        <v>核算通过</v>
      </c>
      <c r="N55" s="438" t="str">
        <f aca="false">IF(N2&lt;&gt;"",IF(AND(N3="汽液分离罐",N36&lt;N41),"警告,结构系数可能需要修改！",IF(OR(N39="否",N46="否",N51="否",N54="否"),"警告,可能需要修改！","核算通过")),"")</f>
        <v>核算通过</v>
      </c>
      <c r="O55" s="438" t="str">
        <f aca="false">IF(O2&lt;&gt;"",IF(AND(O3="汽液分离罐",O36&lt;O41),"警告,结构系数可能需要修改！",IF(OR(O39="否",O46="否",O51="否",O54="否"),"警告,可能需要修改！","核算通过")),"")</f>
        <v>核算通过</v>
      </c>
      <c r="P55" s="438" t="str">
        <f aca="false">IF(P2&lt;&gt;"",IF(AND(P3="汽液分离罐",P36&lt;P41),"警告,结构系数可能需要修改！",IF(OR(P39="否",P46="否",P51="否",P54="否"),"警告,可能需要修改！","核算通过")),"")</f>
        <v>核算通过</v>
      </c>
      <c r="Q55" s="438" t="str">
        <f aca="false">IF(Q2&lt;&gt;"",IF(AND(Q3="汽液分离罐",Q36&lt;Q41),"警告,结构系数可能需要修改！",IF(OR(Q39="否",Q46="否",Q51="否",Q54="否"),"警告,可能需要修改！","核算通过")),"")</f>
        <v>核算通过</v>
      </c>
      <c r="R55" s="438" t="str">
        <f aca="false">IF(R2&lt;&gt;"",IF(AND(R3="汽液分离罐",R36&lt;R41),"警告,结构系数可能需要修改！",IF(OR(R39="否",R46="否",R51="否",R54="否"),"警告,可能需要修改！","核算通过")),"")</f>
        <v>核算通过</v>
      </c>
      <c r="S55" s="438" t="str">
        <f aca="false">IF(S2&lt;&gt;"",IF(AND(S3="汽液分离罐",S36&lt;S41),"警告,结构系数可能需要修改！",IF(OR(S39="否",S46="否",S51="否",S54="否"),"警告,可能需要修改！","核算通过")),"")</f>
        <v>核算通过</v>
      </c>
      <c r="T55" s="438" t="str">
        <f aca="false">IF(T2&lt;&gt;"",IF(AND(T3="汽液分离罐",T36&lt;T41),"警告,结构系数可能需要修改！",IF(OR(T39="否",T46="否",T51="否",T54="否"),"警告,可能需要修改！","核算通过")),"")</f>
        <v>核算通过</v>
      </c>
      <c r="U55" s="438" t="str">
        <f aca="false">IF(U2&lt;&gt;"",IF(AND(U3="汽液分离罐",U36&lt;U41),"警告,结构系数可能需要修改！",IF(OR(U39="否",U46="否",U51="否",U54="否"),"警告,可能需要修改！","核算通过")),"")</f>
        <v>核算通过</v>
      </c>
      <c r="V55" s="438" t="str">
        <f aca="false">IF(V2&lt;&gt;"",IF(AND(V3="汽液分离罐",V36&lt;V41),"警告,结构系数可能需要修改！",IF(OR(V39="否",V46="否",V51="否",V54="否"),"警告,可能需要修改！","核算通过")),"")</f>
        <v>核算通过</v>
      </c>
      <c r="W55" s="438" t="str">
        <f aca="false">IF(W2&lt;&gt;"",IF(AND(W3="汽液分离罐",W36&lt;W41),"警告,结构系数可能需要修改！",IF(OR(W39="否",W46="否",W51="否",W54="否"),"警告,可能需要修改！","核算通过")),"")</f>
        <v>核算通过</v>
      </c>
      <c r="X55" s="438" t="str">
        <f aca="false">IF(X2&lt;&gt;"",IF(AND(X3="汽液分离罐",X36&lt;X41),"警告,结构系数可能需要修改！",IF(OR(X39="否",X46="否",X51="否",X54="否"),"警告,可能需要修改！","核算通过")),"")</f>
        <v>核算通过</v>
      </c>
      <c r="Y55" s="438" t="str">
        <f aca="false">IF(Y2&lt;&gt;"",IF(AND(Y3="汽液分离罐",Y36&lt;Y41),"警告,结构系数可能需要修改！",IF(OR(Y39="否",Y46="否",Y51="否",Y54="否"),"警告,可能需要修改！","核算通过")),"")</f>
        <v>警告,可能需要修改！</v>
      </c>
      <c r="Z55" s="438" t="str">
        <f aca="false">IF(Z2&lt;&gt;"",IF(AND(Z3="汽液分离罐",Z36&lt;Z41),"警告,结构系数可能需要修改！",IF(OR(Z39="否",Z46="否",Z51="否",Z54="否"),"警告,可能需要修改！","核算通过")),"")</f>
        <v>警告,可能需要修改！</v>
      </c>
      <c r="AA55" s="438" t="str">
        <f aca="false">IF(AA2&lt;&gt;"",IF(AND(AA3="汽液分离罐",AA36&lt;AA41),"警告,结构系数可能需要修改！",IF(OR(AA39="否",AA46="否",AA51="否",AA54="否"),"警告,可能需要修改！","核算通过")),"")</f>
        <v/>
      </c>
      <c r="AB55" s="438" t="str">
        <f aca="false">IF(AB2&lt;&gt;"",IF(AND(AB3="汽液分离罐",AB36&lt;AB41),"警告,结构系数可能需要修改！",IF(OR(AB39="否",AB46="否",AB51="否",AB54="否"),"警告,可能需要修改！","核算通过")),"")</f>
        <v/>
      </c>
      <c r="AC55" s="438" t="str">
        <f aca="false">IF(AC2&lt;&gt;"",IF(AND(AC3="汽液分离罐",AC36&lt;AC41),"警告,结构系数可能需要修改！",IF(OR(AC39="否",AC46="否",AC51="否",AC54="否"),"警告,可能需要修改！","核算通过")),"")</f>
        <v/>
      </c>
      <c r="AD55" s="438" t="str">
        <f aca="false">IF(AD2&lt;&gt;"",IF(AND(AD3="汽液分离罐",AD36&lt;AD41),"警告,结构系数可能需要修改！",IF(OR(AD39="否",AD46="否",AD51="否",AD54="否"),"警告,可能需要修改！","核算通过")),"")</f>
        <v/>
      </c>
      <c r="AE55" s="438" t="str">
        <f aca="false">IF(AE2&lt;&gt;"",IF(AND(AE3="汽液分离罐",AE36&lt;AE41),"警告,结构系数可能需要修改！",IF(OR(AE39="否",AE46="否",AE51="否",AE54="否"),"警告,可能需要修改！","核算通过")),"")</f>
        <v/>
      </c>
      <c r="AF55" s="438" t="str">
        <f aca="false">IF(AF2&lt;&gt;"",IF(AND(AF3="汽液分离罐",AF36&lt;AF41),"警告,结构系数可能需要修改！",IF(OR(AF39="否",AF46="否",AF51="否",AF54="否"),"警告,可能需要修改！","核算通过")),"")</f>
        <v/>
      </c>
      <c r="AG55" s="438" t="str">
        <f aca="false">IF(AG2&lt;&gt;"",IF(AND(AG3="汽液分离罐",AG36&lt;AG41),"警告,结构系数可能需要修改！",IF(OR(AG39="否",AG46="否",AG51="否",AG54="否"),"警告,可能需要修改！","核算通过")),"")</f>
        <v/>
      </c>
      <c r="AH55" s="438" t="str">
        <f aca="false">IF(AH2&lt;&gt;"",IF(AND(AH3="汽液分离罐",AH36&lt;AH41),"警告,结构系数可能需要修改！",IF(OR(AH39="否",AH46="否",AH51="否",AH54="否"),"警告,可能需要修改！","核算通过")),"")</f>
        <v/>
      </c>
      <c r="AI55" s="438" t="str">
        <f aca="false">IF(AI2&lt;&gt;"",IF(AND(AI3="汽液分离罐",AI36&lt;AI41),"警告,结构系数可能需要修改！",IF(OR(AI39="否",AI46="否",AI51="否",AI54="否"),"警告,可能需要修改！","核算通过")),"")</f>
        <v/>
      </c>
      <c r="AJ55" s="438" t="str">
        <f aca="false">IF(AJ2&lt;&gt;"",IF(AND(AJ3="汽液分离罐",AJ36&lt;AJ41),"警告,结构系数可能需要修改！",IF(OR(AJ39="否",AJ46="否",AJ51="否",AJ54="否"),"警告,可能需要修改！","核算通过")),"")</f>
        <v/>
      </c>
      <c r="AK55" s="438" t="str">
        <f aca="false">IF(AK2&lt;&gt;"",IF(AND(AK3="汽液分离罐",AK36&lt;AK41),"警告,结构系数可能需要修改！",IF(OR(AK39="否",AK46="否",AK51="否",AK54="否"),"警告,可能需要修改！","核算通过")),"")</f>
        <v/>
      </c>
      <c r="AL55" s="438" t="str">
        <f aca="false">IF(AL2&lt;&gt;"",IF(AND(AL3="汽液分离罐",AL36&lt;AL41),"警告,结构系数可能需要修改！",IF(OR(AL39="否",AL46="否",AL51="否",AL54="否"),"警告,可能需要修改！","核算通过")),"")</f>
        <v/>
      </c>
      <c r="AM55" s="438" t="str">
        <f aca="false">IF(AM2&lt;&gt;"",IF(AND(AM3="汽液分离罐",AM36&lt;AM41),"警告,结构系数可能需要修改！",IF(OR(AM39="否",AM46="否",AM51="否",AM54="否"),"警告,可能需要修改！","核算通过")),"")</f>
        <v/>
      </c>
      <c r="AN55" s="438" t="str">
        <f aca="false">IF(AN2&lt;&gt;"",IF(AND(AN3="汽液分离罐",AN36&lt;AN41),"警告,结构系数可能需要修改！",IF(OR(AN39="否",AN46="否",AN51="否",AN54="否"),"警告,可能需要修改！","核算通过")),"")</f>
        <v/>
      </c>
      <c r="AO55" s="438" t="str">
        <f aca="false">IF(AO2&lt;&gt;"",IF(AND(AO3="汽液分离罐",AO36&lt;AO41),"警告,结构系数可能需要修改！",IF(OR(AO39="否",AO46="否",AO51="否",AO54="否"),"警告,可能需要修改！","核算通过")),"")</f>
        <v/>
      </c>
      <c r="AP55" s="438" t="str">
        <f aca="false">IF(AP2&lt;&gt;"",IF(AND(AP3="汽液分离罐",AP36&lt;AP41),"警告,结构系数可能需要修改！",IF(OR(AP39="否",AP46="否",AP51="否",AP54="否"),"警告,可能需要修改！","核算通过")),"")</f>
        <v/>
      </c>
      <c r="AQ55" s="438" t="str">
        <f aca="false">IF(AQ2&lt;&gt;"",IF(AND(AQ3="汽液分离罐",AQ36&lt;AQ41),"警告,结构系数可能需要修改！",IF(OR(AQ39="否",AQ46="否",AQ51="否",AQ54="否"),"警告,可能需要修改！","核算通过")),"")</f>
        <v/>
      </c>
      <c r="AR55" s="438" t="str">
        <f aca="false">IF(AR2&lt;&gt;"",IF(AND(AR3="汽液分离罐",AR36&lt;AR41),"警告,结构系数可能需要修改！",IF(OR(AR39="否",AR46="否",AR51="否",AR54="否"),"警告,可能需要修改！","核算通过")),"")</f>
        <v/>
      </c>
      <c r="AS55" s="438" t="str">
        <f aca="false">IF(AS2&lt;&gt;"",IF(AND(AS3="汽液分离罐",AS36&lt;AS41),"警告,结构系数可能需要修改！",IF(OR(AS39="否",AS46="否",AS51="否",AS54="否"),"警告,可能需要修改！","核算通过")),"")</f>
        <v/>
      </c>
      <c r="AT55" s="438" t="str">
        <f aca="false">IF(AT2&lt;&gt;"",IF(AND(AT3="汽液分离罐",AT36&lt;AT41),"警告,结构系数可能需要修改！",IF(OR(AT39="否",AT46="否",AT51="否",AT54="否"),"警告,可能需要修改！","核算通过")),"")</f>
        <v/>
      </c>
      <c r="AU55" s="438" t="str">
        <f aca="false">IF(AU2&lt;&gt;"",IF(AND(AU3="汽液分离罐",AU36&lt;AU41),"警告,结构系数可能需要修改！",IF(OR(AU39="否",AU46="否",AU51="否",AU54="否"),"警告,可能需要修改！","核算通过")),"")</f>
        <v/>
      </c>
      <c r="AV55" s="438" t="str">
        <f aca="false">IF(AV2&lt;&gt;"",IF(AND(AV3="汽液分离罐",AV36&lt;AV41),"警告,结构系数可能需要修改！",IF(OR(AV39="否",AV46="否",AV51="否",AV54="否"),"警告,可能需要修改！","核算通过")),"")</f>
        <v/>
      </c>
      <c r="AW55" s="438" t="str">
        <f aca="false">IF(AW2&lt;&gt;"",IF(AND(AW3="汽液分离罐",AW36&lt;AW41),"警告,结构系数可能需要修改！",IF(OR(AW39="否",AW46="否",AW51="否",AW54="否"),"警告,可能需要修改！","核算通过")),"")</f>
        <v/>
      </c>
      <c r="AX55" s="438" t="str">
        <f aca="false">IF(AX2&lt;&gt;"",IF(AND(AX3="汽液分离罐",AX36&lt;AX41),"警告,结构系数可能需要修改！",IF(OR(AX39="否",AX46="否",AX51="否",AX54="否"),"警告,可能需要修改！","核算通过")),"")</f>
        <v/>
      </c>
      <c r="AY55" s="438" t="str">
        <f aca="false">IF(AY2&lt;&gt;"",IF(AND(AY3="汽液分离罐",AY36&lt;AY41),"警告,结构系数可能需要修改！",IF(OR(AY39="否",AY46="否",AY51="否",AY54="否"),"警告,可能需要修改！","核算通过")),"")</f>
        <v/>
      </c>
      <c r="AZ55" s="438" t="str">
        <f aca="false">IF(AZ2&lt;&gt;"",IF(AND(AZ3="汽液分离罐",AZ36&lt;AZ41),"警告,结构系数可能需要修改！",IF(OR(AZ39="否",AZ46="否",AZ51="否",AZ54="否"),"警告,可能需要修改！","核算通过")),"")</f>
        <v/>
      </c>
      <c r="BA55" s="438" t="str">
        <f aca="false">IF(BA2&lt;&gt;"",IF(AND(BA3="汽液分离罐",BA36&lt;BA41),"警告,结构系数可能需要修改！",IF(OR(BA39="否",BA46="否",BA51="否",BA54="否"),"警告,可能需要修改！","核算通过")),"")</f>
        <v/>
      </c>
      <c r="BB55" s="438" t="str">
        <f aca="false">IF(BB2&lt;&gt;"",IF(AND(BB3="汽液分离罐",BB36&lt;BB41),"警告,结构系数可能需要修改！",IF(OR(BB39="否",BB46="否",BB51="否",BB54="否"),"警告,可能需要修改！","核算通过")),"")</f>
        <v/>
      </c>
      <c r="BC55" s="438" t="str">
        <f aca="false">IF(BC2&lt;&gt;"",IF(AND(BC3="汽液分离罐",BC36&lt;BC41),"警告,结构系数可能需要修改！",IF(OR(BC39="否",BC46="否",BC51="否",BC54="否"),"警告,可能需要修改！","核算通过")),"")</f>
        <v/>
      </c>
      <c r="BD55" s="438" t="str">
        <f aca="false">IF(BD2&lt;&gt;"",IF(AND(BD3="汽液分离罐",BD36&lt;BD41),"警告,结构系数可能需要修改！",IF(OR(BD39="否",BD46="否",BD51="否",BD54="否"),"警告,可能需要修改！","核算通过")),"")</f>
        <v/>
      </c>
      <c r="BE55" s="438" t="str">
        <f aca="false">IF(BE2&lt;&gt;"",IF(AND(BE3="汽液分离罐",BE36&lt;BE41),"警告,结构系数可能需要修改！",IF(OR(BE39="否",BE46="否",BE51="否",BE54="否"),"警告,可能需要修改！","核算通过")),"")</f>
        <v/>
      </c>
      <c r="BF55" s="438" t="str">
        <f aca="false">IF(BF2&lt;&gt;"",IF(AND(BF3="汽液分离罐",BF36&lt;BF41),"警告,结构系数可能需要修改！",IF(OR(BF39="否",BF46="否",BF51="否",BF54="否"),"警告,可能需要修改！","核算通过")),"")</f>
        <v/>
      </c>
      <c r="BG55" s="438" t="str">
        <f aca="false">IF(BG2&lt;&gt;"",IF(AND(BG3="汽液分离罐",BG36&lt;BG41),"警告,结构系数可能需要修改！",IF(OR(BG39="否",BG46="否",BG51="否",BG54="否"),"警告,可能需要修改！","核算通过")),"")</f>
        <v/>
      </c>
      <c r="BH55" s="438" t="str">
        <f aca="false">IF(BH2&lt;&gt;"",IF(AND(BH3="汽液分离罐",BH36&lt;BH41),"警告,结构系数可能需要修改！",IF(OR(BH39="否",BH46="否",BH51="否",BH54="否"),"警告,可能需要修改！","核算通过")),"")</f>
        <v/>
      </c>
      <c r="BI55" s="438" t="str">
        <f aca="false">IF(BI2&lt;&gt;"",IF(AND(BI3="汽液分离罐",BI36&lt;BI41),"警告,结构系数可能需要修改！",IF(OR(BI39="否",BI46="否",BI51="否",BI54="否"),"警告,可能需要修改！","核算通过")),"")</f>
        <v/>
      </c>
      <c r="BJ55" s="438" t="str">
        <f aca="false">IF(BJ2&lt;&gt;"",IF(AND(BJ3="汽液分离罐",BJ36&lt;BJ41),"警告,结构系数可能需要修改！",IF(OR(BJ39="否",BJ46="否",BJ51="否",BJ54="否"),"警告,可能需要修改！","核算通过")),"")</f>
        <v/>
      </c>
      <c r="BK55" s="438" t="str">
        <f aca="false">IF(BK2&lt;&gt;"",IF(AND(BK3="汽液分离罐",BK36&lt;BK41),"警告,结构系数可能需要修改！",IF(OR(BK39="否",BK46="否",BK51="否",BK54="否"),"警告,可能需要修改！","核算通过")),"")</f>
        <v/>
      </c>
      <c r="BL55" s="438" t="str">
        <f aca="false">IF(BL2&lt;&gt;"",IF(AND(BL3="汽液分离罐",BL36&lt;BL41),"警告,结构系数可能需要修改！",IF(OR(BL39="否",BL46="否",BL51="否",BL54="否"),"警告,可能需要修改！","核算通过")),"")</f>
        <v/>
      </c>
      <c r="BM55" s="438" t="str">
        <f aca="false">IF(BM2&lt;&gt;"",IF(AND(BM3="汽液分离罐",BM36&lt;BM41),"警告,结构系数可能需要修改！",IF(OR(BM39="否",BM46="否",BM51="否",BM54="否"),"警告,可能需要修改！","核算通过")),"")</f>
        <v/>
      </c>
      <c r="BN55" s="438" t="str">
        <f aca="false">IF(BN2&lt;&gt;"",IF(AND(BN3="汽液分离罐",BN36&lt;BN41),"警告,结构系数可能需要修改！",IF(OR(BN39="否",BN46="否",BN51="否",BN54="否"),"警告,可能需要修改！","核算通过")),"")</f>
        <v/>
      </c>
      <c r="BO55" s="438" t="str">
        <f aca="false">IF(BO2&lt;&gt;"",IF(AND(BO3="汽液分离罐",BO36&lt;BO41),"警告,结构系数可能需要修改！",IF(OR(BO39="否",BO46="否",BO51="否",BO54="否"),"警告,可能需要修改！","核算通过")),"")</f>
        <v/>
      </c>
      <c r="BP55" s="438" t="str">
        <f aca="false">IF(BP2&lt;&gt;"",IF(AND(BP3="汽液分离罐",BP36&lt;BP41),"警告,结构系数可能需要修改！",IF(OR(BP39="否",BP46="否",BP51="否",BP54="否"),"警告,可能需要修改！","核算通过")),"")</f>
        <v/>
      </c>
      <c r="BQ55" s="438" t="str">
        <f aca="false">IF(BQ2&lt;&gt;"",IF(AND(BQ3="汽液分离罐",BQ36&lt;BQ41),"警告,结构系数可能需要修改！",IF(OR(BQ39="否",BQ46="否",BQ51="否",BQ54="否"),"警告,可能需要修改！","核算通过")),"")</f>
        <v/>
      </c>
      <c r="BR55" s="438" t="str">
        <f aca="false">IF(BR2&lt;&gt;"",IF(AND(BR3="汽液分离罐",BR36&lt;BR41),"警告,结构系数可能需要修改！",IF(OR(BR39="否",BR46="否",BR51="否",BR54="否"),"警告,可能需要修改！","核算通过")),"")</f>
        <v/>
      </c>
      <c r="BS55" s="438" t="str">
        <f aca="false">IF(BS2&lt;&gt;"",IF(AND(BS3="汽液分离罐",BS36&lt;BS41),"警告,结构系数可能需要修改！",IF(OR(BS39="否",BS46="否",BS51="否",BS54="否"),"警告,可能需要修改！","核算通过")),"")</f>
        <v/>
      </c>
      <c r="BT55" s="438" t="str">
        <f aca="false">IF(BT2&lt;&gt;"",IF(AND(BT3="汽液分离罐",BT36&lt;BT41),"警告,结构系数可能需要修改！",IF(OR(BT39="否",BT46="否",BT51="否",BT54="否"),"警告,可能需要修改！","核算通过")),"")</f>
        <v/>
      </c>
      <c r="BU55" s="438" t="str">
        <f aca="false">IF(BU2&lt;&gt;"",IF(AND(BU3="汽液分离罐",BU36&lt;BU41),"警告,结构系数可能需要修改！",IF(OR(BU39="否",BU46="否",BU51="否",BU54="否"),"警告,可能需要修改！","核算通过")),"")</f>
        <v/>
      </c>
      <c r="BV55" s="438" t="str">
        <f aca="false">IF(BV2&lt;&gt;"",IF(AND(BV3="汽液分离罐",BV36&lt;BV41),"警告,结构系数可能需要修改！",IF(OR(BV39="否",BV46="否",BV51="否",BV54="否"),"警告,可能需要修改！","核算通过")),"")</f>
        <v/>
      </c>
      <c r="BW55" s="438" t="str">
        <f aca="false">IF(BW2&lt;&gt;"",IF(AND(BW3="汽液分离罐",BW36&lt;BW41),"警告,结构系数可能需要修改！",IF(OR(BW39="否",BW46="否",BW51="否",BW54="否"),"警告,可能需要修改！","核算通过")),"")</f>
        <v/>
      </c>
      <c r="BX55" s="438" t="str">
        <f aca="false">IF(BX2&lt;&gt;"",IF(AND(BX3="汽液分离罐",BX36&lt;BX41),"警告,结构系数可能需要修改！",IF(OR(BX39="否",BX46="否",BX51="否",BX54="否"),"警告,可能需要修改！","核算通过")),"")</f>
        <v/>
      </c>
      <c r="BY55" s="438" t="str">
        <f aca="false">IF(BY2&lt;&gt;"",IF(AND(BY3="汽液分离罐",BY36&lt;BY41),"警告,结构系数可能需要修改！",IF(OR(BY39="否",BY46="否",BY51="否",BY54="否"),"警告,可能需要修改！","核算通过")),"")</f>
        <v/>
      </c>
      <c r="BZ55" s="438" t="str">
        <f aca="false">IF(BZ2&lt;&gt;"",IF(AND(BZ3="汽液分离罐",BZ36&lt;BZ41),"警告,结构系数可能需要修改！",IF(OR(BZ39="否",BZ46="否",BZ51="否",BZ54="否"),"警告,可能需要修改！","核算通过")),"")</f>
        <v/>
      </c>
      <c r="CA55" s="438" t="str">
        <f aca="false">IF(CA2&lt;&gt;"",IF(AND(CA3="汽液分离罐",CA36&lt;CA41),"警告,结构系数可能需要修改！",IF(OR(CA39="否",CA46="否",CA51="否",CA54="否"),"警告,可能需要修改！","核算通过")),"")</f>
        <v/>
      </c>
      <c r="CB55" s="438" t="str">
        <f aca="false">IF(CB2&lt;&gt;"",IF(AND(CB3="汽液分离罐",CB36&lt;CB41),"警告,结构系数可能需要修改！",IF(OR(CB39="否",CB46="否",CB51="否",CB54="否"),"警告,可能需要修改！","核算通过")),"")</f>
        <v/>
      </c>
      <c r="CC55" s="438" t="str">
        <f aca="false">IF(CC2&lt;&gt;"",IF(AND(CC3="汽液分离罐",CC36&lt;CC41),"警告,结构系数可能需要修改！",IF(OR(CC39="否",CC46="否",CC51="否",CC54="否"),"警告,可能需要修改！","核算通过")),"")</f>
        <v/>
      </c>
      <c r="CD55" s="438" t="str">
        <f aca="false">IF(CD2&lt;&gt;"",IF(AND(CD3="汽液分离罐",CD36&lt;CD41),"警告,结构系数可能需要修改！",IF(OR(CD39="否",CD46="否",CD51="否",CD54="否"),"警告,可能需要修改！","核算通过")),"")</f>
        <v/>
      </c>
      <c r="CE55" s="390"/>
    </row>
    <row r="56" s="441" customFormat="true" ht="15" hidden="false" customHeight="false" outlineLevel="0" collapsed="false">
      <c r="A56" s="439" t="s">
        <v>634</v>
      </c>
      <c r="B56" s="439" t="n">
        <f aca="false">IF(B2&lt;&gt;"",IF(B4="卧式",B26*B11*B36+B27*B11*B35+IF(B25="",0,B25*1/60*B52),B27*B43+B26*(B11-B43)),"")</f>
        <v>122987.8968</v>
      </c>
      <c r="C56" s="439" t="n">
        <f aca="false">IF(C2&lt;&gt;"",IF(C4="卧式",C26*C11*C36+C27*C11*C35+IF(C25="",0,C25*1/60*C52),C27*C43+C26*(C11-C43)),"")</f>
        <v>122987.8968</v>
      </c>
      <c r="D56" s="439" t="n">
        <f aca="false">IF(D2&lt;&gt;"",IF(D4="卧式",D26*D11*D36+D27*D11*D35+IF(D25="",0,D25*1/60*D52),D27*D43+D26*(D11-D43)),"")</f>
        <v>5869.45128</v>
      </c>
      <c r="E56" s="439" t="n">
        <f aca="false">IF(E2&lt;&gt;"",IF(E4="卧式",E26*E11*E36+E27*E11*E35+IF(E25="",0,E25*1/60*E52),E27*E43+E26*(E11-E43)),"")</f>
        <v>10000.272</v>
      </c>
      <c r="F56" s="439" t="n">
        <f aca="false">IF(F2&lt;&gt;"",IF(F4="卧式",F26*F11*F36+F27*F11*F35+IF(F25="",0,F25*1/60*F52),F27*F43+F26*(F11-F43)),"")</f>
        <v>13047.642</v>
      </c>
      <c r="G56" s="439" t="n">
        <f aca="false">IF(G2&lt;&gt;"",IF(G4="卧式",G26*G11*G36+G27*G11*G35+IF(G25="",0,G25*1/60*G52),G27*G43+G26*(G11-G43)),"")</f>
        <v>64208.133</v>
      </c>
      <c r="H56" s="439" t="n">
        <f aca="false">IF(H2&lt;&gt;"",IF(H4="卧式",H26*H11*H36+H27*H11*H35+IF(H25="",0,H25*1/60*H52),H27*H43+H26*(H11-H43)),"")</f>
        <v>23252.328</v>
      </c>
      <c r="I56" s="439" t="n">
        <f aca="false">IF(I2&lt;&gt;"",IF(I4="卧式",I26*I11*I36+I27*I11*I35+IF(I25="",0,I25*1/60*I52),I27*I43+I26*(I11-I43)),"")</f>
        <v>8108.422</v>
      </c>
      <c r="J56" s="439" t="n">
        <f aca="false">IF(J2&lt;&gt;"",IF(J4="卧式",J26*J11*J36+J27*J11*J35+IF(J25="",0,J25*1/60*J52),J27*J43+J26*(J11-J43)),"")</f>
        <v>10275.336</v>
      </c>
      <c r="K56" s="439" t="n">
        <f aca="false">IF(K2&lt;&gt;"",IF(K4="卧式",K26*K11*K36+K27*K11*K35+IF(K25="",0,K25*1/60*K52),K27*K43+K26*(K11-K43)),"")</f>
        <v>1668.125</v>
      </c>
      <c r="L56" s="439" t="n">
        <f aca="false">IF(L2&lt;&gt;"",IF(L4="卧式",L26*L11*L36+L27*L11*L35+IF(L25="",0,L25*1/60*L52),L27*L43+L26*(L11-L43)),"")</f>
        <v>9126.81736266667</v>
      </c>
      <c r="M56" s="439" t="n">
        <f aca="false">IF(M2&lt;&gt;"",IF(M4="卧式",M26*M11*M36+M27*M11*M35+IF(M25="",0,M25*1/60*M52),M27*M43+M26*(M11-M43)),"")</f>
        <v>27684.48353</v>
      </c>
      <c r="N56" s="439" t="n">
        <f aca="false">IF(N2&lt;&gt;"",IF(N4="卧式",N26*N11*N36+N27*N11*N35+IF(N25="",0,N25*1/60*N52),N27*N43+N26*(N11-N43)),"")</f>
        <v>200549.241842</v>
      </c>
      <c r="O56" s="439" t="n">
        <f aca="false">IF(O2&lt;&gt;"",IF(O4="卧式",O26*O11*O36+O27*O11*O35+IF(O25="",0,O25*1/60*O52),O27*O43+O26*(O11-O43)),"")</f>
        <v>3297.04542533333</v>
      </c>
      <c r="P56" s="439" t="n">
        <f aca="false">IF(P2&lt;&gt;"",IF(P4="卧式",P26*P11*P36+P27*P11*P35+IF(P25="",0,P25*1/60*P52),P27*P43+P26*(P11-P43)),"")</f>
        <v>97069.0389333333</v>
      </c>
      <c r="Q56" s="439" t="n">
        <f aca="false">IF(Q2&lt;&gt;"",IF(Q4="卧式",Q26*Q11*Q36+Q27*Q11*Q35+IF(Q25="",0,Q25*1/60*Q52),Q27*Q43+Q26*(Q11-Q43)),"")</f>
        <v>2320.66933333333</v>
      </c>
      <c r="R56" s="439" t="n">
        <f aca="false">IF(R2&lt;&gt;"",IF(R4="卧式",R26*R11*R36+R27*R11*R35+IF(R25="",0,R25*1/60*R52),R27*R43+R26*(R11-R43)),"")</f>
        <v>3695.224848</v>
      </c>
      <c r="S56" s="439" t="n">
        <f aca="false">IF(S2&lt;&gt;"",IF(S4="卧式",S26*S11*S36+S27*S11*S35+IF(S25="",0,S25*1/60*S52),S27*S43+S26*(S11-S43)),"")</f>
        <v>6144.676048</v>
      </c>
      <c r="T56" s="439" t="n">
        <f aca="false">IF(T2&lt;&gt;"",IF(T4="卧式",T26*T11*T36+T27*T11*T35+IF(T25="",0,T25*1/60*T52),T27*T43+T26*(T11-T43)),"")</f>
        <v>13935.5848066667</v>
      </c>
      <c r="U56" s="439" t="n">
        <f aca="false">IF(U2&lt;&gt;"",IF(U4="卧式",U26*U11*U36+U27*U11*U35+IF(U25="",0,U25*1/60*U52),U27*U43+U26*(U11-U43)),"")</f>
        <v>75603.07368</v>
      </c>
      <c r="V56" s="439" t="n">
        <f aca="false">IF(V2&lt;&gt;"",IF(V4="卧式",V26*V11*V36+V27*V11*V35+IF(V25="",0,V25*1/60*V52),V27*V43+V26*(V11-V43)),"")</f>
        <v>14526.43599</v>
      </c>
      <c r="W56" s="439" t="n">
        <f aca="false">IF(W2&lt;&gt;"",IF(W4="卧式",W26*W11*W36+W27*W11*W35+IF(W25="",0,W25*1/60*W52),W27*W43+W26*(W11-W43)),"")</f>
        <v>15425.6273233333</v>
      </c>
      <c r="X56" s="439" t="n">
        <f aca="false">IF(X2&lt;&gt;"",IF(X4="卧式",X26*X11*X36+X27*X11*X35+IF(X25="",0,X25*1/60*X52),X27*X43+X26*(X11-X43)),"")</f>
        <v>29667.2469914333</v>
      </c>
      <c r="Y56" s="439" t="n">
        <f aca="false">IF(Y2&lt;&gt;"",IF(Y4="卧式",Y26*Y11*Y36+Y27*Y11*Y35+IF(Y25="",0,Y25*1/60*Y52),Y27*Y43+Y26*(Y11-Y43)),"")</f>
        <v>7163.923246875</v>
      </c>
      <c r="Z56" s="439" t="n">
        <f aca="false">IF(Z2&lt;&gt;"",IF(Z4="卧式",Z26*Z11*Z36+Z27*Z11*Z35+IF(Z25="",0,Z25*1/60*Z52),Z27*Z43+Z26*(Z11-Z43)),"")</f>
        <v>7179.660534375</v>
      </c>
      <c r="AA56" s="439" t="str">
        <f aca="false">IF(AA2&lt;&gt;"",IF(AA4="卧式",AA26*AA11*AA36+AA27*AA11*AA35+IF(AA25="",0,AA25*1/60*AA52),AA27*AA43+AA26*(AA11-AA43)),"")</f>
        <v/>
      </c>
      <c r="AB56" s="439" t="str">
        <f aca="false">IF(AB2&lt;&gt;"",IF(AB4="卧式",AB26*AB11*AB36+AB27*AB11*AB35+IF(AB25="",0,AB25*1/60*AB52),AB27*AB43+AB26*(AB11-AB43)),"")</f>
        <v/>
      </c>
      <c r="AC56" s="439" t="str">
        <f aca="false">IF(AC2&lt;&gt;"",IF(AC4="卧式",AC26*AC11*AC36+AC27*AC11*AC35+IF(AC25="",0,AC25*1/60*AC52),AC27*AC43+AC26*(AC11-AC43)),"")</f>
        <v/>
      </c>
      <c r="AD56" s="439" t="str">
        <f aca="false">IF(AD2&lt;&gt;"",IF(AD4="卧式",AD26*AD11*AD36+AD27*AD11*AD35+IF(AD25="",0,AD25*1/60*AD52),AD27*AD43+AD26*(AD11-AD43)),"")</f>
        <v/>
      </c>
      <c r="AE56" s="439" t="str">
        <f aca="false">IF(AE2&lt;&gt;"",IF(AE4="卧式",AE26*AE11*AE36+AE27*AE11*AE35+IF(AE25="",0,AE25*1/60*AE52),AE27*AE43+AE26*(AE11-AE43)),"")</f>
        <v/>
      </c>
      <c r="AF56" s="439" t="str">
        <f aca="false">IF(AF2&lt;&gt;"",IF(AF4="卧式",AF26*AF11*AF36+AF27*AF11*AF35+IF(AF25="",0,AF25*1/60*AF52),AF27*AF43+AF26*(AF11-AF43)),"")</f>
        <v/>
      </c>
      <c r="AG56" s="439" t="str">
        <f aca="false">IF(AG2&lt;&gt;"",IF(AG4="卧式",AG26*AG11*AG36+AG27*AG11*AG35+IF(AG25="",0,AG25*1/60*AG52),AG27*AG43+AG26*(AG11-AG43)),"")</f>
        <v/>
      </c>
      <c r="AH56" s="439" t="str">
        <f aca="false">IF(AH2&lt;&gt;"",IF(AH4="卧式",AH26*AH11*AH36+AH27*AH11*AH35+IF(AH25="",0,AH25*1/60*AH52),AH27*AH43+AH26*(AH11-AH43)),"")</f>
        <v/>
      </c>
      <c r="AI56" s="439" t="str">
        <f aca="false">IF(AI2&lt;&gt;"",IF(AI4="卧式",AI26*AI11*AI36+AI27*AI11*AI35+IF(AI25="",0,AI25*1/60*AI52),AI27*AI43+AI26*(AI11-AI43)),"")</f>
        <v/>
      </c>
      <c r="AJ56" s="439" t="str">
        <f aca="false">IF(AJ2&lt;&gt;"",IF(AJ4="卧式",AJ26*AJ11*AJ36+AJ27*AJ11*AJ35+IF(AJ25="",0,AJ25*1/60*AJ52),AJ27*AJ43+AJ26*(AJ11-AJ43)),"")</f>
        <v/>
      </c>
      <c r="AK56" s="439" t="str">
        <f aca="false">IF(AK2&lt;&gt;"",IF(AK4="卧式",AK26*AK11*AK36+AK27*AK11*AK35+IF(AK25="",0,AK25*1/60*AK52),AK27*AK43+AK26*(AK11-AK43)),"")</f>
        <v/>
      </c>
      <c r="AL56" s="439" t="str">
        <f aca="false">IF(AL2&lt;&gt;"",IF(AL4="卧式",AL26*AL11*AL36+AL27*AL11*AL35+IF(AL25="",0,AL25*1/60*AL52),AL27*AL43+AL26*(AL11-AL43)),"")</f>
        <v/>
      </c>
      <c r="AM56" s="439" t="str">
        <f aca="false">IF(AM2&lt;&gt;"",IF(AM4="卧式",AM26*AM11*AM36+AM27*AM11*AM35+IF(AM25="",0,AM25*1/60*AM52),AM27*AM43+AM26*(AM11-AM43)),"")</f>
        <v/>
      </c>
      <c r="AN56" s="439" t="str">
        <f aca="false">IF(AN2&lt;&gt;"",IF(AN4="卧式",AN26*AN11*AN36+AN27*AN11*AN35+IF(AN25="",0,AN25*1/60*AN52),AN27*AN43+AN26*(AN11-AN43)),"")</f>
        <v/>
      </c>
      <c r="AO56" s="439" t="str">
        <f aca="false">IF(AO2&lt;&gt;"",IF(AO4="卧式",AO26*AO11*AO36+AO27*AO11*AO35+IF(AO25="",0,AO25*1/60*AO52),AO27*AO43+AO26*(AO11-AO43)),"")</f>
        <v/>
      </c>
      <c r="AP56" s="439" t="str">
        <f aca="false">IF(AP2&lt;&gt;"",IF(AP4="卧式",AP26*AP11*AP36+AP27*AP11*AP35+IF(AP25="",0,AP25*1/60*AP52),AP27*AP43+AP26*(AP11-AP43)),"")</f>
        <v/>
      </c>
      <c r="AQ56" s="439" t="str">
        <f aca="false">IF(AQ2&lt;&gt;"",IF(AQ4="卧式",AQ26*AQ11*AQ36+AQ27*AQ11*AQ35+IF(AQ25="",0,AQ25*1/60*AQ52),AQ27*AQ43+AQ26*(AQ11-AQ43)),"")</f>
        <v/>
      </c>
      <c r="AR56" s="439" t="str">
        <f aca="false">IF(AR2&lt;&gt;"",IF(AR4="卧式",AR26*AR11*AR36+AR27*AR11*AR35+IF(AR25="",0,AR25*1/60*AR52),AR27*AR43+AR26*(AR11-AR43)),"")</f>
        <v/>
      </c>
      <c r="AS56" s="439" t="str">
        <f aca="false">IF(AS2&lt;&gt;"",IF(AS4="卧式",AS26*AS11*AS36+AS27*AS11*AS35+IF(AS25="",0,AS25*1/60*AS52),AS27*AS43+AS26*(AS11-AS43)),"")</f>
        <v/>
      </c>
      <c r="AT56" s="439" t="str">
        <f aca="false">IF(AT2&lt;&gt;"",IF(AT4="卧式",AT26*AT11*AT36+AT27*AT11*AT35+IF(AT25="",0,AT25*1/60*AT52),AT27*AT43+AT26*(AT11-AT43)),"")</f>
        <v/>
      </c>
      <c r="AU56" s="439" t="str">
        <f aca="false">IF(AU2&lt;&gt;"",IF(AU4="卧式",AU26*AU11*AU36+AU27*AU11*AU35+IF(AU25="",0,AU25*1/60*AU52),AU27*AU43+AU26*(AU11-AU43)),"")</f>
        <v/>
      </c>
      <c r="AV56" s="439" t="str">
        <f aca="false">IF(AV2&lt;&gt;"",IF(AV4="卧式",AV26*AV11*AV36+AV27*AV11*AV35+IF(AV25="",0,AV25*1/60*AV52),AV27*AV43+AV26*(AV11-AV43)),"")</f>
        <v/>
      </c>
      <c r="AW56" s="439" t="str">
        <f aca="false">IF(AW2&lt;&gt;"",IF(AW4="卧式",AW26*AW11*AW36+AW27*AW11*AW35+IF(AW25="",0,AW25*1/60*AW52),AW27*AW43+AW26*(AW11-AW43)),"")</f>
        <v/>
      </c>
      <c r="AX56" s="439" t="str">
        <f aca="false">IF(AX2&lt;&gt;"",IF(AX4="卧式",AX26*AX11*AX36+AX27*AX11*AX35+IF(AX25="",0,AX25*1/60*AX52),AX27*AX43+AX26*(AX11-AX43)),"")</f>
        <v/>
      </c>
      <c r="AY56" s="439" t="str">
        <f aca="false">IF(AY2&lt;&gt;"",IF(AY4="卧式",AY26*AY11*AY36+AY27*AY11*AY35+IF(AY25="",0,AY25*1/60*AY52),AY27*AY43+AY26*(AY11-AY43)),"")</f>
        <v/>
      </c>
      <c r="AZ56" s="439" t="str">
        <f aca="false">IF(AZ2&lt;&gt;"",IF(AZ4="卧式",AZ26*AZ11*AZ36+AZ27*AZ11*AZ35+IF(AZ25="",0,AZ25*1/60*AZ52),AZ27*AZ43+AZ26*(AZ11-AZ43)),"")</f>
        <v/>
      </c>
      <c r="BA56" s="439" t="str">
        <f aca="false">IF(BA2&lt;&gt;"",IF(BA4="卧式",BA26*BA11*BA36+BA27*BA11*BA35+IF(BA25="",0,BA25*1/60*BA52),BA27*BA43+BA26*(BA11-BA43)),"")</f>
        <v/>
      </c>
      <c r="BB56" s="439" t="str">
        <f aca="false">IF(BB2&lt;&gt;"",IF(BB4="卧式",BB26*BB11*BB36+BB27*BB11*BB35+IF(BB25="",0,BB25*1/60*BB52),BB27*BB43+BB26*(BB11-BB43)),"")</f>
        <v/>
      </c>
      <c r="BC56" s="439" t="str">
        <f aca="false">IF(BC2&lt;&gt;"",IF(BC4="卧式",BC26*BC11*BC36+BC27*BC11*BC35+IF(BC25="",0,BC25*1/60*BC52),BC27*BC43+BC26*(BC11-BC43)),"")</f>
        <v/>
      </c>
      <c r="BD56" s="439" t="str">
        <f aca="false">IF(BD2&lt;&gt;"",IF(BD4="卧式",BD26*BD11*BD36+BD27*BD11*BD35+IF(BD25="",0,BD25*1/60*BD52),BD27*BD43+BD26*(BD11-BD43)),"")</f>
        <v/>
      </c>
      <c r="BE56" s="439" t="str">
        <f aca="false">IF(BE2&lt;&gt;"",IF(BE4="卧式",BE26*BE11*BE36+BE27*BE11*BE35+IF(BE25="",0,BE25*1/60*BE52),BE27*BE43+BE26*(BE11-BE43)),"")</f>
        <v/>
      </c>
      <c r="BF56" s="439" t="str">
        <f aca="false">IF(BF2&lt;&gt;"",IF(BF4="卧式",BF26*BF11*BF36+BF27*BF11*BF35+IF(BF25="",0,BF25*1/60*BF52),BF27*BF43+BF26*(BF11-BF43)),"")</f>
        <v/>
      </c>
      <c r="BG56" s="439" t="str">
        <f aca="false">IF(BG2&lt;&gt;"",IF(BG4="卧式",BG26*BG11*BG36+BG27*BG11*BG35+IF(BG25="",0,BG25*1/60*BG52),BG27*BG43+BG26*(BG11-BG43)),"")</f>
        <v/>
      </c>
      <c r="BH56" s="439" t="str">
        <f aca="false">IF(BH2&lt;&gt;"",IF(BH4="卧式",BH26*BH11*BH36+BH27*BH11*BH35+IF(BH25="",0,BH25*1/60*BH52),BH27*BH43+BH26*(BH11-BH43)),"")</f>
        <v/>
      </c>
      <c r="BI56" s="439" t="str">
        <f aca="false">IF(BI2&lt;&gt;"",IF(BI4="卧式",BI26*BI11*BI36+BI27*BI11*BI35+IF(BI25="",0,BI25*1/60*BI52),BI27*BI43+BI26*(BI11-BI43)),"")</f>
        <v/>
      </c>
      <c r="BJ56" s="439" t="str">
        <f aca="false">IF(BJ2&lt;&gt;"",IF(BJ4="卧式",BJ26*BJ11*BJ36+BJ27*BJ11*BJ35+IF(BJ25="",0,BJ25*1/60*BJ52),BJ27*BJ43+BJ26*(BJ11-BJ43)),"")</f>
        <v/>
      </c>
      <c r="BK56" s="439" t="str">
        <f aca="false">IF(BK2&lt;&gt;"",IF(BK4="卧式",BK26*BK11*BK36+BK27*BK11*BK35+IF(BK25="",0,BK25*1/60*BK52),BK27*BK43+BK26*(BK11-BK43)),"")</f>
        <v/>
      </c>
      <c r="BL56" s="439" t="str">
        <f aca="false">IF(BL2&lt;&gt;"",IF(BL4="卧式",BL26*BL11*BL36+BL27*BL11*BL35+IF(BL25="",0,BL25*1/60*BL52),BL27*BL43+BL26*(BL11-BL43)),"")</f>
        <v/>
      </c>
      <c r="BM56" s="439" t="str">
        <f aca="false">IF(BM2&lt;&gt;"",IF(BM4="卧式",BM26*BM11*BM36+BM27*BM11*BM35+IF(BM25="",0,BM25*1/60*BM52),BM27*BM43+BM26*(BM11-BM43)),"")</f>
        <v/>
      </c>
      <c r="BN56" s="439" t="str">
        <f aca="false">IF(BN2&lt;&gt;"",IF(BN4="卧式",BN26*BN11*BN36+BN27*BN11*BN35+IF(BN25="",0,BN25*1/60*BN52),BN27*BN43+BN26*(BN11-BN43)),"")</f>
        <v/>
      </c>
      <c r="BO56" s="439" t="str">
        <f aca="false">IF(BO2&lt;&gt;"",IF(BO4="卧式",BO26*BO11*BO36+BO27*BO11*BO35+IF(BO25="",0,BO25*1/60*BO52),BO27*BO43+BO26*(BO11-BO43)),"")</f>
        <v/>
      </c>
      <c r="BP56" s="439" t="str">
        <f aca="false">IF(BP2&lt;&gt;"",IF(BP4="卧式",BP26*BP11*BP36+BP27*BP11*BP35+IF(BP25="",0,BP25*1/60*BP52),BP27*BP43+BP26*(BP11-BP43)),"")</f>
        <v/>
      </c>
      <c r="BQ56" s="439" t="str">
        <f aca="false">IF(BQ2&lt;&gt;"",IF(BQ4="卧式",BQ26*BQ11*BQ36+BQ27*BQ11*BQ35+IF(BQ25="",0,BQ25*1/60*BQ52),BQ27*BQ43+BQ26*(BQ11-BQ43)),"")</f>
        <v/>
      </c>
      <c r="BR56" s="439" t="str">
        <f aca="false">IF(BR2&lt;&gt;"",IF(BR4="卧式",BR26*BR11*BR36+BR27*BR11*BR35+IF(BR25="",0,BR25*1/60*BR52),BR27*BR43+BR26*(BR11-BR43)),"")</f>
        <v/>
      </c>
      <c r="BS56" s="439" t="str">
        <f aca="false">IF(BS2&lt;&gt;"",IF(BS4="卧式",BS26*BS11*BS36+BS27*BS11*BS35+IF(BS25="",0,BS25*1/60*BS52),BS27*BS43+BS26*(BS11-BS43)),"")</f>
        <v/>
      </c>
      <c r="BT56" s="439" t="str">
        <f aca="false">IF(BT2&lt;&gt;"",IF(BT4="卧式",BT26*BT11*BT36+BT27*BT11*BT35+IF(BT25="",0,BT25*1/60*BT52),BT27*BT43+BT26*(BT11-BT43)),"")</f>
        <v/>
      </c>
      <c r="BU56" s="439" t="str">
        <f aca="false">IF(BU2&lt;&gt;"",IF(BU4="卧式",BU26*BU11*BU36+BU27*BU11*BU35+IF(BU25="",0,BU25*1/60*BU52),BU27*BU43+BU26*(BU11-BU43)),"")</f>
        <v/>
      </c>
      <c r="BV56" s="439" t="str">
        <f aca="false">IF(BV2&lt;&gt;"",IF(BV4="卧式",BV26*BV11*BV36+BV27*BV11*BV35+IF(BV25="",0,BV25*1/60*BV52),BV27*BV43+BV26*(BV11-BV43)),"")</f>
        <v/>
      </c>
      <c r="BW56" s="439" t="str">
        <f aca="false">IF(BW2&lt;&gt;"",IF(BW4="卧式",BW26*BW11*BW36+BW27*BW11*BW35+IF(BW25="",0,BW25*1/60*BW52),BW27*BW43+BW26*(BW11-BW43)),"")</f>
        <v/>
      </c>
      <c r="BX56" s="439" t="str">
        <f aca="false">IF(BX2&lt;&gt;"",IF(BX4="卧式",BX26*BX11*BX36+BX27*BX11*BX35+IF(BX25="",0,BX25*1/60*BX52),BX27*BX43+BX26*(BX11-BX43)),"")</f>
        <v/>
      </c>
      <c r="BY56" s="439" t="str">
        <f aca="false">IF(BY2&lt;&gt;"",IF(BY4="卧式",BY26*BY11*BY36+BY27*BY11*BY35+IF(BY25="",0,BY25*1/60*BY52),BY27*BY43+BY26*(BY11-BY43)),"")</f>
        <v/>
      </c>
      <c r="BZ56" s="439" t="str">
        <f aca="false">IF(BZ2&lt;&gt;"",IF(BZ4="卧式",BZ26*BZ11*BZ36+BZ27*BZ11*BZ35+IF(BZ25="",0,BZ25*1/60*BZ52),BZ27*BZ43+BZ26*(BZ11-BZ43)),"")</f>
        <v/>
      </c>
      <c r="CA56" s="439" t="str">
        <f aca="false">IF(CA2&lt;&gt;"",IF(CA4="卧式",CA26*CA11*CA36+CA27*CA11*CA35+IF(CA25="",0,CA25*1/60*CA52),CA27*CA43+CA26*(CA11-CA43)),"")</f>
        <v/>
      </c>
      <c r="CB56" s="439" t="str">
        <f aca="false">IF(CB2&lt;&gt;"",IF(CB4="卧式",CB26*CB11*CB36+CB27*CB11*CB35+IF(CB25="",0,CB25*1/60*CB52),CB27*CB43+CB26*(CB11-CB43)),"")</f>
        <v/>
      </c>
      <c r="CC56" s="439" t="str">
        <f aca="false">IF(CC2&lt;&gt;"",IF(CC4="卧式",CC26*CC11*CC36+CC27*CC11*CC35+IF(CC25="",0,CC25*1/60*CC52),CC27*CC43+CC26*(CC11-CC43)),"")</f>
        <v/>
      </c>
      <c r="CD56" s="439" t="str">
        <f aca="false">IF(CD2&lt;&gt;"",IF(CD4="卧式",CD26*CD11*CD36+CD27*CD11*CD35+IF(CD25="",0,CD25*1/60*CD52),CD27*CD43+CD26*(CD11-CD43)),"")</f>
        <v/>
      </c>
      <c r="CE56" s="440"/>
    </row>
    <row r="57" s="384" customFormat="true" ht="15" hidden="false" customHeight="false" outlineLevel="0" collapsed="false">
      <c r="A57" s="442" t="s">
        <v>277</v>
      </c>
      <c r="B57" s="443"/>
      <c r="C57" s="443"/>
      <c r="D57" s="443"/>
      <c r="E57" s="444"/>
      <c r="F57" s="445" t="str">
        <f aca="false">IF(AND(F32="是",F33="是"),"允许液沫夹带时一般不安装破沫网","")</f>
        <v/>
      </c>
      <c r="G57" s="445" t="str">
        <f aca="false">IF(AND(G32="是",G33="是"),"允许液沫夹带时一般不安装破沫网","")</f>
        <v/>
      </c>
      <c r="H57" s="445" t="str">
        <f aca="false">IF(AND(H32="是",H33="是"),"允许液沫夹带时一般不安装破沫网","")</f>
        <v/>
      </c>
      <c r="K57" s="444"/>
      <c r="CE57" s="385"/>
    </row>
    <row r="58" customFormat="false" ht="15" hidden="false" customHeight="false" outlineLevel="0" collapsed="false">
      <c r="B58" s="280"/>
      <c r="C58" s="280"/>
      <c r="D58" s="280"/>
      <c r="F58" s="280"/>
      <c r="G58" s="280"/>
      <c r="H58" s="280"/>
    </row>
    <row r="59" customFormat="false" ht="15" hidden="false" customHeight="false" outlineLevel="0" collapsed="false">
      <c r="A59" s="380" t="s">
        <v>426</v>
      </c>
      <c r="B59" s="446" t="n">
        <f aca="false">B7/B6</f>
        <v>3.075</v>
      </c>
      <c r="C59" s="446" t="n">
        <f aca="false">C7/C6</f>
        <v>3.075</v>
      </c>
      <c r="D59" s="446" t="n">
        <f aca="false">D7/D6</f>
        <v>2.85714285714286</v>
      </c>
      <c r="E59" s="446" t="n">
        <f aca="false">E7/E6</f>
        <v>2</v>
      </c>
      <c r="F59" s="446" t="n">
        <f aca="false">F7/F6</f>
        <v>3.16666666666667</v>
      </c>
      <c r="G59" s="446" t="n">
        <f aca="false">G7/G6</f>
        <v>3</v>
      </c>
      <c r="H59" s="446" t="n">
        <f aca="false">H7/H6</f>
        <v>2.72727272727273</v>
      </c>
      <c r="I59" s="446" t="n">
        <f aca="false">I7/I6</f>
        <v>1.3175</v>
      </c>
      <c r="J59" s="446" t="n">
        <f aca="false">J7/J6</f>
        <v>2.22222222222222</v>
      </c>
      <c r="K59" s="446" t="n">
        <f aca="false">K7/K6</f>
        <v>2.5</v>
      </c>
      <c r="L59" s="446" t="n">
        <f aca="false">L7/L6</f>
        <v>1.59090909090909</v>
      </c>
      <c r="M59" s="446" t="n">
        <f aca="false">M7/M6</f>
        <v>1.7</v>
      </c>
      <c r="N59" s="446" t="n">
        <f aca="false">N7/N6</f>
        <v>3.97826086956522</v>
      </c>
      <c r="O59" s="446" t="n">
        <f aca="false">O7/O6</f>
        <v>3</v>
      </c>
      <c r="P59" s="446" t="n">
        <f aca="false">P7/P6</f>
        <v>3.05</v>
      </c>
      <c r="Q59" s="446" t="n">
        <f aca="false">Q7/Q6</f>
        <v>3</v>
      </c>
      <c r="R59" s="446" t="n">
        <f aca="false">R7/R6</f>
        <v>2.85714285714286</v>
      </c>
      <c r="S59" s="446" t="n">
        <f aca="false">S7/S6</f>
        <v>2.85714285714286</v>
      </c>
      <c r="T59" s="446" t="n">
        <f aca="false">T7/T6</f>
        <v>2.55</v>
      </c>
      <c r="U59" s="446" t="n">
        <f aca="false">U7/U6</f>
        <v>2.22222222222222</v>
      </c>
      <c r="V59" s="446" t="n">
        <f aca="false">V7/V6</f>
        <v>1.81818181818182</v>
      </c>
      <c r="W59" s="446" t="n">
        <f aca="false">W7/W6</f>
        <v>1.81818181818182</v>
      </c>
      <c r="X59" s="446" t="n">
        <f aca="false">X7/X6</f>
        <v>3.75</v>
      </c>
      <c r="Y59" s="446" t="n">
        <f aca="false">Y7/Y6</f>
        <v>2.66666666666667</v>
      </c>
      <c r="Z59" s="446" t="n">
        <f aca="false">Z7/Z6</f>
        <v>2.66666666666667</v>
      </c>
    </row>
    <row r="60" customFormat="false" ht="15" hidden="false" customHeight="false" outlineLevel="0" collapsed="false">
      <c r="B60" s="280"/>
      <c r="C60" s="280"/>
      <c r="D60" s="280"/>
      <c r="F60" s="280"/>
      <c r="G60" s="280"/>
      <c r="H60" s="280"/>
    </row>
    <row r="61" s="380" customFormat="true" ht="15" hidden="false" customHeight="false" outlineLevel="0" collapsed="false">
      <c r="A61" s="447" t="s">
        <v>757</v>
      </c>
      <c r="B61" s="379" t="n">
        <v>107</v>
      </c>
      <c r="C61" s="379" t="n">
        <v>105</v>
      </c>
      <c r="D61" s="379" t="n">
        <v>317</v>
      </c>
      <c r="E61" s="380" t="n">
        <v>107</v>
      </c>
      <c r="F61" s="379" t="n">
        <v>523</v>
      </c>
      <c r="G61" s="380" t="n">
        <v>701</v>
      </c>
      <c r="H61" s="380" t="n">
        <v>523</v>
      </c>
      <c r="I61" s="380" t="n">
        <v>407</v>
      </c>
      <c r="J61" s="380" t="n">
        <v>504</v>
      </c>
      <c r="K61" s="380" t="n">
        <v>416</v>
      </c>
      <c r="L61" s="380" t="n">
        <v>415</v>
      </c>
      <c r="M61" s="380" t="n">
        <v>503</v>
      </c>
    </row>
    <row r="62" customFormat="false" ht="15" hidden="false" customHeight="false" outlineLevel="0" collapsed="false">
      <c r="B62" s="384"/>
      <c r="C62" s="384"/>
      <c r="D62" s="384"/>
      <c r="E62" s="384"/>
      <c r="F62" s="384"/>
      <c r="G62" s="384"/>
      <c r="H62" s="384"/>
      <c r="K62" s="384"/>
    </row>
    <row r="63" customFormat="false" ht="15" hidden="false" customHeight="false" outlineLevel="0" collapsed="false"/>
    <row r="64" customFormat="false" ht="15" hidden="false" customHeight="false" outlineLevel="0" collapsed="false">
      <c r="A64" s="371" t="s">
        <v>696</v>
      </c>
      <c r="B64" s="277" t="n">
        <v>10</v>
      </c>
      <c r="C64" s="277" t="n">
        <v>10</v>
      </c>
      <c r="D64" s="277" t="n">
        <v>3.4</v>
      </c>
      <c r="E64" s="277" t="n">
        <v>3.6</v>
      </c>
      <c r="F64" s="277" t="n">
        <v>4.5</v>
      </c>
      <c r="G64" s="277" t="n">
        <v>8</v>
      </c>
      <c r="H64" s="277" t="n">
        <v>5.4</v>
      </c>
      <c r="I64" s="277" t="n">
        <v>2.1</v>
      </c>
      <c r="J64" s="277" t="n">
        <v>3.6</v>
      </c>
      <c r="K64" s="277" t="n">
        <v>2</v>
      </c>
      <c r="L64" s="243"/>
      <c r="M64" s="243"/>
      <c r="N64" s="277" t="n">
        <v>12.8</v>
      </c>
      <c r="O64" s="277" t="n">
        <v>2.5</v>
      </c>
      <c r="P64" s="277" t="n">
        <v>9.8</v>
      </c>
      <c r="Q64" s="277" t="n">
        <v>1.5</v>
      </c>
      <c r="R64" s="277" t="n">
        <v>1.5</v>
      </c>
      <c r="S64" s="277" t="n">
        <v>1.5</v>
      </c>
      <c r="T64" s="277"/>
    </row>
    <row r="65" customFormat="false" ht="15" hidden="false" customHeight="false" outlineLevel="0" collapsed="false">
      <c r="A65" s="371" t="s">
        <v>697</v>
      </c>
      <c r="B65" s="277" t="n">
        <v>1.35</v>
      </c>
      <c r="C65" s="277" t="n">
        <v>1.35</v>
      </c>
      <c r="D65" s="277" t="n">
        <v>0.8</v>
      </c>
      <c r="E65" s="277" t="n">
        <v>0.4</v>
      </c>
      <c r="F65" s="277" t="n">
        <v>0.55</v>
      </c>
      <c r="G65" s="277" t="n">
        <v>0.3</v>
      </c>
      <c r="H65" s="277" t="n">
        <v>0.4</v>
      </c>
      <c r="I65" s="277" t="n">
        <v>0.4</v>
      </c>
      <c r="J65" s="277" t="n">
        <v>0.2</v>
      </c>
      <c r="K65" s="277" t="n">
        <v>0.1</v>
      </c>
      <c r="L65" s="243"/>
      <c r="M65" s="243"/>
      <c r="N65" s="277" t="n">
        <v>1.2</v>
      </c>
      <c r="O65" s="277" t="n">
        <v>0</v>
      </c>
      <c r="P65" s="277" t="n">
        <v>0.4</v>
      </c>
      <c r="Q65" s="277" t="n">
        <v>0</v>
      </c>
      <c r="R65" s="277" t="n">
        <v>0</v>
      </c>
      <c r="S65" s="277" t="n">
        <v>0</v>
      </c>
      <c r="T65" s="277"/>
    </row>
    <row r="66" customFormat="false" ht="15" hidden="false" customHeight="false" outlineLevel="0" collapsed="false">
      <c r="A66" s="371" t="s">
        <v>698</v>
      </c>
      <c r="B66" s="277" t="n">
        <f aca="false">B64-B65</f>
        <v>8.65</v>
      </c>
      <c r="C66" s="277" t="n">
        <f aca="false">C64-C65</f>
        <v>8.65</v>
      </c>
      <c r="D66" s="277" t="n">
        <f aca="false">D64-D65</f>
        <v>2.6</v>
      </c>
      <c r="E66" s="277" t="n">
        <f aca="false">E64-E65</f>
        <v>3.2</v>
      </c>
      <c r="F66" s="277" t="n">
        <f aca="false">F64-F65</f>
        <v>3.95</v>
      </c>
      <c r="G66" s="277" t="n">
        <f aca="false">G64-G65</f>
        <v>7.7</v>
      </c>
      <c r="H66" s="277" t="n">
        <f aca="false">H64-H65</f>
        <v>5</v>
      </c>
      <c r="I66" s="277" t="n">
        <f aca="false">I64-I65</f>
        <v>1.7</v>
      </c>
      <c r="J66" s="277" t="n">
        <f aca="false">J64-J65</f>
        <v>3.4</v>
      </c>
      <c r="K66" s="277" t="n">
        <f aca="false">K64-K65</f>
        <v>1.9</v>
      </c>
      <c r="L66" s="243"/>
      <c r="M66" s="243"/>
      <c r="N66" s="277" t="n">
        <f aca="false">N64-N65</f>
        <v>11.6</v>
      </c>
      <c r="O66" s="277" t="n">
        <f aca="false">O64-O65</f>
        <v>2.5</v>
      </c>
      <c r="P66" s="277" t="n">
        <f aca="false">P64-P65</f>
        <v>9.4</v>
      </c>
      <c r="Q66" s="277" t="n">
        <f aca="false">Q64-Q65</f>
        <v>1.5</v>
      </c>
      <c r="R66" s="277" t="n">
        <f aca="false">R64-R65</f>
        <v>1.5</v>
      </c>
      <c r="S66" s="277" t="n">
        <f aca="false">S64-S65</f>
        <v>1.5</v>
      </c>
      <c r="T66" s="277"/>
    </row>
    <row r="67" customFormat="false" ht="15" hidden="false" customHeight="false" outlineLevel="0" collapsed="false">
      <c r="A67" s="371" t="s">
        <v>699</v>
      </c>
      <c r="B67" s="372" t="n">
        <f aca="false">B66*B42/B29/60</f>
        <v>15.2418473174646</v>
      </c>
      <c r="C67" s="372" t="n">
        <f aca="false">C66*C42/C29/60</f>
        <v>15.2418473174646</v>
      </c>
      <c r="D67" s="372" t="n">
        <f aca="false">D66*D42/D29/60</f>
        <v>15.8853990229008</v>
      </c>
      <c r="E67" s="372" t="n">
        <f aca="false">E66*E42/E29/60</f>
        <v>14.145073110358</v>
      </c>
      <c r="F67" s="372" t="n">
        <f aca="false">F66*F42/F29/60</f>
        <v>49.3188381818182</v>
      </c>
      <c r="G67" s="372" t="n">
        <f aca="false">G66*G42/G29/60</f>
        <v>18.2706069512195</v>
      </c>
      <c r="H67" s="372" t="n">
        <f aca="false">H66*H42/H29/60</f>
        <v>176.154</v>
      </c>
      <c r="I67" s="372" t="n">
        <f aca="false">I66*I42/I29/60</f>
        <v>15.3392303857845</v>
      </c>
      <c r="J67" s="372" t="n">
        <f aca="false">J66*J42/J29/60</f>
        <v>23.8200970909091</v>
      </c>
      <c r="K67" s="372" t="n">
        <f aca="false">K66*K42/K29/60</f>
        <v>691.513636363636</v>
      </c>
      <c r="L67" s="448"/>
      <c r="M67" s="448"/>
      <c r="N67" s="372" t="n">
        <f aca="false">N66*N42/N29/60</f>
        <v>23.0590166596172</v>
      </c>
      <c r="O67" s="372" t="n">
        <f aca="false">O66*O42/O29/60</f>
        <v>2238.33602738423</v>
      </c>
      <c r="P67" s="372" t="n">
        <f aca="false">P66*P42/P29/60</f>
        <v>13.9074731121079</v>
      </c>
      <c r="Q67" s="372" t="n">
        <f aca="false">Q66*Q42/Q29/60</f>
        <v>31612.6636363636</v>
      </c>
      <c r="R67" s="372" t="n">
        <f aca="false">R66*R42/R29/60</f>
        <v>3739.89565937603</v>
      </c>
      <c r="S67" s="372" t="n">
        <f aca="false">S66*S42/S29/60</f>
        <v>11649.9095468915</v>
      </c>
      <c r="T67" s="372"/>
    </row>
    <row r="69" customFormat="false" ht="14.25" hidden="false" customHeight="false" outlineLevel="0" collapsed="false">
      <c r="E69" s="449"/>
      <c r="K69" s="449"/>
    </row>
  </sheetData>
  <conditionalFormatting sqref="X17:Z18">
    <cfRule type="expression" priority="2" aboveAverage="0" equalAverage="0" bottom="0" percent="0" rank="0" text="" dxfId="113">
      <formula>OR(X$3="缓冲罐",X$3="缓冲罐")</formula>
    </cfRule>
  </conditionalFormatting>
  <conditionalFormatting sqref="X25:Z25">
    <cfRule type="expression" priority="3" aboveAverage="0" equalAverage="0" bottom="0" percent="0" rank="0" text="" dxfId="114">
      <formula>OR(X9="",X10="")</formula>
    </cfRule>
  </conditionalFormatting>
  <conditionalFormatting sqref="X22:Z24">
    <cfRule type="expression" priority="4" aboveAverage="0" equalAverage="0" bottom="0" percent="0" rank="0" text="" dxfId="115">
      <formula>OR(X$3="缓冲罐",X$3="缓冲罐")</formula>
    </cfRule>
  </conditionalFormatting>
  <conditionalFormatting sqref="X24:Z24">
    <cfRule type="expression" priority="5" aboveAverage="0" equalAverage="0" bottom="0" percent="0" rank="0" text="" dxfId="116">
      <formula>OR(X$3="汽液分离罐",X$3="汽液分离罐")</formula>
    </cfRule>
  </conditionalFormatting>
  <conditionalFormatting sqref="X30:Z30">
    <cfRule type="expression" priority="6" aboveAverage="0" equalAverage="0" bottom="0" percent="0" rank="0" text="" dxfId="117">
      <formula>OR(X$3="缓冲罐",X$3="缓冲罐")</formula>
    </cfRule>
    <cfRule type="expression" priority="7" aboveAverage="0" equalAverage="0" bottom="0" percent="0" rank="0" text="" dxfId="118">
      <formula>OR(X$3="汽液分离罐",X$3="汽液分离罐")</formula>
    </cfRule>
  </conditionalFormatting>
  <conditionalFormatting sqref="X54:Z54">
    <cfRule type="expression" priority="8" aboveAverage="0" equalAverage="0" bottom="0" percent="0" rank="0" text="" dxfId="119">
      <formula>OR(X9="",X10="")</formula>
    </cfRule>
  </conditionalFormatting>
  <conditionalFormatting sqref="X52:Z53">
    <cfRule type="expression" priority="9" aboveAverage="0" equalAverage="0" bottom="0" percent="0" rank="0" text="" dxfId="120">
      <formula>OR(X9="",X10="")</formula>
    </cfRule>
  </conditionalFormatting>
  <conditionalFormatting sqref="X46:Z46">
    <cfRule type="expression" priority="10" aboveAverage="0" equalAverage="0" bottom="0" percent="0" rank="0" text="" dxfId="121">
      <formula>X$3&lt;&gt;"缓冲罐"</formula>
    </cfRule>
  </conditionalFormatting>
  <conditionalFormatting sqref="X44:Z45">
    <cfRule type="expression" priority="11" aboveAverage="0" equalAverage="0" bottom="0" percent="0" rank="0" text="" dxfId="122">
      <formula>OR(X$3="卧式回流罐",X$3="卧式回流罐")</formula>
    </cfRule>
  </conditionalFormatting>
  <conditionalFormatting sqref="X49:Z49">
    <cfRule type="expression" priority="12" aboveAverage="0" equalAverage="0" bottom="0" percent="0" rank="0" text="" dxfId="123">
      <formula>OR(X$3="缓冲罐",X$3="缓冲罐")</formula>
    </cfRule>
  </conditionalFormatting>
  <conditionalFormatting sqref="X44:Z45 X49:Z49">
    <cfRule type="expression" priority="13" aboveAverage="0" equalAverage="0" bottom="0" percent="0" rank="0" text="" dxfId="124">
      <formula>OR(X$3="汽液分离罐",X$3="汽液分离罐")</formula>
    </cfRule>
  </conditionalFormatting>
  <conditionalFormatting sqref="X26:Z26 X28:Z28">
    <cfRule type="expression" priority="14" aboveAverage="0" equalAverage="0" bottom="0" percent="0" rank="0" text="" dxfId="125">
      <formula>OR(X$3="缓冲罐",X$3="缓冲罐")</formula>
    </cfRule>
  </conditionalFormatting>
  <conditionalFormatting sqref="X31:Z31">
    <cfRule type="expression" priority="15" aboveAverage="0" equalAverage="0" bottom="0" percent="0" rank="0" text="" dxfId="126">
      <formula>OR(X$3="缓冲罐",X$3="缓冲罐")</formula>
    </cfRule>
  </conditionalFormatting>
  <conditionalFormatting sqref="X40:Z41">
    <cfRule type="expression" priority="16" aboveAverage="0" equalAverage="0" bottom="0" percent="0" rank="0" text="" dxfId="127">
      <formula>OR(X$3="卧式回流罐",X$3="卧式回流罐")</formula>
    </cfRule>
  </conditionalFormatting>
  <conditionalFormatting sqref="X34:Z34 X37:Z41">
    <cfRule type="expression" priority="17" aboveAverage="0" equalAverage="0" bottom="0" percent="0" rank="0" text="" dxfId="128">
      <formula>OR(X$3="缓冲罐",X$3="缓冲罐")</formula>
    </cfRule>
  </conditionalFormatting>
  <conditionalFormatting sqref="X39:Z39">
    <cfRule type="cellIs" priority="18" operator="equal" aboveAverage="0" equalAverage="0" bottom="0" percent="0" rank="0" text="" dxfId="129">
      <formula>"否"</formula>
    </cfRule>
  </conditionalFormatting>
  <conditionalFormatting sqref="X55:Z55">
    <cfRule type="cellIs" priority="19" operator="notEqual" aboveAverage="0" equalAverage="0" bottom="0" percent="0" rank="0" text="" dxfId="130">
      <formula>"核算通过"</formula>
    </cfRule>
  </conditionalFormatting>
  <conditionalFormatting sqref="X47:Z47">
    <cfRule type="expression" priority="20" aboveAverage="0" equalAverage="0" bottom="0" percent="0" rank="0" text="" dxfId="131">
      <formula>OR(X$3="缓冲罐",X$3="缓冲罐")</formula>
    </cfRule>
  </conditionalFormatting>
  <conditionalFormatting sqref="X32:Z33">
    <cfRule type="expression" priority="21" aboveAverage="0" equalAverage="0" bottom="0" percent="0" rank="0" text="" dxfId="132">
      <formula>OR(X$3="缓冲罐",X$3="缓冲罐")</formula>
    </cfRule>
  </conditionalFormatting>
  <conditionalFormatting sqref="V17:W18">
    <cfRule type="expression" priority="22" aboveAverage="0" equalAverage="0" bottom="0" percent="0" rank="0" text="" dxfId="133">
      <formula>OR(V$3="缓冲罐",V$3="缓冲罐")</formula>
    </cfRule>
  </conditionalFormatting>
  <conditionalFormatting sqref="V25:W25">
    <cfRule type="expression" priority="23" aboveAverage="0" equalAverage="0" bottom="0" percent="0" rank="0" text="" dxfId="134">
      <formula>OR(V9="",V10="")</formula>
    </cfRule>
  </conditionalFormatting>
  <conditionalFormatting sqref="V22:W24">
    <cfRule type="expression" priority="24" aboveAverage="0" equalAverage="0" bottom="0" percent="0" rank="0" text="" dxfId="135">
      <formula>OR(V$3="缓冲罐",V$3="缓冲罐")</formula>
    </cfRule>
  </conditionalFormatting>
  <conditionalFormatting sqref="V24:W24">
    <cfRule type="expression" priority="25" aboveAverage="0" equalAverage="0" bottom="0" percent="0" rank="0" text="" dxfId="136">
      <formula>OR(V$3="汽液分离罐",V$3="汽液分离罐")</formula>
    </cfRule>
  </conditionalFormatting>
  <conditionalFormatting sqref="V30:W30">
    <cfRule type="expression" priority="26" aboveAverage="0" equalAverage="0" bottom="0" percent="0" rank="0" text="" dxfId="137">
      <formula>OR(V$3="缓冲罐",V$3="缓冲罐")</formula>
    </cfRule>
    <cfRule type="expression" priority="27" aboveAverage="0" equalAverage="0" bottom="0" percent="0" rank="0" text="" dxfId="138">
      <formula>OR(V$3="汽液分离罐",V$3="汽液分离罐")</formula>
    </cfRule>
  </conditionalFormatting>
  <conditionalFormatting sqref="V54:W54">
    <cfRule type="expression" priority="28" aboveAverage="0" equalAverage="0" bottom="0" percent="0" rank="0" text="" dxfId="139">
      <formula>OR(V9="",V10="")</formula>
    </cfRule>
  </conditionalFormatting>
  <conditionalFormatting sqref="V52:W53">
    <cfRule type="expression" priority="29" aboveAverage="0" equalAverage="0" bottom="0" percent="0" rank="0" text="" dxfId="140">
      <formula>OR(V9="",V10="")</formula>
    </cfRule>
  </conditionalFormatting>
  <conditionalFormatting sqref="V46:W46">
    <cfRule type="expression" priority="30" aboveAverage="0" equalAverage="0" bottom="0" percent="0" rank="0" text="" dxfId="141">
      <formula>V$3&lt;&gt;"缓冲罐"</formula>
    </cfRule>
  </conditionalFormatting>
  <conditionalFormatting sqref="V44:W45">
    <cfRule type="expression" priority="31" aboveAverage="0" equalAverage="0" bottom="0" percent="0" rank="0" text="" dxfId="142">
      <formula>OR(V$3="卧式回流罐",V$3="卧式回流罐")</formula>
    </cfRule>
  </conditionalFormatting>
  <conditionalFormatting sqref="V49:W49">
    <cfRule type="expression" priority="32" aboveAverage="0" equalAverage="0" bottom="0" percent="0" rank="0" text="" dxfId="143">
      <formula>OR(V$3="缓冲罐",V$3="缓冲罐")</formula>
    </cfRule>
  </conditionalFormatting>
  <conditionalFormatting sqref="V44:W45 V49:W49">
    <cfRule type="expression" priority="33" aboveAverage="0" equalAverage="0" bottom="0" percent="0" rank="0" text="" dxfId="144">
      <formula>OR(V$3="汽液分离罐",V$3="汽液分离罐")</formula>
    </cfRule>
  </conditionalFormatting>
  <conditionalFormatting sqref="V26:W26 V28:W28">
    <cfRule type="expression" priority="34" aboveAverage="0" equalAverage="0" bottom="0" percent="0" rank="0" text="" dxfId="145">
      <formula>OR(V$3="缓冲罐",V$3="缓冲罐")</formula>
    </cfRule>
  </conditionalFormatting>
  <conditionalFormatting sqref="V31:W31">
    <cfRule type="expression" priority="35" aboveAverage="0" equalAverage="0" bottom="0" percent="0" rank="0" text="" dxfId="146">
      <formula>OR(V$3="缓冲罐",V$3="缓冲罐")</formula>
    </cfRule>
  </conditionalFormatting>
  <conditionalFormatting sqref="V40:W41">
    <cfRule type="expression" priority="36" aboveAverage="0" equalAverage="0" bottom="0" percent="0" rank="0" text="" dxfId="147">
      <formula>OR(V$3="卧式回流罐",V$3="卧式回流罐")</formula>
    </cfRule>
  </conditionalFormatting>
  <conditionalFormatting sqref="V34:W34 V37:W41">
    <cfRule type="expression" priority="37" aboveAverage="0" equalAverage="0" bottom="0" percent="0" rank="0" text="" dxfId="148">
      <formula>OR(V$3="缓冲罐",V$3="缓冲罐")</formula>
    </cfRule>
  </conditionalFormatting>
  <conditionalFormatting sqref="V39:W39">
    <cfRule type="cellIs" priority="38" operator="equal" aboveAverage="0" equalAverage="0" bottom="0" percent="0" rank="0" text="" dxfId="149">
      <formula>"否"</formula>
    </cfRule>
  </conditionalFormatting>
  <conditionalFormatting sqref="V55:W55">
    <cfRule type="cellIs" priority="39" operator="notEqual" aboveAverage="0" equalAverage="0" bottom="0" percent="0" rank="0" text="" dxfId="150">
      <formula>"核算通过"</formula>
    </cfRule>
  </conditionalFormatting>
  <conditionalFormatting sqref="V47:W47">
    <cfRule type="expression" priority="40" aboveAverage="0" equalAverage="0" bottom="0" percent="0" rank="0" text="" dxfId="151">
      <formula>OR(V$3="缓冲罐",V$3="缓冲罐")</formula>
    </cfRule>
  </conditionalFormatting>
  <conditionalFormatting sqref="V32:W33">
    <cfRule type="expression" priority="41" aboveAverage="0" equalAverage="0" bottom="0" percent="0" rank="0" text="" dxfId="152">
      <formula>OR(V$3="缓冲罐",V$3="缓冲罐")</formula>
    </cfRule>
  </conditionalFormatting>
  <conditionalFormatting sqref="U17:U18">
    <cfRule type="expression" priority="42" aboveAverage="0" equalAverage="0" bottom="0" percent="0" rank="0" text="" dxfId="153">
      <formula>OR(U$3="缓冲罐",U$3="缓冲罐")</formula>
    </cfRule>
  </conditionalFormatting>
  <conditionalFormatting sqref="U25">
    <cfRule type="expression" priority="43" aboveAverage="0" equalAverage="0" bottom="0" percent="0" rank="0" text="" dxfId="154">
      <formula>OR(U9="",U10="")</formula>
    </cfRule>
  </conditionalFormatting>
  <conditionalFormatting sqref="U22:U24">
    <cfRule type="expression" priority="44" aboveAverage="0" equalAverage="0" bottom="0" percent="0" rank="0" text="" dxfId="155">
      <formula>OR(U$3="缓冲罐",U$3="缓冲罐")</formula>
    </cfRule>
  </conditionalFormatting>
  <conditionalFormatting sqref="U24">
    <cfRule type="expression" priority="45" aboveAverage="0" equalAverage="0" bottom="0" percent="0" rank="0" text="" dxfId="156">
      <formula>OR(U$3="汽液分离罐",U$3="汽液分离罐")</formula>
    </cfRule>
  </conditionalFormatting>
  <conditionalFormatting sqref="U30">
    <cfRule type="expression" priority="46" aboveAverage="0" equalAverage="0" bottom="0" percent="0" rank="0" text="" dxfId="157">
      <formula>OR(U$3="缓冲罐",U$3="缓冲罐")</formula>
    </cfRule>
  </conditionalFormatting>
  <conditionalFormatting sqref="U30">
    <cfRule type="expression" priority="47" aboveAverage="0" equalAverage="0" bottom="0" percent="0" rank="0" text="" dxfId="158">
      <formula>OR(U$3="汽液分离罐",U$3="汽液分离罐")</formula>
    </cfRule>
  </conditionalFormatting>
  <conditionalFormatting sqref="U54">
    <cfRule type="expression" priority="48" aboveAverage="0" equalAverage="0" bottom="0" percent="0" rank="0" text="" dxfId="159">
      <formula>OR(U9="",U10="")</formula>
    </cfRule>
  </conditionalFormatting>
  <conditionalFormatting sqref="U52:U53">
    <cfRule type="expression" priority="49" aboveAverage="0" equalAverage="0" bottom="0" percent="0" rank="0" text="" dxfId="160">
      <formula>OR(U9="",U10="")</formula>
    </cfRule>
  </conditionalFormatting>
  <conditionalFormatting sqref="U46">
    <cfRule type="expression" priority="50" aboveAverage="0" equalAverage="0" bottom="0" percent="0" rank="0" text="" dxfId="161">
      <formula>U$3&lt;&gt;"缓冲罐"</formula>
    </cfRule>
  </conditionalFormatting>
  <conditionalFormatting sqref="U44:U45">
    <cfRule type="expression" priority="51" aboveAverage="0" equalAverage="0" bottom="0" percent="0" rank="0" text="" dxfId="162">
      <formula>OR(U$3="卧式回流罐",U$3="卧式回流罐")</formula>
    </cfRule>
  </conditionalFormatting>
  <conditionalFormatting sqref="U49">
    <cfRule type="expression" priority="52" aboveAverage="0" equalAverage="0" bottom="0" percent="0" rank="0" text="" dxfId="163">
      <formula>OR(U$3="缓冲罐",U$3="缓冲罐")</formula>
    </cfRule>
  </conditionalFormatting>
  <conditionalFormatting sqref="U44:U45 U49">
    <cfRule type="expression" priority="53" aboveAverage="0" equalAverage="0" bottom="0" percent="0" rank="0" text="" dxfId="164">
      <formula>OR(U$3="汽液分离罐",U$3="汽液分离罐")</formula>
    </cfRule>
  </conditionalFormatting>
  <conditionalFormatting sqref="U26 U28">
    <cfRule type="expression" priority="54" aboveAverage="0" equalAverage="0" bottom="0" percent="0" rank="0" text="" dxfId="165">
      <formula>OR(U$3="缓冲罐",U$3="缓冲罐")</formula>
    </cfRule>
  </conditionalFormatting>
  <conditionalFormatting sqref="U31">
    <cfRule type="expression" priority="55" aboveAverage="0" equalAverage="0" bottom="0" percent="0" rank="0" text="" dxfId="166">
      <formula>OR(U$3="缓冲罐",U$3="缓冲罐")</formula>
    </cfRule>
  </conditionalFormatting>
  <conditionalFormatting sqref="U40:U41">
    <cfRule type="expression" priority="56" aboveAverage="0" equalAverage="0" bottom="0" percent="0" rank="0" text="" dxfId="167">
      <formula>OR(U$3="卧式回流罐",U$3="卧式回流罐")</formula>
    </cfRule>
  </conditionalFormatting>
  <conditionalFormatting sqref="U34 U37:U41">
    <cfRule type="expression" priority="57" aboveAverage="0" equalAverage="0" bottom="0" percent="0" rank="0" text="" dxfId="168">
      <formula>OR(U$3="缓冲罐",U$3="缓冲罐")</formula>
    </cfRule>
  </conditionalFormatting>
  <conditionalFormatting sqref="U39">
    <cfRule type="cellIs" priority="58" operator="equal" aboveAverage="0" equalAverage="0" bottom="0" percent="0" rank="0" text="" dxfId="169">
      <formula>"否"</formula>
    </cfRule>
  </conditionalFormatting>
  <conditionalFormatting sqref="U55">
    <cfRule type="cellIs" priority="59" operator="notEqual" aboveAverage="0" equalAverage="0" bottom="0" percent="0" rank="0" text="" dxfId="170">
      <formula>"核算通过"</formula>
    </cfRule>
  </conditionalFormatting>
  <conditionalFormatting sqref="U47">
    <cfRule type="expression" priority="60" aboveAverage="0" equalAverage="0" bottom="0" percent="0" rank="0" text="" dxfId="171">
      <formula>OR(U$3="缓冲罐",U$3="缓冲罐")</formula>
    </cfRule>
  </conditionalFormatting>
  <conditionalFormatting sqref="U32:U33">
    <cfRule type="expression" priority="61" aboveAverage="0" equalAverage="0" bottom="0" percent="0" rank="0" text="" dxfId="172">
      <formula>OR(U$3="缓冲罐",U$3="缓冲罐")</formula>
    </cfRule>
  </conditionalFormatting>
  <conditionalFormatting sqref="T17:T18">
    <cfRule type="expression" priority="62" aboveAverage="0" equalAverage="0" bottom="0" percent="0" rank="0" text="" dxfId="173">
      <formula>OR(T$3="缓冲罐",T$3="缓冲罐")</formula>
    </cfRule>
  </conditionalFormatting>
  <conditionalFormatting sqref="T25">
    <cfRule type="expression" priority="63" aboveAverage="0" equalAverage="0" bottom="0" percent="0" rank="0" text="" dxfId="174">
      <formula>OR(T9="",T10="")</formula>
    </cfRule>
  </conditionalFormatting>
  <conditionalFormatting sqref="T22:T24">
    <cfRule type="expression" priority="64" aboveAverage="0" equalAverage="0" bottom="0" percent="0" rank="0" text="" dxfId="175">
      <formula>OR(T$3="缓冲罐",T$3="缓冲罐")</formula>
    </cfRule>
  </conditionalFormatting>
  <conditionalFormatting sqref="T24">
    <cfRule type="expression" priority="65" aboveAverage="0" equalAverage="0" bottom="0" percent="0" rank="0" text="" dxfId="176">
      <formula>OR(T$3="汽液分离罐",T$3="汽液分离罐")</formula>
    </cfRule>
  </conditionalFormatting>
  <conditionalFormatting sqref="T30">
    <cfRule type="expression" priority="66" aboveAverage="0" equalAverage="0" bottom="0" percent="0" rank="0" text="" dxfId="177">
      <formula>OR(T$3="缓冲罐",T$3="缓冲罐")</formula>
    </cfRule>
  </conditionalFormatting>
  <conditionalFormatting sqref="T30">
    <cfRule type="expression" priority="67" aboveAverage="0" equalAverage="0" bottom="0" percent="0" rank="0" text="" dxfId="178">
      <formula>OR(T$3="汽液分离罐",T$3="汽液分离罐")</formula>
    </cfRule>
  </conditionalFormatting>
  <conditionalFormatting sqref="T54">
    <cfRule type="expression" priority="68" aboveAverage="0" equalAverage="0" bottom="0" percent="0" rank="0" text="" dxfId="179">
      <formula>OR(T9="",T10="")</formula>
    </cfRule>
  </conditionalFormatting>
  <conditionalFormatting sqref="T52:T53">
    <cfRule type="expression" priority="69" aboveAverage="0" equalAverage="0" bottom="0" percent="0" rank="0" text="" dxfId="180">
      <formula>OR(T9="",T10="")</formula>
    </cfRule>
  </conditionalFormatting>
  <conditionalFormatting sqref="T46">
    <cfRule type="expression" priority="70" aboveAverage="0" equalAverage="0" bottom="0" percent="0" rank="0" text="" dxfId="181">
      <formula>T$3&lt;&gt;"缓冲罐"</formula>
    </cfRule>
  </conditionalFormatting>
  <conditionalFormatting sqref="T44:T45">
    <cfRule type="expression" priority="71" aboveAverage="0" equalAverage="0" bottom="0" percent="0" rank="0" text="" dxfId="182">
      <formula>OR(T$3="卧式回流罐",T$3="卧式回流罐")</formula>
    </cfRule>
  </conditionalFormatting>
  <conditionalFormatting sqref="T49">
    <cfRule type="expression" priority="72" aboveAverage="0" equalAverage="0" bottom="0" percent="0" rank="0" text="" dxfId="183">
      <formula>OR(T$3="缓冲罐",T$3="缓冲罐")</formula>
    </cfRule>
  </conditionalFormatting>
  <conditionalFormatting sqref="T44:T45 T49">
    <cfRule type="expression" priority="73" aboveAverage="0" equalAverage="0" bottom="0" percent="0" rank="0" text="" dxfId="184">
      <formula>OR(T$3="汽液分离罐",T$3="汽液分离罐")</formula>
    </cfRule>
  </conditionalFormatting>
  <conditionalFormatting sqref="T26 T28">
    <cfRule type="expression" priority="74" aboveAverage="0" equalAverage="0" bottom="0" percent="0" rank="0" text="" dxfId="185">
      <formula>OR(T$3="缓冲罐",T$3="缓冲罐")</formula>
    </cfRule>
  </conditionalFormatting>
  <conditionalFormatting sqref="T31">
    <cfRule type="expression" priority="75" aboveAverage="0" equalAverage="0" bottom="0" percent="0" rank="0" text="" dxfId="186">
      <formula>OR(T$3="缓冲罐",T$3="缓冲罐")</formula>
    </cfRule>
  </conditionalFormatting>
  <conditionalFormatting sqref="T40:T41">
    <cfRule type="expression" priority="76" aboveAverage="0" equalAverage="0" bottom="0" percent="0" rank="0" text="" dxfId="187">
      <formula>OR(T$3="卧式回流罐",T$3="卧式回流罐")</formula>
    </cfRule>
  </conditionalFormatting>
  <conditionalFormatting sqref="T34 T37:T41">
    <cfRule type="expression" priority="77" aboveAverage="0" equalAverage="0" bottom="0" percent="0" rank="0" text="" dxfId="188">
      <formula>OR(T$3="缓冲罐",T$3="缓冲罐")</formula>
    </cfRule>
  </conditionalFormatting>
  <conditionalFormatting sqref="T39">
    <cfRule type="cellIs" priority="78" operator="equal" aboveAverage="0" equalAverage="0" bottom="0" percent="0" rank="0" text="" dxfId="189">
      <formula>"否"</formula>
    </cfRule>
  </conditionalFormatting>
  <conditionalFormatting sqref="T55">
    <cfRule type="cellIs" priority="79" operator="notEqual" aboveAverage="0" equalAverage="0" bottom="0" percent="0" rank="0" text="" dxfId="190">
      <formula>"核算通过"</formula>
    </cfRule>
  </conditionalFormatting>
  <conditionalFormatting sqref="S17:S18">
    <cfRule type="expression" priority="80" aboveAverage="0" equalAverage="0" bottom="0" percent="0" rank="0" text="" dxfId="191">
      <formula>OR(S$3="缓冲罐",S$3="缓冲罐")</formula>
    </cfRule>
  </conditionalFormatting>
  <conditionalFormatting sqref="S25">
    <cfRule type="expression" priority="81" aboveAverage="0" equalAverage="0" bottom="0" percent="0" rank="0" text="" dxfId="192">
      <formula>OR(S9="",S10="")</formula>
    </cfRule>
  </conditionalFormatting>
  <conditionalFormatting sqref="S22:S24">
    <cfRule type="expression" priority="82" aboveAverage="0" equalAverage="0" bottom="0" percent="0" rank="0" text="" dxfId="193">
      <formula>OR(S$3="缓冲罐",S$3="缓冲罐")</formula>
    </cfRule>
  </conditionalFormatting>
  <conditionalFormatting sqref="S24">
    <cfRule type="expression" priority="83" aboveAverage="0" equalAverage="0" bottom="0" percent="0" rank="0" text="" dxfId="194">
      <formula>OR(S$3="汽液分离罐",S$3="汽液分离罐")</formula>
    </cfRule>
  </conditionalFormatting>
  <conditionalFormatting sqref="S30">
    <cfRule type="expression" priority="84" aboveAverage="0" equalAverage="0" bottom="0" percent="0" rank="0" text="" dxfId="195">
      <formula>OR(S$3="缓冲罐",S$3="缓冲罐")</formula>
    </cfRule>
  </conditionalFormatting>
  <conditionalFormatting sqref="S30">
    <cfRule type="expression" priority="85" aboveAverage="0" equalAverage="0" bottom="0" percent="0" rank="0" text="" dxfId="196">
      <formula>OR(S$3="汽液分离罐",S$3="汽液分离罐")</formula>
    </cfRule>
  </conditionalFormatting>
  <conditionalFormatting sqref="S47:T47">
    <cfRule type="expression" priority="86" aboveAverage="0" equalAverage="0" bottom="0" percent="0" rank="0" text="" dxfId="197">
      <formula>OR(S$3="缓冲罐",S$3="缓冲罐")</formula>
    </cfRule>
  </conditionalFormatting>
  <conditionalFormatting sqref="S54">
    <cfRule type="expression" priority="87" aboveAverage="0" equalAverage="0" bottom="0" percent="0" rank="0" text="" dxfId="198">
      <formula>OR(S9="",S10="")</formula>
    </cfRule>
  </conditionalFormatting>
  <conditionalFormatting sqref="S52:S53">
    <cfRule type="expression" priority="88" aboveAverage="0" equalAverage="0" bottom="0" percent="0" rank="0" text="" dxfId="199">
      <formula>OR(S9="",S10="")</formula>
    </cfRule>
  </conditionalFormatting>
  <conditionalFormatting sqref="S46">
    <cfRule type="expression" priority="89" aboveAverage="0" equalAverage="0" bottom="0" percent="0" rank="0" text="" dxfId="200">
      <formula>S$3&lt;&gt;"缓冲罐"</formula>
    </cfRule>
  </conditionalFormatting>
  <conditionalFormatting sqref="S44:S45">
    <cfRule type="expression" priority="90" aboveAverage="0" equalAverage="0" bottom="0" percent="0" rank="0" text="" dxfId="201">
      <formula>OR(S$3="卧式回流罐",S$3="卧式回流罐")</formula>
    </cfRule>
  </conditionalFormatting>
  <conditionalFormatting sqref="S49">
    <cfRule type="expression" priority="91" aboveAverage="0" equalAverage="0" bottom="0" percent="0" rank="0" text="" dxfId="202">
      <formula>OR(S$3="缓冲罐",S$3="缓冲罐")</formula>
    </cfRule>
  </conditionalFormatting>
  <conditionalFormatting sqref="S44:S45 S49">
    <cfRule type="expression" priority="92" aboveAverage="0" equalAverage="0" bottom="0" percent="0" rank="0" text="" dxfId="203">
      <formula>OR(S$3="汽液分离罐",S$3="汽液分离罐")</formula>
    </cfRule>
  </conditionalFormatting>
  <conditionalFormatting sqref="S26 S28">
    <cfRule type="expression" priority="93" aboveAverage="0" equalAverage="0" bottom="0" percent="0" rank="0" text="" dxfId="204">
      <formula>OR(S$3="缓冲罐",S$3="缓冲罐")</formula>
    </cfRule>
  </conditionalFormatting>
  <conditionalFormatting sqref="S31">
    <cfRule type="expression" priority="94" aboveAverage="0" equalAverage="0" bottom="0" percent="0" rank="0" text="" dxfId="205">
      <formula>OR(S$3="缓冲罐",S$3="缓冲罐")</formula>
    </cfRule>
  </conditionalFormatting>
  <conditionalFormatting sqref="S40:S41">
    <cfRule type="expression" priority="95" aboveAverage="0" equalAverage="0" bottom="0" percent="0" rank="0" text="" dxfId="206">
      <formula>OR(S$3="卧式回流罐",S$3="卧式回流罐")</formula>
    </cfRule>
  </conditionalFormatting>
  <conditionalFormatting sqref="S34 S37:S41">
    <cfRule type="expression" priority="96" aboveAverage="0" equalAverage="0" bottom="0" percent="0" rank="0" text="" dxfId="207">
      <formula>OR(S$3="缓冲罐",S$3="缓冲罐")</formula>
    </cfRule>
  </conditionalFormatting>
  <conditionalFormatting sqref="S39">
    <cfRule type="cellIs" priority="97" operator="equal" aboveAverage="0" equalAverage="0" bottom="0" percent="0" rank="0" text="" dxfId="208">
      <formula>"否"</formula>
    </cfRule>
  </conditionalFormatting>
  <conditionalFormatting sqref="S55">
    <cfRule type="cellIs" priority="98" operator="notEqual" aboveAverage="0" equalAverage="0" bottom="0" percent="0" rank="0" text="" dxfId="209">
      <formula>"核算通过"</formula>
    </cfRule>
  </conditionalFormatting>
  <conditionalFormatting sqref="S32:T33">
    <cfRule type="expression" priority="99" aboveAverage="0" equalAverage="0" bottom="0" percent="0" rank="0" text="" dxfId="210">
      <formula>OR(S$3="缓冲罐",S$3="缓冲罐")</formula>
    </cfRule>
  </conditionalFormatting>
  <conditionalFormatting sqref="R17:R18">
    <cfRule type="expression" priority="100" aboveAverage="0" equalAverage="0" bottom="0" percent="0" rank="0" text="" dxfId="211">
      <formula>OR(R$3="缓冲罐",R$3="缓冲罐")</formula>
    </cfRule>
  </conditionalFormatting>
  <conditionalFormatting sqref="R25">
    <cfRule type="expression" priority="101" aboveAverage="0" equalAverage="0" bottom="0" percent="0" rank="0" text="" dxfId="212">
      <formula>OR(R9="",R10="")</formula>
    </cfRule>
  </conditionalFormatting>
  <conditionalFormatting sqref="R22:R24">
    <cfRule type="expression" priority="102" aboveAverage="0" equalAverage="0" bottom="0" percent="0" rank="0" text="" dxfId="213">
      <formula>OR(R$3="缓冲罐",R$3="缓冲罐")</formula>
    </cfRule>
  </conditionalFormatting>
  <conditionalFormatting sqref="R24">
    <cfRule type="expression" priority="103" aboveAverage="0" equalAverage="0" bottom="0" percent="0" rank="0" text="" dxfId="214">
      <formula>OR(R$3="汽液分离罐",R$3="汽液分离罐")</formula>
    </cfRule>
  </conditionalFormatting>
  <conditionalFormatting sqref="R30">
    <cfRule type="expression" priority="104" aboveAverage="0" equalAverage="0" bottom="0" percent="0" rank="0" text="" dxfId="215">
      <formula>OR(R$3="缓冲罐",R$3="缓冲罐")</formula>
    </cfRule>
  </conditionalFormatting>
  <conditionalFormatting sqref="R30">
    <cfRule type="expression" priority="105" aboveAverage="0" equalAverage="0" bottom="0" percent="0" rank="0" text="" dxfId="216">
      <formula>OR(R$3="汽液分离罐",R$3="汽液分离罐")</formula>
    </cfRule>
  </conditionalFormatting>
  <conditionalFormatting sqref="R47">
    <cfRule type="expression" priority="106" aboveAverage="0" equalAverage="0" bottom="0" percent="0" rank="0" text="" dxfId="217">
      <formula>OR(R$3="缓冲罐",R$3="缓冲罐")</formula>
    </cfRule>
  </conditionalFormatting>
  <conditionalFormatting sqref="R54">
    <cfRule type="expression" priority="107" aboveAverage="0" equalAverage="0" bottom="0" percent="0" rank="0" text="" dxfId="218">
      <formula>OR(R9="",R10="")</formula>
    </cfRule>
  </conditionalFormatting>
  <conditionalFormatting sqref="R52:R53">
    <cfRule type="expression" priority="108" aboveAverage="0" equalAverage="0" bottom="0" percent="0" rank="0" text="" dxfId="219">
      <formula>OR(R9="",R10="")</formula>
    </cfRule>
  </conditionalFormatting>
  <conditionalFormatting sqref="R46">
    <cfRule type="expression" priority="109" aboveAverage="0" equalAverage="0" bottom="0" percent="0" rank="0" text="" dxfId="220">
      <formula>R$3&lt;&gt;"缓冲罐"</formula>
    </cfRule>
  </conditionalFormatting>
  <conditionalFormatting sqref="R44:R45">
    <cfRule type="expression" priority="110" aboveAverage="0" equalAverage="0" bottom="0" percent="0" rank="0" text="" dxfId="221">
      <formula>OR(R$3="卧式回流罐",R$3="卧式回流罐")</formula>
    </cfRule>
  </conditionalFormatting>
  <conditionalFormatting sqref="R49">
    <cfRule type="expression" priority="111" aboveAverage="0" equalAverage="0" bottom="0" percent="0" rank="0" text="" dxfId="222">
      <formula>OR(R$3="缓冲罐",R$3="缓冲罐")</formula>
    </cfRule>
  </conditionalFormatting>
  <conditionalFormatting sqref="R44:R45 R49">
    <cfRule type="expression" priority="112" aboveAverage="0" equalAverage="0" bottom="0" percent="0" rank="0" text="" dxfId="223">
      <formula>OR(R$3="汽液分离罐",R$3="汽液分离罐")</formula>
    </cfRule>
  </conditionalFormatting>
  <conditionalFormatting sqref="R26 R28">
    <cfRule type="expression" priority="113" aboveAverage="0" equalAverage="0" bottom="0" percent="0" rank="0" text="" dxfId="224">
      <formula>OR(R$3="缓冲罐",R$3="缓冲罐")</formula>
    </cfRule>
  </conditionalFormatting>
  <conditionalFormatting sqref="R31">
    <cfRule type="expression" priority="114" aboveAverage="0" equalAverage="0" bottom="0" percent="0" rank="0" text="" dxfId="225">
      <formula>OR(R$3="缓冲罐",R$3="缓冲罐")</formula>
    </cfRule>
  </conditionalFormatting>
  <conditionalFormatting sqref="R40:R41">
    <cfRule type="expression" priority="115" aboveAverage="0" equalAverage="0" bottom="0" percent="0" rank="0" text="" dxfId="226">
      <formula>OR(R$3="卧式回流罐",R$3="卧式回流罐")</formula>
    </cfRule>
  </conditionalFormatting>
  <conditionalFormatting sqref="R34 R37:R41">
    <cfRule type="expression" priority="116" aboveAverage="0" equalAverage="0" bottom="0" percent="0" rank="0" text="" dxfId="227">
      <formula>OR(R$3="缓冲罐",R$3="缓冲罐")</formula>
    </cfRule>
  </conditionalFormatting>
  <conditionalFormatting sqref="R39">
    <cfRule type="cellIs" priority="117" operator="equal" aboveAverage="0" equalAverage="0" bottom="0" percent="0" rank="0" text="" dxfId="228">
      <formula>"否"</formula>
    </cfRule>
  </conditionalFormatting>
  <conditionalFormatting sqref="R55">
    <cfRule type="cellIs" priority="118" operator="notEqual" aboveAverage="0" equalAverage="0" bottom="0" percent="0" rank="0" text="" dxfId="229">
      <formula>"核算通过"</formula>
    </cfRule>
  </conditionalFormatting>
  <conditionalFormatting sqref="R32:R33">
    <cfRule type="expression" priority="119" aboveAverage="0" equalAverage="0" bottom="0" percent="0" rank="0" text="" dxfId="230">
      <formula>OR(R$3="缓冲罐",R$3="缓冲罐")</formula>
    </cfRule>
  </conditionalFormatting>
  <conditionalFormatting sqref="Q17:Q18">
    <cfRule type="expression" priority="120" aboveAverage="0" equalAverage="0" bottom="0" percent="0" rank="0" text="" dxfId="231">
      <formula>OR(Q$3="缓冲罐",Q$3="缓冲罐")</formula>
    </cfRule>
  </conditionalFormatting>
  <conditionalFormatting sqref="Q25">
    <cfRule type="expression" priority="121" aboveAverage="0" equalAverage="0" bottom="0" percent="0" rank="0" text="" dxfId="232">
      <formula>OR(Q9="",Q10="")</formula>
    </cfRule>
  </conditionalFormatting>
  <conditionalFormatting sqref="Q22:Q24">
    <cfRule type="expression" priority="122" aboveAverage="0" equalAverage="0" bottom="0" percent="0" rank="0" text="" dxfId="233">
      <formula>OR(Q$3="缓冲罐",Q$3="缓冲罐")</formula>
    </cfRule>
  </conditionalFormatting>
  <conditionalFormatting sqref="Q24">
    <cfRule type="expression" priority="123" aboveAverage="0" equalAverage="0" bottom="0" percent="0" rank="0" text="" dxfId="234">
      <formula>OR(Q$3="汽液分离罐",Q$3="汽液分离罐")</formula>
    </cfRule>
  </conditionalFormatting>
  <conditionalFormatting sqref="Q30">
    <cfRule type="expression" priority="124" aboveAverage="0" equalAverage="0" bottom="0" percent="0" rank="0" text="" dxfId="235">
      <formula>OR(Q$3="缓冲罐",Q$3="缓冲罐")</formula>
    </cfRule>
  </conditionalFormatting>
  <conditionalFormatting sqref="Q30">
    <cfRule type="expression" priority="125" aboveAverage="0" equalAverage="0" bottom="0" percent="0" rank="0" text="" dxfId="236">
      <formula>OR(Q$3="汽液分离罐",Q$3="汽液分离罐")</formula>
    </cfRule>
  </conditionalFormatting>
  <conditionalFormatting sqref="Q47">
    <cfRule type="expression" priority="126" aboveAverage="0" equalAverage="0" bottom="0" percent="0" rank="0" text="" dxfId="237">
      <formula>OR(Q$3="缓冲罐",Q$3="缓冲罐")</formula>
    </cfRule>
  </conditionalFormatting>
  <conditionalFormatting sqref="Q54">
    <cfRule type="expression" priority="127" aboveAverage="0" equalAverage="0" bottom="0" percent="0" rank="0" text="" dxfId="238">
      <formula>OR(Q9="",Q10="")</formula>
    </cfRule>
  </conditionalFormatting>
  <conditionalFormatting sqref="Q52:Q53">
    <cfRule type="expression" priority="128" aboveAverage="0" equalAverage="0" bottom="0" percent="0" rank="0" text="" dxfId="239">
      <formula>OR(Q9="",Q10="")</formula>
    </cfRule>
  </conditionalFormatting>
  <conditionalFormatting sqref="Q46">
    <cfRule type="expression" priority="129" aboveAverage="0" equalAverage="0" bottom="0" percent="0" rank="0" text="" dxfId="240">
      <formula>Q$3&lt;&gt;"缓冲罐"</formula>
    </cfRule>
  </conditionalFormatting>
  <conditionalFormatting sqref="Q44:Q45">
    <cfRule type="expression" priority="130" aboveAverage="0" equalAverage="0" bottom="0" percent="0" rank="0" text="" dxfId="241">
      <formula>OR(Q$3="卧式回流罐",Q$3="卧式回流罐")</formula>
    </cfRule>
  </conditionalFormatting>
  <conditionalFormatting sqref="Q49">
    <cfRule type="expression" priority="131" aboveAverage="0" equalAverage="0" bottom="0" percent="0" rank="0" text="" dxfId="242">
      <formula>OR(Q$3="缓冲罐",Q$3="缓冲罐")</formula>
    </cfRule>
  </conditionalFormatting>
  <conditionalFormatting sqref="Q44:Q45 Q49">
    <cfRule type="expression" priority="132" aboveAverage="0" equalAverage="0" bottom="0" percent="0" rank="0" text="" dxfId="243">
      <formula>OR(Q$3="汽液分离罐",Q$3="汽液分离罐")</formula>
    </cfRule>
  </conditionalFormatting>
  <conditionalFormatting sqref="Q26 Q28">
    <cfRule type="expression" priority="133" aboveAverage="0" equalAverage="0" bottom="0" percent="0" rank="0" text="" dxfId="244">
      <formula>OR(Q$3="缓冲罐",Q$3="缓冲罐")</formula>
    </cfRule>
  </conditionalFormatting>
  <conditionalFormatting sqref="Q31">
    <cfRule type="expression" priority="134" aboveAverage="0" equalAverage="0" bottom="0" percent="0" rank="0" text="" dxfId="245">
      <formula>OR(Q$3="缓冲罐",Q$3="缓冲罐")</formula>
    </cfRule>
  </conditionalFormatting>
  <conditionalFormatting sqref="Q40:Q41">
    <cfRule type="expression" priority="135" aboveAverage="0" equalAverage="0" bottom="0" percent="0" rank="0" text="" dxfId="246">
      <formula>OR(Q$3="卧式回流罐",Q$3="卧式回流罐")</formula>
    </cfRule>
  </conditionalFormatting>
  <conditionalFormatting sqref="Q34 Q37:Q41">
    <cfRule type="expression" priority="136" aboveAverage="0" equalAverage="0" bottom="0" percent="0" rank="0" text="" dxfId="247">
      <formula>OR(Q$3="缓冲罐",Q$3="缓冲罐")</formula>
    </cfRule>
  </conditionalFormatting>
  <conditionalFormatting sqref="Q39">
    <cfRule type="cellIs" priority="137" operator="equal" aboveAverage="0" equalAverage="0" bottom="0" percent="0" rank="0" text="" dxfId="248">
      <formula>"否"</formula>
    </cfRule>
  </conditionalFormatting>
  <conditionalFormatting sqref="Q55">
    <cfRule type="cellIs" priority="138" operator="notEqual" aboveAverage="0" equalAverage="0" bottom="0" percent="0" rank="0" text="" dxfId="249">
      <formula>"核算通过"</formula>
    </cfRule>
  </conditionalFormatting>
  <conditionalFormatting sqref="P17:P18">
    <cfRule type="expression" priority="139" aboveAverage="0" equalAverage="0" bottom="0" percent="0" rank="0" text="" dxfId="250">
      <formula>OR(P$3="缓冲罐",P$3="缓冲罐")</formula>
    </cfRule>
  </conditionalFormatting>
  <conditionalFormatting sqref="P25">
    <cfRule type="expression" priority="140" aboveAverage="0" equalAverage="0" bottom="0" percent="0" rank="0" text="" dxfId="251">
      <formula>OR(P9="",P10="")</formula>
    </cfRule>
  </conditionalFormatting>
  <conditionalFormatting sqref="P22:P24">
    <cfRule type="expression" priority="141" aboveAverage="0" equalAverage="0" bottom="0" percent="0" rank="0" text="" dxfId="252">
      <formula>OR(P$3="缓冲罐",P$3="缓冲罐")</formula>
    </cfRule>
  </conditionalFormatting>
  <conditionalFormatting sqref="P24">
    <cfRule type="expression" priority="142" aboveAverage="0" equalAverage="0" bottom="0" percent="0" rank="0" text="" dxfId="253">
      <formula>OR(P$3="汽液分离罐",P$3="汽液分离罐")</formula>
    </cfRule>
  </conditionalFormatting>
  <conditionalFormatting sqref="P30">
    <cfRule type="expression" priority="143" aboveAverage="0" equalAverage="0" bottom="0" percent="0" rank="0" text="" dxfId="254">
      <formula>OR(P$3="缓冲罐",P$3="缓冲罐")</formula>
    </cfRule>
  </conditionalFormatting>
  <conditionalFormatting sqref="P30">
    <cfRule type="expression" priority="144" aboveAverage="0" equalAverage="0" bottom="0" percent="0" rank="0" text="" dxfId="255">
      <formula>OR(P$3="汽液分离罐",P$3="汽液分离罐")</formula>
    </cfRule>
  </conditionalFormatting>
  <conditionalFormatting sqref="P47 P32:Q33">
    <cfRule type="expression" priority="145" aboveAverage="0" equalAverage="0" bottom="0" percent="0" rank="0" text="" dxfId="256">
      <formula>OR(P$3="缓冲罐",P$3="缓冲罐")</formula>
    </cfRule>
  </conditionalFormatting>
  <conditionalFormatting sqref="P54">
    <cfRule type="expression" priority="146" aboveAverage="0" equalAverage="0" bottom="0" percent="0" rank="0" text="" dxfId="257">
      <formula>OR(P9="",P10="")</formula>
    </cfRule>
  </conditionalFormatting>
  <conditionalFormatting sqref="P52:P53">
    <cfRule type="expression" priority="147" aboveAverage="0" equalAverage="0" bottom="0" percent="0" rank="0" text="" dxfId="258">
      <formula>OR(P9="",P10="")</formula>
    </cfRule>
  </conditionalFormatting>
  <conditionalFormatting sqref="P46">
    <cfRule type="expression" priority="148" aboveAverage="0" equalAverage="0" bottom="0" percent="0" rank="0" text="" dxfId="259">
      <formula>P$3&lt;&gt;"缓冲罐"</formula>
    </cfRule>
  </conditionalFormatting>
  <conditionalFormatting sqref="P44:P45">
    <cfRule type="expression" priority="149" aboveAverage="0" equalAverage="0" bottom="0" percent="0" rank="0" text="" dxfId="260">
      <formula>OR(P$3="卧式回流罐",P$3="卧式回流罐")</formula>
    </cfRule>
  </conditionalFormatting>
  <conditionalFormatting sqref="P49">
    <cfRule type="expression" priority="150" aboveAverage="0" equalAverage="0" bottom="0" percent="0" rank="0" text="" dxfId="261">
      <formula>OR(P$3="缓冲罐",P$3="缓冲罐")</formula>
    </cfRule>
  </conditionalFormatting>
  <conditionalFormatting sqref="P44:P45 P49">
    <cfRule type="expression" priority="151" aboveAverage="0" equalAverage="0" bottom="0" percent="0" rank="0" text="" dxfId="262">
      <formula>OR(P$3="汽液分离罐",P$3="汽液分离罐")</formula>
    </cfRule>
  </conditionalFormatting>
  <conditionalFormatting sqref="N17:O18">
    <cfRule type="expression" priority="152" aboveAverage="0" equalAverage="0" bottom="0" percent="0" rank="0" text="" dxfId="263">
      <formula>OR(N$3="缓冲罐",N$3="缓冲罐")</formula>
    </cfRule>
  </conditionalFormatting>
  <conditionalFormatting sqref="O25">
    <cfRule type="expression" priority="153" aboveAverage="0" equalAverage="0" bottom="0" percent="0" rank="0" text="" dxfId="264">
      <formula>OR(O9="",O10="")</formula>
    </cfRule>
  </conditionalFormatting>
  <conditionalFormatting sqref="O22:O24 O26:P26 O28:P28">
    <cfRule type="expression" priority="154" aboveAverage="0" equalAverage="0" bottom="0" percent="0" rank="0" text="" dxfId="265">
      <formula>OR(O$3="缓冲罐",O$3="缓冲罐")</formula>
    </cfRule>
  </conditionalFormatting>
  <conditionalFormatting sqref="O24">
    <cfRule type="expression" priority="155" aboveAverage="0" equalAverage="0" bottom="0" percent="0" rank="0" text="" dxfId="266">
      <formula>OR(O$3="汽液分离罐",O$3="汽液分离罐")</formula>
    </cfRule>
  </conditionalFormatting>
  <conditionalFormatting sqref="O30:O31 P31">
    <cfRule type="expression" priority="156" aboveAverage="0" equalAverage="0" bottom="0" percent="0" rank="0" text="" dxfId="267">
      <formula>OR(O$3="缓冲罐",O$3="缓冲罐")</formula>
    </cfRule>
  </conditionalFormatting>
  <conditionalFormatting sqref="O30">
    <cfRule type="expression" priority="157" aboveAverage="0" equalAverage="0" bottom="0" percent="0" rank="0" text="" dxfId="268">
      <formula>OR(O$3="汽液分离罐",O$3="汽液分离罐")</formula>
    </cfRule>
  </conditionalFormatting>
  <conditionalFormatting sqref="O32:O33 O47">
    <cfRule type="expression" priority="158" aboveAverage="0" equalAverage="0" bottom="0" percent="0" rank="0" text="" dxfId="269">
      <formula>OR(O$3="缓冲罐",O$3="缓冲罐")</formula>
    </cfRule>
  </conditionalFormatting>
  <conditionalFormatting sqref="O54">
    <cfRule type="expression" priority="159" aboveAverage="0" equalAverage="0" bottom="0" percent="0" rank="0" text="" dxfId="270">
      <formula>OR(O9="",O10="")</formula>
    </cfRule>
  </conditionalFormatting>
  <conditionalFormatting sqref="O52:O53">
    <cfRule type="expression" priority="160" aboveAverage="0" equalAverage="0" bottom="0" percent="0" rank="0" text="" dxfId="271">
      <formula>OR(O9="",O10="")</formula>
    </cfRule>
  </conditionalFormatting>
  <conditionalFormatting sqref="O46">
    <cfRule type="expression" priority="161" aboveAverage="0" equalAverage="0" bottom="0" percent="0" rank="0" text="" dxfId="272">
      <formula>O$3&lt;&gt;"缓冲罐"</formula>
    </cfRule>
  </conditionalFormatting>
  <conditionalFormatting sqref="O44:O45 O40:P41">
    <cfRule type="expression" priority="162" aboveAverage="0" equalAverage="0" bottom="0" percent="0" rank="0" text="" dxfId="273">
      <formula>OR(O$3="卧式回流罐",O$3="卧式回流罐")</formula>
    </cfRule>
  </conditionalFormatting>
  <conditionalFormatting sqref="O49 O34:P34 O37:P41">
    <cfRule type="expression" priority="163" aboveAverage="0" equalAverage="0" bottom="0" percent="0" rank="0" text="" dxfId="274">
      <formula>OR(O$3="缓冲罐",O$3="缓冲罐")</formula>
    </cfRule>
  </conditionalFormatting>
  <conditionalFormatting sqref="O44:O45 O49">
    <cfRule type="expression" priority="164" aboveAverage="0" equalAverage="0" bottom="0" percent="0" rank="0" text="" dxfId="275">
      <formula>OR(O$3="汽液分离罐",O$3="汽液分离罐")</formula>
    </cfRule>
  </conditionalFormatting>
  <conditionalFormatting sqref="O39:P39">
    <cfRule type="cellIs" priority="165" operator="equal" aboveAverage="0" equalAverage="0" bottom="0" percent="0" rank="0" text="" dxfId="276">
      <formula>"否"</formula>
    </cfRule>
  </conditionalFormatting>
  <conditionalFormatting sqref="O55:P55">
    <cfRule type="cellIs" priority="166" operator="notEqual" aboveAverage="0" equalAverage="0" bottom="0" percent="0" rank="0" text="" dxfId="277">
      <formula>"核算通过"</formula>
    </cfRule>
  </conditionalFormatting>
  <conditionalFormatting sqref="N25">
    <cfRule type="expression" priority="167" aboveAverage="0" equalAverage="0" bottom="0" percent="0" rank="0" text="" dxfId="278">
      <formula>OR(N9="",N10="")</formula>
    </cfRule>
  </conditionalFormatting>
  <conditionalFormatting sqref="N26 N22 N24 N28">
    <cfRule type="expression" priority="168" aboveAverage="0" equalAverage="0" bottom="0" percent="0" rank="0" text="" dxfId="279">
      <formula>OR(N$3="缓冲罐",N$3="缓冲罐")</formula>
    </cfRule>
  </conditionalFormatting>
  <conditionalFormatting sqref="N24">
    <cfRule type="expression" priority="169" aboveAverage="0" equalAverage="0" bottom="0" percent="0" rank="0" text="" dxfId="280">
      <formula>OR(N$3="汽液分离罐",N$3="汽液分离罐")</formula>
    </cfRule>
  </conditionalFormatting>
  <conditionalFormatting sqref="N30:N31">
    <cfRule type="expression" priority="170" aboveAverage="0" equalAverage="0" bottom="0" percent="0" rank="0" text="" dxfId="281">
      <formula>OR(N$3="缓冲罐",N$3="缓冲罐")</formula>
    </cfRule>
  </conditionalFormatting>
  <conditionalFormatting sqref="N30">
    <cfRule type="expression" priority="171" aboveAverage="0" equalAverage="0" bottom="0" percent="0" rank="0" text="" dxfId="282">
      <formula>OR(N$3="汽液分离罐",N$3="汽液分离罐")</formula>
    </cfRule>
  </conditionalFormatting>
  <conditionalFormatting sqref="L22">
    <cfRule type="expression" priority="172" aboveAverage="0" equalAverage="0" bottom="0" percent="0" rank="0" text="" dxfId="283">
      <formula>OR(L$3="缓冲罐",L$3="缓冲罐")</formula>
    </cfRule>
  </conditionalFormatting>
  <conditionalFormatting sqref="M25">
    <cfRule type="expression" priority="173" aboveAverage="0" equalAverage="0" bottom="0" percent="0" rank="0" text="" dxfId="284">
      <formula>OR(M9="",M10="")</formula>
    </cfRule>
  </conditionalFormatting>
  <conditionalFormatting sqref="M20">
    <cfRule type="expression" priority="174" aboveAverage="0" equalAverage="0" bottom="0" percent="0" rank="0" text="" dxfId="285">
      <formula>OR(M9="",M10="")</formula>
    </cfRule>
  </conditionalFormatting>
  <conditionalFormatting sqref="M17 M26 M19 M22 M24 M28 M32:N33 M47:N47">
    <cfRule type="expression" priority="175" aboveAverage="0" equalAverage="0" bottom="0" percent="0" rank="0" text="" dxfId="286">
      <formula>OR(M$3="缓冲罐",M$3="缓冲罐")</formula>
    </cfRule>
  </conditionalFormatting>
  <conditionalFormatting sqref="M19 M24">
    <cfRule type="expression" priority="176" aboveAverage="0" equalAverage="0" bottom="0" percent="0" rank="0" text="" dxfId="287">
      <formula>OR(M$3="汽液分离罐",M$3="汽液分离罐")</formula>
    </cfRule>
  </conditionalFormatting>
  <conditionalFormatting sqref="M54">
    <cfRule type="expression" priority="177" aboveAverage="0" equalAverage="0" bottom="0" percent="0" rank="0" text="" dxfId="288">
      <formula>OR(M9="",M10="")</formula>
    </cfRule>
  </conditionalFormatting>
  <conditionalFormatting sqref="M52:M53">
    <cfRule type="expression" priority="178" aboveAverage="0" equalAverage="0" bottom="0" percent="0" rank="0" text="" dxfId="289">
      <formula>OR(M9="",M10="")</formula>
    </cfRule>
  </conditionalFormatting>
  <conditionalFormatting sqref="M46">
    <cfRule type="expression" priority="179" aboveAverage="0" equalAverage="0" bottom="0" percent="0" rank="0" text="" dxfId="290">
      <formula>M$3&lt;&gt;"缓冲罐"</formula>
    </cfRule>
  </conditionalFormatting>
  <conditionalFormatting sqref="M44 M40:M41">
    <cfRule type="expression" priority="180" aboveAverage="0" equalAverage="0" bottom="0" percent="0" rank="0" text="" dxfId="291">
      <formula>OR(M$3="卧式回流罐",M$3="卧式回流罐")</formula>
    </cfRule>
  </conditionalFormatting>
  <conditionalFormatting sqref="M30:M31 M34 M49 M37:M41">
    <cfRule type="expression" priority="181" aboveAverage="0" equalAverage="0" bottom="0" percent="0" rank="0" text="" dxfId="292">
      <formula>OR(M$3="缓冲罐",M$3="缓冲罐")</formula>
    </cfRule>
  </conditionalFormatting>
  <conditionalFormatting sqref="M30 M44 M49">
    <cfRule type="expression" priority="182" aboveAverage="0" equalAverage="0" bottom="0" percent="0" rank="0" text="" dxfId="293">
      <formula>OR(M$3="汽液分离罐",M$3="汽液分离罐")</formula>
    </cfRule>
  </conditionalFormatting>
  <conditionalFormatting sqref="M39">
    <cfRule type="cellIs" priority="183" operator="equal" aboveAverage="0" equalAverage="0" bottom="0" percent="0" rank="0" text="" dxfId="294">
      <formula>"否"</formula>
    </cfRule>
  </conditionalFormatting>
  <conditionalFormatting sqref="M55">
    <cfRule type="cellIs" priority="184" operator="notEqual" aboveAverage="0" equalAverage="0" bottom="0" percent="0" rank="0" text="" dxfId="295">
      <formula>"核算通过"</formula>
    </cfRule>
  </conditionalFormatting>
  <conditionalFormatting sqref="M45">
    <cfRule type="expression" priority="185" aboveAverage="0" equalAverage="0" bottom="0" percent="0" rank="0" text="" dxfId="296">
      <formula>OR(M$3="卧式回流罐",M$3="卧式回流罐")</formula>
    </cfRule>
  </conditionalFormatting>
  <conditionalFormatting sqref="M45">
    <cfRule type="expression" priority="186" aboveAverage="0" equalAverage="0" bottom="0" percent="0" rank="0" text="" dxfId="297">
      <formula>OR(M$3="汽液分离罐",M$3="汽液分离罐")</formula>
    </cfRule>
  </conditionalFormatting>
  <conditionalFormatting sqref="L25">
    <cfRule type="expression" priority="187" aboveAverage="0" equalAverage="0" bottom="0" percent="0" rank="0" text="" dxfId="298">
      <formula>OR(L9="",L10="")</formula>
    </cfRule>
  </conditionalFormatting>
  <conditionalFormatting sqref="L20">
    <cfRule type="expression" priority="188" aboveAverage="0" equalAverage="0" bottom="0" percent="0" rank="0" text="" dxfId="299">
      <formula>OR(L9="",L10="")</formula>
    </cfRule>
  </conditionalFormatting>
  <conditionalFormatting sqref="L47 L32:L33 L17 L26 L19 L24 L28">
    <cfRule type="expression" priority="189" aboveAverage="0" equalAverage="0" bottom="0" percent="0" rank="0" text="" dxfId="300">
      <formula>OR(L$3="缓冲罐",L$3="缓冲罐")</formula>
    </cfRule>
  </conditionalFormatting>
  <conditionalFormatting sqref="L19 L24">
    <cfRule type="expression" priority="190" aboveAverage="0" equalAverage="0" bottom="0" percent="0" rank="0" text="" dxfId="301">
      <formula>OR(L$3="汽液分离罐",L$3="汽液分离罐")</formula>
    </cfRule>
  </conditionalFormatting>
  <conditionalFormatting sqref="L54">
    <cfRule type="expression" priority="191" aboveAverage="0" equalAverage="0" bottom="0" percent="0" rank="0" text="" dxfId="302">
      <formula>OR(L9="",L10="")</formula>
    </cfRule>
  </conditionalFormatting>
  <conditionalFormatting sqref="L52:L53">
    <cfRule type="expression" priority="192" aboveAverage="0" equalAverage="0" bottom="0" percent="0" rank="0" text="" dxfId="303">
      <formula>OR(L9="",L10="")</formula>
    </cfRule>
  </conditionalFormatting>
  <conditionalFormatting sqref="L46">
    <cfRule type="expression" priority="193" aboveAverage="0" equalAverage="0" bottom="0" percent="0" rank="0" text="" dxfId="304">
      <formula>L$3&lt;&gt;"缓冲罐"</formula>
    </cfRule>
  </conditionalFormatting>
  <conditionalFormatting sqref="L44 L40:L41">
    <cfRule type="expression" priority="194" aboveAverage="0" equalAverage="0" bottom="0" percent="0" rank="0" text="" dxfId="305">
      <formula>OR(L$3="卧式回流罐",L$3="卧式回流罐")</formula>
    </cfRule>
  </conditionalFormatting>
  <conditionalFormatting sqref="L30:L31 L34 L49 L37:L41">
    <cfRule type="expression" priority="195" aboveAverage="0" equalAverage="0" bottom="0" percent="0" rank="0" text="" dxfId="306">
      <formula>OR(L$3="缓冲罐",L$3="缓冲罐")</formula>
    </cfRule>
  </conditionalFormatting>
  <conditionalFormatting sqref="L30 L44 L49">
    <cfRule type="expression" priority="196" aboveAverage="0" equalAverage="0" bottom="0" percent="0" rank="0" text="" dxfId="307">
      <formula>OR(L$3="汽液分离罐",L$3="汽液分离罐")</formula>
    </cfRule>
  </conditionalFormatting>
  <conditionalFormatting sqref="L39">
    <cfRule type="cellIs" priority="197" operator="equal" aboveAverage="0" equalAverage="0" bottom="0" percent="0" rank="0" text="" dxfId="308">
      <formula>"否"</formula>
    </cfRule>
  </conditionalFormatting>
  <conditionalFormatting sqref="L55">
    <cfRule type="cellIs" priority="198" operator="notEqual" aboveAverage="0" equalAverage="0" bottom="0" percent="0" rank="0" text="" dxfId="309">
      <formula>"核算通过"</formula>
    </cfRule>
  </conditionalFormatting>
  <conditionalFormatting sqref="L45">
    <cfRule type="expression" priority="199" aboveAverage="0" equalAverage="0" bottom="0" percent="0" rank="0" text="" dxfId="310">
      <formula>OR(L$3="卧式回流罐",L$3="卧式回流罐")</formula>
    </cfRule>
  </conditionalFormatting>
  <conditionalFormatting sqref="L45">
    <cfRule type="expression" priority="200" aboveAverage="0" equalAverage="0" bottom="0" percent="0" rank="0" text="" dxfId="311">
      <formula>OR(L$3="汽液分离罐",L$3="汽液分离罐")</formula>
    </cfRule>
  </conditionalFormatting>
  <conditionalFormatting sqref="J25">
    <cfRule type="expression" priority="201" aboveAverage="0" equalAverage="0" bottom="0" percent="0" rank="0" text="" dxfId="312">
      <formula>OR(J9="",J10="")</formula>
    </cfRule>
  </conditionalFormatting>
  <conditionalFormatting sqref="J20">
    <cfRule type="expression" priority="202" aboveAverage="0" equalAverage="0" bottom="0" percent="0" rank="0" text="" dxfId="313">
      <formula>OR(J9="",J10="")</formula>
    </cfRule>
  </conditionalFormatting>
  <conditionalFormatting sqref="J54">
    <cfRule type="expression" priority="203" aboveAverage="0" equalAverage="0" bottom="0" percent="0" rank="0" text="" dxfId="314">
      <formula>OR(J9="",J10="")</formula>
    </cfRule>
  </conditionalFormatting>
  <conditionalFormatting sqref="J52:J53">
    <cfRule type="expression" priority="204" aboveAverage="0" equalAverage="0" bottom="0" percent="0" rank="0" text="" dxfId="315">
      <formula>OR(J9="",J10="")</formula>
    </cfRule>
  </conditionalFormatting>
  <conditionalFormatting sqref="J39">
    <cfRule type="cellIs" priority="205" operator="equal" aboveAverage="0" equalAverage="0" bottom="0" percent="0" rank="0" text="" dxfId="316">
      <formula>"否"</formula>
    </cfRule>
  </conditionalFormatting>
  <conditionalFormatting sqref="J55">
    <cfRule type="cellIs" priority="206" operator="notEqual" aboveAverage="0" equalAverage="0" bottom="0" percent="0" rank="0" text="" dxfId="317">
      <formula>"核算通过"</formula>
    </cfRule>
  </conditionalFormatting>
  <conditionalFormatting sqref="I25">
    <cfRule type="expression" priority="207" aboveAverage="0" equalAverage="0" bottom="0" percent="0" rank="0" text="" dxfId="318">
      <formula>OR(I9="",I10="")</formula>
    </cfRule>
  </conditionalFormatting>
  <conditionalFormatting sqref="I20">
    <cfRule type="expression" priority="208" aboveAverage="0" equalAverage="0" bottom="0" percent="0" rank="0" text="" dxfId="319">
      <formula>OR(I9="",I10="")</formula>
    </cfRule>
  </conditionalFormatting>
  <conditionalFormatting sqref="I54">
    <cfRule type="expression" priority="209" aboveAverage="0" equalAverage="0" bottom="0" percent="0" rank="0" text="" dxfId="320">
      <formula>OR(I9="",I10="")</formula>
    </cfRule>
  </conditionalFormatting>
  <conditionalFormatting sqref="I52:I53">
    <cfRule type="expression" priority="210" aboveAverage="0" equalAverage="0" bottom="0" percent="0" rank="0" text="" dxfId="321">
      <formula>OR(I9="",I10="")</formula>
    </cfRule>
  </conditionalFormatting>
  <conditionalFormatting sqref="I39">
    <cfRule type="cellIs" priority="211" operator="equal" aboveAverage="0" equalAverage="0" bottom="0" percent="0" rank="0" text="" dxfId="322">
      <formula>"否"</formula>
    </cfRule>
  </conditionalFormatting>
  <conditionalFormatting sqref="I55">
    <cfRule type="cellIs" priority="212" operator="notEqual" aboveAverage="0" equalAverage="0" bottom="0" percent="0" rank="0" text="" dxfId="323">
      <formula>"核算通过"</formula>
    </cfRule>
  </conditionalFormatting>
  <conditionalFormatting sqref="K25">
    <cfRule type="expression" priority="213" aboveAverage="0" equalAverage="0" bottom="0" percent="0" rank="0" text="" dxfId="324">
      <formula>OR(K9="",K10="")</formula>
    </cfRule>
  </conditionalFormatting>
  <conditionalFormatting sqref="K20">
    <cfRule type="expression" priority="214" aboveAverage="0" equalAverage="0" bottom="0" percent="0" rank="0" text="" dxfId="325">
      <formula>OR(K9="",K10="")</formula>
    </cfRule>
  </conditionalFormatting>
  <conditionalFormatting sqref="K47 K32:K33 K17 K26 K19 K22 K24 K28">
    <cfRule type="expression" priority="215" aboveAverage="0" equalAverage="0" bottom="0" percent="0" rank="0" text="" dxfId="326">
      <formula>OR(K$3="缓冲罐",K$3="缓冲罐")</formula>
    </cfRule>
  </conditionalFormatting>
  <conditionalFormatting sqref="K19 K24">
    <cfRule type="expression" priority="216" aboveAverage="0" equalAverage="0" bottom="0" percent="0" rank="0" text="" dxfId="327">
      <formula>OR(K$3="汽液分离罐",K$3="汽液分离罐")</formula>
    </cfRule>
  </conditionalFormatting>
  <conditionalFormatting sqref="K57">
    <cfRule type="cellIs" priority="217" operator="equal" aboveAverage="0" equalAverage="0" bottom="0" percent="0" rank="0" text="" dxfId="328">
      <formula>"核算未通过"</formula>
    </cfRule>
  </conditionalFormatting>
  <conditionalFormatting sqref="H25">
    <cfRule type="expression" priority="218" aboveAverage="0" equalAverage="0" bottom="0" percent="0" rank="0" text="" dxfId="329">
      <formula>OR(H9="",H10="")</formula>
    </cfRule>
  </conditionalFormatting>
  <conditionalFormatting sqref="H20">
    <cfRule type="expression" priority="219" aboveAverage="0" equalAverage="0" bottom="0" percent="0" rank="0" text="" dxfId="330">
      <formula>OR(H9="",H10="")</formula>
    </cfRule>
  </conditionalFormatting>
  <conditionalFormatting sqref="D20">
    <cfRule type="expression" priority="220" aboveAverage="0" equalAverage="0" bottom="0" percent="0" rank="0" text="" dxfId="331">
      <formula>OR(D9="",D10="")</formula>
    </cfRule>
  </conditionalFormatting>
  <conditionalFormatting sqref="D17 D22 D24 D28 D32:D33 D47 D19 D26">
    <cfRule type="expression" priority="221" aboveAverage="0" equalAverage="0" bottom="0" percent="0" rank="0" text="" dxfId="332">
      <formula>OR(D$3="缓冲罐",D$3="缓冲罐")</formula>
    </cfRule>
  </conditionalFormatting>
  <conditionalFormatting sqref="D24 D19">
    <cfRule type="expression" priority="222" aboveAverage="0" equalAverage="0" bottom="0" percent="0" rank="0" text="" dxfId="333">
      <formula>OR(D$3="汽液分离罐",D$3="汽液分离罐")</formula>
    </cfRule>
  </conditionalFormatting>
  <conditionalFormatting sqref="B20">
    <cfRule type="expression" priority="223" aboveAverage="0" equalAverage="0" bottom="0" percent="0" rank="0" text="" dxfId="334">
      <formula>OR(B9="",B10="")</formula>
    </cfRule>
  </conditionalFormatting>
  <conditionalFormatting sqref="K54 B54:H54 N54 AA54:CD54">
    <cfRule type="expression" priority="224" aboveAverage="0" equalAverage="0" bottom="0" percent="0" rank="0" text="" dxfId="335">
      <formula>OR(B9="",B10="")</formula>
    </cfRule>
  </conditionalFormatting>
  <conditionalFormatting sqref="K52:K53 B52:H53 N52:N53 AA52:CD53">
    <cfRule type="expression" priority="225" aboveAverage="0" equalAverage="0" bottom="0" percent="0" rank="0" text="" dxfId="336">
      <formula>OR(B9="",B10="")</formula>
    </cfRule>
  </conditionalFormatting>
  <conditionalFormatting sqref="B25:G25">
    <cfRule type="expression" priority="226" aboveAverage="0" equalAverage="0" bottom="0" percent="0" rank="0" text="" dxfId="337">
      <formula>OR(B9="",B10="")</formula>
    </cfRule>
  </conditionalFormatting>
  <conditionalFormatting sqref="C20 E20:G20">
    <cfRule type="expression" priority="227" aboveAverage="0" equalAverage="0" bottom="0" percent="0" rank="0" text="" dxfId="338">
      <formula>OR(C9="",C10="")</formula>
    </cfRule>
  </conditionalFormatting>
  <conditionalFormatting sqref="B46:K46 N46 AA46:CD46">
    <cfRule type="expression" priority="228" aboveAverage="0" equalAverage="0" bottom="0" percent="0" rank="0" text="" dxfId="339">
      <formula>B$3&lt;&gt;"缓冲罐"</formula>
    </cfRule>
  </conditionalFormatting>
  <conditionalFormatting sqref="B40:K41 B44:K45 N44:N45 N40:N41 AA40:CD41 AA44:CD45">
    <cfRule type="expression" priority="229" aboveAverage="0" equalAverage="0" bottom="0" percent="0" rank="0" text="" dxfId="340">
      <formula>OR(B$3="卧式回流罐",B$3="卧式回流罐")</formula>
    </cfRule>
  </conditionalFormatting>
  <conditionalFormatting sqref="B17:C17 B22:C22 B24:C24 B28:C28 B30:C34 B47:C47 B19:C19 B26:C26 K34 K30:K31 F26:J26 D30:D31 D34 E30:J34 B49:K49 B37:K41 E19:J19 E17:J17 E22:J22 E24:J24 E28:J28 E47:J47 AA30:CD31 N34 N49 N37:N41 AA22:CD22 AA24:CD24 AA28:CD28 AA37:CD41 AA49:CD49 AA34:CD34">
    <cfRule type="expression" priority="230" aboveAverage="0" equalAverage="0" bottom="0" percent="0" rank="0" text="" dxfId="341">
      <formula>OR(B$3="缓冲罐",B$3="缓冲罐")</formula>
    </cfRule>
  </conditionalFormatting>
  <conditionalFormatting sqref="B24:C24 B19:C19 B30:K30 B49:K49 B44:K45 E19:J19 E24:J24 AA30:CD30 N44:N45 N49 AA24:CD24 AA49:CD49 AA44:CD45">
    <cfRule type="expression" priority="231" aboveAverage="0" equalAverage="0" bottom="0" percent="0" rank="0" text="" dxfId="342">
      <formula>OR(B$3="汽液分离罐",B$3="汽液分离罐")</formula>
    </cfRule>
  </conditionalFormatting>
  <conditionalFormatting sqref="K39 B39:H39 N39 AA39:CD39">
    <cfRule type="cellIs" priority="232" operator="equal" aboveAverage="0" equalAverage="0" bottom="0" percent="0" rank="0" text="" dxfId="343">
      <formula>"否"</formula>
    </cfRule>
  </conditionalFormatting>
  <conditionalFormatting sqref="E57">
    <cfRule type="cellIs" priority="233" operator="equal" aboveAverage="0" equalAverage="0" bottom="0" percent="0" rank="0" text="" dxfId="344">
      <formula>"核算未通过"</formula>
    </cfRule>
  </conditionalFormatting>
  <conditionalFormatting sqref="K55 B55:H55 N55 AA55:CD55">
    <cfRule type="cellIs" priority="234" operator="notEqual" aboveAverage="0" equalAverage="0" bottom="0" percent="0" rank="0" text="" dxfId="345">
      <formula>"核算通过"</formula>
    </cfRule>
  </conditionalFormatting>
  <dataValidations count="5">
    <dataValidation allowBlank="true" errorStyle="stop" operator="between" showDropDown="false" showErrorMessage="true" showInputMessage="true" sqref="4:4" type="list">
      <formula1>"卧式,立式"</formula1>
      <formula2>0</formula2>
    </dataValidation>
    <dataValidation allowBlank="true" errorStyle="stop" operator="between" showDropDown="false" showErrorMessage="true" showInputMessage="true" sqref="B32:Z32 E33:Z33" type="list">
      <formula1>"是,否"</formula1>
      <formula2>0</formula2>
    </dataValidation>
    <dataValidation allowBlank="true" errorStyle="stop" operator="between" showDropDown="false" showErrorMessage="true" showInputMessage="true" sqref="B33:D33" type="list">
      <formula1>",,是,否"</formula1>
      <formula2>0</formula2>
    </dataValidation>
    <dataValidation allowBlank="true" errorStyle="stop" operator="between" showDropDown="false" showErrorMessage="true" showInputMessage="true" sqref="B3:CD3" type="list">
      <formula1>"缓冲罐,卧式回流罐,汽液分离罐"</formula1>
      <formula2>0</formula2>
    </dataValidation>
    <dataValidation allowBlank="true" errorStyle="stop" operator="between" showDropDown="false" showErrorMessage="true" showInputMessage="true" sqref="B47:Z47" type="list">
      <formula1>"下一工序,储罐,其他装置进料"</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01" r:id="rId4" name="Button 1">
              <controlPr defaultSize="0" print="false" autoFill="0" autoPict="0">
                <anchor moveWithCells="true" sizeWithCells="false">
                  <from>
                    <xdr:col>0</xdr:col>
                    <xdr:colOff>1379520</xdr:colOff>
                    <xdr:row>0</xdr:row>
                    <xdr:rowOff>30600</xdr:rowOff>
                  </from>
                  <to>
                    <xdr:col>1</xdr:col>
                    <xdr:colOff>-950400</xdr:colOff>
                    <xdr:row>1</xdr:row>
                    <xdr:rowOff>-53280</xdr:rowOff>
                  </to>
                </anchor>
              </controlPr>
            </control>
          </mc:Choice>
        </mc:AlternateContent>
        <mc:AlternateContent xmlns:mc="http://schemas.openxmlformats.org/markup-compatibility/2006">
          <mc:Choice Requires="x14">
            <control shapeId="1002" r:id="rId5" name="Button 2">
              <controlPr defaultSize="0" print="false" autoFill="0" autoPict="0">
                <anchor moveWithCells="true" sizeWithCells="false">
                  <from>
                    <xdr:col>0</xdr:col>
                    <xdr:colOff>1104840</xdr:colOff>
                    <xdr:row>1</xdr:row>
                    <xdr:rowOff>112680</xdr:rowOff>
                  </from>
                  <to>
                    <xdr:col>1</xdr:col>
                    <xdr:colOff>-691560</xdr:colOff>
                    <xdr:row>3</xdr:row>
                    <xdr:rowOff>78120</xdr:rowOff>
                  </to>
                </anchor>
              </controlPr>
            </control>
          </mc:Choice>
        </mc:AlternateContent>
      </controls>
    </mc:Choice>
  </mc:AlternateConten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AQ15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7" topLeftCell="L18" activePane="bottomRight" state="frozen"/>
      <selection pane="topLeft" activeCell="A1" activeCellId="0" sqref="A1"/>
      <selection pane="topRight" activeCell="L1" activeCellId="0" sqref="L1"/>
      <selection pane="bottomLeft" activeCell="A18" activeCellId="0" sqref="A18"/>
      <selection pane="bottomRight" activeCell="L22" activeCellId="0" sqref="1:1048576"/>
    </sheetView>
  </sheetViews>
  <sheetFormatPr defaultColWidth="9.00390625" defaultRowHeight="14.25" zeroHeight="false" outlineLevelRow="0" outlineLevelCol="0"/>
  <cols>
    <col collapsed="false" customWidth="true" hidden="false" outlineLevel="0" max="1" min="1" style="380" width="38.5"/>
    <col collapsed="false" customWidth="true" hidden="false" outlineLevel="0" max="3" min="2" style="380" width="21"/>
    <col collapsed="false" customWidth="true" hidden="false" outlineLevel="0" max="4" min="4" style="380" width="25.5"/>
    <col collapsed="false" customWidth="true" hidden="false" outlineLevel="0" max="6" min="5" style="380" width="24.25"/>
    <col collapsed="false" customWidth="true" hidden="false" outlineLevel="0" max="11" min="7" style="380" width="23"/>
    <col collapsed="false" customWidth="true" hidden="false" outlineLevel="0" max="12" min="12" style="380" width="20.5"/>
    <col collapsed="false" customWidth="true" hidden="false" outlineLevel="0" max="15" min="13" style="380" width="18.62"/>
    <col collapsed="false" customWidth="true" hidden="false" outlineLevel="0" max="20" min="16" style="380" width="14.5"/>
    <col collapsed="false" customWidth="true" hidden="false" outlineLevel="0" max="21" min="21" style="380" width="18.87"/>
    <col collapsed="false" customWidth="true" hidden="false" outlineLevel="0" max="23" min="22" style="380" width="15.12"/>
    <col collapsed="false" customWidth="true" hidden="false" outlineLevel="0" max="28" min="24" style="380" width="14.5"/>
    <col collapsed="false" customWidth="true" hidden="false" outlineLevel="0" max="29" min="29" style="450" width="14.5"/>
    <col collapsed="false" customWidth="true" hidden="false" outlineLevel="0" max="31" min="30" style="380" width="14.5"/>
    <col collapsed="false" customWidth="true" hidden="false" outlineLevel="0" max="32" min="32" style="380" width="16.75"/>
    <col collapsed="false" customWidth="true" hidden="false" outlineLevel="0" max="33" min="33" style="380" width="12.75"/>
    <col collapsed="false" customWidth="true" hidden="false" outlineLevel="0" max="34" min="34" style="380" width="14.5"/>
    <col collapsed="false" customWidth="true" hidden="false" outlineLevel="0" max="35" min="35" style="380" width="19.75"/>
    <col collapsed="false" customWidth="true" hidden="false" outlineLevel="0" max="36" min="36" style="380" width="14.5"/>
    <col collapsed="false" customWidth="true" hidden="false" outlineLevel="0" max="40" min="37" style="380" width="21.37"/>
    <col collapsed="false" customWidth="true" hidden="false" outlineLevel="0" max="41" min="41" style="380" width="25.5"/>
    <col collapsed="false" customWidth="true" hidden="false" outlineLevel="0" max="43" min="42" style="380" width="19.75"/>
    <col collapsed="false" customWidth="false" hidden="false" outlineLevel="0" max="16384" min="44" style="380" width="9"/>
  </cols>
  <sheetData>
    <row r="1" customFormat="false" ht="14.25" hidden="false" customHeight="false" outlineLevel="0" collapsed="false">
      <c r="A1" s="451" t="s">
        <v>758</v>
      </c>
      <c r="B1" s="452" t="s">
        <v>759</v>
      </c>
      <c r="C1" s="452" t="s">
        <v>760</v>
      </c>
      <c r="D1" s="452" t="s">
        <v>761</v>
      </c>
      <c r="E1" s="452" t="s">
        <v>762</v>
      </c>
      <c r="F1" s="452" t="s">
        <v>763</v>
      </c>
      <c r="G1" s="452" t="s">
        <v>764</v>
      </c>
      <c r="H1" s="452" t="s">
        <v>765</v>
      </c>
      <c r="I1" s="452" t="s">
        <v>766</v>
      </c>
      <c r="J1" s="452" t="s">
        <v>767</v>
      </c>
      <c r="K1" s="452" t="s">
        <v>768</v>
      </c>
      <c r="L1" s="452" t="s">
        <v>769</v>
      </c>
      <c r="M1" s="452" t="s">
        <v>770</v>
      </c>
      <c r="N1" s="452" t="s">
        <v>771</v>
      </c>
      <c r="O1" s="452" t="s">
        <v>772</v>
      </c>
      <c r="P1" s="452" t="s">
        <v>773</v>
      </c>
      <c r="Q1" s="452" t="s">
        <v>774</v>
      </c>
      <c r="R1" s="452" t="s">
        <v>775</v>
      </c>
      <c r="S1" s="452" t="s">
        <v>776</v>
      </c>
      <c r="T1" s="452"/>
      <c r="U1" s="452"/>
      <c r="V1" s="452"/>
      <c r="W1" s="452"/>
      <c r="X1" s="452"/>
      <c r="Y1" s="452"/>
      <c r="Z1" s="452"/>
      <c r="AA1" s="452"/>
      <c r="AB1" s="452"/>
      <c r="AC1" s="452"/>
      <c r="AD1" s="452"/>
      <c r="AE1" s="452"/>
      <c r="AF1" s="452"/>
      <c r="AG1" s="452"/>
      <c r="AH1" s="452"/>
      <c r="AI1" s="452"/>
      <c r="AJ1" s="452"/>
      <c r="AK1" s="452"/>
      <c r="AL1" s="452"/>
      <c r="AM1" s="452"/>
      <c r="AN1" s="453"/>
      <c r="AO1" s="452"/>
      <c r="AP1" s="453"/>
      <c r="AQ1" s="453"/>
    </row>
    <row r="2" customFormat="false" ht="14.25" hidden="false" customHeight="false" outlineLevel="0" collapsed="false">
      <c r="A2" s="451" t="s">
        <v>777</v>
      </c>
      <c r="B2" s="452" t="s">
        <v>778</v>
      </c>
      <c r="C2" s="452" t="s">
        <v>779</v>
      </c>
      <c r="D2" s="452" t="s">
        <v>780</v>
      </c>
      <c r="E2" s="452" t="s">
        <v>781</v>
      </c>
      <c r="F2" s="452" t="s">
        <v>782</v>
      </c>
      <c r="G2" s="452" t="s">
        <v>783</v>
      </c>
      <c r="H2" s="452" t="s">
        <v>784</v>
      </c>
      <c r="I2" s="452" t="s">
        <v>785</v>
      </c>
      <c r="J2" s="452" t="s">
        <v>786</v>
      </c>
      <c r="K2" s="452" t="s">
        <v>787</v>
      </c>
      <c r="L2" s="452" t="s">
        <v>788</v>
      </c>
      <c r="M2" s="452" t="s">
        <v>789</v>
      </c>
      <c r="N2" s="452" t="s">
        <v>790</v>
      </c>
      <c r="O2" s="452" t="s">
        <v>791</v>
      </c>
      <c r="P2" s="452" t="s">
        <v>792</v>
      </c>
      <c r="Q2" s="452" t="s">
        <v>793</v>
      </c>
      <c r="R2" s="452" t="s">
        <v>794</v>
      </c>
      <c r="S2" s="452" t="s">
        <v>795</v>
      </c>
      <c r="T2" s="452"/>
      <c r="U2" s="452"/>
      <c r="V2" s="452"/>
      <c r="W2" s="452"/>
      <c r="X2" s="452"/>
      <c r="Y2" s="454"/>
      <c r="Z2" s="454"/>
      <c r="AA2" s="452"/>
      <c r="AB2" s="452"/>
      <c r="AC2" s="452"/>
      <c r="AD2" s="452"/>
      <c r="AE2" s="452"/>
      <c r="AF2" s="452"/>
      <c r="AG2" s="452"/>
      <c r="AH2" s="452"/>
      <c r="AI2" s="452"/>
      <c r="AJ2" s="452"/>
      <c r="AK2" s="452"/>
      <c r="AL2" s="452"/>
      <c r="AM2" s="452"/>
      <c r="AN2" s="453"/>
      <c r="AO2" s="452"/>
      <c r="AP2" s="453"/>
      <c r="AQ2" s="453"/>
    </row>
    <row r="3" customFormat="false" ht="14.25" hidden="false" customHeight="false" outlineLevel="0" collapsed="false">
      <c r="A3" s="451" t="s">
        <v>796</v>
      </c>
      <c r="B3" s="452" t="s">
        <v>797</v>
      </c>
      <c r="C3" s="452" t="s">
        <v>798</v>
      </c>
      <c r="D3" s="452" t="s">
        <v>799</v>
      </c>
      <c r="E3" s="452" t="s">
        <v>800</v>
      </c>
      <c r="F3" s="452" t="s">
        <v>681</v>
      </c>
      <c r="G3" s="452" t="s">
        <v>678</v>
      </c>
      <c r="H3" s="452" t="s">
        <v>160</v>
      </c>
      <c r="I3" s="452" t="s">
        <v>801</v>
      </c>
      <c r="J3" s="455" t="s">
        <v>802</v>
      </c>
      <c r="K3" s="455" t="s">
        <v>645</v>
      </c>
      <c r="L3" s="452" t="s">
        <v>803</v>
      </c>
      <c r="M3" s="452" t="s">
        <v>678</v>
      </c>
      <c r="N3" s="452" t="s">
        <v>678</v>
      </c>
      <c r="O3" s="452" t="s">
        <v>804</v>
      </c>
      <c r="P3" s="452" t="s">
        <v>679</v>
      </c>
      <c r="Q3" s="452" t="s">
        <v>805</v>
      </c>
      <c r="R3" s="452" t="s">
        <v>806</v>
      </c>
      <c r="S3" s="452" t="s">
        <v>807</v>
      </c>
      <c r="T3" s="452"/>
      <c r="U3" s="452"/>
      <c r="V3" s="452"/>
      <c r="W3" s="452"/>
      <c r="X3" s="452"/>
      <c r="Y3" s="452"/>
      <c r="Z3" s="452"/>
      <c r="AA3" s="452"/>
      <c r="AB3" s="452"/>
      <c r="AC3" s="452"/>
      <c r="AD3" s="452"/>
      <c r="AE3" s="452"/>
      <c r="AF3" s="452"/>
      <c r="AG3" s="452"/>
      <c r="AH3" s="452"/>
      <c r="AI3" s="452"/>
      <c r="AJ3" s="452"/>
      <c r="AK3" s="452"/>
      <c r="AL3" s="452"/>
      <c r="AM3" s="452"/>
      <c r="AN3" s="453"/>
      <c r="AO3" s="452"/>
      <c r="AP3" s="453"/>
      <c r="AQ3" s="453"/>
    </row>
    <row r="4" customFormat="false" ht="14.25" hidden="false" customHeight="false" outlineLevel="0" collapsed="false">
      <c r="A4" s="456" t="s">
        <v>808</v>
      </c>
      <c r="B4" s="354" t="n">
        <f aca="false">HLOOKUP(B101,物流参数!$C$1:$GC$29,MATCH("TOTAL MASS FLOW",物流参数!$A$1:$A$29,FALSE()),FALSE())</f>
        <v>309524</v>
      </c>
      <c r="C4" s="354" t="n">
        <f aca="false">HLOOKUP(C101,物流参数!$C$1:$GC$29,MATCH("TOTAL MASS FLOW",物流参数!$A$1:$A$29,FALSE()),FALSE())</f>
        <v>312631.98</v>
      </c>
      <c r="D4" s="354" t="n">
        <f aca="false">HLOOKUP(D101,物流参数!$C$1:$GC$29,MATCH("TOTAL MASS FLOW",物流参数!$A$1:$A$29,FALSE()),FALSE())</f>
        <v>428894.98</v>
      </c>
      <c r="E4" s="354" t="n">
        <f aca="false">HLOOKUP(E101,物流参数!$C$1:$GC$29,MATCH("TOTAL MASS FLOW",物流参数!$A$1:$A$29,FALSE()),FALSE())</f>
        <v>13100</v>
      </c>
      <c r="F4" s="354" t="n">
        <v>31000</v>
      </c>
      <c r="G4" s="457" t="n">
        <v>600</v>
      </c>
      <c r="H4" s="354" t="n">
        <f aca="false">HLOOKUP(H101,物流参数!$C$1:$GC$29,MATCH("TOTAL MASS FLOW",物流参数!$A$1:$A$29,FALSE()),FALSE())</f>
        <v>309524</v>
      </c>
      <c r="I4" s="354" t="n">
        <f aca="false">HLOOKUP(I101,物流参数!$C$1:$GC$29,MATCH("TOTAL MASS FLOW",物流参数!$A$1:$A$29,FALSE()),FALSE())</f>
        <v>15182.02</v>
      </c>
      <c r="J4" s="354" t="n">
        <f aca="false">HLOOKUP(J101,物流参数!$C$1:$GC$29,MATCH("TOTAL MASS FLOW",物流参数!$A$1:$A$29,FALSE()),FALSE())</f>
        <v>293017.71</v>
      </c>
      <c r="K4" s="354" t="n">
        <f aca="false">HLOOKUP(K101,物流参数!$C$1:$GC$29,MATCH("TOTAL MASS FLOW",物流参数!$A$1:$A$29,FALSE()),FALSE())</f>
        <v>54907.02</v>
      </c>
      <c r="L4" s="354" t="n">
        <f aca="false">HLOOKUP(L101,物流参数!$C$1:$GC$29,MATCH("TOTAL MASS FLOW",物流参数!$A$1:$A$29,FALSE()),FALSE())</f>
        <v>9910.86</v>
      </c>
      <c r="M4" s="354" t="n">
        <f aca="false">HLOOKUP(M101,物流参数!$C$1:$GC$29,MATCH("TOTAL MASS FLOW",物流参数!$A$1:$A$29,FALSE()),FALSE())</f>
        <v>125000</v>
      </c>
      <c r="N4" s="354" t="n">
        <f aca="false">HLOOKUP(N101,物流参数!$C$1:$GC$29,MATCH("TOTAL MASS FLOW",物流参数!$A$1:$A$29,FALSE()),FALSE())</f>
        <v>27112</v>
      </c>
      <c r="O4" s="354" t="n">
        <f aca="false">HLOOKUP(O101,物流参数!$C$1:$GC$29,MATCH("TOTAL MASS FLOW",物流参数!$A$1:$A$29,FALSE()),FALSE())</f>
        <v>268934.3</v>
      </c>
      <c r="P4" s="354" t="n">
        <f aca="false">HLOOKUP(P101,物流参数!$C$1:$GC$29,MATCH("TOTAL MASS FLOW",物流参数!$A$1:$A$29,FALSE()),FALSE())</f>
        <v>164000</v>
      </c>
      <c r="Q4" s="457" t="n">
        <v>20000</v>
      </c>
      <c r="R4" s="457" t="n">
        <v>20000</v>
      </c>
      <c r="S4" s="457" t="n">
        <v>17700</v>
      </c>
      <c r="T4" s="458"/>
      <c r="U4" s="458"/>
      <c r="V4" s="458"/>
      <c r="W4" s="458"/>
      <c r="X4" s="458"/>
      <c r="Y4" s="458"/>
      <c r="Z4" s="458"/>
      <c r="AA4" s="458"/>
      <c r="AB4" s="458"/>
      <c r="AC4" s="458"/>
      <c r="AD4" s="458"/>
      <c r="AE4" s="459"/>
      <c r="AF4" s="459"/>
      <c r="AG4" s="459"/>
      <c r="AH4" s="458"/>
      <c r="AI4" s="458"/>
      <c r="AJ4" s="460"/>
      <c r="AK4" s="459"/>
      <c r="AL4" s="459"/>
      <c r="AM4" s="459"/>
      <c r="AN4" s="459"/>
      <c r="AO4" s="458"/>
      <c r="AP4" s="458"/>
      <c r="AQ4" s="458"/>
    </row>
    <row r="5" customFormat="false" ht="14.25" hidden="false" customHeight="false" outlineLevel="0" collapsed="false">
      <c r="A5" s="456" t="s">
        <v>809</v>
      </c>
      <c r="B5" s="461" t="n">
        <f aca="false">B4</f>
        <v>309524</v>
      </c>
      <c r="C5" s="461" t="n">
        <f aca="false">C4</f>
        <v>312631.98</v>
      </c>
      <c r="D5" s="461" t="n">
        <f aca="false">D4</f>
        <v>428894.98</v>
      </c>
      <c r="E5" s="461" t="n">
        <f aca="false">E4</f>
        <v>13100</v>
      </c>
      <c r="F5" s="461" t="n">
        <f aca="false">F4</f>
        <v>31000</v>
      </c>
      <c r="G5" s="461" t="n">
        <f aca="false">G4</f>
        <v>600</v>
      </c>
      <c r="H5" s="461" t="n">
        <f aca="false">H4</f>
        <v>309524</v>
      </c>
      <c r="I5" s="461" t="n">
        <f aca="false">I4</f>
        <v>15182.02</v>
      </c>
      <c r="J5" s="461" t="n">
        <f aca="false">J4</f>
        <v>293017.71</v>
      </c>
      <c r="K5" s="461" t="n">
        <f aca="false">K4</f>
        <v>54907.02</v>
      </c>
      <c r="L5" s="461" t="n">
        <f aca="false">L4</f>
        <v>9910.86</v>
      </c>
      <c r="M5" s="461" t="n">
        <f aca="false">M4</f>
        <v>125000</v>
      </c>
      <c r="N5" s="461" t="n">
        <f aca="false">N4</f>
        <v>27112</v>
      </c>
      <c r="O5" s="461" t="n">
        <f aca="false">O4</f>
        <v>268934.3</v>
      </c>
      <c r="P5" s="461" t="n">
        <f aca="false">P4</f>
        <v>164000</v>
      </c>
      <c r="Q5" s="461" t="n">
        <f aca="false">Q4</f>
        <v>20000</v>
      </c>
      <c r="R5" s="461" t="n">
        <f aca="false">R4</f>
        <v>20000</v>
      </c>
      <c r="S5" s="461" t="n">
        <f aca="false">S4</f>
        <v>17700</v>
      </c>
      <c r="T5" s="461"/>
      <c r="U5" s="461"/>
      <c r="V5" s="461"/>
      <c r="W5" s="461"/>
      <c r="X5" s="461"/>
      <c r="Y5" s="461"/>
      <c r="Z5" s="461"/>
      <c r="AA5" s="461"/>
      <c r="AB5" s="461"/>
      <c r="AC5" s="461"/>
      <c r="AD5" s="461"/>
      <c r="AE5" s="461"/>
      <c r="AF5" s="461"/>
      <c r="AG5" s="461"/>
      <c r="AH5" s="461"/>
      <c r="AI5" s="461"/>
      <c r="AJ5" s="461"/>
      <c r="AK5" s="461"/>
      <c r="AL5" s="461"/>
      <c r="AM5" s="461"/>
      <c r="AN5" s="461"/>
      <c r="AO5" s="461"/>
      <c r="AP5" s="452"/>
      <c r="AQ5" s="452"/>
    </row>
    <row r="6" customFormat="false" ht="14.25" hidden="false" customHeight="false" outlineLevel="0" collapsed="false">
      <c r="A6" s="462" t="s">
        <v>810</v>
      </c>
      <c r="B6" s="452" t="n">
        <v>1.1</v>
      </c>
      <c r="C6" s="452" t="n">
        <v>1.1</v>
      </c>
      <c r="D6" s="452" t="n">
        <v>1.2</v>
      </c>
      <c r="E6" s="452" t="n">
        <v>1.3</v>
      </c>
      <c r="F6" s="452" t="n">
        <v>1.1</v>
      </c>
      <c r="G6" s="452" t="n">
        <v>1.1</v>
      </c>
      <c r="H6" s="452" t="n">
        <v>1.1</v>
      </c>
      <c r="I6" s="452" t="n">
        <v>1.2</v>
      </c>
      <c r="J6" s="452" t="n">
        <v>1.1</v>
      </c>
      <c r="K6" s="452" t="n">
        <v>1.2</v>
      </c>
      <c r="L6" s="452" t="n">
        <v>1.2</v>
      </c>
      <c r="M6" s="452" t="n">
        <v>1.3</v>
      </c>
      <c r="N6" s="452" t="n">
        <v>1.1</v>
      </c>
      <c r="O6" s="452" t="n">
        <v>1.1</v>
      </c>
      <c r="P6" s="452" t="n">
        <v>1.1</v>
      </c>
      <c r="Q6" s="452" t="n">
        <v>1.1</v>
      </c>
      <c r="R6" s="452" t="n">
        <v>1.1</v>
      </c>
      <c r="S6" s="452" t="n">
        <v>1.1</v>
      </c>
      <c r="T6" s="452"/>
      <c r="U6" s="452"/>
      <c r="V6" s="452"/>
      <c r="W6" s="452"/>
      <c r="X6" s="452"/>
      <c r="Y6" s="452"/>
      <c r="Z6" s="452"/>
      <c r="AA6" s="452"/>
      <c r="AB6" s="452"/>
      <c r="AC6" s="452"/>
      <c r="AD6" s="452"/>
      <c r="AE6" s="452"/>
      <c r="AF6" s="452"/>
      <c r="AG6" s="452"/>
      <c r="AH6" s="452"/>
      <c r="AI6" s="452"/>
      <c r="AJ6" s="452"/>
      <c r="AK6" s="452"/>
      <c r="AL6" s="452"/>
      <c r="AM6" s="452"/>
      <c r="AN6" s="452"/>
      <c r="AO6" s="452"/>
      <c r="AP6" s="452"/>
      <c r="AQ6" s="452"/>
    </row>
    <row r="7" customFormat="false" ht="14.25" hidden="false" customHeight="false" outlineLevel="0" collapsed="false">
      <c r="A7" s="462" t="s">
        <v>811</v>
      </c>
      <c r="B7" s="452" t="n">
        <v>0.6</v>
      </c>
      <c r="C7" s="452" t="n">
        <v>0.6</v>
      </c>
      <c r="D7" s="452" t="n">
        <v>0.6</v>
      </c>
      <c r="E7" s="452" t="n">
        <v>0.6</v>
      </c>
      <c r="F7" s="452" t="n">
        <v>0.6</v>
      </c>
      <c r="G7" s="452" t="n">
        <v>0.6</v>
      </c>
      <c r="H7" s="452" t="n">
        <v>0.6</v>
      </c>
      <c r="I7" s="452" t="n">
        <v>0.6</v>
      </c>
      <c r="J7" s="452" t="n">
        <v>0.6</v>
      </c>
      <c r="K7" s="452" t="n">
        <v>0.6</v>
      </c>
      <c r="L7" s="452" t="n">
        <v>0.6</v>
      </c>
      <c r="M7" s="452" t="n">
        <v>0.6</v>
      </c>
      <c r="N7" s="452" t="n">
        <v>0.6</v>
      </c>
      <c r="O7" s="452" t="n">
        <v>0.6</v>
      </c>
      <c r="P7" s="452" t="n">
        <v>0.6</v>
      </c>
      <c r="Q7" s="452" t="n">
        <v>0.6</v>
      </c>
      <c r="R7" s="452" t="n">
        <v>0.6</v>
      </c>
      <c r="S7" s="452" t="n">
        <v>0.6</v>
      </c>
      <c r="T7" s="452"/>
      <c r="U7" s="452"/>
      <c r="V7" s="452"/>
      <c r="W7" s="452"/>
      <c r="X7" s="452"/>
      <c r="Y7" s="452"/>
      <c r="Z7" s="452"/>
      <c r="AA7" s="452"/>
      <c r="AB7" s="452"/>
      <c r="AC7" s="452"/>
      <c r="AD7" s="452"/>
      <c r="AE7" s="452"/>
      <c r="AF7" s="452"/>
      <c r="AG7" s="452"/>
      <c r="AH7" s="452"/>
      <c r="AI7" s="452"/>
      <c r="AJ7" s="452"/>
      <c r="AK7" s="452"/>
      <c r="AL7" s="452"/>
      <c r="AM7" s="452"/>
      <c r="AN7" s="452"/>
      <c r="AO7" s="452"/>
      <c r="AP7" s="452"/>
      <c r="AQ7" s="452"/>
    </row>
    <row r="8" customFormat="false" ht="14.25" hidden="false" customHeight="false" outlineLevel="0" collapsed="false">
      <c r="A8" s="456" t="s">
        <v>812</v>
      </c>
      <c r="B8" s="463" t="n">
        <f aca="false">B5*B6</f>
        <v>340476.4</v>
      </c>
      <c r="C8" s="463" t="n">
        <f aca="false">C5*C6</f>
        <v>343895.178</v>
      </c>
      <c r="D8" s="463" t="n">
        <f aca="false">D5*D6</f>
        <v>514673.976</v>
      </c>
      <c r="E8" s="463" t="n">
        <f aca="false">E5*E6</f>
        <v>17030</v>
      </c>
      <c r="F8" s="463" t="n">
        <f aca="false">F5*F6</f>
        <v>34100</v>
      </c>
      <c r="G8" s="463" t="n">
        <f aca="false">G5*G6</f>
        <v>660</v>
      </c>
      <c r="H8" s="463" t="n">
        <f aca="false">H5*H6</f>
        <v>340476.4</v>
      </c>
      <c r="I8" s="463" t="n">
        <f aca="false">I5*I6</f>
        <v>18218.424</v>
      </c>
      <c r="J8" s="463" t="n">
        <f aca="false">J5*J6</f>
        <v>322319.481</v>
      </c>
      <c r="K8" s="463" t="n">
        <f aca="false">K5*K6</f>
        <v>65888.424</v>
      </c>
      <c r="L8" s="463" t="n">
        <f aca="false">L5*L6</f>
        <v>11893.032</v>
      </c>
      <c r="M8" s="463" t="n">
        <f aca="false">M5*M6</f>
        <v>162500</v>
      </c>
      <c r="N8" s="463" t="n">
        <f aca="false">N5*N6</f>
        <v>29823.2</v>
      </c>
      <c r="O8" s="463" t="n">
        <f aca="false">O5*O6</f>
        <v>295827.73</v>
      </c>
      <c r="P8" s="463" t="n">
        <f aca="false">P5*P6</f>
        <v>180400</v>
      </c>
      <c r="Q8" s="463" t="n">
        <f aca="false">Q5*Q6</f>
        <v>22000</v>
      </c>
      <c r="R8" s="463" t="n">
        <f aca="false">R5*R6</f>
        <v>22000</v>
      </c>
      <c r="S8" s="463" t="n">
        <f aca="false">S5*S6</f>
        <v>19470</v>
      </c>
      <c r="T8" s="463"/>
      <c r="U8" s="463"/>
      <c r="V8" s="463"/>
      <c r="W8" s="463"/>
      <c r="X8" s="463"/>
      <c r="Y8" s="463"/>
      <c r="Z8" s="463"/>
      <c r="AA8" s="463"/>
      <c r="AB8" s="463"/>
      <c r="AC8" s="463"/>
      <c r="AD8" s="463"/>
      <c r="AE8" s="463"/>
      <c r="AF8" s="463"/>
      <c r="AG8" s="463"/>
      <c r="AH8" s="463"/>
      <c r="AI8" s="463"/>
      <c r="AJ8" s="463"/>
      <c r="AK8" s="463"/>
      <c r="AL8" s="463"/>
      <c r="AM8" s="463"/>
      <c r="AN8" s="463"/>
      <c r="AO8" s="463"/>
      <c r="AP8" s="463"/>
      <c r="AQ8" s="463"/>
    </row>
    <row r="9" customFormat="false" ht="14.25" hidden="false" customHeight="false" outlineLevel="0" collapsed="false">
      <c r="A9" s="456" t="s">
        <v>813</v>
      </c>
      <c r="B9" s="463" t="n">
        <f aca="false">B5*B7</f>
        <v>185714.4</v>
      </c>
      <c r="C9" s="463" t="n">
        <f aca="false">C5*C7</f>
        <v>187579.188</v>
      </c>
      <c r="D9" s="463" t="n">
        <f aca="false">D5*D7</f>
        <v>257336.988</v>
      </c>
      <c r="E9" s="463" t="n">
        <f aca="false">E5*E7</f>
        <v>7860</v>
      </c>
      <c r="F9" s="463" t="n">
        <f aca="false">F5*F7</f>
        <v>18600</v>
      </c>
      <c r="G9" s="463" t="n">
        <f aca="false">G5*G7</f>
        <v>360</v>
      </c>
      <c r="H9" s="463" t="n">
        <f aca="false">H5*H7</f>
        <v>185714.4</v>
      </c>
      <c r="I9" s="463" t="n">
        <f aca="false">I5*I7</f>
        <v>9109.212</v>
      </c>
      <c r="J9" s="463" t="n">
        <f aca="false">J5*J7</f>
        <v>175810.626</v>
      </c>
      <c r="K9" s="463" t="n">
        <f aca="false">K5*K7</f>
        <v>32944.212</v>
      </c>
      <c r="L9" s="463" t="n">
        <f aca="false">L5*L7</f>
        <v>5946.516</v>
      </c>
      <c r="M9" s="463" t="n">
        <f aca="false">M5*M7</f>
        <v>75000</v>
      </c>
      <c r="N9" s="463" t="n">
        <f aca="false">N5*N7</f>
        <v>16267.2</v>
      </c>
      <c r="O9" s="463" t="n">
        <f aca="false">O5*O7</f>
        <v>161360.58</v>
      </c>
      <c r="P9" s="463" t="n">
        <f aca="false">P5*P7</f>
        <v>98400</v>
      </c>
      <c r="Q9" s="463" t="n">
        <f aca="false">Q5*Q7</f>
        <v>12000</v>
      </c>
      <c r="R9" s="463" t="n">
        <f aca="false">R5*R7</f>
        <v>12000</v>
      </c>
      <c r="S9" s="463" t="n">
        <f aca="false">S5*S7</f>
        <v>10620</v>
      </c>
      <c r="T9" s="463"/>
      <c r="U9" s="463"/>
      <c r="V9" s="463"/>
      <c r="W9" s="463"/>
      <c r="X9" s="463"/>
      <c r="Y9" s="463"/>
      <c r="Z9" s="463"/>
      <c r="AA9" s="463"/>
      <c r="AB9" s="463"/>
      <c r="AC9" s="463"/>
      <c r="AD9" s="463"/>
      <c r="AE9" s="463"/>
      <c r="AF9" s="463"/>
      <c r="AG9" s="463"/>
      <c r="AH9" s="463"/>
      <c r="AI9" s="463"/>
      <c r="AJ9" s="463"/>
      <c r="AK9" s="463"/>
      <c r="AL9" s="463"/>
      <c r="AM9" s="463"/>
      <c r="AN9" s="463"/>
      <c r="AO9" s="463"/>
      <c r="AP9" s="463"/>
      <c r="AQ9" s="463"/>
    </row>
    <row r="10" customFormat="false" ht="14.25" hidden="false" customHeight="false" outlineLevel="0" collapsed="false">
      <c r="A10" s="456" t="s">
        <v>814</v>
      </c>
      <c r="B10" s="461" t="n">
        <f aca="false">B4/B19</f>
        <v>388.790634577702</v>
      </c>
      <c r="C10" s="461" t="n">
        <f aca="false">C4/C19</f>
        <v>619.907955266497</v>
      </c>
      <c r="D10" s="461" t="n">
        <f aca="false">D4/D19</f>
        <v>850.273541889695</v>
      </c>
      <c r="E10" s="461" t="n">
        <f aca="false">E4/E19</f>
        <v>13.7623835187578</v>
      </c>
      <c r="F10" s="461" t="n">
        <f aca="false">F4/F19</f>
        <v>38.75</v>
      </c>
      <c r="G10" s="461" t="n">
        <f aca="false">G4/G19</f>
        <v>0.755239473849833</v>
      </c>
      <c r="H10" s="461" t="n">
        <f aca="false">H4/H19</f>
        <v>367.867839315427</v>
      </c>
      <c r="I10" s="461" t="n">
        <f aca="false">I4/I19</f>
        <v>22.2034017286515</v>
      </c>
      <c r="J10" s="461" t="n">
        <f aca="false">J4/J19</f>
        <v>463.086068747531</v>
      </c>
      <c r="K10" s="461" t="n">
        <f aca="false">K4/K19</f>
        <v>82.8260121884994</v>
      </c>
      <c r="L10" s="461" t="n">
        <f aca="false">L4/L19</f>
        <v>10.3859115964203</v>
      </c>
      <c r="M10" s="461" t="n">
        <f aca="false">M4/M19</f>
        <v>194.250194250194</v>
      </c>
      <c r="N10" s="461" t="n">
        <f aca="false">N4/N19</f>
        <v>41.2525486138584</v>
      </c>
      <c r="O10" s="461" t="n">
        <f aca="false">O4/O19</f>
        <v>414.203887382947</v>
      </c>
      <c r="P10" s="461" t="n">
        <f aca="false">P4/P19</f>
        <v>162.405181121388</v>
      </c>
      <c r="Q10" s="461" t="n">
        <f aca="false">Q4/Q19</f>
        <v>25.1746491283278</v>
      </c>
      <c r="R10" s="461" t="n">
        <f aca="false">R4/R19</f>
        <v>19.1085845316008</v>
      </c>
      <c r="S10" s="461" t="n">
        <f aca="false">S4/S19</f>
        <v>17.8122169668914</v>
      </c>
      <c r="T10" s="461"/>
      <c r="U10" s="461"/>
      <c r="V10" s="461"/>
      <c r="W10" s="461"/>
      <c r="X10" s="461"/>
      <c r="Y10" s="461"/>
      <c r="Z10" s="461"/>
      <c r="AA10" s="461"/>
      <c r="AB10" s="461"/>
      <c r="AC10" s="461"/>
      <c r="AD10" s="461"/>
      <c r="AE10" s="461"/>
      <c r="AF10" s="461"/>
      <c r="AG10" s="461"/>
      <c r="AH10" s="461"/>
      <c r="AI10" s="461"/>
      <c r="AJ10" s="461"/>
      <c r="AK10" s="461"/>
      <c r="AL10" s="461"/>
      <c r="AM10" s="461"/>
      <c r="AN10" s="461"/>
      <c r="AO10" s="461"/>
      <c r="AP10" s="461"/>
      <c r="AQ10" s="461"/>
    </row>
    <row r="11" customFormat="false" ht="14.25" hidden="false" customHeight="false" outlineLevel="0" collapsed="false">
      <c r="A11" s="456" t="s">
        <v>815</v>
      </c>
      <c r="B11" s="461" t="n">
        <f aca="false">B5/B19</f>
        <v>388.790634577702</v>
      </c>
      <c r="C11" s="461" t="n">
        <f aca="false">C5/C19</f>
        <v>619.907955266497</v>
      </c>
      <c r="D11" s="461" t="n">
        <f aca="false">D5/D19</f>
        <v>850.273541889695</v>
      </c>
      <c r="E11" s="461" t="n">
        <f aca="false">E5/E19</f>
        <v>13.7623835187578</v>
      </c>
      <c r="F11" s="461" t="n">
        <f aca="false">F5/F19</f>
        <v>38.75</v>
      </c>
      <c r="G11" s="461" t="n">
        <f aca="false">G5/G19</f>
        <v>0.755239473849833</v>
      </c>
      <c r="H11" s="461" t="n">
        <f aca="false">H5/H19</f>
        <v>367.867839315427</v>
      </c>
      <c r="I11" s="461" t="n">
        <f aca="false">I5/I19</f>
        <v>22.2034017286515</v>
      </c>
      <c r="J11" s="461" t="n">
        <f aca="false">J5/J19</f>
        <v>463.086068747531</v>
      </c>
      <c r="K11" s="461" t="n">
        <f aca="false">K5/K19</f>
        <v>82.8260121884994</v>
      </c>
      <c r="L11" s="461" t="n">
        <f aca="false">L5/L19</f>
        <v>10.3859115964203</v>
      </c>
      <c r="M11" s="461" t="n">
        <f aca="false">M5/M19</f>
        <v>194.250194250194</v>
      </c>
      <c r="N11" s="461" t="n">
        <f aca="false">N5/N19</f>
        <v>41.2525486138584</v>
      </c>
      <c r="O11" s="461" t="n">
        <f aca="false">O5/O19</f>
        <v>414.203887382947</v>
      </c>
      <c r="P11" s="461" t="n">
        <f aca="false">P5/P19</f>
        <v>162.405181121388</v>
      </c>
      <c r="Q11" s="461" t="n">
        <f aca="false">Q5/Q19</f>
        <v>25.1746491283278</v>
      </c>
      <c r="R11" s="461" t="n">
        <f aca="false">R5/R19</f>
        <v>19.1085845316008</v>
      </c>
      <c r="S11" s="461" t="n">
        <f aca="false">S5/S19</f>
        <v>17.8122169668914</v>
      </c>
      <c r="T11" s="461"/>
      <c r="U11" s="461"/>
      <c r="V11" s="461"/>
      <c r="W11" s="461"/>
      <c r="X11" s="461"/>
      <c r="Y11" s="461"/>
      <c r="Z11" s="461"/>
      <c r="AA11" s="461"/>
      <c r="AB11" s="461"/>
      <c r="AC11" s="461"/>
      <c r="AD11" s="461"/>
      <c r="AE11" s="461"/>
      <c r="AF11" s="461"/>
      <c r="AG11" s="461"/>
      <c r="AH11" s="461"/>
      <c r="AI11" s="461"/>
      <c r="AJ11" s="461"/>
      <c r="AK11" s="461"/>
      <c r="AL11" s="461"/>
      <c r="AM11" s="461"/>
      <c r="AN11" s="461"/>
      <c r="AO11" s="461"/>
      <c r="AP11" s="461"/>
      <c r="AQ11" s="461"/>
    </row>
    <row r="12" customFormat="false" ht="14.25" hidden="false" customHeight="false" outlineLevel="0" collapsed="false">
      <c r="A12" s="456" t="s">
        <v>816</v>
      </c>
      <c r="B12" s="461" t="n">
        <f aca="false">B8/B19</f>
        <v>427.669698035472</v>
      </c>
      <c r="C12" s="461" t="n">
        <f aca="false">C8/C19</f>
        <v>681.898750793147</v>
      </c>
      <c r="D12" s="461" t="n">
        <f aca="false">D8/D19</f>
        <v>1020.32825026763</v>
      </c>
      <c r="E12" s="461" t="n">
        <f aca="false">E8/E19</f>
        <v>17.8910985743852</v>
      </c>
      <c r="F12" s="461" t="n">
        <f aca="false">F8/F19</f>
        <v>42.625</v>
      </c>
      <c r="G12" s="461" t="n">
        <f aca="false">G8/G19</f>
        <v>0.830763421234817</v>
      </c>
      <c r="H12" s="461" t="n">
        <f aca="false">H8/H19</f>
        <v>404.654623246969</v>
      </c>
      <c r="I12" s="461" t="n">
        <f aca="false">I8/I19</f>
        <v>26.6440820743817</v>
      </c>
      <c r="J12" s="461" t="n">
        <f aca="false">J8/J19</f>
        <v>509.394675622284</v>
      </c>
      <c r="K12" s="461" t="n">
        <f aca="false">K8/K19</f>
        <v>99.3912146261992</v>
      </c>
      <c r="L12" s="461" t="n">
        <f aca="false">L8/L19</f>
        <v>12.4630939157043</v>
      </c>
      <c r="M12" s="461" t="n">
        <f aca="false">M8/M19</f>
        <v>252.525252525253</v>
      </c>
      <c r="N12" s="461" t="n">
        <f aca="false">N8/N19</f>
        <v>45.3778034752442</v>
      </c>
      <c r="O12" s="461" t="n">
        <f aca="false">O8/O19</f>
        <v>455.624276121242</v>
      </c>
      <c r="P12" s="461" t="n">
        <f aca="false">P8/P19</f>
        <v>178.645699233527</v>
      </c>
      <c r="Q12" s="461" t="n">
        <f aca="false">Q8/Q19</f>
        <v>27.6921140411606</v>
      </c>
      <c r="R12" s="461" t="n">
        <f aca="false">R8/R19</f>
        <v>21.0194429847609</v>
      </c>
      <c r="S12" s="461" t="n">
        <f aca="false">S8/S19</f>
        <v>19.5934386635806</v>
      </c>
      <c r="T12" s="461"/>
      <c r="U12" s="461"/>
      <c r="V12" s="461"/>
      <c r="W12" s="461"/>
      <c r="X12" s="461"/>
      <c r="Y12" s="461"/>
      <c r="Z12" s="461"/>
      <c r="AA12" s="461"/>
      <c r="AB12" s="461"/>
      <c r="AC12" s="461"/>
      <c r="AD12" s="461"/>
      <c r="AE12" s="461"/>
      <c r="AF12" s="461"/>
      <c r="AG12" s="461"/>
      <c r="AH12" s="461"/>
      <c r="AI12" s="461"/>
      <c r="AJ12" s="461"/>
      <c r="AK12" s="461"/>
      <c r="AL12" s="461"/>
      <c r="AM12" s="461"/>
      <c r="AN12" s="461"/>
      <c r="AO12" s="461"/>
      <c r="AP12" s="461"/>
      <c r="AQ12" s="461"/>
    </row>
    <row r="13" customFormat="false" ht="14.25" hidden="false" customHeight="false" outlineLevel="0" collapsed="false">
      <c r="A13" s="456" t="s">
        <v>817</v>
      </c>
      <c r="B13" s="461" t="n">
        <f aca="false">B9/B19</f>
        <v>233.274380746621</v>
      </c>
      <c r="C13" s="461" t="n">
        <f aca="false">C9/C19</f>
        <v>371.944773159899</v>
      </c>
      <c r="D13" s="461" t="n">
        <f aca="false">D9/D19</f>
        <v>510.164125133817</v>
      </c>
      <c r="E13" s="461" t="n">
        <f aca="false">E9/E19</f>
        <v>8.25743011125469</v>
      </c>
      <c r="F13" s="461" t="n">
        <f aca="false">F9/F19</f>
        <v>23.25</v>
      </c>
      <c r="G13" s="461" t="n">
        <f aca="false">G9/G19</f>
        <v>0.4531436843099</v>
      </c>
      <c r="H13" s="461" t="n">
        <f aca="false">H9/H19</f>
        <v>220.720703589256</v>
      </c>
      <c r="I13" s="461" t="n">
        <f aca="false">I9/I19</f>
        <v>13.3220410371909</v>
      </c>
      <c r="J13" s="461" t="n">
        <f aca="false">J9/J19</f>
        <v>277.851641248518</v>
      </c>
      <c r="K13" s="461" t="n">
        <f aca="false">K9/K19</f>
        <v>49.6956073130996</v>
      </c>
      <c r="L13" s="461" t="n">
        <f aca="false">L9/L19</f>
        <v>6.23154695785216</v>
      </c>
      <c r="M13" s="461" t="n">
        <f aca="false">M9/M19</f>
        <v>116.550116550117</v>
      </c>
      <c r="N13" s="461" t="n">
        <f aca="false">N9/N19</f>
        <v>24.751529168315</v>
      </c>
      <c r="O13" s="461" t="n">
        <f aca="false">O9/O19</f>
        <v>248.522332429768</v>
      </c>
      <c r="P13" s="461" t="n">
        <f aca="false">P9/P19</f>
        <v>97.4431086728328</v>
      </c>
      <c r="Q13" s="461" t="n">
        <f aca="false">Q9/Q19</f>
        <v>15.1047894769967</v>
      </c>
      <c r="R13" s="461" t="n">
        <f aca="false">R9/R19</f>
        <v>11.4651507189605</v>
      </c>
      <c r="S13" s="461" t="n">
        <f aca="false">S9/S19</f>
        <v>10.6873301801348</v>
      </c>
      <c r="T13" s="461"/>
      <c r="U13" s="461"/>
      <c r="V13" s="461"/>
      <c r="W13" s="461"/>
      <c r="X13" s="461"/>
      <c r="Y13" s="461"/>
      <c r="Z13" s="461"/>
      <c r="AA13" s="461"/>
      <c r="AB13" s="461"/>
      <c r="AC13" s="461"/>
      <c r="AD13" s="461"/>
      <c r="AE13" s="461"/>
      <c r="AF13" s="461"/>
      <c r="AG13" s="461"/>
      <c r="AH13" s="461"/>
      <c r="AI13" s="461"/>
      <c r="AJ13" s="461"/>
      <c r="AK13" s="461"/>
      <c r="AL13" s="461"/>
      <c r="AM13" s="461"/>
      <c r="AN13" s="461"/>
      <c r="AO13" s="461"/>
      <c r="AP13" s="461"/>
      <c r="AQ13" s="461"/>
    </row>
    <row r="14" customFormat="false" ht="14.25" hidden="false" customHeight="false" outlineLevel="0" collapsed="false">
      <c r="A14" s="464" t="s">
        <v>818</v>
      </c>
      <c r="B14" s="465" t="n">
        <f aca="false">B11/B22</f>
        <v>388.790634577702</v>
      </c>
      <c r="C14" s="465" t="n">
        <f aca="false">C11/C22</f>
        <v>619.907955266497</v>
      </c>
      <c r="D14" s="465" t="n">
        <f aca="false">D11/D22</f>
        <v>850.273541889695</v>
      </c>
      <c r="E14" s="465" t="n">
        <f aca="false">E11/E22</f>
        <v>13.7623835187578</v>
      </c>
      <c r="F14" s="465" t="n">
        <f aca="false">F11/F22</f>
        <v>38.75</v>
      </c>
      <c r="G14" s="465" t="n">
        <f aca="false">G11/G22</f>
        <v>0.755239473849833</v>
      </c>
      <c r="H14" s="465" t="n">
        <f aca="false">H11/H22</f>
        <v>367.867839315427</v>
      </c>
      <c r="I14" s="465" t="n">
        <f aca="false">I11/I22</f>
        <v>22.2034017286515</v>
      </c>
      <c r="J14" s="465" t="n">
        <f aca="false">J11/J22</f>
        <v>463.086068747531</v>
      </c>
      <c r="K14" s="465" t="n">
        <f aca="false">K11/K22</f>
        <v>82.8260121884994</v>
      </c>
      <c r="L14" s="465" t="n">
        <f aca="false">L11/L22</f>
        <v>10.3859115964203</v>
      </c>
      <c r="M14" s="465" t="n">
        <f aca="false">M11/M22</f>
        <v>194.250194250194</v>
      </c>
      <c r="N14" s="465" t="n">
        <f aca="false">N11/N22</f>
        <v>41.2525486138584</v>
      </c>
      <c r="O14" s="465" t="n">
        <f aca="false">O11/O22</f>
        <v>414.203887382947</v>
      </c>
      <c r="P14" s="465" t="n">
        <f aca="false">P11/P22</f>
        <v>162.405181121388</v>
      </c>
      <c r="Q14" s="465" t="n">
        <f aca="false">Q11/Q22</f>
        <v>25.1746491283278</v>
      </c>
      <c r="R14" s="465" t="n">
        <f aca="false">R11/R22</f>
        <v>19.1085845316008</v>
      </c>
      <c r="S14" s="465" t="n">
        <f aca="false">S11/S22</f>
        <v>17.8122169668914</v>
      </c>
      <c r="T14" s="465"/>
      <c r="U14" s="465"/>
      <c r="V14" s="465"/>
      <c r="W14" s="465"/>
      <c r="X14" s="465"/>
      <c r="Y14" s="465"/>
      <c r="Z14" s="465"/>
      <c r="AA14" s="465"/>
      <c r="AB14" s="465"/>
      <c r="AC14" s="465"/>
      <c r="AD14" s="465"/>
      <c r="AE14" s="465"/>
      <c r="AF14" s="465"/>
      <c r="AG14" s="465"/>
      <c r="AH14" s="465"/>
      <c r="AI14" s="465"/>
      <c r="AJ14" s="465"/>
      <c r="AK14" s="465"/>
      <c r="AL14" s="465"/>
      <c r="AM14" s="465"/>
      <c r="AN14" s="465"/>
      <c r="AO14" s="465"/>
      <c r="AP14" s="465"/>
      <c r="AQ14" s="465"/>
    </row>
    <row r="15" customFormat="false" ht="14.25" hidden="false" customHeight="false" outlineLevel="0" collapsed="false">
      <c r="A15" s="466" t="s">
        <v>819</v>
      </c>
      <c r="B15" s="467" t="n">
        <f aca="false">B12/B22</f>
        <v>427.669698035472</v>
      </c>
      <c r="C15" s="467" t="n">
        <f aca="false">C12/C22</f>
        <v>681.898750793147</v>
      </c>
      <c r="D15" s="467" t="n">
        <f aca="false">D12/D22</f>
        <v>1020.32825026763</v>
      </c>
      <c r="E15" s="467" t="n">
        <f aca="false">E12/E22</f>
        <v>17.8910985743852</v>
      </c>
      <c r="F15" s="467" t="n">
        <f aca="false">F12/F22</f>
        <v>42.625</v>
      </c>
      <c r="G15" s="467" t="n">
        <f aca="false">G12/G22</f>
        <v>0.830763421234817</v>
      </c>
      <c r="H15" s="467" t="n">
        <f aca="false">H12/H22</f>
        <v>404.654623246969</v>
      </c>
      <c r="I15" s="467" t="n">
        <f aca="false">I12/I22</f>
        <v>26.6440820743817</v>
      </c>
      <c r="J15" s="467" t="n">
        <f aca="false">J12/J22</f>
        <v>509.394675622284</v>
      </c>
      <c r="K15" s="467" t="n">
        <f aca="false">K12/K22</f>
        <v>99.3912146261992</v>
      </c>
      <c r="L15" s="467" t="n">
        <f aca="false">L12/L22</f>
        <v>12.4630939157043</v>
      </c>
      <c r="M15" s="467" t="n">
        <f aca="false">M12/M22</f>
        <v>252.525252525253</v>
      </c>
      <c r="N15" s="467" t="n">
        <f aca="false">N12/N22</f>
        <v>45.3778034752442</v>
      </c>
      <c r="O15" s="467" t="n">
        <f aca="false">O12/O22</f>
        <v>455.624276121242</v>
      </c>
      <c r="P15" s="467" t="n">
        <f aca="false">P12/P22</f>
        <v>178.645699233527</v>
      </c>
      <c r="Q15" s="467" t="n">
        <f aca="false">Q12/Q22</f>
        <v>27.6921140411606</v>
      </c>
      <c r="R15" s="467" t="n">
        <f aca="false">R12/R22</f>
        <v>21.0194429847609</v>
      </c>
      <c r="S15" s="467" t="n">
        <f aca="false">S12/S22</f>
        <v>19.5934386635806</v>
      </c>
      <c r="T15" s="467"/>
      <c r="U15" s="467"/>
      <c r="V15" s="467"/>
      <c r="W15" s="467"/>
      <c r="X15" s="467"/>
      <c r="Y15" s="467"/>
      <c r="Z15" s="467"/>
      <c r="AA15" s="467"/>
      <c r="AB15" s="467"/>
      <c r="AC15" s="467"/>
      <c r="AD15" s="467"/>
      <c r="AE15" s="467"/>
      <c r="AF15" s="467"/>
      <c r="AG15" s="467"/>
      <c r="AH15" s="467"/>
      <c r="AI15" s="467"/>
      <c r="AJ15" s="467"/>
      <c r="AK15" s="467"/>
      <c r="AL15" s="467"/>
      <c r="AM15" s="467"/>
      <c r="AN15" s="467"/>
      <c r="AO15" s="467"/>
      <c r="AP15" s="467"/>
      <c r="AQ15" s="467"/>
    </row>
    <row r="16" s="379" customFormat="true" ht="14.25" hidden="false" customHeight="false" outlineLevel="0" collapsed="false">
      <c r="A16" s="456" t="s">
        <v>820</v>
      </c>
      <c r="B16" s="461" t="n">
        <f aca="false">B13/B22</f>
        <v>233.274380746621</v>
      </c>
      <c r="C16" s="461" t="n">
        <f aca="false">C13/C22</f>
        <v>371.944773159899</v>
      </c>
      <c r="D16" s="461" t="n">
        <f aca="false">D13/D22</f>
        <v>510.164125133817</v>
      </c>
      <c r="E16" s="461" t="n">
        <f aca="false">E13/E22</f>
        <v>8.25743011125469</v>
      </c>
      <c r="F16" s="461" t="n">
        <f aca="false">F13/F22</f>
        <v>23.25</v>
      </c>
      <c r="G16" s="461" t="n">
        <f aca="false">G13/G22</f>
        <v>0.4531436843099</v>
      </c>
      <c r="H16" s="461" t="n">
        <f aca="false">H13/H22</f>
        <v>220.720703589256</v>
      </c>
      <c r="I16" s="461" t="n">
        <f aca="false">I13/I22</f>
        <v>13.3220410371909</v>
      </c>
      <c r="J16" s="461" t="n">
        <f aca="false">J13/J22</f>
        <v>277.851641248518</v>
      </c>
      <c r="K16" s="461" t="n">
        <f aca="false">K13/K22</f>
        <v>49.6956073130996</v>
      </c>
      <c r="L16" s="461" t="n">
        <f aca="false">L13/L22</f>
        <v>6.23154695785216</v>
      </c>
      <c r="M16" s="461" t="n">
        <f aca="false">M13/M22</f>
        <v>116.550116550117</v>
      </c>
      <c r="N16" s="461" t="n">
        <f aca="false">N13/N22</f>
        <v>24.751529168315</v>
      </c>
      <c r="O16" s="461" t="n">
        <f aca="false">O13/O22</f>
        <v>248.522332429768</v>
      </c>
      <c r="P16" s="461" t="n">
        <f aca="false">P13/P22</f>
        <v>97.4431086728328</v>
      </c>
      <c r="Q16" s="461" t="n">
        <f aca="false">Q13/Q22</f>
        <v>15.1047894769967</v>
      </c>
      <c r="R16" s="461" t="n">
        <f aca="false">R13/R22</f>
        <v>11.4651507189605</v>
      </c>
      <c r="S16" s="461" t="n">
        <f aca="false">S13/S22</f>
        <v>10.6873301801348</v>
      </c>
      <c r="T16" s="461"/>
      <c r="U16" s="461"/>
      <c r="V16" s="461"/>
      <c r="W16" s="461"/>
      <c r="X16" s="461"/>
      <c r="Y16" s="461"/>
      <c r="Z16" s="461"/>
      <c r="AA16" s="461"/>
      <c r="AB16" s="461"/>
      <c r="AC16" s="461"/>
      <c r="AD16" s="461"/>
      <c r="AE16" s="461"/>
      <c r="AF16" s="461"/>
      <c r="AG16" s="461"/>
      <c r="AH16" s="461"/>
      <c r="AI16" s="461"/>
      <c r="AJ16" s="461"/>
      <c r="AK16" s="461"/>
      <c r="AL16" s="461"/>
      <c r="AM16" s="461"/>
      <c r="AN16" s="461"/>
      <c r="AO16" s="461"/>
      <c r="AP16" s="461"/>
      <c r="AQ16" s="461"/>
    </row>
    <row r="17" s="379" customFormat="true" ht="14.25" hidden="false" customHeight="false" outlineLevel="0" collapsed="false">
      <c r="A17" s="456" t="s">
        <v>821</v>
      </c>
      <c r="B17" s="461" t="n">
        <f aca="false">B12*0.4</f>
        <v>171.067879214189</v>
      </c>
      <c r="C17" s="461" t="n">
        <f aca="false">C12*0.4</f>
        <v>272.759500317259</v>
      </c>
      <c r="D17" s="461" t="n">
        <f aca="false">D12*0.4</f>
        <v>408.131300107054</v>
      </c>
      <c r="E17" s="461" t="n">
        <f aca="false">E12*0.4</f>
        <v>7.15643942975406</v>
      </c>
      <c r="F17" s="461" t="n">
        <f aca="false">F12*0.4</f>
        <v>17.05</v>
      </c>
      <c r="G17" s="461" t="n">
        <f aca="false">G12*0.4</f>
        <v>0.332305368493927</v>
      </c>
      <c r="H17" s="461" t="n">
        <f aca="false">H12*0.4</f>
        <v>161.861849298788</v>
      </c>
      <c r="I17" s="461" t="n">
        <f aca="false">I12*0.4</f>
        <v>10.6576328297527</v>
      </c>
      <c r="J17" s="461" t="n">
        <f aca="false">J12*0.4</f>
        <v>203.757870248914</v>
      </c>
      <c r="K17" s="461" t="n">
        <f aca="false">K12*0.4</f>
        <v>39.7564858504797</v>
      </c>
      <c r="L17" s="461" t="n">
        <f aca="false">L12*0.4</f>
        <v>4.98523756628173</v>
      </c>
      <c r="M17" s="461" t="n">
        <f aca="false">M12*0.4</f>
        <v>101.010101010101</v>
      </c>
      <c r="N17" s="461" t="n">
        <f aca="false">N12*0.4</f>
        <v>18.1511213900977</v>
      </c>
      <c r="O17" s="461" t="n">
        <f aca="false">O12*0.4</f>
        <v>182.249710448497</v>
      </c>
      <c r="P17" s="461" t="n">
        <f aca="false">P12*0.4</f>
        <v>71.4582796934107</v>
      </c>
      <c r="Q17" s="461" t="n">
        <f aca="false">Q12*0.4</f>
        <v>11.0768456164642</v>
      </c>
      <c r="R17" s="461" t="n">
        <f aca="false">R12*0.4</f>
        <v>8.40777719390436</v>
      </c>
      <c r="S17" s="461" t="n">
        <f aca="false">S12*0.4</f>
        <v>7.83737546543222</v>
      </c>
      <c r="T17" s="461"/>
      <c r="U17" s="461"/>
      <c r="V17" s="461"/>
      <c r="W17" s="461"/>
      <c r="X17" s="461"/>
      <c r="Y17" s="461"/>
      <c r="Z17" s="461"/>
      <c r="AA17" s="461"/>
      <c r="AB17" s="461"/>
      <c r="AC17" s="461"/>
      <c r="AD17" s="461"/>
      <c r="AE17" s="461"/>
      <c r="AF17" s="461"/>
      <c r="AG17" s="461"/>
      <c r="AH17" s="461"/>
      <c r="AI17" s="461"/>
      <c r="AJ17" s="461"/>
      <c r="AK17" s="461"/>
      <c r="AL17" s="461"/>
      <c r="AM17" s="461"/>
      <c r="AN17" s="461"/>
      <c r="AO17" s="461"/>
      <c r="AP17" s="461"/>
      <c r="AQ17" s="461"/>
    </row>
    <row r="18" customFormat="false" ht="14.25" hidden="false" customHeight="false" outlineLevel="0" collapsed="false">
      <c r="A18" s="456" t="s">
        <v>822</v>
      </c>
      <c r="B18" s="354" t="n">
        <f aca="false">HLOOKUP(B101,物流参数!$C$1:$GC$29,MATCH("TEMPERATURE",物流参数!$A$1:$A$29,FALSE()),FALSE())</f>
        <v>184.99</v>
      </c>
      <c r="C18" s="354" t="n">
        <f aca="false">HLOOKUP(C101,物流参数!$C$1:$GC$29,MATCH("TEMPERATURE",物流参数!$A$1:$A$29,FALSE()),FALSE())</f>
        <v>417.67</v>
      </c>
      <c r="D18" s="354" t="n">
        <f aca="false">HLOOKUP(D101,物流参数!$C$1:$GC$29,MATCH("TEMPERATURE",物流参数!$A$1:$A$29,FALSE()),FALSE())</f>
        <v>417.67</v>
      </c>
      <c r="E18" s="354" t="n">
        <f aca="false">HLOOKUP(E101,物流参数!$C$1:$GC$29,MATCH("TEMPERATURE",物流参数!$A$1:$A$29,FALSE()),FALSE())</f>
        <v>95.46</v>
      </c>
      <c r="F18" s="354" t="n">
        <v>185</v>
      </c>
      <c r="G18" s="354" t="n">
        <f aca="false">HLOOKUP(G101,物流参数!$C$1:$GC$29,MATCH("TEMPERATURE",物流参数!$A$1:$A$29,FALSE()),FALSE())</f>
        <v>50.04</v>
      </c>
      <c r="H18" s="468" t="n">
        <v>120</v>
      </c>
      <c r="I18" s="354" t="n">
        <f aca="false">HLOOKUP(I101,物流参数!$C$1:$GC$29,MATCH("TEMPERATURE",物流参数!$A$1:$A$29,FALSE()),FALSE())</f>
        <v>39.99</v>
      </c>
      <c r="J18" s="354" t="n">
        <f aca="false">HLOOKUP(J101,物流参数!$C$1:$GC$29,MATCH("TEMPERATURE",物流参数!$A$1:$A$29,FALSE()),FALSE())</f>
        <v>335</v>
      </c>
      <c r="K18" s="354" t="n">
        <f aca="false">HLOOKUP(K101,物流参数!$C$1:$GC$29,MATCH("TEMPERATURE",物流参数!$A$1:$A$29,FALSE()),FALSE())</f>
        <v>92.39</v>
      </c>
      <c r="L18" s="354" t="n">
        <f aca="false">HLOOKUP(L101,物流参数!$C$1:$GC$29,MATCH("TEMPERATURE",物流参数!$A$1:$A$29,FALSE()),FALSE())</f>
        <v>92.58</v>
      </c>
      <c r="M18" s="354" t="n">
        <f aca="false">HLOOKUP(M101,物流参数!$C$1:$GC$29,MATCH("TEMPERATURE",物流参数!$A$1:$A$29,FALSE()),FALSE())</f>
        <v>234.36</v>
      </c>
      <c r="N18" s="354" t="n">
        <f aca="false">HLOOKUP(N101,物流参数!$C$1:$GC$29,MATCH("TEMPERATURE",物流参数!$A$1:$A$29,FALSE()),FALSE())</f>
        <v>223.17</v>
      </c>
      <c r="O18" s="354" t="n">
        <f aca="false">HLOOKUP(O101,物流参数!$C$1:$GC$29,MATCH("TEMPERATURE",物流参数!$A$1:$A$29,FALSE()),FALSE())</f>
        <v>330.49</v>
      </c>
      <c r="P18" s="457" t="n">
        <v>40</v>
      </c>
      <c r="Q18" s="354" t="n">
        <f aca="false">HLOOKUP(Q101,物流参数!$C$1:$GC$29,MATCH("TEMPERATURE",物流参数!$A$1:$A$29,FALSE()),FALSE())</f>
        <v>50.04</v>
      </c>
      <c r="R18" s="457" t="n">
        <v>40</v>
      </c>
      <c r="S18" s="457" t="n">
        <v>43</v>
      </c>
      <c r="T18" s="223"/>
      <c r="U18" s="223"/>
      <c r="V18" s="223"/>
      <c r="W18" s="223"/>
      <c r="X18" s="223"/>
      <c r="Y18" s="223"/>
      <c r="Z18" s="223"/>
      <c r="AA18" s="223"/>
      <c r="AB18" s="223"/>
      <c r="AC18" s="223"/>
      <c r="AD18" s="223"/>
      <c r="AE18" s="223"/>
      <c r="AF18" s="223"/>
      <c r="AG18" s="223"/>
      <c r="AH18" s="223"/>
      <c r="AI18" s="223"/>
      <c r="AJ18" s="223"/>
      <c r="AK18" s="223"/>
      <c r="AL18" s="223"/>
      <c r="AM18" s="223"/>
      <c r="AN18" s="223"/>
      <c r="AO18" s="223"/>
      <c r="AP18" s="223"/>
      <c r="AQ18" s="223"/>
    </row>
    <row r="19" customFormat="false" ht="14.25" hidden="false" customHeight="false" outlineLevel="0" collapsed="false">
      <c r="A19" s="456" t="s">
        <v>823</v>
      </c>
      <c r="B19" s="354" t="n">
        <f aca="false">HLOOKUP(B101,物流参数!$C$1:$GC$29,MATCH("LIQUID DENSITY",物流参数!$A$1:$A$29,FALSE()),FALSE())</f>
        <v>796.12</v>
      </c>
      <c r="C19" s="354" t="n">
        <f aca="false">HLOOKUP(C101,物流参数!$C$1:$GC$29,MATCH("LIQUID DENSITY",物流参数!$A$1:$A$29,FALSE()),FALSE())</f>
        <v>504.32</v>
      </c>
      <c r="D19" s="354" t="n">
        <f aca="false">HLOOKUP(D101,物流参数!$C$1:$GC$29,MATCH("LIQUID DENSITY",物流参数!$A$1:$A$29,FALSE()),FALSE())</f>
        <v>504.42</v>
      </c>
      <c r="E19" s="354" t="n">
        <f aca="false">HLOOKUP(E101,物流参数!$C$1:$GC$29,MATCH("LIQUID DENSITY",物流参数!$A$1:$A$29,FALSE()),FALSE())</f>
        <v>951.87</v>
      </c>
      <c r="F19" s="354" t="n">
        <v>800</v>
      </c>
      <c r="G19" s="354" t="n">
        <f aca="false">HLOOKUP(G101,物流参数!$C$1:$GC$29,MATCH("LIQUID DENSITY",物流参数!$A$1:$A$29,FALSE()),FALSE())</f>
        <v>794.45</v>
      </c>
      <c r="H19" s="468" t="n">
        <v>841.4</v>
      </c>
      <c r="I19" s="354" t="n">
        <f aca="false">HLOOKUP(I101,物流参数!$C$1:$GC$29,MATCH("LIQUID DENSITY",物流参数!$A$1:$A$29,FALSE()),FALSE())</f>
        <v>683.77</v>
      </c>
      <c r="J19" s="354" t="n">
        <f aca="false">HLOOKUP(J101,物流参数!$C$1:$GC$29,MATCH("LIQUID DENSITY",物流参数!$A$1:$A$29,FALSE()),FALSE())</f>
        <v>632.75</v>
      </c>
      <c r="K19" s="354" t="n">
        <f aca="false">HLOOKUP(K101,物流参数!$C$1:$GC$29,MATCH("LIQUID DENSITY",物流参数!$A$1:$A$29,FALSE()),FALSE())</f>
        <v>662.92</v>
      </c>
      <c r="L19" s="354" t="n">
        <f aca="false">HLOOKUP(L101,物流参数!$C$1:$GC$29,MATCH("LIQUID DENSITY",物流参数!$A$1:$A$29,FALSE()),FALSE())</f>
        <v>954.26</v>
      </c>
      <c r="M19" s="354" t="n">
        <f aca="false">HLOOKUP(M101,物流参数!$C$1:$GC$29,MATCH("LIQUID DENSITY",物流参数!$A$1:$A$29,FALSE()),FALSE())</f>
        <v>643.5</v>
      </c>
      <c r="N19" s="354" t="n">
        <f aca="false">HLOOKUP(N101,物流参数!$C$1:$GC$29,MATCH("LIQUID DENSITY",物流参数!$A$1:$A$29,FALSE()),FALSE())</f>
        <v>657.22</v>
      </c>
      <c r="O19" s="354" t="n">
        <f aca="false">HLOOKUP(O101,物流参数!$C$1:$GC$29,MATCH("LIQUID DENSITY",物流参数!$A$1:$A$29,FALSE()),FALSE())</f>
        <v>649.28</v>
      </c>
      <c r="P19" s="354" t="n">
        <f aca="false">HLOOKUP(P101,物流参数!$C$1:$GC$29,MATCH("LIQUID DENSITY",物流参数!$A$1:$A$29,FALSE()),FALSE())</f>
        <v>1009.82</v>
      </c>
      <c r="Q19" s="354" t="n">
        <f aca="false">HLOOKUP(Q101,物流参数!$C$1:$GC$29,MATCH("LIQUID DENSITY",物流参数!$A$1:$A$29,FALSE()),FALSE())</f>
        <v>794.45</v>
      </c>
      <c r="R19" s="354" t="n">
        <f aca="false">HLOOKUP(R101,物流参数!$C$1:$GC$29,MATCH("LIQUID DENSITY",物流参数!$A$1:$A$29,FALSE()),FALSE())</f>
        <v>1046.65</v>
      </c>
      <c r="S19" s="469" t="n">
        <v>993.7</v>
      </c>
      <c r="T19" s="470"/>
      <c r="U19" s="470"/>
      <c r="V19" s="470"/>
      <c r="W19" s="470"/>
      <c r="X19" s="470"/>
      <c r="Y19" s="470"/>
      <c r="Z19" s="470"/>
      <c r="AA19" s="470"/>
      <c r="AB19" s="470"/>
      <c r="AC19" s="470"/>
      <c r="AD19" s="470"/>
      <c r="AE19" s="470"/>
      <c r="AF19" s="223"/>
      <c r="AG19" s="223"/>
      <c r="AH19" s="470"/>
      <c r="AI19" s="470"/>
      <c r="AJ19" s="470"/>
      <c r="AK19" s="470"/>
      <c r="AL19" s="470"/>
      <c r="AM19" s="470"/>
      <c r="AN19" s="470"/>
      <c r="AO19" s="470"/>
      <c r="AP19" s="470"/>
      <c r="AQ19" s="470"/>
    </row>
    <row r="20" customFormat="false" ht="14.25" hidden="false" customHeight="false" outlineLevel="0" collapsed="false">
      <c r="A20" s="456" t="s">
        <v>824</v>
      </c>
      <c r="B20" s="470" t="n">
        <v>0.4</v>
      </c>
      <c r="C20" s="470" t="n">
        <v>13.95</v>
      </c>
      <c r="D20" s="470" t="n">
        <f aca="false">D27</f>
        <v>13.92</v>
      </c>
      <c r="E20" s="471" t="n">
        <v>0.2</v>
      </c>
      <c r="F20" s="470" t="n">
        <v>0.2</v>
      </c>
      <c r="G20" s="471" t="n">
        <v>0.4</v>
      </c>
      <c r="H20" s="471" t="n">
        <v>0.2</v>
      </c>
      <c r="I20" s="471" t="n">
        <v>1.1</v>
      </c>
      <c r="J20" s="471" t="n">
        <v>0.4</v>
      </c>
      <c r="K20" s="471" t="n">
        <v>0.16</v>
      </c>
      <c r="L20" s="471" t="n">
        <v>0.16</v>
      </c>
      <c r="M20" s="471" t="n">
        <v>0.34</v>
      </c>
      <c r="N20" s="471" t="n">
        <v>0.19</v>
      </c>
      <c r="O20" s="471" t="n">
        <v>0.24</v>
      </c>
      <c r="P20" s="471" t="n">
        <v>0.5</v>
      </c>
      <c r="Q20" s="471" t="n">
        <v>0.2</v>
      </c>
      <c r="R20" s="471" t="n">
        <v>0.2</v>
      </c>
      <c r="S20" s="471" t="n">
        <v>0.1</v>
      </c>
      <c r="T20" s="471"/>
      <c r="U20" s="212"/>
      <c r="V20" s="472"/>
      <c r="W20" s="471"/>
      <c r="X20" s="212"/>
      <c r="Y20" s="212"/>
      <c r="Z20" s="212"/>
      <c r="AA20" s="212"/>
      <c r="AB20" s="212"/>
      <c r="AC20" s="468"/>
      <c r="AD20" s="212"/>
      <c r="AE20" s="468"/>
      <c r="AF20" s="473"/>
      <c r="AG20" s="473"/>
      <c r="AH20" s="468"/>
      <c r="AI20" s="474"/>
      <c r="AJ20" s="474"/>
      <c r="AK20" s="468"/>
      <c r="AL20" s="452"/>
      <c r="AM20" s="452"/>
      <c r="AN20" s="212"/>
      <c r="AO20" s="212"/>
      <c r="AP20" s="212"/>
      <c r="AQ20" s="212"/>
    </row>
    <row r="21" customFormat="false" ht="14.25" hidden="false" customHeight="false" outlineLevel="0" collapsed="false">
      <c r="A21" s="456" t="s">
        <v>825</v>
      </c>
      <c r="B21" s="470" t="n">
        <f aca="false">HLOOKUP(B101,物流参数!$C$1:$GC$29,MATCH("LIQ. VISC @ P&amp;T",物流参数!$A$1:$A$29,FALSE()),FALSE())/B19*1000</f>
        <v>1.13048284178265</v>
      </c>
      <c r="C21" s="470" t="n">
        <f aca="false">HLOOKUP(C101,物流参数!$C$1:$GC$29,MATCH("LIQ. VISC @ P&amp;T",物流参数!$A$1:$A$29,FALSE()),FALSE())/C19*1000</f>
        <v>0.0991434010152284</v>
      </c>
      <c r="D21" s="470" t="n">
        <f aca="false">HLOOKUP(D101,物流参数!$C$1:$GC$29,MATCH("LIQ. VISC @ P&amp;T",物流参数!$A$1:$A$29,FALSE()),FALSE())/D19*1000</f>
        <v>0.099123746084612</v>
      </c>
      <c r="E21" s="470" t="n">
        <f aca="false">HLOOKUP(E101,物流参数!$C$1:$GC$29,MATCH("LIQ. VISC @ P&amp;T",物流参数!$A$1:$A$29,FALSE()),FALSE())/E19*1000</f>
        <v>0.304663451941967</v>
      </c>
      <c r="F21" s="470" t="n">
        <v>1.13</v>
      </c>
      <c r="G21" s="470" t="n">
        <f aca="false">HLOOKUP(G101,物流参数!$C$1:$GC$29,MATCH("LIQ. VISC @ P&amp;T",物流参数!$A$1:$A$29,FALSE()),FALSE())/G19*1000</f>
        <v>2.20278179872868</v>
      </c>
      <c r="H21" s="470" t="n">
        <f aca="false">HLOOKUP(H101,物流参数!$C$1:$GC$29,MATCH("LIQ. VISC @ P&amp;T",物流参数!$A$1:$A$29,FALSE()),FALSE())/H19*1000</f>
        <v>1.06964582838127</v>
      </c>
      <c r="I21" s="470" t="n">
        <f aca="false">HLOOKUP(I101,物流参数!$C$1:$GC$29,MATCH("LIQ. VISC @ P&amp;T",物流参数!$A$1:$A$29,FALSE()),FALSE())/I19*1000</f>
        <v>0.424119221375609</v>
      </c>
      <c r="J21" s="470" t="n">
        <f aca="false">HLOOKUP(J101,物流参数!$C$1:$GC$29,MATCH("LIQ. VISC @ P&amp;T",物流参数!$A$1:$A$29,FALSE()),FALSE())/J19*1000</f>
        <v>0.173844330304228</v>
      </c>
      <c r="K21" s="470" t="n">
        <f aca="false">HLOOKUP(K101,物流参数!$C$1:$GC$29,MATCH("LIQ. VISC @ P&amp;T",物流参数!$A$1:$A$29,FALSE()),FALSE())/K19*1000</f>
        <v>0.392204187533941</v>
      </c>
      <c r="L21" s="470" t="n">
        <f aca="false">HLOOKUP(L101,物流参数!$C$1:$GC$29,MATCH("LIQ. VISC @ P&amp;T",物流参数!$A$1:$A$29,FALSE()),FALSE())/L19*1000</f>
        <v>0.314379728795087</v>
      </c>
      <c r="M21" s="470" t="n">
        <f aca="false">HLOOKUP(M101,物流参数!$C$1:$GC$29,MATCH("LIQ. VISC @ P&amp;T",物流参数!$A$1:$A$29,FALSE()),FALSE())/M19*1000</f>
        <v>0.341880341880342</v>
      </c>
      <c r="N21" s="470" t="n">
        <f aca="false">HLOOKUP(N101,物流参数!$C$1:$GC$29,MATCH("LIQ. VISC @ P&amp;T",物流参数!$A$1:$A$29,FALSE()),FALSE())/N19*1000</f>
        <v>0.380390128115395</v>
      </c>
      <c r="O21" s="470" t="n">
        <f aca="false">HLOOKUP(O101,物流参数!$C$1:$GC$29,MATCH("LIQ. VISC @ P&amp;T",物流参数!$A$1:$A$29,FALSE()),FALSE())/O19*1000</f>
        <v>0.184820108427797</v>
      </c>
      <c r="P21" s="470" t="n">
        <f aca="false">HLOOKUP(P101,物流参数!$C$1:$GC$29,MATCH("LIQ. VISC @ P&amp;T",物流参数!$A$1:$A$29,FALSE()),FALSE())/P19*1000</f>
        <v>1.30716365292824</v>
      </c>
      <c r="Q21" s="470" t="n">
        <f aca="false">HLOOKUP(Q101,物流参数!$C$1:$GC$29,MATCH("LIQ. VISC @ P&amp;T",物流参数!$A$1:$A$29,FALSE()),FALSE())/Q19*1000</f>
        <v>2.20278179872868</v>
      </c>
      <c r="R21" s="470" t="n">
        <f aca="false">HLOOKUP(R101,物流参数!$C$1:$GC$29,MATCH("LIQ. VISC @ P&amp;T",物流参数!$A$1:$A$29,FALSE()),FALSE())/R19*1000</f>
        <v>1.05097214923805</v>
      </c>
      <c r="S21" s="452" t="n">
        <v>0.62</v>
      </c>
      <c r="T21" s="470"/>
      <c r="U21" s="470"/>
      <c r="V21" s="470"/>
      <c r="W21" s="470"/>
      <c r="X21" s="470"/>
      <c r="Y21" s="470"/>
      <c r="Z21" s="470"/>
      <c r="AA21" s="470"/>
      <c r="AB21" s="470"/>
      <c r="AC21" s="470"/>
      <c r="AD21" s="470"/>
      <c r="AE21" s="470"/>
      <c r="AF21" s="470"/>
      <c r="AG21" s="470"/>
      <c r="AH21" s="470"/>
      <c r="AI21" s="470"/>
      <c r="AJ21" s="470"/>
      <c r="AK21" s="470"/>
      <c r="AL21" s="470"/>
      <c r="AM21" s="470"/>
      <c r="AN21" s="470"/>
      <c r="AO21" s="470"/>
      <c r="AP21" s="470"/>
      <c r="AQ21" s="470"/>
    </row>
    <row r="22" customFormat="false" ht="14.25" hidden="false" customHeight="false" outlineLevel="0" collapsed="false">
      <c r="A22" s="475" t="s">
        <v>826</v>
      </c>
      <c r="B22" s="463" t="n">
        <f aca="false">IF(OR(B2="原油泵",B21&gt;10),0.98,1)</f>
        <v>1</v>
      </c>
      <c r="C22" s="463" t="n">
        <f aca="false">IF(OR(C2="原油泵",C21&gt;10),0.98,1)</f>
        <v>1</v>
      </c>
      <c r="D22" s="463" t="n">
        <f aca="false">IF(OR(D2="原油泵",D21&gt;10),0.98,1)</f>
        <v>1</v>
      </c>
      <c r="E22" s="463" t="n">
        <f aca="false">IF(OR(E2="原油泵",E21&gt;10),0.98,1)</f>
        <v>1</v>
      </c>
      <c r="F22" s="463" t="n">
        <f aca="false">IF(OR(F2="原油泵",F21&gt;10),0.98,1)</f>
        <v>1</v>
      </c>
      <c r="G22" s="463" t="n">
        <f aca="false">IF(OR(G2="原油泵",G21&gt;10),0.98,1)</f>
        <v>1</v>
      </c>
      <c r="H22" s="463" t="n">
        <f aca="false">IF(OR(H2="原油泵",H21&gt;10),0.98,1)</f>
        <v>1</v>
      </c>
      <c r="I22" s="463" t="n">
        <f aca="false">IF(OR(I2="原油泵",I21&gt;10),0.98,1)</f>
        <v>1</v>
      </c>
      <c r="J22" s="463" t="n">
        <f aca="false">IF(OR(J2="原油泵",J21&gt;10),0.98,1)</f>
        <v>1</v>
      </c>
      <c r="K22" s="463" t="n">
        <f aca="false">IF(OR(K2="原油泵",K21&gt;10),0.98,1)</f>
        <v>1</v>
      </c>
      <c r="L22" s="463" t="n">
        <f aca="false">IF(OR(L2="原油泵",L21&gt;10),0.98,1)</f>
        <v>1</v>
      </c>
      <c r="M22" s="463" t="n">
        <f aca="false">IF(OR(M2="原油泵",M21&gt;10),0.98,1)</f>
        <v>1</v>
      </c>
      <c r="N22" s="463" t="n">
        <f aca="false">IF(OR(N2="原油泵",N21&gt;10),0.98,1)</f>
        <v>1</v>
      </c>
      <c r="O22" s="463" t="n">
        <f aca="false">IF(OR(O2="原油泵",O21&gt;10),0.98,1)</f>
        <v>1</v>
      </c>
      <c r="P22" s="463" t="n">
        <f aca="false">IF(OR(P2="原油泵",P21&gt;10),0.98,1)</f>
        <v>1</v>
      </c>
      <c r="Q22" s="463" t="n">
        <f aca="false">IF(OR(Q2="原油泵",Q21&gt;10),0.98,1)</f>
        <v>1</v>
      </c>
      <c r="R22" s="463" t="n">
        <f aca="false">IF(OR(R2="原油泵",R21&gt;10),0.98,1)</f>
        <v>1</v>
      </c>
      <c r="S22" s="463" t="n">
        <f aca="false">IF(OR(S2="原油泵",S21&gt;10),0.98,1)</f>
        <v>1</v>
      </c>
      <c r="T22" s="463"/>
      <c r="U22" s="463"/>
      <c r="V22" s="463"/>
      <c r="W22" s="463"/>
      <c r="X22" s="463"/>
      <c r="Y22" s="463"/>
      <c r="Z22" s="463"/>
      <c r="AA22" s="463"/>
      <c r="AB22" s="463"/>
      <c r="AC22" s="463"/>
      <c r="AD22" s="463"/>
      <c r="AE22" s="463"/>
      <c r="AF22" s="463"/>
      <c r="AG22" s="463"/>
      <c r="AH22" s="463"/>
      <c r="AI22" s="463"/>
      <c r="AJ22" s="463"/>
      <c r="AK22" s="463"/>
      <c r="AL22" s="463"/>
      <c r="AM22" s="463"/>
      <c r="AN22" s="463"/>
      <c r="AO22" s="463"/>
      <c r="AP22" s="463"/>
      <c r="AQ22" s="463"/>
    </row>
    <row r="23" customFormat="false" ht="14.25" hidden="false" customHeight="false" outlineLevel="0" collapsed="false">
      <c r="A23" s="475" t="s">
        <v>827</v>
      </c>
      <c r="B23" s="463" t="n">
        <f aca="false">IF(OR(B2="原油泵",B21&gt;10),0.97,1)</f>
        <v>1</v>
      </c>
      <c r="C23" s="463" t="n">
        <f aca="false">IF(OR(C2="原油泵",C21&gt;10),0.97,1)</f>
        <v>1</v>
      </c>
      <c r="D23" s="463" t="n">
        <f aca="false">IF(OR(D2="原油泵",D21&gt;10),0.97,1)</f>
        <v>1</v>
      </c>
      <c r="E23" s="463" t="n">
        <f aca="false">IF(OR(E2="原油泵",E21&gt;10),0.97,1)</f>
        <v>1</v>
      </c>
      <c r="F23" s="463" t="n">
        <f aca="false">IF(OR(F2="原油泵",F21&gt;10),0.97,1)</f>
        <v>1</v>
      </c>
      <c r="G23" s="463" t="n">
        <f aca="false">IF(OR(G2="原油泵",G21&gt;10),0.97,1)</f>
        <v>1</v>
      </c>
      <c r="H23" s="463" t="n">
        <f aca="false">IF(OR(H2="原油泵",H21&gt;10),0.97,1)</f>
        <v>1</v>
      </c>
      <c r="I23" s="463" t="n">
        <f aca="false">IF(OR(I2="原油泵",I21&gt;10),0.97,1)</f>
        <v>1</v>
      </c>
      <c r="J23" s="463" t="n">
        <f aca="false">IF(OR(J2="原油泵",J21&gt;10),0.97,1)</f>
        <v>1</v>
      </c>
      <c r="K23" s="463" t="n">
        <f aca="false">IF(OR(K2="原油泵",K21&gt;10),0.97,1)</f>
        <v>1</v>
      </c>
      <c r="L23" s="463" t="n">
        <f aca="false">IF(OR(L2="原油泵",L21&gt;10),0.97,1)</f>
        <v>1</v>
      </c>
      <c r="M23" s="463" t="n">
        <f aca="false">IF(OR(M2="原油泵",M21&gt;10),0.97,1)</f>
        <v>1</v>
      </c>
      <c r="N23" s="463" t="n">
        <f aca="false">IF(OR(N2="原油泵",N21&gt;10),0.97,1)</f>
        <v>1</v>
      </c>
      <c r="O23" s="463" t="n">
        <f aca="false">IF(OR(O2="原油泵",O21&gt;10),0.97,1)</f>
        <v>1</v>
      </c>
      <c r="P23" s="463" t="n">
        <f aca="false">IF(OR(P2="原油泵",P21&gt;10),0.97,1)</f>
        <v>1</v>
      </c>
      <c r="Q23" s="463" t="n">
        <f aca="false">IF(OR(Q2="原油泵",Q21&gt;10),0.97,1)</f>
        <v>1</v>
      </c>
      <c r="R23" s="463" t="n">
        <f aca="false">IF(OR(R2="原油泵",R21&gt;10),0.97,1)</f>
        <v>1</v>
      </c>
      <c r="S23" s="463" t="n">
        <f aca="false">IF(OR(S2="原油泵",S21&gt;10),0.97,1)</f>
        <v>1</v>
      </c>
      <c r="T23" s="463"/>
      <c r="U23" s="463"/>
      <c r="V23" s="463"/>
      <c r="W23" s="463"/>
      <c r="X23" s="463"/>
      <c r="Y23" s="463"/>
      <c r="Z23" s="463"/>
      <c r="AA23" s="463"/>
      <c r="AB23" s="463"/>
      <c r="AC23" s="463"/>
      <c r="AD23" s="463"/>
      <c r="AE23" s="463"/>
      <c r="AF23" s="463"/>
      <c r="AG23" s="463"/>
      <c r="AH23" s="463"/>
      <c r="AI23" s="463"/>
      <c r="AJ23" s="463"/>
      <c r="AK23" s="463"/>
      <c r="AL23" s="463"/>
      <c r="AM23" s="463"/>
      <c r="AN23" s="463"/>
      <c r="AO23" s="463"/>
      <c r="AP23" s="463"/>
      <c r="AQ23" s="463"/>
    </row>
    <row r="24" customFormat="false" ht="14.25" hidden="false" customHeight="false" outlineLevel="0" collapsed="false">
      <c r="A24" s="475" t="s">
        <v>828</v>
      </c>
      <c r="B24" s="463" t="n">
        <f aca="false">IF(OR(B2="原油泵",B21&gt;10),0.92,1)</f>
        <v>1</v>
      </c>
      <c r="C24" s="463" t="n">
        <f aca="false">IF(OR(C2="原油泵",C21&gt;10),0.92,1)</f>
        <v>1</v>
      </c>
      <c r="D24" s="463" t="n">
        <f aca="false">IF(OR(D2="原油泵",D21&gt;10),0.92,1)</f>
        <v>1</v>
      </c>
      <c r="E24" s="463" t="n">
        <f aca="false">IF(OR(E2="原油泵",E21&gt;10),0.92,1)</f>
        <v>1</v>
      </c>
      <c r="F24" s="463" t="n">
        <f aca="false">IF(OR(F2="原油泵",F21&gt;10),0.92,1)</f>
        <v>1</v>
      </c>
      <c r="G24" s="463" t="n">
        <f aca="false">IF(OR(G2="原油泵",G21&gt;10),0.92,1)</f>
        <v>1</v>
      </c>
      <c r="H24" s="463" t="n">
        <f aca="false">IF(OR(H2="原油泵",H21&gt;10),0.92,1)</f>
        <v>1</v>
      </c>
      <c r="I24" s="463" t="n">
        <f aca="false">IF(OR(I2="原油泵",I21&gt;10),0.92,1)</f>
        <v>1</v>
      </c>
      <c r="J24" s="463" t="n">
        <f aca="false">IF(OR(J2="原油泵",J21&gt;10),0.92,1)</f>
        <v>1</v>
      </c>
      <c r="K24" s="463" t="n">
        <f aca="false">IF(OR(K2="原油泵",K21&gt;10),0.92,1)</f>
        <v>1</v>
      </c>
      <c r="L24" s="463" t="n">
        <f aca="false">IF(OR(L2="原油泵",L21&gt;10),0.92,1)</f>
        <v>1</v>
      </c>
      <c r="M24" s="463" t="n">
        <f aca="false">IF(OR(M2="原油泵",M21&gt;10),0.92,1)</f>
        <v>1</v>
      </c>
      <c r="N24" s="463" t="n">
        <f aca="false">IF(OR(N2="原油泵",N21&gt;10),0.92,1)</f>
        <v>1</v>
      </c>
      <c r="O24" s="463" t="n">
        <f aca="false">IF(OR(O2="原油泵",O21&gt;10),0.92,1)</f>
        <v>1</v>
      </c>
      <c r="P24" s="463" t="n">
        <f aca="false">IF(OR(P2="原油泵",P21&gt;10),0.92,1)</f>
        <v>1</v>
      </c>
      <c r="Q24" s="463" t="n">
        <f aca="false">IF(OR(Q2="原油泵",Q21&gt;10),0.92,1)</f>
        <v>1</v>
      </c>
      <c r="R24" s="463" t="n">
        <f aca="false">IF(OR(R2="原油泵",R21&gt;10),0.92,1)</f>
        <v>1</v>
      </c>
      <c r="S24" s="463" t="n">
        <f aca="false">IF(OR(S2="原油泵",S21&gt;10),0.92,1)</f>
        <v>1</v>
      </c>
      <c r="T24" s="463"/>
      <c r="U24" s="463"/>
      <c r="V24" s="463"/>
      <c r="W24" s="463"/>
      <c r="X24" s="463"/>
      <c r="Y24" s="463"/>
      <c r="Z24" s="463"/>
      <c r="AA24" s="463"/>
      <c r="AB24" s="463"/>
      <c r="AC24" s="463"/>
      <c r="AD24" s="463"/>
      <c r="AE24" s="463"/>
      <c r="AF24" s="463"/>
      <c r="AG24" s="463"/>
      <c r="AH24" s="463"/>
      <c r="AI24" s="463"/>
      <c r="AJ24" s="463"/>
      <c r="AK24" s="463"/>
      <c r="AL24" s="463"/>
      <c r="AM24" s="463"/>
      <c r="AN24" s="463"/>
      <c r="AO24" s="463"/>
      <c r="AP24" s="463"/>
      <c r="AQ24" s="463"/>
    </row>
    <row r="25" customFormat="false" ht="14.25" hidden="false" customHeight="false" outlineLevel="0" collapsed="false">
      <c r="A25" s="476" t="s">
        <v>829</v>
      </c>
      <c r="B25" s="477" t="n">
        <v>1</v>
      </c>
      <c r="C25" s="477" t="n">
        <v>1</v>
      </c>
      <c r="D25" s="477" t="n">
        <v>1</v>
      </c>
      <c r="E25" s="477" t="n">
        <v>1</v>
      </c>
      <c r="F25" s="477" t="n">
        <v>1</v>
      </c>
      <c r="G25" s="477" t="n">
        <v>1</v>
      </c>
      <c r="H25" s="477" t="n">
        <v>1</v>
      </c>
      <c r="I25" s="477" t="n">
        <v>1</v>
      </c>
      <c r="J25" s="477" t="n">
        <v>1</v>
      </c>
      <c r="K25" s="477" t="n">
        <v>1</v>
      </c>
      <c r="L25" s="477" t="n">
        <v>1</v>
      </c>
      <c r="M25" s="477" t="n">
        <v>1</v>
      </c>
      <c r="N25" s="477" t="n">
        <v>1</v>
      </c>
      <c r="O25" s="477" t="n">
        <v>1</v>
      </c>
      <c r="P25" s="477" t="n">
        <v>1</v>
      </c>
      <c r="Q25" s="477" t="n">
        <v>1</v>
      </c>
      <c r="R25" s="477" t="n">
        <v>1</v>
      </c>
      <c r="S25" s="477" t="n">
        <v>1</v>
      </c>
      <c r="T25" s="477"/>
      <c r="U25" s="477"/>
      <c r="V25" s="477"/>
      <c r="W25" s="477"/>
      <c r="X25" s="477"/>
      <c r="Y25" s="477"/>
      <c r="Z25" s="477"/>
      <c r="AA25" s="477"/>
      <c r="AB25" s="477"/>
      <c r="AC25" s="477"/>
      <c r="AD25" s="477"/>
      <c r="AE25" s="477"/>
      <c r="AF25" s="477"/>
      <c r="AG25" s="477"/>
      <c r="AH25" s="477"/>
      <c r="AI25" s="477"/>
      <c r="AJ25" s="477"/>
      <c r="AK25" s="477"/>
      <c r="AL25" s="477"/>
      <c r="AM25" s="477"/>
      <c r="AN25" s="477"/>
      <c r="AO25" s="477"/>
      <c r="AP25" s="477"/>
      <c r="AQ25" s="477"/>
    </row>
    <row r="26" s="479" customFormat="true" ht="14.25" hidden="false" customHeight="false" outlineLevel="0" collapsed="false">
      <c r="A26" s="478" t="s">
        <v>830</v>
      </c>
      <c r="B26" s="468" t="n">
        <v>0.4</v>
      </c>
      <c r="C26" s="468" t="n">
        <v>13.95</v>
      </c>
      <c r="D26" s="468" t="n">
        <v>13.92</v>
      </c>
      <c r="E26" s="468" t="n">
        <v>0.5</v>
      </c>
      <c r="F26" s="468" t="n">
        <v>0.15</v>
      </c>
      <c r="G26" s="468" t="n">
        <v>0.4</v>
      </c>
      <c r="H26" s="468" t="n">
        <v>0.4</v>
      </c>
      <c r="I26" s="468" t="n">
        <v>1.1</v>
      </c>
      <c r="J26" s="468" t="n">
        <v>0.3</v>
      </c>
      <c r="K26" s="468" t="n">
        <v>0.2</v>
      </c>
      <c r="L26" s="468" t="n">
        <v>0.2</v>
      </c>
      <c r="M26" s="468" t="n">
        <v>0.34</v>
      </c>
      <c r="N26" s="468" t="n">
        <v>0.1</v>
      </c>
      <c r="O26" s="468" t="n">
        <v>0.24</v>
      </c>
      <c r="P26" s="468" t="n">
        <v>0.5</v>
      </c>
      <c r="Q26" s="468" t="n">
        <v>0.15</v>
      </c>
      <c r="R26" s="468" t="n">
        <v>0.15</v>
      </c>
      <c r="S26" s="468" t="n">
        <v>0</v>
      </c>
      <c r="T26" s="477"/>
      <c r="U26" s="458"/>
      <c r="V26" s="458"/>
      <c r="W26" s="458"/>
      <c r="X26" s="458"/>
      <c r="Y26" s="458"/>
      <c r="Z26" s="458"/>
      <c r="AA26" s="458"/>
      <c r="AB26" s="468"/>
      <c r="AC26" s="458"/>
      <c r="AD26" s="458"/>
      <c r="AE26" s="458"/>
      <c r="AF26" s="458"/>
      <c r="AG26" s="468"/>
      <c r="AH26" s="458"/>
      <c r="AI26" s="458"/>
      <c r="AJ26" s="468"/>
      <c r="AK26" s="468"/>
      <c r="AL26" s="458"/>
      <c r="AM26" s="458"/>
      <c r="AN26" s="458"/>
      <c r="AO26" s="458"/>
      <c r="AP26" s="458"/>
      <c r="AQ26" s="458"/>
    </row>
    <row r="27" customFormat="false" ht="14.25" hidden="false" customHeight="false" outlineLevel="0" collapsed="false">
      <c r="A27" s="456" t="s">
        <v>831</v>
      </c>
      <c r="B27" s="468" t="n">
        <v>0.4</v>
      </c>
      <c r="C27" s="468" t="n">
        <v>13.95</v>
      </c>
      <c r="D27" s="468" t="n">
        <v>13.92</v>
      </c>
      <c r="E27" s="480" t="n">
        <v>0.5</v>
      </c>
      <c r="F27" s="480" t="n">
        <v>0.25</v>
      </c>
      <c r="G27" s="458" t="n">
        <v>0.4</v>
      </c>
      <c r="H27" s="458" t="n">
        <v>0.4</v>
      </c>
      <c r="I27" s="458" t="n">
        <v>1.1</v>
      </c>
      <c r="J27" s="468" t="n">
        <v>0.3</v>
      </c>
      <c r="K27" s="468" t="n">
        <v>0.16</v>
      </c>
      <c r="L27" s="468" t="n">
        <v>0.16</v>
      </c>
      <c r="M27" s="481" t="n">
        <v>0.34</v>
      </c>
      <c r="N27" s="481" t="n">
        <v>0.19</v>
      </c>
      <c r="O27" s="481" t="n">
        <v>0.24</v>
      </c>
      <c r="P27" s="480" t="n">
        <v>0.5</v>
      </c>
      <c r="Q27" s="480" t="n">
        <v>0.2</v>
      </c>
      <c r="R27" s="480" t="n">
        <v>0.2</v>
      </c>
      <c r="S27" s="480" t="n">
        <f aca="false">S20</f>
        <v>0.1</v>
      </c>
      <c r="T27" s="477"/>
      <c r="U27" s="482"/>
      <c r="V27" s="482"/>
      <c r="W27" s="468"/>
      <c r="X27" s="212"/>
      <c r="Y27" s="212"/>
      <c r="Z27" s="212"/>
      <c r="AA27" s="212"/>
      <c r="AB27" s="212"/>
      <c r="AC27" s="212"/>
      <c r="AD27" s="212"/>
      <c r="AE27" s="482"/>
      <c r="AF27" s="482"/>
      <c r="AG27" s="468"/>
      <c r="AH27" s="482"/>
      <c r="AI27" s="458"/>
      <c r="AJ27" s="468"/>
      <c r="AK27" s="468"/>
      <c r="AL27" s="468"/>
      <c r="AM27" s="482"/>
      <c r="AN27" s="482"/>
      <c r="AO27" s="482"/>
      <c r="AP27" s="482"/>
      <c r="AQ27" s="482"/>
    </row>
    <row r="28" customFormat="false" ht="14.25" hidden="false" customHeight="false" outlineLevel="0" collapsed="false">
      <c r="A28" s="462" t="s">
        <v>832</v>
      </c>
      <c r="B28" s="468" t="n">
        <v>14.08</v>
      </c>
      <c r="C28" s="468" t="n">
        <v>3.09</v>
      </c>
      <c r="D28" s="468" t="n">
        <v>14.31</v>
      </c>
      <c r="E28" s="471" t="n">
        <v>2.98</v>
      </c>
      <c r="F28" s="471" t="n">
        <v>1.1</v>
      </c>
      <c r="G28" s="468" t="n">
        <v>14.8</v>
      </c>
      <c r="H28" s="468" t="n">
        <v>0.5</v>
      </c>
      <c r="I28" s="468" t="n">
        <v>1.16</v>
      </c>
      <c r="J28" s="468" t="n">
        <v>0.18</v>
      </c>
      <c r="K28" s="483" t="n">
        <v>1.1</v>
      </c>
      <c r="L28" s="468" t="n">
        <v>1</v>
      </c>
      <c r="M28" s="212" t="n">
        <v>0.34</v>
      </c>
      <c r="N28" s="212" t="n">
        <v>1.2</v>
      </c>
      <c r="O28" s="212" t="n">
        <v>1.25</v>
      </c>
      <c r="P28" s="468" t="n">
        <v>2.88</v>
      </c>
      <c r="Q28" s="468" t="n">
        <v>0.7</v>
      </c>
      <c r="R28" s="468" t="n">
        <v>0.7</v>
      </c>
      <c r="S28" s="468" t="n">
        <v>0.3</v>
      </c>
      <c r="T28" s="452"/>
      <c r="U28" s="468"/>
      <c r="V28" s="468"/>
      <c r="W28" s="468"/>
      <c r="X28" s="212"/>
      <c r="Y28" s="212"/>
      <c r="Z28" s="212"/>
      <c r="AA28" s="212"/>
      <c r="AB28" s="468"/>
      <c r="AC28" s="468"/>
      <c r="AD28" s="468"/>
      <c r="AE28" s="468"/>
      <c r="AF28" s="452"/>
      <c r="AG28" s="468"/>
      <c r="AH28" s="468"/>
      <c r="AI28" s="468"/>
      <c r="AJ28" s="468"/>
      <c r="AK28" s="468"/>
      <c r="AL28" s="468"/>
      <c r="AM28" s="468"/>
      <c r="AN28" s="468"/>
      <c r="AO28" s="468"/>
      <c r="AP28" s="468"/>
      <c r="AQ28" s="468"/>
    </row>
    <row r="29" customFormat="false" ht="14.25" hidden="false" customHeight="false" outlineLevel="0" collapsed="false">
      <c r="A29" s="456" t="s">
        <v>833</v>
      </c>
      <c r="B29" s="463" t="n">
        <f aca="false">B28-B27</f>
        <v>13.68</v>
      </c>
      <c r="C29" s="463" t="n">
        <f aca="false">C28-C27</f>
        <v>-10.86</v>
      </c>
      <c r="D29" s="463" t="n">
        <f aca="false">D28-D27</f>
        <v>0.390000000000001</v>
      </c>
      <c r="E29" s="463" t="n">
        <f aca="false">E28-E27</f>
        <v>2.48</v>
      </c>
      <c r="F29" s="463" t="n">
        <f aca="false">F28-F27</f>
        <v>0.85</v>
      </c>
      <c r="G29" s="463" t="n">
        <f aca="false">G28-G27</f>
        <v>14.4</v>
      </c>
      <c r="H29" s="463" t="n">
        <f aca="false">H28-H27</f>
        <v>0.1</v>
      </c>
      <c r="I29" s="463" t="n">
        <f aca="false">I28-I27</f>
        <v>0.0599999999999998</v>
      </c>
      <c r="J29" s="463" t="n">
        <f aca="false">J28-J27</f>
        <v>-0.12</v>
      </c>
      <c r="K29" s="463" t="n">
        <f aca="false">K28-K27</f>
        <v>0.94</v>
      </c>
      <c r="L29" s="463" t="n">
        <f aca="false">L28-L27</f>
        <v>0.84</v>
      </c>
      <c r="M29" s="463" t="n">
        <f aca="false">M28-M27</f>
        <v>0</v>
      </c>
      <c r="N29" s="463" t="n">
        <f aca="false">N28-N27</f>
        <v>1.01</v>
      </c>
      <c r="O29" s="463" t="n">
        <f aca="false">O28-O27</f>
        <v>1.01</v>
      </c>
      <c r="P29" s="463" t="n">
        <f aca="false">P28-P27</f>
        <v>2.38</v>
      </c>
      <c r="Q29" s="463" t="n">
        <f aca="false">Q28-Q27</f>
        <v>0.5</v>
      </c>
      <c r="R29" s="463" t="n">
        <f aca="false">R28-R27</f>
        <v>0.5</v>
      </c>
      <c r="S29" s="463" t="n">
        <f aca="false">S28-S27</f>
        <v>0.2</v>
      </c>
      <c r="T29" s="463"/>
      <c r="U29" s="463"/>
      <c r="V29" s="463"/>
      <c r="W29" s="463"/>
      <c r="X29" s="463"/>
      <c r="Y29" s="463"/>
      <c r="Z29" s="463"/>
      <c r="AA29" s="463"/>
      <c r="AB29" s="463"/>
      <c r="AC29" s="463"/>
      <c r="AD29" s="463"/>
      <c r="AE29" s="463"/>
      <c r="AF29" s="463"/>
      <c r="AG29" s="463"/>
      <c r="AH29" s="463"/>
      <c r="AI29" s="463"/>
      <c r="AJ29" s="463"/>
      <c r="AK29" s="463"/>
      <c r="AL29" s="463"/>
      <c r="AM29" s="463"/>
      <c r="AN29" s="463"/>
      <c r="AO29" s="463"/>
      <c r="AP29" s="463"/>
      <c r="AQ29" s="463"/>
    </row>
    <row r="30" customFormat="false" ht="14.25" hidden="false" customHeight="false" outlineLevel="0" collapsed="false">
      <c r="A30" s="462" t="s">
        <v>834</v>
      </c>
      <c r="B30" s="468" t="n">
        <v>7</v>
      </c>
      <c r="C30" s="468" t="n">
        <v>14</v>
      </c>
      <c r="D30" s="468" t="n">
        <v>18</v>
      </c>
      <c r="E30" s="468" t="n">
        <v>3</v>
      </c>
      <c r="F30" s="468" t="n">
        <v>5</v>
      </c>
      <c r="G30" s="468" t="n">
        <v>5</v>
      </c>
      <c r="H30" s="468" t="n">
        <v>7</v>
      </c>
      <c r="I30" s="468" t="n">
        <v>6</v>
      </c>
      <c r="J30" s="468" t="n">
        <v>6</v>
      </c>
      <c r="K30" s="468" t="n">
        <v>7</v>
      </c>
      <c r="L30" s="468" t="n">
        <v>8</v>
      </c>
      <c r="M30" s="468" t="n">
        <v>20</v>
      </c>
      <c r="N30" s="468" t="n">
        <v>5</v>
      </c>
      <c r="O30" s="468" t="n">
        <v>4</v>
      </c>
      <c r="P30" s="468" t="n">
        <v>5</v>
      </c>
      <c r="Q30" s="468" t="n">
        <v>-3</v>
      </c>
      <c r="R30" s="468" t="n">
        <v>-3</v>
      </c>
      <c r="S30" s="468" t="n">
        <v>5</v>
      </c>
      <c r="T30" s="468"/>
      <c r="U30" s="468"/>
      <c r="V30" s="468"/>
      <c r="W30" s="468"/>
      <c r="X30" s="468"/>
      <c r="Y30" s="468"/>
      <c r="Z30" s="468"/>
      <c r="AA30" s="468"/>
      <c r="AB30" s="468"/>
      <c r="AC30" s="468"/>
      <c r="AD30" s="468"/>
      <c r="AE30" s="468"/>
      <c r="AF30" s="468"/>
      <c r="AG30" s="468"/>
      <c r="AH30" s="468"/>
      <c r="AI30" s="468"/>
      <c r="AJ30" s="468"/>
      <c r="AK30" s="468"/>
      <c r="AL30" s="468"/>
      <c r="AM30" s="468"/>
      <c r="AN30" s="468"/>
      <c r="AO30" s="468"/>
      <c r="AP30" s="468"/>
      <c r="AQ30" s="468"/>
    </row>
    <row r="31" customFormat="false" ht="14.25" hidden="false" customHeight="false" outlineLevel="0" collapsed="false">
      <c r="A31" s="462" t="s">
        <v>835</v>
      </c>
      <c r="B31" s="468" t="n">
        <v>30</v>
      </c>
      <c r="C31" s="468" t="n">
        <v>10</v>
      </c>
      <c r="D31" s="468" t="n">
        <v>30</v>
      </c>
      <c r="E31" s="468" t="n">
        <v>7</v>
      </c>
      <c r="F31" s="468" t="n">
        <v>7</v>
      </c>
      <c r="G31" s="468" t="n">
        <v>5</v>
      </c>
      <c r="H31" s="468" t="n">
        <v>27</v>
      </c>
      <c r="I31" s="468" t="n">
        <v>33</v>
      </c>
      <c r="J31" s="468" t="n">
        <v>20</v>
      </c>
      <c r="K31" s="468" t="n">
        <v>12</v>
      </c>
      <c r="L31" s="468" t="n">
        <v>10</v>
      </c>
      <c r="M31" s="468" t="n">
        <v>25</v>
      </c>
      <c r="N31" s="468" t="n">
        <v>10</v>
      </c>
      <c r="O31" s="468" t="n">
        <v>10</v>
      </c>
      <c r="P31" s="468" t="n">
        <v>21</v>
      </c>
      <c r="Q31" s="468" t="n">
        <v>7</v>
      </c>
      <c r="R31" s="468" t="n">
        <v>7</v>
      </c>
      <c r="S31" s="468" t="n">
        <v>9</v>
      </c>
      <c r="T31" s="468"/>
      <c r="U31" s="468"/>
      <c r="V31" s="468"/>
      <c r="W31" s="468"/>
      <c r="X31" s="468"/>
      <c r="Y31" s="468"/>
      <c r="Z31" s="468"/>
      <c r="AA31" s="468"/>
      <c r="AB31" s="468"/>
      <c r="AC31" s="468"/>
      <c r="AD31" s="468"/>
      <c r="AE31" s="468"/>
      <c r="AF31" s="468"/>
      <c r="AG31" s="468"/>
      <c r="AH31" s="468"/>
      <c r="AI31" s="468"/>
      <c r="AJ31" s="468"/>
      <c r="AK31" s="468"/>
      <c r="AL31" s="468"/>
      <c r="AM31" s="468"/>
      <c r="AN31" s="484"/>
      <c r="AO31" s="468"/>
      <c r="AP31" s="468"/>
      <c r="AQ31" s="468"/>
    </row>
    <row r="32" customFormat="false" ht="14.25" hidden="false" customHeight="false" outlineLevel="0" collapsed="false">
      <c r="A32" s="456" t="s">
        <v>836</v>
      </c>
      <c r="B32" s="463" t="n">
        <f aca="false">ABS(B31-B30)</f>
        <v>23</v>
      </c>
      <c r="C32" s="463" t="n">
        <f aca="false">ABS(C31-C30)</f>
        <v>4</v>
      </c>
      <c r="D32" s="463" t="n">
        <f aca="false">(D31-D30)</f>
        <v>12</v>
      </c>
      <c r="E32" s="463" t="n">
        <f aca="false">ABS(E31-E30)</f>
        <v>4</v>
      </c>
      <c r="F32" s="463" t="n">
        <f aca="false">ABS(F31-F30)</f>
        <v>2</v>
      </c>
      <c r="G32" s="463" t="n">
        <f aca="false">ABS(G31-G30)</f>
        <v>0</v>
      </c>
      <c r="H32" s="463" t="n">
        <f aca="false">ABS(H31-H30)</f>
        <v>20</v>
      </c>
      <c r="I32" s="463" t="n">
        <f aca="false">ABS(I31-I30)</f>
        <v>27</v>
      </c>
      <c r="J32" s="463" t="n">
        <f aca="false">ABS(J31-J30)</f>
        <v>14</v>
      </c>
      <c r="K32" s="463" t="n">
        <f aca="false">ABS(K31-K30)</f>
        <v>5</v>
      </c>
      <c r="L32" s="463" t="n">
        <f aca="false">ABS(L31-L30)</f>
        <v>2</v>
      </c>
      <c r="M32" s="463" t="n">
        <f aca="false">(M31-M30)</f>
        <v>5</v>
      </c>
      <c r="N32" s="463" t="n">
        <f aca="false">(N31-N30)</f>
        <v>5</v>
      </c>
      <c r="O32" s="463" t="n">
        <f aca="false">(O31-O30)</f>
        <v>6</v>
      </c>
      <c r="P32" s="463" t="n">
        <f aca="false">ABS(P31-P30)</f>
        <v>16</v>
      </c>
      <c r="Q32" s="463" t="n">
        <f aca="false">ABS(Q31-Q30)</f>
        <v>10</v>
      </c>
      <c r="R32" s="463" t="n">
        <f aca="false">ABS(R31-R30)</f>
        <v>10</v>
      </c>
      <c r="S32" s="463" t="n">
        <f aca="false">ABS(S31-S30)</f>
        <v>4</v>
      </c>
      <c r="T32" s="463"/>
      <c r="U32" s="463"/>
      <c r="V32" s="463"/>
      <c r="W32" s="463"/>
      <c r="X32" s="463"/>
      <c r="Y32" s="463"/>
      <c r="Z32" s="463"/>
      <c r="AA32" s="463"/>
      <c r="AB32" s="463"/>
      <c r="AC32" s="463"/>
      <c r="AD32" s="463"/>
      <c r="AE32" s="463"/>
      <c r="AF32" s="463"/>
      <c r="AG32" s="463"/>
      <c r="AH32" s="463"/>
      <c r="AI32" s="463"/>
      <c r="AJ32" s="463"/>
      <c r="AK32" s="463"/>
      <c r="AL32" s="463"/>
      <c r="AM32" s="463"/>
      <c r="AN32" s="463"/>
      <c r="AO32" s="463"/>
      <c r="AP32" s="463"/>
      <c r="AQ32" s="463"/>
    </row>
    <row r="33" customFormat="false" ht="14.25" hidden="false" customHeight="false" outlineLevel="0" collapsed="false">
      <c r="A33" s="462" t="s">
        <v>837</v>
      </c>
      <c r="B33" s="468" t="n">
        <v>20</v>
      </c>
      <c r="C33" s="468" t="n">
        <v>20</v>
      </c>
      <c r="D33" s="468" t="n">
        <v>10</v>
      </c>
      <c r="E33" s="468" t="n">
        <v>20</v>
      </c>
      <c r="F33" s="468" t="n">
        <v>50</v>
      </c>
      <c r="G33" s="468" t="n">
        <v>20</v>
      </c>
      <c r="H33" s="468" t="n">
        <v>20</v>
      </c>
      <c r="I33" s="468" t="n">
        <v>20</v>
      </c>
      <c r="J33" s="468" t="n">
        <v>40</v>
      </c>
      <c r="K33" s="468" t="n">
        <v>40</v>
      </c>
      <c r="L33" s="468" t="n">
        <v>40</v>
      </c>
      <c r="M33" s="468" t="n">
        <f aca="false">24+M30</f>
        <v>44</v>
      </c>
      <c r="N33" s="468" t="n">
        <v>20</v>
      </c>
      <c r="O33" s="468" t="n">
        <v>20</v>
      </c>
      <c r="P33" s="468" t="n">
        <v>20</v>
      </c>
      <c r="Q33" s="468" t="n">
        <v>10</v>
      </c>
      <c r="R33" s="468" t="n">
        <v>10</v>
      </c>
      <c r="S33" s="468" t="n">
        <v>10</v>
      </c>
      <c r="T33" s="468"/>
      <c r="U33" s="468"/>
      <c r="V33" s="468"/>
      <c r="W33" s="468"/>
      <c r="X33" s="468"/>
      <c r="Y33" s="468"/>
      <c r="Z33" s="468"/>
      <c r="AA33" s="468"/>
      <c r="AB33" s="468"/>
      <c r="AC33" s="484"/>
      <c r="AD33" s="468"/>
      <c r="AE33" s="468"/>
      <c r="AF33" s="468"/>
      <c r="AG33" s="468"/>
      <c r="AH33" s="468"/>
      <c r="AI33" s="468"/>
      <c r="AJ33" s="468"/>
      <c r="AK33" s="468"/>
      <c r="AL33" s="468"/>
      <c r="AM33" s="468"/>
      <c r="AN33" s="468"/>
      <c r="AO33" s="468"/>
      <c r="AP33" s="468"/>
      <c r="AQ33" s="468"/>
    </row>
    <row r="34" customFormat="false" ht="14.25" hidden="false" customHeight="false" outlineLevel="0" collapsed="false">
      <c r="A34" s="462" t="s">
        <v>838</v>
      </c>
      <c r="B34" s="468" t="n">
        <v>8</v>
      </c>
      <c r="C34" s="468" t="n">
        <v>6</v>
      </c>
      <c r="D34" s="468" t="n">
        <v>8</v>
      </c>
      <c r="E34" s="468" t="n">
        <v>8</v>
      </c>
      <c r="F34" s="468" t="n">
        <v>8</v>
      </c>
      <c r="G34" s="468" t="n">
        <v>6</v>
      </c>
      <c r="H34" s="468" t="n">
        <v>6</v>
      </c>
      <c r="I34" s="468" t="n">
        <v>6</v>
      </c>
      <c r="J34" s="468" t="n">
        <v>4</v>
      </c>
      <c r="K34" s="468" t="n">
        <v>4</v>
      </c>
      <c r="L34" s="468" t="n">
        <v>4</v>
      </c>
      <c r="M34" s="468" t="n">
        <v>4</v>
      </c>
      <c r="N34" s="468" t="n">
        <v>8</v>
      </c>
      <c r="O34" s="468" t="n">
        <v>6</v>
      </c>
      <c r="P34" s="468" t="n">
        <v>6</v>
      </c>
      <c r="Q34" s="468" t="n">
        <v>3</v>
      </c>
      <c r="R34" s="468" t="n">
        <v>3</v>
      </c>
      <c r="S34" s="468" t="n">
        <v>3</v>
      </c>
      <c r="T34" s="468"/>
      <c r="U34" s="468"/>
      <c r="V34" s="468"/>
      <c r="W34" s="468"/>
      <c r="X34" s="468"/>
      <c r="Y34" s="468"/>
      <c r="Z34" s="468"/>
      <c r="AA34" s="468"/>
      <c r="AB34" s="468"/>
      <c r="AC34" s="468"/>
      <c r="AD34" s="468"/>
      <c r="AE34" s="468"/>
      <c r="AF34" s="468"/>
      <c r="AG34" s="468"/>
      <c r="AH34" s="468"/>
      <c r="AI34" s="468"/>
      <c r="AJ34" s="468"/>
      <c r="AK34" s="468"/>
      <c r="AL34" s="468"/>
      <c r="AM34" s="468"/>
      <c r="AN34" s="468"/>
      <c r="AO34" s="468"/>
      <c r="AP34" s="468"/>
      <c r="AQ34" s="468"/>
    </row>
    <row r="35" customFormat="false" ht="14.25" hidden="false" customHeight="false" outlineLevel="0" collapsed="false">
      <c r="A35" s="462" t="s">
        <v>839</v>
      </c>
      <c r="B35" s="468" t="n">
        <v>2</v>
      </c>
      <c r="C35" s="468" t="n">
        <v>2</v>
      </c>
      <c r="D35" s="468" t="n">
        <v>2</v>
      </c>
      <c r="E35" s="468" t="n">
        <v>2</v>
      </c>
      <c r="F35" s="468" t="n">
        <v>2</v>
      </c>
      <c r="G35" s="468" t="n">
        <v>2</v>
      </c>
      <c r="H35" s="468" t="n">
        <v>2</v>
      </c>
      <c r="I35" s="468" t="n">
        <v>2</v>
      </c>
      <c r="J35" s="468" t="n">
        <v>2</v>
      </c>
      <c r="K35" s="468" t="n">
        <v>2</v>
      </c>
      <c r="L35" s="468" t="n">
        <v>2</v>
      </c>
      <c r="M35" s="468" t="n">
        <v>4</v>
      </c>
      <c r="N35" s="468" t="n">
        <v>2</v>
      </c>
      <c r="O35" s="468" t="n">
        <v>2</v>
      </c>
      <c r="P35" s="468" t="n">
        <v>2</v>
      </c>
      <c r="Q35" s="468" t="n">
        <v>1</v>
      </c>
      <c r="R35" s="468" t="n">
        <v>1</v>
      </c>
      <c r="S35" s="468" t="n">
        <v>1</v>
      </c>
      <c r="T35" s="468"/>
      <c r="U35" s="468"/>
      <c r="V35" s="468"/>
      <c r="W35" s="468"/>
      <c r="X35" s="468"/>
      <c r="Y35" s="468"/>
      <c r="Z35" s="468"/>
      <c r="AA35" s="468"/>
      <c r="AB35" s="468"/>
      <c r="AC35" s="468"/>
      <c r="AD35" s="468"/>
      <c r="AE35" s="468"/>
      <c r="AF35" s="468"/>
      <c r="AG35" s="468"/>
      <c r="AH35" s="468"/>
      <c r="AI35" s="468"/>
      <c r="AJ35" s="468"/>
      <c r="AK35" s="468"/>
      <c r="AL35" s="468"/>
      <c r="AM35" s="468"/>
      <c r="AN35" s="468"/>
      <c r="AO35" s="468"/>
      <c r="AP35" s="468"/>
      <c r="AQ35" s="468"/>
    </row>
    <row r="36" customFormat="false" ht="14.25" hidden="false" customHeight="false" outlineLevel="0" collapsed="false">
      <c r="A36" s="456" t="s">
        <v>840</v>
      </c>
      <c r="B36" s="212" t="n">
        <f aca="false">HLOOKUP(B101,单相流管径核算!$A$2:$FQ$30,MATCH("管径选型1",单相流管径核算!$A$2:$A$30,FALSE()),FALSE())</f>
        <v>0.33</v>
      </c>
      <c r="C36" s="212" t="n">
        <f aca="false">HLOOKUP(C101,单相流管径核算!$A$2:$FQ$30,MATCH("管径选型1",单相流管径核算!$A$2:$A$30,FALSE()),FALSE())</f>
        <v>0.257</v>
      </c>
      <c r="D36" s="212" t="n">
        <f aca="false">HLOOKUP(D101,单相流管径核算!$A$2:$FQ$30,MATCH("管径选型1",单相流管径核算!$A$2:$A$30,FALSE()),FALSE())</f>
        <v>0.408</v>
      </c>
      <c r="E36" s="212" t="n">
        <f aca="false">HLOOKUP(E101,单相流管径核算!$A$2:$FQ$30,MATCH("管径选型1",单相流管径核算!$A$2:$A$30,FALSE()),FALSE())</f>
        <v>0.08</v>
      </c>
      <c r="F36" s="212" t="n">
        <v>0.1</v>
      </c>
      <c r="G36" s="452" t="n">
        <v>0.04</v>
      </c>
      <c r="H36" s="212" t="n">
        <f aca="false">HLOOKUP(H101,单相流管径核算!$A$2:$FQ$30,MATCH("管径选型1",单相流管径核算!$A$2:$A$30,FALSE()),FALSE())</f>
        <v>0.33</v>
      </c>
      <c r="I36" s="212" t="n">
        <f aca="false">HLOOKUP(I101,单相流管径核算!$A$2:$FQ$30,MATCH("管径选型1",单相流管径核算!$A$2:$A$30,FALSE()),FALSE())</f>
        <v>0.1</v>
      </c>
      <c r="J36" s="212" t="n">
        <f aca="false">HLOOKUP(J101,单相流管径核算!$A$2:$FQ$30,MATCH("管径选型1",单相流管径核算!$A$2:$A$30,FALSE()),FALSE())</f>
        <v>0.288</v>
      </c>
      <c r="K36" s="212" t="n">
        <f aca="false">HLOOKUP(K101,单相流管径核算!$A$2:$FQ$30,MATCH("管径选型1",单相流管径核算!$A$2:$A$30,FALSE()),FALSE())</f>
        <v>0.2</v>
      </c>
      <c r="L36" s="212" t="n">
        <f aca="false">HLOOKUP(L101,单相流管径核算!$A$2:$FQ$30,MATCH("管径选型1",单相流管径核算!$A$2:$A$30,FALSE()),FALSE())</f>
        <v>0.08</v>
      </c>
      <c r="M36" s="212" t="n">
        <f aca="false">HLOOKUP(M101,单相流管径核算!$A$2:$FQ$30,MATCH("管径选型1",单相流管径核算!$A$2:$A$30,FALSE()),FALSE())</f>
        <v>0.25</v>
      </c>
      <c r="N36" s="212" t="n">
        <f aca="false">HLOOKUP(N101,单相流管径核算!$A$2:$FQ$30,MATCH("管径选型1",单相流管径核算!$A$2:$A$30,FALSE()),FALSE())</f>
        <v>0.15</v>
      </c>
      <c r="O36" s="212" t="n">
        <f aca="false">HLOOKUP(O101,单相流管径核算!$A$2:$FQ$30,MATCH("管径选型1",单相流管径核算!$A$2:$A$30,FALSE()),FALSE())</f>
        <v>0.35</v>
      </c>
      <c r="P36" s="212" t="n">
        <f aca="false">HLOOKUP(P101,单相流管径核算!$A$2:$FQ$30,MATCH("管径选型1",单相流管径核算!$A$2:$A$30,FALSE()),FALSE())</f>
        <v>0.25</v>
      </c>
      <c r="Q36" s="212" t="n">
        <f aca="false">HLOOKUP(Q101,单相流管径核算!$A$2:$FQ$30,MATCH("管径选型1",单相流管径核算!$A$2:$A$30,FALSE()),FALSE())</f>
        <v>0.1</v>
      </c>
      <c r="R36" s="212" t="n">
        <v>0.1</v>
      </c>
      <c r="S36" s="468" t="n">
        <v>0.05</v>
      </c>
      <c r="T36" s="458"/>
      <c r="U36" s="458"/>
      <c r="V36" s="458"/>
      <c r="W36" s="458"/>
      <c r="X36" s="458"/>
      <c r="Y36" s="458"/>
      <c r="Z36" s="458"/>
      <c r="AA36" s="458"/>
      <c r="AB36" s="458"/>
      <c r="AC36" s="458"/>
      <c r="AD36" s="458"/>
      <c r="AE36" s="458"/>
      <c r="AF36" s="458"/>
      <c r="AG36" s="458"/>
      <c r="AH36" s="458"/>
      <c r="AI36" s="458"/>
      <c r="AJ36" s="458"/>
      <c r="AK36" s="458"/>
      <c r="AL36" s="458"/>
      <c r="AM36" s="458"/>
      <c r="AN36" s="458"/>
      <c r="AO36" s="458"/>
      <c r="AP36" s="458"/>
      <c r="AQ36" s="458"/>
    </row>
    <row r="37" customFormat="false" ht="14.25" hidden="false" customHeight="false" outlineLevel="0" collapsed="false">
      <c r="A37" s="456" t="s">
        <v>841</v>
      </c>
      <c r="B37" s="485" t="n">
        <f aca="false">B33+(B34*35+B35*300)*B36+20*B36</f>
        <v>317</v>
      </c>
      <c r="C37" s="485" t="n">
        <f aca="false">C33+(C34*35+C35*300)*C36+20*C36</f>
        <v>233.31</v>
      </c>
      <c r="D37" s="486" t="n">
        <f aca="false">D33+(D34*35+D35*7)*D36+20*D36</f>
        <v>138.112</v>
      </c>
      <c r="E37" s="485" t="n">
        <f aca="false">E33+(E34*35+E35*300)*E36+20*E36</f>
        <v>92</v>
      </c>
      <c r="F37" s="485" t="n">
        <f aca="false">F33+(F34*35+F35*300)*F36+20*F36</f>
        <v>140</v>
      </c>
      <c r="G37" s="485" t="n">
        <f aca="false">G33+(G34*35+G35*300)*G36+20*G36</f>
        <v>53.2</v>
      </c>
      <c r="H37" s="485" t="n">
        <f aca="false">H33+(H34*35+H35*300)*H36+20*H36</f>
        <v>293.9</v>
      </c>
      <c r="I37" s="485" t="n">
        <f aca="false">I33+(I34*35+I35*300)*I36+20*I36</f>
        <v>103</v>
      </c>
      <c r="J37" s="485" t="n">
        <f aca="false">J33+(J34*35+J35*300)*J36+20*J36</f>
        <v>258.88</v>
      </c>
      <c r="K37" s="485" t="n">
        <f aca="false">K33+(K34*35+K35*300)*K36+20*K36</f>
        <v>192</v>
      </c>
      <c r="L37" s="485" t="n">
        <f aca="false">L33+(L34*35+L35*300)*L36+20*L36</f>
        <v>100.8</v>
      </c>
      <c r="M37" s="485" t="n">
        <f aca="false">M33+(M34*35+M35*300)*M36+20*M36</f>
        <v>384</v>
      </c>
      <c r="N37" s="485" t="n">
        <f aca="false">N33+(N34*35+N35*300)*N36+20*N36</f>
        <v>155</v>
      </c>
      <c r="O37" s="485" t="n">
        <f aca="false">O33+(O34*35+O35*300)*O36+20*O36</f>
        <v>310.5</v>
      </c>
      <c r="P37" s="485" t="n">
        <f aca="false">P33+(P34*35+P35*300)*P36+20*P36</f>
        <v>227.5</v>
      </c>
      <c r="Q37" s="485" t="n">
        <f aca="false">Q33+(Q34*35+Q35*300)*Q36+20*Q36</f>
        <v>52.5</v>
      </c>
      <c r="R37" s="485" t="n">
        <f aca="false">R33+(R34*35+R35*300)*R36+20*R36</f>
        <v>52.5</v>
      </c>
      <c r="S37" s="485" t="n">
        <f aca="false">S33+(S34*35+S35*300)*S36+20*S36</f>
        <v>31.25</v>
      </c>
      <c r="T37" s="485"/>
      <c r="U37" s="485"/>
      <c r="V37" s="485"/>
      <c r="W37" s="485"/>
      <c r="X37" s="485"/>
      <c r="Y37" s="485"/>
      <c r="Z37" s="485"/>
      <c r="AA37" s="485"/>
      <c r="AB37" s="485"/>
      <c r="AC37" s="485"/>
      <c r="AD37" s="485"/>
      <c r="AE37" s="485"/>
      <c r="AF37" s="485"/>
      <c r="AG37" s="487"/>
      <c r="AH37" s="485"/>
      <c r="AI37" s="485"/>
      <c r="AJ37" s="485"/>
      <c r="AK37" s="487"/>
      <c r="AL37" s="485"/>
      <c r="AM37" s="485"/>
      <c r="AN37" s="485"/>
      <c r="AO37" s="485"/>
      <c r="AP37" s="485"/>
      <c r="AQ37" s="485"/>
    </row>
    <row r="38" customFormat="false" ht="14.25" hidden="false" customHeight="false" outlineLevel="0" collapsed="false">
      <c r="A38" s="456" t="s">
        <v>842</v>
      </c>
      <c r="B38" s="458" t="n">
        <f aca="false">HLOOKUP(B101,单相流管径核算!$A$2:$FQ$30,MATCH("管径选型1后100米管线压力降",单相流管径核算!$A$2:$A$30,FALSE()),FALSE())</f>
        <v>4.7217272466353</v>
      </c>
      <c r="C38" s="458" t="n">
        <f aca="false">HLOOKUP(C101,单相流管径核算!$A$2:$FQ$30,MATCH("管径选型1后100米管线压力降",单相流管径核算!$A$2:$A$30,FALSE()),FALSE())</f>
        <v>16.0341035050074</v>
      </c>
      <c r="D38" s="458" t="n">
        <f aca="false">HLOOKUP(D101,单相流管径核算!$A$2:$FQ$30,MATCH("管径选型1后100米管线压力降",单相流管径核算!$A$2:$A$30,FALSE()),FALSE())</f>
        <v>3.06269689288099</v>
      </c>
      <c r="E38" s="458" t="n">
        <f aca="false">HLOOKUP(E101,单相流管径核算!$A$2:$FQ$30,MATCH("管径选型1后100米管线压力降",单相流管径核算!$A$2:$A$30,FALSE()),FALSE())</f>
        <v>9.31880490425075</v>
      </c>
      <c r="F38" s="458" t="n">
        <v>22.13</v>
      </c>
      <c r="G38" s="452" t="n">
        <v>1.46</v>
      </c>
      <c r="H38" s="458" t="n">
        <f aca="false">HLOOKUP(H101,单相流管径核算!$A$2:$FQ$30,MATCH("管径选型1后100米管线压力降",单相流管径核算!$A$2:$A$30,FALSE()),FALSE())</f>
        <v>4.7217272466353</v>
      </c>
      <c r="I38" s="458" t="n">
        <f aca="false">HLOOKUP(I101,单相流管径核算!$A$2:$FQ$30,MATCH("管径选型1后100米管线压力降",单相流管径核算!$A$2:$A$30,FALSE()),FALSE())</f>
        <v>5.77897157741898</v>
      </c>
      <c r="J38" s="458" t="n">
        <f aca="false">HLOOKUP(J101,单相流管径核算!$A$2:$FQ$30,MATCH("管径选型1后100米管线压力降",单相流管径核算!$A$2:$A$30,FALSE()),FALSE())</f>
        <v>7.41559986804986</v>
      </c>
      <c r="K38" s="458" t="n">
        <f aca="false">HLOOKUP(K101,单相流管径核算!$A$2:$FQ$30,MATCH("管径选型1后100米管线压力降",单相流管径核算!$A$2:$A$30,FALSE()),FALSE())</f>
        <v>2.96134142866196</v>
      </c>
      <c r="L38" s="458" t="n">
        <f aca="false">HLOOKUP(L101,单相流管径核算!$A$2:$FQ$30,MATCH("管径选型1后100米管线压力降",单相流管径核算!$A$2:$A$30,FALSE()),FALSE())</f>
        <v>5.59361465481049</v>
      </c>
      <c r="M38" s="458" t="n">
        <f aca="false">HLOOKUP(M101,单相流管径核算!$A$2:$FQ$30,MATCH("管径选型1后100米管线压力降",单相流管径核算!$A$2:$A$30,FALSE()),FALSE())</f>
        <v>4.58297638634997</v>
      </c>
      <c r="N38" s="458" t="n">
        <f aca="false">HLOOKUP(N101,单相流管径核算!$A$2:$FQ$30,MATCH("管径选型1后100米管线压力降",单相流管径核算!$A$2:$A$30,FALSE()),FALSE())</f>
        <v>2.3978705374834</v>
      </c>
      <c r="O38" s="458" t="n">
        <f aca="false">HLOOKUP(O101,单相流管径核算!$A$2:$FQ$30,MATCH("管径选型1后100米管线压力降",单相流管径核算!$A$2:$A$30,FALSE()),FALSE())</f>
        <v>2.43571893396029</v>
      </c>
      <c r="P38" s="458" t="n">
        <f aca="false">HLOOKUP(P101,单相流管径核算!$A$2:$FQ$30,MATCH("管径选型1后100米管线压力降",单相流管径核算!$A$2:$A$30,FALSE()),FALSE())</f>
        <v>4.71477999260718</v>
      </c>
      <c r="Q38" s="468" t="n">
        <v>11.01</v>
      </c>
      <c r="R38" s="468" t="n">
        <v>7.76</v>
      </c>
      <c r="S38" s="468" t="n">
        <v>132</v>
      </c>
      <c r="T38" s="458"/>
      <c r="U38" s="458"/>
      <c r="V38" s="458"/>
      <c r="W38" s="458"/>
      <c r="X38" s="458"/>
      <c r="Y38" s="458"/>
      <c r="Z38" s="458"/>
      <c r="AA38" s="458"/>
      <c r="AB38" s="458"/>
      <c r="AC38" s="458"/>
      <c r="AD38" s="458"/>
      <c r="AE38" s="458"/>
      <c r="AF38" s="458"/>
      <c r="AG38" s="458"/>
      <c r="AH38" s="458"/>
      <c r="AI38" s="458"/>
      <c r="AJ38" s="458"/>
      <c r="AK38" s="458"/>
      <c r="AL38" s="458"/>
      <c r="AM38" s="458"/>
      <c r="AN38" s="458"/>
      <c r="AO38" s="458"/>
      <c r="AP38" s="458"/>
      <c r="AQ38" s="458"/>
    </row>
    <row r="39" customFormat="false" ht="14.25" hidden="false" customHeight="false" outlineLevel="0" collapsed="false">
      <c r="A39" s="456" t="s">
        <v>843</v>
      </c>
      <c r="B39" s="485" t="n">
        <f aca="false">B38/1000/100*B37</f>
        <v>0.0149678753718339</v>
      </c>
      <c r="C39" s="485" t="n">
        <f aca="false">C38/1000/100*C37</f>
        <v>0.0374091668875327</v>
      </c>
      <c r="D39" s="485" t="n">
        <f aca="false">D38/1000/100*D37</f>
        <v>0.0042299519326958</v>
      </c>
      <c r="E39" s="485" t="n">
        <f aca="false">E38/1000/100*E37</f>
        <v>0.00857330051191069</v>
      </c>
      <c r="F39" s="485" t="n">
        <v>0.02</v>
      </c>
      <c r="G39" s="485" t="n">
        <v>0.02</v>
      </c>
      <c r="H39" s="485" t="n">
        <f aca="false">H38/1000/100*H37</f>
        <v>0.0138771563778611</v>
      </c>
      <c r="I39" s="485" t="n">
        <f aca="false">I38/1000/100*I37</f>
        <v>0.00595234072474155</v>
      </c>
      <c r="J39" s="485" t="n">
        <f aca="false">J38/1000/100*J37</f>
        <v>0.0191975049384075</v>
      </c>
      <c r="K39" s="485" t="n">
        <f aca="false">K38/1000/100*K37</f>
        <v>0.00568577554303097</v>
      </c>
      <c r="L39" s="485" t="n">
        <f aca="false">L38/1000/100*L37</f>
        <v>0.00563836357204897</v>
      </c>
      <c r="M39" s="485" t="n">
        <f aca="false">M38/1000/100*M37</f>
        <v>0.0175986293235839</v>
      </c>
      <c r="N39" s="485" t="n">
        <f aca="false">N38/1000/100*N37</f>
        <v>0.00371669933309927</v>
      </c>
      <c r="O39" s="485" t="n">
        <f aca="false">O38/1000/100*O37</f>
        <v>0.0075629072899467</v>
      </c>
      <c r="P39" s="485" t="n">
        <f aca="false">P38/1000/100*P37</f>
        <v>0.0107261244831813</v>
      </c>
      <c r="Q39" s="485" t="n">
        <f aca="false">Q38/1000/100*Q37</f>
        <v>0.00578025</v>
      </c>
      <c r="R39" s="485" t="n">
        <f aca="false">R38/1000/100*R37</f>
        <v>0.004074</v>
      </c>
      <c r="S39" s="485" t="n">
        <f aca="false">S38/1000/100*S37</f>
        <v>0.04125</v>
      </c>
      <c r="T39" s="485"/>
      <c r="U39" s="485"/>
      <c r="V39" s="485"/>
      <c r="W39" s="485"/>
      <c r="X39" s="485"/>
      <c r="Y39" s="485"/>
      <c r="Z39" s="485"/>
      <c r="AA39" s="485"/>
      <c r="AB39" s="485"/>
      <c r="AC39" s="485"/>
      <c r="AD39" s="485"/>
      <c r="AE39" s="485"/>
      <c r="AF39" s="485"/>
      <c r="AG39" s="485"/>
      <c r="AH39" s="485"/>
      <c r="AI39" s="485"/>
      <c r="AJ39" s="485"/>
      <c r="AK39" s="485"/>
      <c r="AL39" s="485"/>
      <c r="AM39" s="485"/>
      <c r="AN39" s="485"/>
      <c r="AO39" s="485"/>
      <c r="AP39" s="485"/>
      <c r="AQ39" s="485"/>
    </row>
    <row r="40" customFormat="false" ht="14.25" hidden="false" customHeight="false" outlineLevel="0" collapsed="false">
      <c r="A40" s="462" t="s">
        <v>844</v>
      </c>
      <c r="B40" s="468" t="n">
        <v>100</v>
      </c>
      <c r="C40" s="468" t="n">
        <v>100</v>
      </c>
      <c r="D40" s="468" t="n">
        <v>50</v>
      </c>
      <c r="E40" s="468" t="n">
        <v>50</v>
      </c>
      <c r="F40" s="468" t="n">
        <v>100</v>
      </c>
      <c r="G40" s="468" t="n">
        <v>100</v>
      </c>
      <c r="H40" s="468" t="n">
        <v>100</v>
      </c>
      <c r="I40" s="468" t="n">
        <v>150</v>
      </c>
      <c r="J40" s="468" t="n">
        <v>150</v>
      </c>
      <c r="K40" s="468" t="n">
        <v>40</v>
      </c>
      <c r="L40" s="468" t="n">
        <v>100</v>
      </c>
      <c r="M40" s="468" t="n">
        <v>100</v>
      </c>
      <c r="N40" s="468" t="n">
        <v>100</v>
      </c>
      <c r="O40" s="468" t="n">
        <v>150</v>
      </c>
      <c r="P40" s="468" t="n">
        <v>50</v>
      </c>
      <c r="Q40" s="468" t="n">
        <v>50</v>
      </c>
      <c r="R40" s="468" t="n">
        <v>50</v>
      </c>
      <c r="S40" s="468" t="n">
        <v>50</v>
      </c>
      <c r="T40" s="468"/>
      <c r="U40" s="468"/>
      <c r="V40" s="468"/>
      <c r="W40" s="468"/>
      <c r="X40" s="468"/>
      <c r="Y40" s="468"/>
      <c r="Z40" s="468"/>
      <c r="AA40" s="468"/>
      <c r="AB40" s="468"/>
      <c r="AC40" s="468"/>
      <c r="AD40" s="468"/>
      <c r="AE40" s="468"/>
      <c r="AF40" s="468"/>
      <c r="AG40" s="468"/>
      <c r="AH40" s="468"/>
      <c r="AI40" s="468"/>
      <c r="AJ40" s="468"/>
      <c r="AK40" s="468"/>
      <c r="AL40" s="468"/>
      <c r="AM40" s="468"/>
      <c r="AN40" s="468"/>
      <c r="AO40" s="468"/>
      <c r="AP40" s="468"/>
      <c r="AQ40" s="468"/>
    </row>
    <row r="41" customFormat="false" ht="14.25" hidden="false" customHeight="false" outlineLevel="0" collapsed="false">
      <c r="A41" s="462" t="s">
        <v>845</v>
      </c>
      <c r="B41" s="468" t="n">
        <v>10</v>
      </c>
      <c r="C41" s="468" t="n">
        <v>10</v>
      </c>
      <c r="D41" s="468" t="n">
        <v>6</v>
      </c>
      <c r="E41" s="468" t="n">
        <v>12</v>
      </c>
      <c r="F41" s="468" t="n">
        <v>6</v>
      </c>
      <c r="G41" s="468" t="n">
        <v>8</v>
      </c>
      <c r="H41" s="468" t="n">
        <v>8</v>
      </c>
      <c r="I41" s="468" t="n">
        <v>20</v>
      </c>
      <c r="J41" s="468" t="n">
        <v>10</v>
      </c>
      <c r="K41" s="468" t="n">
        <v>6</v>
      </c>
      <c r="L41" s="468" t="n">
        <v>6</v>
      </c>
      <c r="M41" s="468" t="n">
        <v>10</v>
      </c>
      <c r="N41" s="468" t="n">
        <v>10</v>
      </c>
      <c r="O41" s="468" t="n">
        <v>10</v>
      </c>
      <c r="P41" s="468" t="n">
        <v>8</v>
      </c>
      <c r="Q41" s="468" t="n">
        <v>8</v>
      </c>
      <c r="R41" s="468" t="n">
        <v>8</v>
      </c>
      <c r="S41" s="468" t="n">
        <v>8</v>
      </c>
      <c r="T41" s="468"/>
      <c r="U41" s="468"/>
      <c r="V41" s="468"/>
      <c r="W41" s="468"/>
      <c r="X41" s="468"/>
      <c r="Y41" s="468"/>
      <c r="Z41" s="468"/>
      <c r="AA41" s="468"/>
      <c r="AB41" s="468"/>
      <c r="AC41" s="468"/>
      <c r="AD41" s="468"/>
      <c r="AE41" s="468"/>
      <c r="AF41" s="468"/>
      <c r="AG41" s="468"/>
      <c r="AH41" s="468"/>
      <c r="AI41" s="468"/>
      <c r="AJ41" s="468"/>
      <c r="AK41" s="468"/>
      <c r="AL41" s="468"/>
      <c r="AM41" s="468"/>
      <c r="AN41" s="468"/>
      <c r="AO41" s="468"/>
      <c r="AP41" s="468"/>
      <c r="AQ41" s="468"/>
    </row>
    <row r="42" customFormat="false" ht="14.25" hidden="false" customHeight="false" outlineLevel="0" collapsed="false">
      <c r="A42" s="462" t="s">
        <v>846</v>
      </c>
      <c r="B42" s="468" t="n">
        <v>4</v>
      </c>
      <c r="C42" s="468" t="n">
        <v>4</v>
      </c>
      <c r="D42" s="468" t="n">
        <v>2</v>
      </c>
      <c r="E42" s="468" t="n">
        <v>6</v>
      </c>
      <c r="F42" s="468" t="n">
        <v>2</v>
      </c>
      <c r="G42" s="468" t="n">
        <v>2</v>
      </c>
      <c r="H42" s="468" t="n">
        <v>2</v>
      </c>
      <c r="I42" s="468" t="n">
        <v>13</v>
      </c>
      <c r="J42" s="468" t="n">
        <v>4</v>
      </c>
      <c r="K42" s="468" t="n">
        <v>4</v>
      </c>
      <c r="L42" s="468" t="n">
        <v>4</v>
      </c>
      <c r="M42" s="468" t="n">
        <v>5</v>
      </c>
      <c r="N42" s="468" t="n">
        <v>6</v>
      </c>
      <c r="O42" s="468" t="n">
        <v>6</v>
      </c>
      <c r="P42" s="468" t="n">
        <v>2</v>
      </c>
      <c r="Q42" s="468" t="n">
        <v>2</v>
      </c>
      <c r="R42" s="468" t="n">
        <v>2</v>
      </c>
      <c r="S42" s="468" t="n">
        <v>2</v>
      </c>
      <c r="T42" s="468"/>
      <c r="U42" s="468"/>
      <c r="V42" s="468"/>
      <c r="W42" s="468"/>
      <c r="X42" s="468"/>
      <c r="Y42" s="468"/>
      <c r="Z42" s="468"/>
      <c r="AA42" s="468"/>
      <c r="AB42" s="468"/>
      <c r="AC42" s="468"/>
      <c r="AD42" s="468"/>
      <c r="AE42" s="468"/>
      <c r="AF42" s="468"/>
      <c r="AG42" s="468"/>
      <c r="AH42" s="468"/>
      <c r="AI42" s="468"/>
      <c r="AJ42" s="468"/>
      <c r="AK42" s="468"/>
      <c r="AL42" s="468"/>
      <c r="AM42" s="468"/>
      <c r="AN42" s="468"/>
      <c r="AO42" s="468"/>
      <c r="AP42" s="468"/>
      <c r="AQ42" s="468"/>
    </row>
    <row r="43" customFormat="false" ht="14.25" hidden="false" customHeight="false" outlineLevel="0" collapsed="false">
      <c r="A43" s="456" t="s">
        <v>847</v>
      </c>
      <c r="B43" s="212" t="n">
        <f aca="false">HLOOKUP(B102,单相流管径核算!$A$2:$FQ$30,MATCH("管径选型1",单相流管径核算!$A$2:$A$30,FALSE()),FALSE())</f>
        <v>0.257</v>
      </c>
      <c r="C43" s="212" t="n">
        <f aca="false">HLOOKUP(C102,单相流管径核算!$A$2:$FQ$30,MATCH("管径选型1",单相流管径核算!$A$2:$A$30,FALSE()),FALSE())</f>
        <v>0.257</v>
      </c>
      <c r="D43" s="212" t="n">
        <f aca="false">HLOOKUP(D102,单相流管径核算!$A$2:$FQ$30,MATCH("管径选型1",单相流管径核算!$A$2:$A$30,FALSE()),FALSE())</f>
        <v>0.325</v>
      </c>
      <c r="E43" s="212" t="n">
        <f aca="false">HLOOKUP(E102,单相流管径核算!$A$2:$FQ$30,MATCH("管径选型1",单相流管径核算!$A$2:$A$30,FALSE()),FALSE())</f>
        <v>0.08</v>
      </c>
      <c r="F43" s="212" t="n">
        <v>0.1</v>
      </c>
      <c r="G43" s="471" t="n">
        <v>0.025</v>
      </c>
      <c r="H43" s="212" t="n">
        <v>0.25</v>
      </c>
      <c r="I43" s="212" t="n">
        <f aca="false">HLOOKUP(I102,单相流管径核算!$A$2:$FQ$30,MATCH("管径选型1",单相流管径核算!$A$2:$A$30,FALSE()),FALSE())</f>
        <v>0.08</v>
      </c>
      <c r="J43" s="212" t="n">
        <f aca="false">HLOOKUP(J102,单相流管径核算!$A$2:$FQ$30,MATCH("管径选型1",单相流管径核算!$A$2:$A$30,FALSE()),FALSE())</f>
        <v>0.25</v>
      </c>
      <c r="K43" s="212" t="n">
        <f aca="false">HLOOKUP(K102,单相流管径核算!$A$2:$FQ$30,MATCH("管径选型1",单相流管径核算!$A$2:$A$30,FALSE()),FALSE())</f>
        <v>0.15</v>
      </c>
      <c r="L43" s="212" t="n">
        <f aca="false">HLOOKUP(L102,单相流管径核算!$A$2:$FQ$30,MATCH("管径选型1",单相流管径核算!$A$2:$A$30,FALSE()),FALSE())</f>
        <v>0.08</v>
      </c>
      <c r="M43" s="212" t="n">
        <f aca="false">HLOOKUP(M102,单相流管径核算!$A$2:$FQ$30,MATCH("管径选型1",单相流管径核算!$A$2:$A$30,FALSE()),FALSE())</f>
        <v>0.2</v>
      </c>
      <c r="N43" s="212" t="n">
        <f aca="false">HLOOKUP(N102,单相流管径核算!$A$2:$FQ$30,MATCH("管径选型1",单相流管径核算!$A$2:$A$30,FALSE()),FALSE())</f>
        <v>0.1</v>
      </c>
      <c r="O43" s="212" t="n">
        <f aca="false">HLOOKUP(O102,单相流管径核算!$A$2:$FQ$30,MATCH("管径选型1",单相流管径核算!$A$2:$A$30,FALSE()),FALSE())</f>
        <v>0.25</v>
      </c>
      <c r="P43" s="212" t="n">
        <f aca="false">HLOOKUP(P102,单相流管径核算!$A$2:$FQ$30,MATCH("管径选型1",单相流管径核算!$A$2:$A$30,FALSE()),FALSE())</f>
        <v>0.2</v>
      </c>
      <c r="Q43" s="212" t="n">
        <f aca="false">HLOOKUP(Q102,单相流管径核算!$A$2:$FQ$30,MATCH("管径选型1",单相流管径核算!$A$2:$A$30,FALSE()),FALSE())</f>
        <v>0.1</v>
      </c>
      <c r="R43" s="212" t="n">
        <v>0.1</v>
      </c>
      <c r="S43" s="468" t="n">
        <v>0.08</v>
      </c>
      <c r="T43" s="458"/>
      <c r="U43" s="458"/>
      <c r="V43" s="458"/>
      <c r="W43" s="458"/>
      <c r="X43" s="458"/>
      <c r="Y43" s="458"/>
      <c r="Z43" s="458"/>
      <c r="AA43" s="458"/>
      <c r="AB43" s="458"/>
      <c r="AC43" s="458"/>
      <c r="AD43" s="458"/>
      <c r="AE43" s="458"/>
      <c r="AF43" s="458"/>
      <c r="AG43" s="458"/>
      <c r="AH43" s="458"/>
      <c r="AI43" s="458"/>
      <c r="AJ43" s="458"/>
      <c r="AK43" s="458"/>
      <c r="AL43" s="458"/>
      <c r="AM43" s="458"/>
      <c r="AN43" s="458"/>
      <c r="AO43" s="458"/>
      <c r="AP43" s="458"/>
      <c r="AQ43" s="458"/>
    </row>
    <row r="44" customFormat="false" ht="14.25" hidden="false" customHeight="false" outlineLevel="0" collapsed="false">
      <c r="A44" s="456" t="s">
        <v>848</v>
      </c>
      <c r="B44" s="485" t="n">
        <f aca="false">B40+(B41*35+B42*300)*B43</f>
        <v>498.35</v>
      </c>
      <c r="C44" s="485" t="n">
        <f aca="false">C40+(C41*35+C42*300)*C43</f>
        <v>498.35</v>
      </c>
      <c r="D44" s="486" t="n">
        <f aca="false">D40+(D41*35+D42*7)*D43</f>
        <v>122.8</v>
      </c>
      <c r="E44" s="485" t="n">
        <f aca="false">E40+(E41*35+E42*300)*E43</f>
        <v>227.6</v>
      </c>
      <c r="F44" s="485" t="n">
        <f aca="false">F40+(F41*35+F42*300)*F43</f>
        <v>181</v>
      </c>
      <c r="G44" s="485" t="n">
        <f aca="false">G40+(G41*35+G42*300)*G43</f>
        <v>122</v>
      </c>
      <c r="H44" s="485" t="n">
        <f aca="false">H40+(H41*35+H42*300)*H43</f>
        <v>320</v>
      </c>
      <c r="I44" s="485" t="n">
        <f aca="false">I40+(I41*35+I42*300)*I43</f>
        <v>518</v>
      </c>
      <c r="J44" s="485" t="n">
        <f aca="false">J40+(J41*35+J42*300)*J43</f>
        <v>537.5</v>
      </c>
      <c r="K44" s="485" t="n">
        <f aca="false">K40+(K41*35+K42*300)*K43</f>
        <v>251.5</v>
      </c>
      <c r="L44" s="485" t="n">
        <f aca="false">L40+(L41*35+L42*300)*L43</f>
        <v>212.8</v>
      </c>
      <c r="M44" s="485" t="n">
        <f aca="false">M40+(M41*35+M42*300)*M43</f>
        <v>470</v>
      </c>
      <c r="N44" s="485" t="n">
        <f aca="false">N40+(N41*35+N42*300)*N43</f>
        <v>315</v>
      </c>
      <c r="O44" s="485" t="n">
        <f aca="false">O40+(O41*35+O42*300)*O43</f>
        <v>687.5</v>
      </c>
      <c r="P44" s="485" t="n">
        <f aca="false">P40+(P41*35+P42*300)*P43</f>
        <v>226</v>
      </c>
      <c r="Q44" s="485" t="n">
        <f aca="false">Q40+(Q41*35+Q42*300)*Q43</f>
        <v>138</v>
      </c>
      <c r="R44" s="485" t="n">
        <f aca="false">R40+(R41*35+R42*300)*R43</f>
        <v>138</v>
      </c>
      <c r="S44" s="485" t="n">
        <f aca="false">S40+(S41*35+S42*300)*S43</f>
        <v>120.4</v>
      </c>
      <c r="T44" s="485"/>
      <c r="U44" s="485"/>
      <c r="V44" s="485"/>
      <c r="W44" s="485"/>
      <c r="X44" s="485"/>
      <c r="Y44" s="485"/>
      <c r="Z44" s="485"/>
      <c r="AA44" s="485"/>
      <c r="AB44" s="485"/>
      <c r="AC44" s="485"/>
      <c r="AD44" s="485"/>
      <c r="AE44" s="485"/>
      <c r="AF44" s="485"/>
      <c r="AG44" s="485"/>
      <c r="AH44" s="485"/>
      <c r="AI44" s="485"/>
      <c r="AJ44" s="485"/>
      <c r="AK44" s="485"/>
      <c r="AL44" s="485"/>
      <c r="AM44" s="485"/>
      <c r="AN44" s="485"/>
      <c r="AO44" s="485"/>
      <c r="AP44" s="485"/>
      <c r="AQ44" s="485"/>
    </row>
    <row r="45" customFormat="false" ht="14.25" hidden="false" customHeight="false" outlineLevel="0" collapsed="false">
      <c r="A45" s="456" t="s">
        <v>849</v>
      </c>
      <c r="B45" s="458" t="n">
        <f aca="false">HLOOKUP(B102,单相流管径核算!$A$2:$FQ$30,MATCH("管径选型1后100米管线压力降",单相流管径核算!$A$2:$A$30,FALSE()),FALSE())</f>
        <v>15.5676805389002</v>
      </c>
      <c r="C45" s="458" t="n">
        <f aca="false">HLOOKUP(C102,单相流管径核算!$A$2:$FQ$30,MATCH("管径选型1后100米管线压力降",单相流管径核算!$A$2:$A$30,FALSE()),FALSE())</f>
        <v>15.0783983079924</v>
      </c>
      <c r="D45" s="458" t="n">
        <f aca="false">HLOOKUP(D102,单相流管径核算!$A$2:$FQ$30,MATCH("管径选型1后100米管线压力降",单相流管径核算!$A$2:$A$30,FALSE()),FALSE())</f>
        <v>9.1517840262508</v>
      </c>
      <c r="E45" s="458" t="n">
        <f aca="false">HLOOKUP(E102,单相流管径核算!$A$2:$FQ$30,MATCH("管径选型1后100米管线压力降",单相流管径核算!$A$2:$A$30,FALSE()),FALSE())</f>
        <v>9.31322794528701</v>
      </c>
      <c r="F45" s="458" t="n">
        <v>22.13</v>
      </c>
      <c r="G45" s="452" t="n">
        <v>14.26</v>
      </c>
      <c r="H45" s="458" t="n">
        <v>17.79</v>
      </c>
      <c r="I45" s="458" t="n">
        <f aca="false">HLOOKUP(I102,单相流管径核算!$A$2:$FQ$30,MATCH("管径选型1后100米管线压力降",单相流管径核算!$A$2:$A$30,FALSE()),FALSE())</f>
        <v>17.0110027431938</v>
      </c>
      <c r="J45" s="458" t="n">
        <f aca="false">HLOOKUP(J102,单相流管径核算!$A$2:$FQ$30,MATCH("管径选型1后100米管线压力降",单相流管径核算!$A$2:$A$30,FALSE()),FALSE())</f>
        <v>14.6983144567721</v>
      </c>
      <c r="K45" s="458" t="n">
        <f aca="false">HLOOKUP(K102,单相流管径核算!$A$2:$FQ$30,MATCH("管径选型1后100米管线压力降",单相流管径核算!$A$2:$A$30,FALSE()),FALSE())</f>
        <v>11.8918552109364</v>
      </c>
      <c r="L45" s="458" t="n">
        <f aca="false">HLOOKUP(L102,单相流管径核算!$A$2:$FQ$30,MATCH("管径选型1后100米管线压力降",单相流管径核算!$A$2:$A$30,FALSE()),FALSE())</f>
        <v>5.59361465481049</v>
      </c>
      <c r="M45" s="458" t="n">
        <f aca="false">HLOOKUP(M102,单相流管径核算!$A$2:$FQ$30,MATCH("管径选型1后100米管线压力降",单相流管径核算!$A$2:$A$30,FALSE()),FALSE())</f>
        <v>13.4838622161848</v>
      </c>
      <c r="N45" s="458" t="n">
        <f aca="false">HLOOKUP(N102,单相流管径核算!$A$2:$FQ$30,MATCH("管径选型1后100米管线压力降",单相流管径核算!$A$2:$A$30,FALSE()),FALSE())</f>
        <v>17.0197255620622</v>
      </c>
      <c r="O45" s="458" t="n">
        <f aca="false">HLOOKUP(O102,单相流管径核算!$A$2:$FQ$30,MATCH("管径选型1后100米管线压力降",单相流管径核算!$A$2:$A$30,FALSE()),FALSE())</f>
        <v>12.3833452401515</v>
      </c>
      <c r="P45" s="458" t="n">
        <f aca="false">HLOOKUP(P102,单相流管径核算!$A$2:$FQ$30,MATCH("管径选型1后100米管线压力降",单相流管径核算!$A$2:$A$30,FALSE()),FALSE())</f>
        <v>13.8575325989605</v>
      </c>
      <c r="Q45" s="468" t="n">
        <v>11.01</v>
      </c>
      <c r="R45" s="468" t="n">
        <v>22.85</v>
      </c>
      <c r="S45" s="468" t="n">
        <v>132</v>
      </c>
      <c r="T45" s="458"/>
      <c r="U45" s="458"/>
      <c r="V45" s="458"/>
      <c r="W45" s="458"/>
      <c r="X45" s="458"/>
      <c r="Y45" s="458"/>
      <c r="Z45" s="458"/>
      <c r="AA45" s="458"/>
      <c r="AB45" s="458"/>
      <c r="AC45" s="458"/>
      <c r="AD45" s="458"/>
      <c r="AE45" s="458"/>
      <c r="AF45" s="458"/>
      <c r="AG45" s="458"/>
      <c r="AH45" s="458"/>
      <c r="AI45" s="458"/>
      <c r="AJ45" s="458"/>
      <c r="AK45" s="458"/>
      <c r="AL45" s="458"/>
      <c r="AM45" s="458"/>
      <c r="AN45" s="458"/>
      <c r="AO45" s="458"/>
      <c r="AP45" s="458"/>
      <c r="AQ45" s="458"/>
    </row>
    <row r="46" customFormat="false" ht="14.25" hidden="false" customHeight="false" outlineLevel="0" collapsed="false">
      <c r="A46" s="456" t="s">
        <v>850</v>
      </c>
      <c r="B46" s="463" t="n">
        <f aca="false">B45/1000/100*B44</f>
        <v>0.0775815359656093</v>
      </c>
      <c r="C46" s="463" t="n">
        <f aca="false">C45/1000/100*C44</f>
        <v>0.0751431979678801</v>
      </c>
      <c r="D46" s="463" t="n">
        <f aca="false">D45/1000/100*D44</f>
        <v>0.011238390784236</v>
      </c>
      <c r="E46" s="463" t="n">
        <f aca="false">E45/1000/100*E44</f>
        <v>0.0211969068034732</v>
      </c>
      <c r="F46" s="463" t="n">
        <v>0.02</v>
      </c>
      <c r="G46" s="463" t="n">
        <f aca="false">G45/1000/100*G44</f>
        <v>0.0173972</v>
      </c>
      <c r="H46" s="463" t="n">
        <f aca="false">H45/1000/100*H44</f>
        <v>0.056928</v>
      </c>
      <c r="I46" s="463" t="n">
        <f aca="false">I45/1000/100*I44</f>
        <v>0.0881169942097438</v>
      </c>
      <c r="J46" s="463" t="n">
        <f aca="false">J45/1000/100*J44</f>
        <v>0.0790034402051503</v>
      </c>
      <c r="K46" s="463" t="n">
        <f aca="false">K45/1000/100*K44</f>
        <v>0.0299080158555051</v>
      </c>
      <c r="L46" s="463" t="n">
        <f aca="false">L45/1000/100*L44</f>
        <v>0.0119032119854367</v>
      </c>
      <c r="M46" s="463" t="n">
        <f aca="false">M45/1000/100*M44</f>
        <v>0.0633741524160685</v>
      </c>
      <c r="N46" s="463" t="n">
        <f aca="false">N45/1000/100*N44</f>
        <v>0.053612135520496</v>
      </c>
      <c r="O46" s="463" t="n">
        <f aca="false">O45/1000/100*O44</f>
        <v>0.0851354985260418</v>
      </c>
      <c r="P46" s="463" t="n">
        <f aca="false">P45/1000/100*P44</f>
        <v>0.0313180236736508</v>
      </c>
      <c r="Q46" s="463" t="n">
        <v>0.02</v>
      </c>
      <c r="R46" s="463" t="n">
        <v>0.02</v>
      </c>
      <c r="S46" s="463" t="n">
        <v>0.02</v>
      </c>
      <c r="T46" s="463"/>
      <c r="U46" s="463"/>
      <c r="V46" s="463"/>
      <c r="W46" s="463"/>
      <c r="X46" s="463"/>
      <c r="Y46" s="463"/>
      <c r="Z46" s="463"/>
      <c r="AA46" s="463"/>
      <c r="AB46" s="463"/>
      <c r="AC46" s="463"/>
      <c r="AD46" s="463"/>
      <c r="AE46" s="463"/>
      <c r="AF46" s="463"/>
      <c r="AG46" s="463"/>
      <c r="AH46" s="463"/>
      <c r="AI46" s="463"/>
      <c r="AJ46" s="463"/>
      <c r="AK46" s="463"/>
      <c r="AL46" s="463"/>
      <c r="AM46" s="463"/>
      <c r="AN46" s="463"/>
      <c r="AO46" s="463"/>
      <c r="AP46" s="463"/>
      <c r="AQ46" s="463"/>
    </row>
    <row r="47" customFormat="false" ht="14.25" hidden="false" customHeight="false" outlineLevel="0" collapsed="false">
      <c r="A47" s="462" t="s">
        <v>851</v>
      </c>
      <c r="B47" s="468" t="n">
        <v>0.34</v>
      </c>
      <c r="C47" s="468" t="n">
        <v>0</v>
      </c>
      <c r="D47" s="468" t="n">
        <v>0</v>
      </c>
      <c r="E47" s="468" t="n">
        <v>0</v>
      </c>
      <c r="F47" s="468" t="n">
        <v>0</v>
      </c>
      <c r="G47" s="468" t="n">
        <v>0</v>
      </c>
      <c r="H47" s="468" t="n">
        <v>0</v>
      </c>
      <c r="I47" s="468" t="n">
        <v>0</v>
      </c>
      <c r="J47" s="468" t="n">
        <v>0.43</v>
      </c>
      <c r="K47" s="468" t="n">
        <v>0</v>
      </c>
      <c r="L47" s="468" t="n">
        <v>0</v>
      </c>
      <c r="M47" s="468" t="n">
        <v>0</v>
      </c>
      <c r="N47" s="468" t="n">
        <v>0</v>
      </c>
      <c r="O47" s="468" t="n">
        <v>0</v>
      </c>
      <c r="P47" s="468" t="n">
        <v>0</v>
      </c>
      <c r="Q47" s="468" t="n">
        <v>0</v>
      </c>
      <c r="R47" s="468" t="n">
        <v>0</v>
      </c>
      <c r="S47" s="468" t="n">
        <v>0</v>
      </c>
      <c r="T47" s="468"/>
      <c r="U47" s="468"/>
      <c r="V47" s="468"/>
      <c r="W47" s="468"/>
      <c r="X47" s="468"/>
      <c r="Y47" s="468"/>
      <c r="Z47" s="468"/>
      <c r="AA47" s="468"/>
      <c r="AB47" s="468"/>
      <c r="AC47" s="468"/>
      <c r="AD47" s="468"/>
      <c r="AE47" s="468"/>
      <c r="AF47" s="468"/>
      <c r="AG47" s="468"/>
      <c r="AH47" s="468"/>
      <c r="AI47" s="468"/>
      <c r="AJ47" s="468"/>
      <c r="AK47" s="468"/>
      <c r="AL47" s="468"/>
      <c r="AM47" s="468"/>
      <c r="AN47" s="468"/>
      <c r="AO47" s="468"/>
      <c r="AP47" s="468"/>
      <c r="AQ47" s="468"/>
    </row>
    <row r="48" customFormat="false" ht="14.25" hidden="false" customHeight="false" outlineLevel="0" collapsed="false">
      <c r="A48" s="462" t="s">
        <v>852</v>
      </c>
      <c r="B48" s="468" t="n">
        <v>0</v>
      </c>
      <c r="C48" s="468" t="n">
        <v>0</v>
      </c>
      <c r="D48" s="468" t="n">
        <v>0</v>
      </c>
      <c r="E48" s="468" t="n">
        <v>0</v>
      </c>
      <c r="F48" s="468" t="n">
        <v>0</v>
      </c>
      <c r="G48" s="468" t="n">
        <v>0</v>
      </c>
      <c r="H48" s="468" t="n">
        <v>0</v>
      </c>
      <c r="I48" s="468" t="n">
        <v>0</v>
      </c>
      <c r="J48" s="468" t="n">
        <v>0</v>
      </c>
      <c r="K48" s="468" t="n">
        <v>0</v>
      </c>
      <c r="L48" s="468" t="n">
        <v>0</v>
      </c>
      <c r="M48" s="468" t="n">
        <v>0</v>
      </c>
      <c r="N48" s="468" t="n">
        <v>0</v>
      </c>
      <c r="O48" s="468" t="n">
        <v>0</v>
      </c>
      <c r="P48" s="468" t="n">
        <v>0</v>
      </c>
      <c r="Q48" s="468" t="n">
        <v>0</v>
      </c>
      <c r="R48" s="468" t="n">
        <v>0</v>
      </c>
      <c r="S48" s="468" t="n">
        <v>0</v>
      </c>
      <c r="T48" s="468"/>
      <c r="U48" s="468"/>
      <c r="V48" s="468"/>
      <c r="W48" s="468"/>
      <c r="X48" s="468"/>
      <c r="Y48" s="468"/>
      <c r="Z48" s="468"/>
      <c r="AA48" s="468"/>
      <c r="AB48" s="468"/>
      <c r="AC48" s="468"/>
      <c r="AD48" s="468"/>
      <c r="AE48" s="468"/>
      <c r="AF48" s="468"/>
      <c r="AG48" s="468"/>
      <c r="AH48" s="468"/>
      <c r="AI48" s="468"/>
      <c r="AJ48" s="468"/>
      <c r="AK48" s="468"/>
      <c r="AL48" s="468"/>
      <c r="AM48" s="468"/>
      <c r="AN48" s="468"/>
      <c r="AO48" s="468"/>
      <c r="AP48" s="468"/>
      <c r="AQ48" s="468"/>
    </row>
    <row r="49" customFormat="false" ht="14.25" hidden="false" customHeight="false" outlineLevel="0" collapsed="false">
      <c r="A49" s="462" t="s">
        <v>853</v>
      </c>
      <c r="B49" s="468" t="n">
        <v>0.15</v>
      </c>
      <c r="C49" s="468" t="n">
        <v>0.4</v>
      </c>
      <c r="D49" s="468" t="n">
        <v>0</v>
      </c>
      <c r="E49" s="468" t="n">
        <v>0</v>
      </c>
      <c r="F49" s="468" t="n">
        <v>0</v>
      </c>
      <c r="G49" s="468" t="n">
        <v>0</v>
      </c>
      <c r="H49" s="468" t="n">
        <v>0.05</v>
      </c>
      <c r="I49" s="468" t="n">
        <v>0</v>
      </c>
      <c r="J49" s="468" t="n">
        <v>0</v>
      </c>
      <c r="K49" s="468" t="n">
        <v>0.05</v>
      </c>
      <c r="L49" s="468" t="n">
        <v>0</v>
      </c>
      <c r="M49" s="468" t="n">
        <v>0.1</v>
      </c>
      <c r="N49" s="468" t="n">
        <v>0.1</v>
      </c>
      <c r="O49" s="468" t="n">
        <v>0.2</v>
      </c>
      <c r="P49" s="468" t="n">
        <v>0</v>
      </c>
      <c r="Q49" s="468" t="n">
        <v>0</v>
      </c>
      <c r="R49" s="468" t="n">
        <v>0</v>
      </c>
      <c r="S49" s="468" t="n">
        <v>0</v>
      </c>
      <c r="T49" s="468"/>
      <c r="U49" s="468"/>
      <c r="V49" s="468"/>
      <c r="W49" s="468"/>
      <c r="X49" s="468"/>
      <c r="Y49" s="468"/>
      <c r="Z49" s="468"/>
      <c r="AA49" s="468"/>
      <c r="AB49" s="468"/>
      <c r="AC49" s="468"/>
      <c r="AD49" s="468"/>
      <c r="AE49" s="468"/>
      <c r="AF49" s="468"/>
      <c r="AG49" s="468"/>
      <c r="AH49" s="468"/>
      <c r="AI49" s="468"/>
      <c r="AJ49" s="468"/>
      <c r="AK49" s="468"/>
      <c r="AL49" s="468"/>
      <c r="AM49" s="468"/>
      <c r="AN49" s="468"/>
      <c r="AO49" s="468"/>
      <c r="AP49" s="468"/>
      <c r="AQ49" s="468"/>
    </row>
    <row r="50" customFormat="false" ht="14.25" hidden="false" customHeight="false" outlineLevel="0" collapsed="false">
      <c r="A50" s="462" t="s">
        <v>854</v>
      </c>
      <c r="B50" s="488" t="n">
        <v>0</v>
      </c>
      <c r="C50" s="488" t="n">
        <v>0</v>
      </c>
      <c r="D50" s="488" t="n">
        <v>0</v>
      </c>
      <c r="E50" s="488" t="n">
        <v>0</v>
      </c>
      <c r="F50" s="488" t="n">
        <v>0</v>
      </c>
      <c r="G50" s="488" t="n">
        <v>0</v>
      </c>
      <c r="H50" s="488" t="n">
        <v>0</v>
      </c>
      <c r="I50" s="488" t="n">
        <v>0</v>
      </c>
      <c r="J50" s="488" t="n">
        <v>0</v>
      </c>
      <c r="K50" s="488" t="n">
        <v>0</v>
      </c>
      <c r="L50" s="488" t="n">
        <v>0</v>
      </c>
      <c r="M50" s="488" t="n">
        <v>0</v>
      </c>
      <c r="N50" s="488" t="n">
        <v>0</v>
      </c>
      <c r="O50" s="488" t="n">
        <v>0</v>
      </c>
      <c r="P50" s="488" t="n">
        <v>0</v>
      </c>
      <c r="Q50" s="488" t="n">
        <v>0</v>
      </c>
      <c r="R50" s="488" t="n">
        <v>0</v>
      </c>
      <c r="S50" s="488" t="n">
        <v>0</v>
      </c>
      <c r="T50" s="488"/>
      <c r="U50" s="488"/>
      <c r="V50" s="488"/>
      <c r="W50" s="488"/>
      <c r="X50" s="488"/>
      <c r="Y50" s="488"/>
      <c r="Z50" s="488"/>
      <c r="AA50" s="488"/>
      <c r="AB50" s="488"/>
      <c r="AC50" s="488"/>
      <c r="AD50" s="488"/>
      <c r="AE50" s="488"/>
      <c r="AF50" s="488"/>
      <c r="AG50" s="488"/>
      <c r="AH50" s="488"/>
      <c r="AI50" s="488"/>
      <c r="AJ50" s="488"/>
      <c r="AK50" s="488"/>
      <c r="AL50" s="488"/>
      <c r="AM50" s="488"/>
      <c r="AN50" s="488"/>
      <c r="AO50" s="488"/>
      <c r="AP50" s="488"/>
      <c r="AQ50" s="488"/>
    </row>
    <row r="51" customFormat="false" ht="14.25" hidden="false" customHeight="false" outlineLevel="0" collapsed="false">
      <c r="A51" s="462" t="s">
        <v>855</v>
      </c>
      <c r="B51" s="468" t="n">
        <v>0</v>
      </c>
      <c r="C51" s="468" t="n">
        <v>0</v>
      </c>
      <c r="D51" s="488" t="n">
        <v>0</v>
      </c>
      <c r="E51" s="488" t="n">
        <v>0</v>
      </c>
      <c r="F51" s="488" t="n">
        <v>0</v>
      </c>
      <c r="G51" s="488" t="n">
        <v>0</v>
      </c>
      <c r="H51" s="488" t="n">
        <v>0</v>
      </c>
      <c r="I51" s="488" t="n">
        <v>0</v>
      </c>
      <c r="J51" s="488" t="n">
        <v>0</v>
      </c>
      <c r="K51" s="488" t="n">
        <v>0</v>
      </c>
      <c r="L51" s="488" t="n">
        <v>0</v>
      </c>
      <c r="M51" s="488" t="n">
        <v>0</v>
      </c>
      <c r="N51" s="488" t="n">
        <v>0</v>
      </c>
      <c r="O51" s="488" t="n">
        <v>0</v>
      </c>
      <c r="P51" s="468" t="n">
        <v>0</v>
      </c>
      <c r="Q51" s="468" t="n">
        <v>0</v>
      </c>
      <c r="R51" s="468" t="n">
        <v>0</v>
      </c>
      <c r="S51" s="468" t="n">
        <v>0</v>
      </c>
      <c r="T51" s="488"/>
      <c r="U51" s="488"/>
      <c r="V51" s="488"/>
      <c r="W51" s="488"/>
      <c r="X51" s="488"/>
      <c r="Y51" s="488"/>
      <c r="Z51" s="488"/>
      <c r="AA51" s="488"/>
      <c r="AB51" s="488"/>
      <c r="AC51" s="488"/>
      <c r="AD51" s="488"/>
      <c r="AE51" s="488"/>
      <c r="AF51" s="488"/>
      <c r="AG51" s="488"/>
      <c r="AH51" s="488"/>
      <c r="AI51" s="488"/>
      <c r="AJ51" s="488"/>
      <c r="AK51" s="488"/>
      <c r="AL51" s="488"/>
      <c r="AM51" s="488"/>
      <c r="AN51" s="488"/>
      <c r="AO51" s="488"/>
      <c r="AP51" s="488"/>
      <c r="AQ51" s="488"/>
    </row>
    <row r="52" customFormat="false" ht="14.25" hidden="false" customHeight="false" outlineLevel="0" collapsed="false">
      <c r="A52" s="462" t="s">
        <v>856</v>
      </c>
      <c r="B52" s="458" t="n">
        <v>0</v>
      </c>
      <c r="C52" s="458" t="n">
        <v>0</v>
      </c>
      <c r="D52" s="458" t="n">
        <v>0</v>
      </c>
      <c r="E52" s="458" t="n">
        <v>0</v>
      </c>
      <c r="F52" s="458" t="n">
        <v>0</v>
      </c>
      <c r="G52" s="458" t="n">
        <v>0</v>
      </c>
      <c r="H52" s="458" t="n">
        <v>0</v>
      </c>
      <c r="I52" s="458" t="n">
        <v>0</v>
      </c>
      <c r="J52" s="458" t="n">
        <v>0</v>
      </c>
      <c r="K52" s="458" t="n">
        <v>0</v>
      </c>
      <c r="L52" s="458" t="n">
        <v>0</v>
      </c>
      <c r="M52" s="458" t="n">
        <v>0</v>
      </c>
      <c r="N52" s="458" t="n">
        <v>0</v>
      </c>
      <c r="O52" s="458" t="n">
        <v>0</v>
      </c>
      <c r="P52" s="458" t="n">
        <v>0</v>
      </c>
      <c r="Q52" s="458" t="n">
        <v>0</v>
      </c>
      <c r="R52" s="458" t="n">
        <v>0</v>
      </c>
      <c r="S52" s="458" t="n">
        <v>0</v>
      </c>
      <c r="T52" s="458"/>
      <c r="U52" s="468"/>
      <c r="V52" s="458"/>
      <c r="W52" s="458"/>
      <c r="X52" s="458"/>
      <c r="Y52" s="458"/>
      <c r="Z52" s="458"/>
      <c r="AA52" s="458"/>
      <c r="AB52" s="458"/>
      <c r="AC52" s="458"/>
      <c r="AD52" s="458"/>
      <c r="AE52" s="458"/>
      <c r="AF52" s="458"/>
      <c r="AG52" s="458"/>
      <c r="AH52" s="458"/>
      <c r="AI52" s="458"/>
      <c r="AJ52" s="458"/>
      <c r="AK52" s="458"/>
      <c r="AL52" s="458"/>
      <c r="AM52" s="458"/>
      <c r="AN52" s="458"/>
      <c r="AO52" s="458"/>
      <c r="AP52" s="458"/>
      <c r="AQ52" s="458"/>
    </row>
    <row r="53" customFormat="false" ht="14.25" hidden="false" customHeight="false" outlineLevel="0" collapsed="false">
      <c r="A53" s="462" t="s">
        <v>857</v>
      </c>
      <c r="B53" s="468" t="n">
        <v>0</v>
      </c>
      <c r="C53" s="468" t="n">
        <v>0</v>
      </c>
      <c r="D53" s="468" t="n">
        <v>0</v>
      </c>
      <c r="E53" s="468" t="n">
        <v>0</v>
      </c>
      <c r="F53" s="468" t="n">
        <v>0</v>
      </c>
      <c r="G53" s="468" t="n">
        <v>0</v>
      </c>
      <c r="H53" s="468" t="n">
        <v>0.07</v>
      </c>
      <c r="I53" s="468" t="n">
        <v>0</v>
      </c>
      <c r="J53" s="468" t="n">
        <v>0</v>
      </c>
      <c r="K53" s="468" t="n">
        <v>0</v>
      </c>
      <c r="L53" s="468" t="n">
        <v>0</v>
      </c>
      <c r="M53" s="468" t="n">
        <v>0</v>
      </c>
      <c r="N53" s="468" t="n">
        <v>0</v>
      </c>
      <c r="O53" s="468" t="n">
        <v>0</v>
      </c>
      <c r="P53" s="468" t="n">
        <v>0</v>
      </c>
      <c r="Q53" s="468" t="n">
        <v>0</v>
      </c>
      <c r="R53" s="468" t="n">
        <v>0</v>
      </c>
      <c r="S53" s="468" t="n">
        <v>0</v>
      </c>
      <c r="T53" s="468"/>
      <c r="U53" s="468"/>
      <c r="V53" s="468"/>
      <c r="W53" s="468"/>
      <c r="X53" s="468"/>
      <c r="Y53" s="468"/>
      <c r="Z53" s="468"/>
      <c r="AA53" s="468"/>
      <c r="AB53" s="468"/>
      <c r="AC53" s="468"/>
      <c r="AD53" s="468"/>
      <c r="AE53" s="468"/>
      <c r="AF53" s="468"/>
      <c r="AG53" s="468"/>
      <c r="AH53" s="468"/>
      <c r="AI53" s="468"/>
      <c r="AJ53" s="468"/>
      <c r="AK53" s="468"/>
      <c r="AL53" s="468"/>
      <c r="AM53" s="468"/>
      <c r="AN53" s="468"/>
      <c r="AO53" s="468"/>
      <c r="AP53" s="468"/>
      <c r="AQ53" s="468"/>
    </row>
    <row r="54" customFormat="false" ht="14.25" hidden="false" customHeight="false" outlineLevel="0" collapsed="false">
      <c r="A54" s="462" t="s">
        <v>858</v>
      </c>
      <c r="B54" s="468" t="n">
        <v>0.1</v>
      </c>
      <c r="C54" s="468" t="n">
        <v>0.1</v>
      </c>
      <c r="D54" s="468" t="n">
        <v>0.05</v>
      </c>
      <c r="E54" s="468" t="n">
        <v>0</v>
      </c>
      <c r="F54" s="468" t="n">
        <v>0.05</v>
      </c>
      <c r="G54" s="468" t="n">
        <v>0.05</v>
      </c>
      <c r="H54" s="468" t="n">
        <v>0.05</v>
      </c>
      <c r="I54" s="468" t="n">
        <v>0.05</v>
      </c>
      <c r="J54" s="468" t="n">
        <v>0.05</v>
      </c>
      <c r="K54" s="468" t="n">
        <v>0.05</v>
      </c>
      <c r="L54" s="468" t="n">
        <v>0.05</v>
      </c>
      <c r="M54" s="468" t="n">
        <v>0.05</v>
      </c>
      <c r="N54" s="468" t="n">
        <v>0.05</v>
      </c>
      <c r="O54" s="468" t="n">
        <v>0.05</v>
      </c>
      <c r="P54" s="468" t="n">
        <v>0.05</v>
      </c>
      <c r="Q54" s="468" t="n">
        <v>0.05</v>
      </c>
      <c r="R54" s="468" t="n">
        <v>0.05</v>
      </c>
      <c r="S54" s="468" t="n">
        <v>0</v>
      </c>
      <c r="T54" s="468"/>
      <c r="U54" s="468"/>
      <c r="V54" s="468"/>
      <c r="W54" s="468"/>
      <c r="X54" s="468"/>
      <c r="Y54" s="468"/>
      <c r="Z54" s="468"/>
      <c r="AA54" s="468"/>
      <c r="AB54" s="468"/>
      <c r="AC54" s="468"/>
      <c r="AD54" s="468"/>
      <c r="AE54" s="468"/>
      <c r="AF54" s="468"/>
      <c r="AG54" s="468"/>
      <c r="AH54" s="468"/>
      <c r="AI54" s="468"/>
      <c r="AJ54" s="468"/>
      <c r="AK54" s="468"/>
      <c r="AL54" s="468"/>
      <c r="AM54" s="468"/>
      <c r="AN54" s="468"/>
      <c r="AO54" s="468"/>
      <c r="AP54" s="468"/>
      <c r="AQ54" s="468"/>
    </row>
    <row r="55" customFormat="false" ht="14.25" hidden="false" customHeight="false" outlineLevel="0" collapsed="false">
      <c r="A55" s="462" t="s">
        <v>859</v>
      </c>
      <c r="B55" s="468" t="n">
        <v>0</v>
      </c>
      <c r="C55" s="468" t="n">
        <v>0</v>
      </c>
      <c r="D55" s="468" t="n">
        <v>0</v>
      </c>
      <c r="E55" s="468" t="n">
        <v>0.05</v>
      </c>
      <c r="F55" s="468" t="n">
        <v>0</v>
      </c>
      <c r="G55" s="468" t="n">
        <v>0</v>
      </c>
      <c r="H55" s="468" t="n">
        <v>0</v>
      </c>
      <c r="I55" s="468" t="n">
        <v>0</v>
      </c>
      <c r="J55" s="468" t="n">
        <v>0</v>
      </c>
      <c r="K55" s="468" t="n">
        <v>0</v>
      </c>
      <c r="L55" s="468" t="n">
        <v>0</v>
      </c>
      <c r="M55" s="468" t="n">
        <v>0</v>
      </c>
      <c r="N55" s="468" t="n">
        <v>0</v>
      </c>
      <c r="O55" s="468" t="n">
        <v>0</v>
      </c>
      <c r="P55" s="468" t="n">
        <v>0</v>
      </c>
      <c r="Q55" s="468" t="n">
        <v>0</v>
      </c>
      <c r="R55" s="468" t="n">
        <v>0</v>
      </c>
      <c r="S55" s="468" t="n">
        <v>0</v>
      </c>
      <c r="T55" s="468"/>
      <c r="U55" s="468"/>
      <c r="V55" s="468"/>
      <c r="W55" s="468"/>
      <c r="X55" s="468"/>
      <c r="Y55" s="468"/>
      <c r="Z55" s="468"/>
      <c r="AA55" s="468"/>
      <c r="AB55" s="468"/>
      <c r="AC55" s="468"/>
      <c r="AD55" s="468"/>
      <c r="AE55" s="468"/>
      <c r="AF55" s="468"/>
      <c r="AG55" s="468"/>
      <c r="AH55" s="468"/>
      <c r="AI55" s="468"/>
      <c r="AJ55" s="468"/>
      <c r="AK55" s="468"/>
      <c r="AL55" s="468"/>
      <c r="AM55" s="468"/>
      <c r="AN55" s="468"/>
      <c r="AO55" s="468"/>
      <c r="AP55" s="468"/>
      <c r="AQ55" s="468"/>
    </row>
    <row r="56" customFormat="false" ht="14.25" hidden="false" customHeight="false" outlineLevel="0" collapsed="false">
      <c r="A56" s="462" t="s">
        <v>860</v>
      </c>
      <c r="B56" s="468" t="n">
        <v>0.1</v>
      </c>
      <c r="C56" s="468" t="n">
        <v>0.1</v>
      </c>
      <c r="D56" s="468" t="n">
        <v>0</v>
      </c>
      <c r="E56" s="468" t="n">
        <v>0.05</v>
      </c>
      <c r="F56" s="468" t="n">
        <v>0.05</v>
      </c>
      <c r="G56" s="468" t="n">
        <v>0</v>
      </c>
      <c r="H56" s="468" t="n">
        <v>0.05</v>
      </c>
      <c r="I56" s="468" t="n">
        <v>0.05</v>
      </c>
      <c r="J56" s="468" t="n">
        <v>0.05</v>
      </c>
      <c r="K56" s="468" t="n">
        <v>0.05</v>
      </c>
      <c r="L56" s="468" t="n">
        <v>0.05</v>
      </c>
      <c r="M56" s="468" t="n">
        <v>0.1</v>
      </c>
      <c r="N56" s="468" t="n">
        <v>0.05</v>
      </c>
      <c r="O56" s="468" t="n">
        <v>0.05</v>
      </c>
      <c r="P56" s="468" t="n">
        <v>0.05</v>
      </c>
      <c r="Q56" s="468" t="n">
        <v>0.05</v>
      </c>
      <c r="R56" s="468" t="n">
        <v>0.05</v>
      </c>
      <c r="S56" s="468" t="n">
        <v>0</v>
      </c>
      <c r="T56" s="468"/>
      <c r="U56" s="468"/>
      <c r="V56" s="468"/>
      <c r="W56" s="468"/>
      <c r="X56" s="468"/>
      <c r="Y56" s="468"/>
      <c r="Z56" s="468"/>
      <c r="AA56" s="468"/>
      <c r="AB56" s="468"/>
      <c r="AC56" s="468"/>
      <c r="AD56" s="468"/>
      <c r="AE56" s="468"/>
      <c r="AF56" s="468"/>
      <c r="AG56" s="468"/>
      <c r="AH56" s="468"/>
      <c r="AI56" s="468"/>
      <c r="AJ56" s="468"/>
      <c r="AK56" s="468"/>
      <c r="AL56" s="468"/>
      <c r="AM56" s="468"/>
      <c r="AN56" s="468"/>
      <c r="AO56" s="468"/>
      <c r="AP56" s="468"/>
      <c r="AQ56" s="468"/>
    </row>
    <row r="57" customFormat="false" ht="14.25" hidden="false" customHeight="false" outlineLevel="0" collapsed="false">
      <c r="A57" s="456" t="s">
        <v>861</v>
      </c>
      <c r="B57" s="463" t="n">
        <f aca="false">SUM(B46:B56)</f>
        <v>0.767581535965609</v>
      </c>
      <c r="C57" s="463" t="n">
        <f aca="false">SUM(C46:C56)</f>
        <v>0.67514319796788</v>
      </c>
      <c r="D57" s="463" t="n">
        <f aca="false">SUM(D46:D56)</f>
        <v>0.061238390784236</v>
      </c>
      <c r="E57" s="463" t="n">
        <f aca="false">SUM(E46:E56)</f>
        <v>0.121196906803473</v>
      </c>
      <c r="F57" s="463" t="n">
        <f aca="false">SUM(F46:F56)</f>
        <v>0.12</v>
      </c>
      <c r="G57" s="463" t="n">
        <f aca="false">SUM(G46:G56)</f>
        <v>0.0673972</v>
      </c>
      <c r="H57" s="463" t="n">
        <f aca="false">SUM(H46:H56)</f>
        <v>0.276928</v>
      </c>
      <c r="I57" s="463" t="n">
        <f aca="false">SUM(I46:I56)</f>
        <v>0.188116994209744</v>
      </c>
      <c r="J57" s="463" t="n">
        <f aca="false">SUM(J46:J56)</f>
        <v>0.60900344020515</v>
      </c>
      <c r="K57" s="463" t="n">
        <f aca="false">SUM(K46:K56)</f>
        <v>0.179908015855505</v>
      </c>
      <c r="L57" s="463" t="n">
        <f aca="false">SUM(L46:L56)</f>
        <v>0.111903211985437</v>
      </c>
      <c r="M57" s="463" t="n">
        <f aca="false">SUM(M46:M56)</f>
        <v>0.313374152416069</v>
      </c>
      <c r="N57" s="463" t="n">
        <f aca="false">SUM(N46:N56)</f>
        <v>0.253612135520496</v>
      </c>
      <c r="O57" s="463" t="n">
        <f aca="false">SUM(O46:O56)</f>
        <v>0.385135498526042</v>
      </c>
      <c r="P57" s="463" t="n">
        <f aca="false">SUM(P46:P56)</f>
        <v>0.131318023673651</v>
      </c>
      <c r="Q57" s="463" t="n">
        <f aca="false">SUM(Q46:Q56)</f>
        <v>0.12</v>
      </c>
      <c r="R57" s="463" t="n">
        <f aca="false">SUM(R46:R56)</f>
        <v>0.12</v>
      </c>
      <c r="S57" s="463" t="n">
        <f aca="false">SUM(S46:S56)</f>
        <v>0.02</v>
      </c>
      <c r="T57" s="463"/>
      <c r="U57" s="463"/>
      <c r="V57" s="463"/>
      <c r="W57" s="463"/>
      <c r="X57" s="463"/>
      <c r="Y57" s="463"/>
      <c r="Z57" s="463"/>
      <c r="AA57" s="463"/>
      <c r="AB57" s="463"/>
      <c r="AC57" s="463"/>
      <c r="AD57" s="463"/>
      <c r="AE57" s="463"/>
      <c r="AF57" s="463"/>
      <c r="AG57" s="463"/>
      <c r="AH57" s="463"/>
      <c r="AI57" s="463"/>
      <c r="AJ57" s="463"/>
      <c r="AK57" s="463"/>
      <c r="AL57" s="463"/>
      <c r="AM57" s="463"/>
      <c r="AN57" s="463"/>
      <c r="AO57" s="463"/>
      <c r="AP57" s="463"/>
      <c r="AQ57" s="463"/>
    </row>
    <row r="58" customFormat="false" ht="14.25" hidden="false" customHeight="false" outlineLevel="0" collapsed="false">
      <c r="A58" s="456" t="s">
        <v>862</v>
      </c>
      <c r="B58" s="489" t="n">
        <f aca="false">B56/B57</f>
        <v>0.130279319283262</v>
      </c>
      <c r="C58" s="489" t="n">
        <f aca="false">C56/C57</f>
        <v>0.14811672590495</v>
      </c>
      <c r="D58" s="489" t="n">
        <f aca="false">D56/D57</f>
        <v>0</v>
      </c>
      <c r="E58" s="489" t="n">
        <f aca="false">E56/E57</f>
        <v>0.412551783034178</v>
      </c>
      <c r="F58" s="489" t="n">
        <f aca="false">F56/F57</f>
        <v>0.416666666666667</v>
      </c>
      <c r="G58" s="489" t="n">
        <f aca="false">G56/G57</f>
        <v>0</v>
      </c>
      <c r="H58" s="489" t="n">
        <f aca="false">H56/H57</f>
        <v>0.180552345736076</v>
      </c>
      <c r="I58" s="489" t="n">
        <f aca="false">I56/I57</f>
        <v>0.265792041862267</v>
      </c>
      <c r="J58" s="489" t="n">
        <f aca="false">J56/J57</f>
        <v>0.0821013424540868</v>
      </c>
      <c r="K58" s="489" t="n">
        <f aca="false">K56/K57</f>
        <v>0.277919801195284</v>
      </c>
      <c r="L58" s="489" t="n">
        <f aca="false">L56/L57</f>
        <v>0.446814699175097</v>
      </c>
      <c r="M58" s="489" t="n">
        <f aca="false">M56/M57</f>
        <v>0.319107364883207</v>
      </c>
      <c r="N58" s="489" t="n">
        <f aca="false">N56/N57</f>
        <v>0.197151448992705</v>
      </c>
      <c r="O58" s="489" t="n">
        <f aca="false">O56/O57</f>
        <v>0.129824438908789</v>
      </c>
      <c r="P58" s="489" t="n">
        <f aca="false">P56/P57</f>
        <v>0.380755044899694</v>
      </c>
      <c r="Q58" s="489" t="n">
        <f aca="false">Q56/Q57</f>
        <v>0.416666666666667</v>
      </c>
      <c r="R58" s="489" t="n">
        <f aca="false">R56/R57</f>
        <v>0.416666666666667</v>
      </c>
      <c r="S58" s="489" t="n">
        <f aca="false">S56/S57</f>
        <v>0</v>
      </c>
      <c r="T58" s="489"/>
      <c r="U58" s="489"/>
      <c r="V58" s="489"/>
      <c r="W58" s="489"/>
      <c r="X58" s="489"/>
      <c r="Y58" s="489"/>
      <c r="Z58" s="489"/>
      <c r="AA58" s="489"/>
      <c r="AB58" s="489"/>
      <c r="AC58" s="489"/>
      <c r="AD58" s="489"/>
      <c r="AE58" s="489"/>
      <c r="AF58" s="489"/>
      <c r="AG58" s="489"/>
      <c r="AH58" s="489"/>
      <c r="AI58" s="489"/>
      <c r="AJ58" s="489"/>
      <c r="AK58" s="489"/>
      <c r="AL58" s="489"/>
      <c r="AM58" s="489"/>
      <c r="AN58" s="489"/>
      <c r="AO58" s="489"/>
      <c r="AP58" s="489"/>
      <c r="AQ58" s="489"/>
    </row>
    <row r="59" customFormat="false" ht="14.25" hidden="false" customHeight="false" outlineLevel="0" collapsed="false">
      <c r="A59" s="456" t="s">
        <v>863</v>
      </c>
      <c r="B59" s="461" t="n">
        <f aca="false">B29+B32/100*B19/1000+B57+B39</f>
        <v>14.6456570113374</v>
      </c>
      <c r="C59" s="461" t="n">
        <f aca="false">C29+C32/100*C19/1000+C57+C39</f>
        <v>-10.1272748351446</v>
      </c>
      <c r="D59" s="461" t="n">
        <f aca="false">D29+D32/100*D19/1000+D57+D39</f>
        <v>0.515998742716932</v>
      </c>
      <c r="E59" s="461" t="n">
        <f aca="false">E29+E32/100*E19/1000+E57+E39</f>
        <v>2.64784500731538</v>
      </c>
      <c r="F59" s="461" t="n">
        <f aca="false">F29+F32/100*F19/1000+F57+F39</f>
        <v>1.006</v>
      </c>
      <c r="G59" s="461" t="n">
        <f aca="false">G29+G32/100*G19/1000+G57+G39</f>
        <v>14.4873972</v>
      </c>
      <c r="H59" s="461" t="n">
        <f aca="false">H29+H32/100*H19/1000+H57+H39</f>
        <v>0.559085156377861</v>
      </c>
      <c r="I59" s="461" t="n">
        <f aca="false">I29+I32/100*I19/1000+I57+I39</f>
        <v>0.438687234934485</v>
      </c>
      <c r="J59" s="461" t="n">
        <f aca="false">J29+J32/100*J19/1000+J57+J39</f>
        <v>0.596785945143558</v>
      </c>
      <c r="K59" s="461" t="n">
        <f aca="false">K29+K32/100*K19/1000+K57+K39</f>
        <v>1.15873979139854</v>
      </c>
      <c r="L59" s="461" t="n">
        <f aca="false">L29+L32/100*L19/1000+L57+L39</f>
        <v>0.976626775557486</v>
      </c>
      <c r="M59" s="461" t="n">
        <f aca="false">M29+M32/100*M19/1000+M57+M39</f>
        <v>0.363147781739652</v>
      </c>
      <c r="N59" s="461" t="n">
        <f aca="false">N29+N32/100*N19/1000+N57+N39</f>
        <v>1.3001898348536</v>
      </c>
      <c r="O59" s="461" t="n">
        <f aca="false">O29+O32/100*O19/1000+O57+O39</f>
        <v>1.44165520581599</v>
      </c>
      <c r="P59" s="461" t="n">
        <f aca="false">P29+P32/100*P19/1000+P57+P39</f>
        <v>2.68361534815683</v>
      </c>
      <c r="Q59" s="461" t="n">
        <f aca="false">Q29+Q32/100*Q19/1000+Q57+Q39</f>
        <v>0.70522525</v>
      </c>
      <c r="R59" s="461" t="n">
        <f aca="false">R29+R32/100*R19/1000+R57+R39</f>
        <v>0.728739</v>
      </c>
      <c r="S59" s="461" t="n">
        <f aca="false">S29+S32/100*S19/1000+S57+S39</f>
        <v>0.300998</v>
      </c>
      <c r="T59" s="461"/>
      <c r="U59" s="461"/>
      <c r="V59" s="461"/>
      <c r="W59" s="461"/>
      <c r="X59" s="461"/>
      <c r="Y59" s="461"/>
      <c r="Z59" s="461"/>
      <c r="AA59" s="461"/>
      <c r="AB59" s="461"/>
      <c r="AC59" s="461"/>
      <c r="AD59" s="461"/>
      <c r="AE59" s="461"/>
      <c r="AF59" s="461"/>
      <c r="AG59" s="461"/>
      <c r="AH59" s="461"/>
      <c r="AI59" s="461"/>
      <c r="AJ59" s="461"/>
      <c r="AK59" s="461"/>
      <c r="AL59" s="461"/>
      <c r="AM59" s="461"/>
      <c r="AN59" s="461"/>
      <c r="AO59" s="461"/>
      <c r="AP59" s="461"/>
      <c r="AQ59" s="461"/>
    </row>
    <row r="60" customFormat="false" ht="14.25" hidden="false" customHeight="false" outlineLevel="0" collapsed="false">
      <c r="A60" s="456" t="s">
        <v>864</v>
      </c>
      <c r="B60" s="461" t="n">
        <f aca="false">B59*1000000/B19/9.81</f>
        <v>1875.25925449662</v>
      </c>
      <c r="C60" s="461" t="n">
        <f aca="false">C59*1000000/C19/9.81</f>
        <v>-2046.99790045295</v>
      </c>
      <c r="D60" s="461" t="n">
        <f aca="false">D59*1000000/D19/9.81</f>
        <v>104.276714277375</v>
      </c>
      <c r="E60" s="461" t="n">
        <f aca="false">E59*1000000/E19/9.81</f>
        <v>283.560617292702</v>
      </c>
      <c r="F60" s="461" t="n">
        <f aca="false">F59*1000000/F19/9.81</f>
        <v>128.185524974516</v>
      </c>
      <c r="G60" s="461" t="n">
        <f aca="false">G59*1000000/G19/9.81</f>
        <v>1858.89470587522</v>
      </c>
      <c r="H60" s="461" t="n">
        <f aca="false">H59*1000000/H19/9.81</f>
        <v>67.7339568727454</v>
      </c>
      <c r="I60" s="461" t="n">
        <f aca="false">I59*1000000/I19/9.81</f>
        <v>65.3997288157168</v>
      </c>
      <c r="J60" s="461" t="n">
        <f aca="false">J59*1000000/J19/9.81</f>
        <v>96.1429459442659</v>
      </c>
      <c r="K60" s="461" t="n">
        <f aca="false">K59*1000000/K19/9.81</f>
        <v>178.178702442057</v>
      </c>
      <c r="L60" s="461" t="n">
        <f aca="false">L59*1000000/L19/9.81</f>
        <v>104.326082512329</v>
      </c>
      <c r="M60" s="461" t="n">
        <f aca="false">M59*1000000/M19/9.81</f>
        <v>57.526219893541</v>
      </c>
      <c r="N60" s="461" t="n">
        <f aca="false">N59*1000000/N19/9.81</f>
        <v>201.663354884523</v>
      </c>
      <c r="O60" s="461" t="n">
        <f aca="false">O59*1000000/O19/9.81</f>
        <v>226.339510239899</v>
      </c>
      <c r="P60" s="461" t="n">
        <f aca="false">P59*1000000/P19/9.81</f>
        <v>270.89893132788</v>
      </c>
      <c r="Q60" s="461" t="n">
        <f aca="false">Q59*1000000/Q19/9.81</f>
        <v>90.4882682221572</v>
      </c>
      <c r="R60" s="461" t="n">
        <f aca="false">R59*1000000/R19/9.81</f>
        <v>70.9743668856995</v>
      </c>
      <c r="S60" s="461" t="n">
        <f aca="false">S59*1000000/S19/9.81</f>
        <v>30.8772996688516</v>
      </c>
      <c r="T60" s="461"/>
      <c r="U60" s="461"/>
      <c r="V60" s="461"/>
      <c r="W60" s="461"/>
      <c r="X60" s="461"/>
      <c r="Y60" s="461"/>
      <c r="Z60" s="461"/>
      <c r="AA60" s="461"/>
      <c r="AB60" s="461"/>
      <c r="AC60" s="461"/>
      <c r="AD60" s="461"/>
      <c r="AE60" s="461"/>
      <c r="AF60" s="461"/>
      <c r="AG60" s="461"/>
      <c r="AH60" s="461"/>
      <c r="AI60" s="461"/>
      <c r="AJ60" s="461"/>
      <c r="AK60" s="461"/>
      <c r="AL60" s="461"/>
      <c r="AM60" s="461"/>
      <c r="AN60" s="461"/>
      <c r="AO60" s="461"/>
      <c r="AP60" s="461"/>
      <c r="AQ60" s="461"/>
    </row>
    <row r="61" customFormat="false" ht="14.25" hidden="false" customHeight="false" outlineLevel="0" collapsed="false">
      <c r="A61" s="456" t="s">
        <v>865</v>
      </c>
      <c r="B61" s="461" t="n">
        <f aca="false">B60/B23</f>
        <v>1875.25925449662</v>
      </c>
      <c r="C61" s="461" t="n">
        <f aca="false">C60/C23</f>
        <v>-2046.99790045295</v>
      </c>
      <c r="D61" s="461" t="n">
        <f aca="false">D60/D23</f>
        <v>104.276714277375</v>
      </c>
      <c r="E61" s="461" t="n">
        <f aca="false">E60/E23</f>
        <v>283.560617292702</v>
      </c>
      <c r="F61" s="461" t="n">
        <f aca="false">F60/F23</f>
        <v>128.185524974516</v>
      </c>
      <c r="G61" s="461" t="n">
        <f aca="false">G60/G23</f>
        <v>1858.89470587522</v>
      </c>
      <c r="H61" s="461" t="n">
        <f aca="false">H60/H23</f>
        <v>67.7339568727454</v>
      </c>
      <c r="I61" s="461" t="n">
        <f aca="false">I60/I23</f>
        <v>65.3997288157168</v>
      </c>
      <c r="J61" s="461" t="n">
        <f aca="false">J60/J23</f>
        <v>96.1429459442659</v>
      </c>
      <c r="K61" s="461" t="n">
        <f aca="false">K60/K23</f>
        <v>178.178702442057</v>
      </c>
      <c r="L61" s="461" t="n">
        <f aca="false">L60/L23</f>
        <v>104.326082512329</v>
      </c>
      <c r="M61" s="461" t="n">
        <f aca="false">M60/M23</f>
        <v>57.526219893541</v>
      </c>
      <c r="N61" s="461" t="n">
        <f aca="false">N60/N23</f>
        <v>201.663354884523</v>
      </c>
      <c r="O61" s="461" t="n">
        <f aca="false">O60/O23</f>
        <v>226.339510239899</v>
      </c>
      <c r="P61" s="461" t="n">
        <f aca="false">P60/P23</f>
        <v>270.89893132788</v>
      </c>
      <c r="Q61" s="461" t="n">
        <f aca="false">Q60/Q23</f>
        <v>90.4882682221572</v>
      </c>
      <c r="R61" s="461" t="n">
        <f aca="false">R60/R23</f>
        <v>70.9743668856995</v>
      </c>
      <c r="S61" s="461" t="n">
        <f aca="false">S60/S23</f>
        <v>30.8772996688516</v>
      </c>
      <c r="T61" s="461"/>
      <c r="U61" s="461"/>
      <c r="V61" s="461"/>
      <c r="W61" s="461"/>
      <c r="X61" s="461"/>
      <c r="Y61" s="461"/>
      <c r="Z61" s="461"/>
      <c r="AA61" s="461"/>
      <c r="AB61" s="461"/>
      <c r="AC61" s="461"/>
      <c r="AD61" s="461"/>
      <c r="AE61" s="461"/>
      <c r="AF61" s="461"/>
      <c r="AG61" s="461"/>
      <c r="AH61" s="461"/>
      <c r="AI61" s="461"/>
      <c r="AJ61" s="461"/>
      <c r="AK61" s="461"/>
      <c r="AL61" s="461"/>
      <c r="AM61" s="461"/>
      <c r="AN61" s="461"/>
      <c r="AO61" s="461"/>
      <c r="AP61" s="461"/>
      <c r="AQ61" s="461"/>
    </row>
    <row r="62" customFormat="false" ht="14.25" hidden="false" customHeight="false" outlineLevel="0" collapsed="false">
      <c r="A62" s="462" t="s">
        <v>866</v>
      </c>
      <c r="B62" s="468" t="n">
        <v>1.1</v>
      </c>
      <c r="C62" s="468" t="n">
        <v>1</v>
      </c>
      <c r="D62" s="468" t="n">
        <v>1.1</v>
      </c>
      <c r="E62" s="468" t="n">
        <v>1.1</v>
      </c>
      <c r="F62" s="468" t="n">
        <v>1.1</v>
      </c>
      <c r="G62" s="468" t="n">
        <v>1.1</v>
      </c>
      <c r="H62" s="468" t="n">
        <v>1.1</v>
      </c>
      <c r="I62" s="468" t="n">
        <v>1.1</v>
      </c>
      <c r="J62" s="468" t="n">
        <v>1.1</v>
      </c>
      <c r="K62" s="468" t="n">
        <v>1.1</v>
      </c>
      <c r="L62" s="468" t="n">
        <v>1.1</v>
      </c>
      <c r="M62" s="468" t="n">
        <v>1.1</v>
      </c>
      <c r="N62" s="468" t="n">
        <v>1.1</v>
      </c>
      <c r="O62" s="468" t="n">
        <v>1.1</v>
      </c>
      <c r="P62" s="468" t="n">
        <v>1.1</v>
      </c>
      <c r="Q62" s="468" t="n">
        <v>1.1</v>
      </c>
      <c r="R62" s="468" t="n">
        <v>1.1</v>
      </c>
      <c r="S62" s="468" t="n">
        <v>1.1</v>
      </c>
      <c r="T62" s="468"/>
      <c r="U62" s="468"/>
      <c r="V62" s="468"/>
      <c r="W62" s="468"/>
      <c r="X62" s="468"/>
      <c r="Y62" s="468"/>
      <c r="Z62" s="468"/>
      <c r="AA62" s="468"/>
      <c r="AB62" s="468"/>
      <c r="AC62" s="468"/>
      <c r="AD62" s="468"/>
      <c r="AE62" s="468"/>
      <c r="AF62" s="468"/>
      <c r="AG62" s="468"/>
      <c r="AH62" s="468"/>
      <c r="AI62" s="468"/>
      <c r="AJ62" s="468"/>
      <c r="AK62" s="468"/>
      <c r="AL62" s="468"/>
      <c r="AM62" s="468"/>
      <c r="AN62" s="468"/>
      <c r="AO62" s="468"/>
      <c r="AP62" s="468"/>
      <c r="AQ62" s="468"/>
    </row>
    <row r="63" customFormat="false" ht="14.25" hidden="false" customHeight="false" outlineLevel="0" collapsed="false">
      <c r="A63" s="464" t="s">
        <v>867</v>
      </c>
      <c r="B63" s="465" t="n">
        <f aca="false">B61*B62</f>
        <v>2062.78517994629</v>
      </c>
      <c r="C63" s="465" t="n">
        <f aca="false">C61*C62</f>
        <v>-2046.99790045295</v>
      </c>
      <c r="D63" s="465" t="n">
        <f aca="false">D61*D62</f>
        <v>114.704385705112</v>
      </c>
      <c r="E63" s="465" t="n">
        <f aca="false">E61*E62</f>
        <v>311.916679021972</v>
      </c>
      <c r="F63" s="465" t="n">
        <f aca="false">F61*F62</f>
        <v>141.004077471967</v>
      </c>
      <c r="G63" s="465" t="n">
        <f aca="false">G61*G62</f>
        <v>2044.78417646274</v>
      </c>
      <c r="H63" s="465" t="n">
        <f aca="false">H61*H62</f>
        <v>74.5073525600199</v>
      </c>
      <c r="I63" s="465" t="n">
        <f aca="false">I61*I62</f>
        <v>71.9397016972884</v>
      </c>
      <c r="J63" s="465" t="n">
        <f aca="false">J61*J62</f>
        <v>105.757240538692</v>
      </c>
      <c r="K63" s="465" t="n">
        <f aca="false">K61*K62</f>
        <v>195.996572686263</v>
      </c>
      <c r="L63" s="465" t="n">
        <f aca="false">L61*L62</f>
        <v>114.758690763561</v>
      </c>
      <c r="M63" s="465" t="n">
        <f aca="false">M61*M62</f>
        <v>63.2788418828951</v>
      </c>
      <c r="N63" s="465" t="n">
        <f aca="false">N61*N62</f>
        <v>221.829690372976</v>
      </c>
      <c r="O63" s="465" t="n">
        <f aca="false">O61*O62</f>
        <v>248.973461263889</v>
      </c>
      <c r="P63" s="465" t="n">
        <f aca="false">P61*P62</f>
        <v>297.988824460668</v>
      </c>
      <c r="Q63" s="465" t="n">
        <f aca="false">Q61*Q62</f>
        <v>99.5370950443729</v>
      </c>
      <c r="R63" s="465" t="n">
        <f aca="false">R61*R62</f>
        <v>78.0718035742695</v>
      </c>
      <c r="S63" s="465" t="n">
        <f aca="false">S61*S62</f>
        <v>33.9650296357367</v>
      </c>
      <c r="T63" s="465"/>
      <c r="U63" s="465"/>
      <c r="V63" s="465"/>
      <c r="W63" s="465"/>
      <c r="X63" s="465"/>
      <c r="Y63" s="465"/>
      <c r="Z63" s="465"/>
      <c r="AA63" s="465"/>
      <c r="AB63" s="465"/>
      <c r="AC63" s="465"/>
      <c r="AD63" s="465"/>
      <c r="AE63" s="465"/>
      <c r="AF63" s="465"/>
      <c r="AG63" s="465"/>
      <c r="AH63" s="465"/>
      <c r="AI63" s="465"/>
      <c r="AJ63" s="465"/>
      <c r="AK63" s="465"/>
      <c r="AL63" s="465"/>
      <c r="AM63" s="465"/>
      <c r="AN63" s="465"/>
      <c r="AO63" s="465"/>
      <c r="AP63" s="465"/>
      <c r="AQ63" s="465"/>
    </row>
    <row r="64" customFormat="false" ht="14.25" hidden="false" customHeight="false" outlineLevel="0" collapsed="false">
      <c r="A64" s="466" t="s">
        <v>868</v>
      </c>
      <c r="B64" s="467" t="n">
        <f aca="false">IF(B56&gt;0.2,(B29+B39+B19*9.81*B32/1000000+(B57-B56-B55-B54)*B6*B6+0.1+B54+B55)*1000000/B19/9.81/B23,(IF(B56&gt;=0.1,(B29+B39+B19*9.81*B32/1000000+(B57-B56-B55-B54)*B6*B6+0.05+B54+B55)*1000000/B19/9.81/B23,(B29+B39+B19*9.81*B32/1000000+(B57-B56-B55-B54)*B6*B6+B54+B55)*1000000/B19/9.81/B23)))</f>
        <v>1883.67328862647</v>
      </c>
      <c r="C64" s="467" t="n">
        <f aca="false">IF(C56&gt;0.2,(C29+C39+C19*9.81*C32/1000000+(C57-C56-C55-C54)*C6*C6+0.1+C54+C55)*1000000/C19/9.81/C23,(IF(C56&gt;=0.1,(C29+C39+C19*9.81*C32/1000000+(C57-C56-C55-C54)*C6*C6+0.05+C54+C55)*1000000/C19/9.81/C23,(C29+C39+C19*9.81*C32/1000000+(C57-C56-C55-C54)*C6*C6+C54+C55)*1000000/C19/9.81/C23)))</f>
        <v>-2037.01346498189</v>
      </c>
      <c r="D64" s="467" t="n">
        <f aca="false">IF(D56&gt;0.2,(D29+D39+D19*9.81*D32/1000000+(D57-D56-D55-D54)*D6*D6+0.1+D54+D55)*1000000/D19/9.81/D23,(IF(D56&gt;=0.1,(D29+D39+D19*9.81*D32/1000000+(D57-D56-D55-D54)*D6*D6+0.05+D54+D55)*1000000/D19/9.81/D23,(D29+D39+D19*9.81*D32/1000000+(D57-D56-D55-D54)*D6*D6+D54+D55)*1000000/D19/9.81/D23)))</f>
        <v>105.043597485485</v>
      </c>
      <c r="E64" s="467" t="n">
        <f aca="false">IF(E56&gt;0.2,(E29+E39+E19*9.81*E32/1000000+(E57-E56-E55-E54)*E6*E6+0.1+E54+E55)*1000000/E19/9.81/E23,(IF(E56&gt;=0.1,(E29+E39+E19*9.81*E32/1000000+(E57-E56-E55-E54)*E6*E6+0.05+E54+E55)*1000000/E19/9.81/E23,(E29+E39+E19*9.81*E32/1000000+(E57-E56-E55-E54)*E6*E6+E54+E55)*1000000/E19/9.81/E23)))</f>
        <v>279.694890600374</v>
      </c>
      <c r="F64" s="467" t="n">
        <f aca="false">IF(F56&gt;0.2,(F29+F39+F19*9.81*F32/1000000+(F57-F56-F55-F54)*F6*F6+0.1+F54+F55)*1000000/F19/9.81/F23,(IF(F56&gt;=0.1,(F29+F39+F19*9.81*F32/1000000+(F57-F56-F55-F54)*F6*F6+0.05+F54+F55)*1000000/F19/9.81/F23,(F29+F39+F19*9.81*F32/1000000+(F57-F56-F55-F54)*F6*F6+F54+F55)*1000000/F19/9.81/F23)))</f>
        <v>122.310907237513</v>
      </c>
      <c r="G64" s="467" t="n">
        <f aca="false">IF(G56&gt;0.2,(G29+G39+G19*9.81*G32/1000000+(G57-G56-G55-G54)*G6*G6+0.1+G54+G55)*1000000/G19/9.81/G23,(IF(G56&gt;=0.1,(G29+G39+G19*9.81*G32/1000000+(G57-G56-G55-G54)*G6*G6+0.05+G54+G55)*1000000/G19/9.81/G23,(G29+G39+G19*9.81*G32/1000000+(G57-G56-G55-G54)*G6*G6+G54+G55)*1000000/G19/9.81/G23)))</f>
        <v>1859.36347939826</v>
      </c>
      <c r="H64" s="467" t="n">
        <f aca="false">IF(H56&gt;0.2,(H29+H39+H19*9.81*H32/1000000+(H57-H56-H55-H54)*H6*H6+0.1+H54+H55)*1000000/H19/9.81/H23,(IF(H56&gt;=0.1,(H29+H39+H19*9.81*H32/1000000+(H57-H56-H55-H54)*H6*H6+0.05+H54+H55)*1000000/H19/9.81/H23,(H29+H39+H19*9.81*H32/1000000+(H57-H56-H55-H54)*H6*H6+H54+H55)*1000000/H19/9.81/H23)))</f>
        <v>65.7903925933189</v>
      </c>
      <c r="I64" s="467" t="n">
        <f aca="false">IF(I56&gt;0.2,(I29+I39+I19*9.81*I32/1000000+(I57-I56-I55-I54)*I6*I6+0.1+I54+I55)*1000000/I19/9.81/I23,(IF(I56&gt;=0.1,(I29+I39+I19*9.81*I32/1000000+(I57-I56-I55-I54)*I6*I6+0.05+I54+I55)*1000000/I19/9.81/I23,(I29+I39+I19*9.81*I32/1000000+(I57-I56-I55-I54)*I6*I6+I54+I55)*1000000/I19/9.81/I23)))</f>
        <v>63.2028388582018</v>
      </c>
      <c r="J64" s="467" t="n">
        <f aca="false">IF(J56&gt;0.2,(J29+J39+J19*9.81*J32/1000000+(J57-J56-J55-J54)*J6*J6+0.1+J54+J55)*1000000/J19/9.81/J23,(IF(J56&gt;=0.1,(J29+J39+J19*9.81*J32/1000000+(J57-J56-J55-J54)*J6*J6+0.05+J54+J55)*1000000/J19/9.81/J23,(J29+J39+J19*9.81*J32/1000000+(J57-J56-J55-J54)*J6*J6+J54+J55)*1000000/J19/9.81/J23)))</f>
        <v>105.036959051152</v>
      </c>
      <c r="K64" s="467" t="n">
        <f aca="false">IF(K56&gt;0.2,(K29+K39+K19*9.81*K32/1000000+(K57-K56-K55-K54)*K6*K6+0.1+K54+K55)*1000000/K19/9.81/K23,(IF(K56&gt;=0.1,(K29+K39+K19*9.81*K32/1000000+(K57-K56-K55-K54)*K6*K6+0.05+K54+K55)*1000000/K19/9.81/K23,(K29+K39+K19*9.81*K32/1000000+(K57-K56-K55-K54)*K6*K6+K54+K55)*1000000/K19/9.81/K23)))</f>
        <v>175.799852106908</v>
      </c>
      <c r="L64" s="467" t="n">
        <f aca="false">IF(L56&gt;0.2,(L29+L39+L19*9.81*L32/1000000+(L57-L56-L55-L54)*L6*L6+0.1+L54+L55)*1000000/L19/9.81/L23,(IF(L56&gt;=0.1,(L29+L39+L19*9.81*L32/1000000+(L57-L56-L55-L54)*L6*L6+0.05+L54+L55)*1000000/L19/9.81/L23,(L29+L39+L19*9.81*L32/1000000+(L57-L56-L55-L54)*L6*L6+L54+L55)*1000000/L19/9.81/L23)))</f>
        <v>99.5056782054259</v>
      </c>
      <c r="M64" s="467" t="n">
        <f aca="false">IF(M56&gt;0.2,(M29+M39+M19*9.81*M32/1000000+(M57-M56-M55-M54)*M6*M6+0.1+M54+M55)*1000000/M19/9.81/M23,(IF(M56&gt;=0.1,(M29+M39+M19*9.81*M32/1000000+(M57-M56-M55-M54)*M6*M6+0.05+M54+M55)*1000000/M19/9.81/M23,(M29+M39+M19*9.81*M32/1000000+(M57-M56-M55-M54)*M6*M6+M54+M55)*1000000/M19/9.81/M23)))</f>
        <v>67.3661450871516</v>
      </c>
      <c r="N64" s="467" t="n">
        <f aca="false">IF(N56&gt;0.2,(N29+N39+N19*9.81*N32/1000000+(N57-N56-N55-N54)*N6*N6+0.1+N54+N55)*1000000/N19/9.81/N23,(IF(N56&gt;=0.1,(N29+N39+N19*9.81*N32/1000000+(N57-N56-N55-N54)*N6*N6+0.05+N54+N55)*1000000/N19/9.81/N23,(N29+N39+N19*9.81*N32/1000000+(N57-N56-N55-N54)*N6*N6+N54+N55)*1000000/N19/9.81/N23)))</f>
        <v>198.814762417849</v>
      </c>
      <c r="O64" s="467" t="n">
        <f aca="false">IF(O56&gt;0.2,(O29+O39+O19*9.81*O32/1000000+(O57-O56-O55-O54)*O6*O6+0.1+O54+O55)*1000000/O19/9.81/O23,(IF(O56&gt;=0.1,(O29+O39+O19*9.81*O32/1000000+(O57-O56-O55-O54)*O6*O6+0.05+O54+O55)*1000000/O19/9.81/O23,(O29+O39+O19*9.81*O32/1000000+(O57-O56-O55-O54)*O6*O6+O54+O55)*1000000/O19/9.81/O23)))</f>
        <v>227.774217228509</v>
      </c>
      <c r="P64" s="467" t="n">
        <f aca="false">IF(P56&gt;0.2,(P29+P39+P19*9.81*P32/1000000+(P57-P56-P55-P54)*P6*P6+0.1+P54+P55)*1000000/P19/9.81/P23,(IF(P56&gt;=0.1,(P29+P39+P19*9.81*P32/1000000+(P57-P56-P55-P54)*P6*P6+0.05+P54+P55)*1000000/P19/9.81/P23,(P29+P39+P19*9.81*P32/1000000+(P57-P56-P55-P54)*P6*P6+P54+P55)*1000000/P19/9.81/P23)))</f>
        <v>266.205664687579</v>
      </c>
      <c r="Q64" s="467" t="n">
        <f aca="false">IF(Q56&gt;0.2,(Q29+Q39+Q19*9.81*Q32/1000000+(Q57-Q56-Q55-Q54)*Q6*Q6+0.1+Q54+Q55)*1000000/Q19/9.81/Q23,(IF(Q56&gt;=0.1,(Q29+Q39+Q19*9.81*Q32/1000000+(Q57-Q56-Q55-Q54)*Q6*Q6+0.05+Q54+Q55)*1000000/Q19/9.81/Q23,(Q29+Q39+Q19*9.81*Q32/1000000+(Q57-Q56-Q55-Q54)*Q6*Q6+Q54+Q55)*1000000/Q19/9.81/Q23)))</f>
        <v>84.417937283944</v>
      </c>
      <c r="R64" s="467" t="n">
        <f aca="false">IF(R56&gt;0.2,(R29+R39+R19*9.81*R32/1000000+(R57-R56-R55-R54)*R6*R6+0.1+R54+R55)*1000000/R19/9.81/R23,(IF(R56&gt;=0.1,(R29+R39+R19*9.81*R32/1000000+(R57-R56-R55-R54)*R6*R6+0.05+R54+R55)*1000000/R19/9.81/R23,(R29+R39+R19*9.81*R32/1000000+(R57-R56-R55-R54)*R6*R6+R54+R55)*1000000/R19/9.81/R23)))</f>
        <v>66.3200693752647</v>
      </c>
      <c r="S64" s="467" t="n">
        <f aca="false">IF(S56&gt;0.2,(S29+S39+S19*9.81*S32/1000000+(S57-S56-S55-S54)*S6*S6+0.1+S54+S55)*1000000/S19/9.81/S23,(IF(S56&gt;=0.1,(S29+S39+S19*9.81*S32/1000000+(S57-S56-S55-S54)*S6*S6+0.05+S54+S55)*1000000/S19/9.81/S23,(S29+S39+S19*9.81*S32/1000000+(S57-S56-S55-S54)*S6*S6+S54+S55)*1000000/S19/9.81/S23)))</f>
        <v>31.2306766061457</v>
      </c>
      <c r="T64" s="467"/>
      <c r="U64" s="467"/>
      <c r="V64" s="467"/>
      <c r="W64" s="467"/>
      <c r="X64" s="467"/>
      <c r="Y64" s="467"/>
      <c r="Z64" s="467"/>
      <c r="AA64" s="467"/>
      <c r="AB64" s="467"/>
      <c r="AC64" s="467"/>
      <c r="AD64" s="467"/>
      <c r="AE64" s="467"/>
      <c r="AF64" s="467"/>
      <c r="AG64" s="467"/>
      <c r="AH64" s="467"/>
      <c r="AI64" s="467"/>
      <c r="AJ64" s="467"/>
      <c r="AK64" s="467"/>
      <c r="AL64" s="467"/>
      <c r="AM64" s="467"/>
      <c r="AN64" s="467"/>
      <c r="AO64" s="467"/>
      <c r="AP64" s="467"/>
      <c r="AQ64" s="467"/>
    </row>
    <row r="65" customFormat="false" ht="14.25" hidden="false" customHeight="false" outlineLevel="0" collapsed="false">
      <c r="A65" s="490" t="s">
        <v>869</v>
      </c>
      <c r="B65" s="491" t="n">
        <f aca="false">B19*9.81*B30/1000000+B27-B39</f>
        <v>0.439701685028166</v>
      </c>
      <c r="C65" s="491" t="n">
        <f aca="false">C19*9.81*C30/1000000+C27-C39</f>
        <v>13.9818541419125</v>
      </c>
      <c r="D65" s="491" t="n">
        <f aca="false">D19*9.81*D30/1000000+D27-D39</f>
        <v>14.0048405316673</v>
      </c>
      <c r="E65" s="491" t="n">
        <f aca="false">E19*9.81*E30/1000000+E27-E39</f>
        <v>0.519440233588089</v>
      </c>
      <c r="F65" s="491" t="n">
        <f aca="false">F19*9.81*F30/1000000+F27-F39</f>
        <v>0.26924</v>
      </c>
      <c r="G65" s="491" t="n">
        <f aca="false">G19*9.81*G30/1000000+G27-G39</f>
        <v>0.4189677725</v>
      </c>
      <c r="H65" s="491" t="n">
        <f aca="false">H19*9.81*H30/1000000+H27-H39</f>
        <v>0.443901781622139</v>
      </c>
      <c r="I65" s="491" t="n">
        <f aca="false">I19*9.81*I30/1000000+I27-I39</f>
        <v>1.13429436147526</v>
      </c>
      <c r="J65" s="491" t="n">
        <f aca="false">J19*9.81*J30/1000000+J27-J39</f>
        <v>0.318046160061593</v>
      </c>
      <c r="K65" s="491" t="n">
        <f aca="false">K19*9.81*K30/1000000+K27-K39</f>
        <v>0.199836940856969</v>
      </c>
      <c r="L65" s="491" t="n">
        <f aca="false">L19*9.81*L30/1000000+L27-L39</f>
        <v>0.229251961227951</v>
      </c>
      <c r="M65" s="491" t="n">
        <f aca="false">M19*9.81*M30/1000000+M27-M39</f>
        <v>0.448656070676416</v>
      </c>
      <c r="N65" s="491" t="n">
        <f aca="false">N19*9.81*N30/1000000+N27-N39</f>
        <v>0.218519941666901</v>
      </c>
      <c r="O65" s="491" t="n">
        <f aca="false">O19*9.81*O30/1000000+O27-O39</f>
        <v>0.257914839910053</v>
      </c>
      <c r="P65" s="491" t="n">
        <f aca="false">P19*9.81*P30/1000000+P27-P39</f>
        <v>0.538805546516819</v>
      </c>
      <c r="Q65" s="491" t="n">
        <f aca="false">Q19*9.81*Q30/1000000+Q27-Q39</f>
        <v>0.1708390865</v>
      </c>
      <c r="R65" s="491" t="n">
        <f aca="false">R19*9.81*R30/1000000+R27-R39</f>
        <v>0.1651230905</v>
      </c>
      <c r="S65" s="491" t="n">
        <f aca="false">S19*9.81*S30/1000000+S27-S39</f>
        <v>0.107490985</v>
      </c>
      <c r="T65" s="491"/>
      <c r="U65" s="491"/>
      <c r="V65" s="491"/>
      <c r="W65" s="491"/>
      <c r="X65" s="491"/>
      <c r="Y65" s="491"/>
      <c r="Z65" s="491"/>
      <c r="AA65" s="491"/>
      <c r="AB65" s="491"/>
      <c r="AC65" s="491"/>
      <c r="AD65" s="491"/>
      <c r="AE65" s="491"/>
      <c r="AF65" s="491"/>
      <c r="AG65" s="491"/>
      <c r="AH65" s="491"/>
      <c r="AI65" s="491"/>
      <c r="AJ65" s="491"/>
      <c r="AK65" s="491"/>
      <c r="AL65" s="491"/>
      <c r="AM65" s="491"/>
      <c r="AN65" s="491"/>
      <c r="AO65" s="491"/>
      <c r="AP65" s="491"/>
      <c r="AQ65" s="491"/>
    </row>
    <row r="66" customFormat="false" ht="14.25" hidden="false" customHeight="false" outlineLevel="0" collapsed="false">
      <c r="A66" s="490" t="s">
        <v>870</v>
      </c>
      <c r="B66" s="491" t="n">
        <f aca="false">B26+0.1+B19*9.81*B30/1000000</f>
        <v>0.5546695604</v>
      </c>
      <c r="C66" s="491" t="n">
        <f aca="false">C26+0.1+C19*9.81*C30/1000000</f>
        <v>14.1192633088</v>
      </c>
      <c r="D66" s="491" t="n">
        <f aca="false">D26+0.1+D19*9.81*D30/1000000</f>
        <v>14.1090704836</v>
      </c>
      <c r="E66" s="491" t="n">
        <f aca="false">E26+0.1+E19*9.81*E30/1000000</f>
        <v>0.6280135341</v>
      </c>
      <c r="F66" s="491" t="n">
        <f aca="false">F26+0.1+F19*9.81*F30/1000000</f>
        <v>0.28924</v>
      </c>
      <c r="G66" s="491" t="n">
        <f aca="false">G26+0.1+G19*9.81*G30/1000000</f>
        <v>0.5389677725</v>
      </c>
      <c r="H66" s="491" t="n">
        <f aca="false">H26+0.1+H19*9.81*H30/1000000</f>
        <v>0.557778938</v>
      </c>
      <c r="I66" s="491" t="n">
        <f aca="false">I26+0.1+I19*9.81*I30/1000000</f>
        <v>1.2402467022</v>
      </c>
      <c r="J66" s="491" t="n">
        <f aca="false">J26+0.1+J19*9.81*J30/1000000</f>
        <v>0.437243665</v>
      </c>
      <c r="K66" s="491" t="n">
        <f aca="false">K26+0.1+K19*9.81*K30/1000000</f>
        <v>0.3455227164</v>
      </c>
      <c r="L66" s="491" t="n">
        <f aca="false">L26+0.1+L19*9.81*L30/1000000</f>
        <v>0.3748903248</v>
      </c>
      <c r="M66" s="491" t="n">
        <f aca="false">M26+0.1+M19*9.81*M30/1000000</f>
        <v>0.5662547</v>
      </c>
      <c r="N66" s="491" t="n">
        <f aca="false">N26+0.1+N19*9.81*N30/1000000</f>
        <v>0.232236641</v>
      </c>
      <c r="O66" s="491" t="n">
        <f aca="false">O26+0.1+O19*9.81*O30/1000000</f>
        <v>0.3654777472</v>
      </c>
      <c r="P66" s="491" t="n">
        <f aca="false">P26+0.1+P19*9.81*P30/1000000</f>
        <v>0.649531671</v>
      </c>
      <c r="Q66" s="491" t="n">
        <f aca="false">Q26+0.1+Q19*9.81*Q30/1000000</f>
        <v>0.2266193365</v>
      </c>
      <c r="R66" s="491" t="n">
        <f aca="false">R26+0.1+R19*9.81*R30/1000000</f>
        <v>0.2191970905</v>
      </c>
      <c r="S66" s="491" t="n">
        <f aca="false">S26+0.1+S19*9.81*S30/1000000</f>
        <v>0.148740985</v>
      </c>
      <c r="T66" s="491"/>
      <c r="U66" s="491"/>
      <c r="V66" s="491"/>
      <c r="W66" s="491"/>
      <c r="X66" s="491"/>
      <c r="Y66" s="491"/>
      <c r="Z66" s="491"/>
      <c r="AA66" s="491"/>
      <c r="AB66" s="491"/>
      <c r="AC66" s="491"/>
      <c r="AD66" s="491"/>
      <c r="AE66" s="491"/>
      <c r="AF66" s="491"/>
      <c r="AG66" s="491"/>
      <c r="AH66" s="491"/>
      <c r="AI66" s="491"/>
      <c r="AJ66" s="491"/>
      <c r="AK66" s="491"/>
      <c r="AL66" s="491"/>
      <c r="AM66" s="491"/>
      <c r="AN66" s="491"/>
      <c r="AO66" s="491"/>
      <c r="AP66" s="491"/>
      <c r="AQ66" s="491"/>
    </row>
    <row r="67" customFormat="false" ht="14.25" hidden="false" customHeight="false" outlineLevel="0" collapsed="false">
      <c r="A67" s="490" t="s">
        <v>871</v>
      </c>
      <c r="B67" s="491" t="n">
        <f aca="false">B19*9.81*B63/1000000+B65</f>
        <v>16.5499243974994</v>
      </c>
      <c r="C67" s="491" t="n">
        <f aca="false">C28+C57+C31*9.81*C19/1000000</f>
        <v>3.81461698996788</v>
      </c>
      <c r="D67" s="491" t="n">
        <f aca="false">D19*9.81*D63/1000000+D65</f>
        <v>14.5724391486559</v>
      </c>
      <c r="E67" s="491" t="n">
        <f aca="false">E19*9.81*E63/1000000+E65</f>
        <v>3.43206974163501</v>
      </c>
      <c r="F67" s="491" t="n">
        <f aca="false">F19*9.81*F63/1000000+F65</f>
        <v>1.37584</v>
      </c>
      <c r="G67" s="491" t="n">
        <f aca="false">G19*9.81*G63/1000000+G65</f>
        <v>16.3551046925</v>
      </c>
      <c r="H67" s="491" t="n">
        <f aca="false">H19*9.81*H63/1000000+H65</f>
        <v>1.05889545363779</v>
      </c>
      <c r="I67" s="491" t="n">
        <f aca="false">I19*9.81*I63/1000000+I65</f>
        <v>1.61685031990319</v>
      </c>
      <c r="J67" s="491" t="n">
        <f aca="false">J19*9.81*J63/1000000+J65</f>
        <v>0.974510699719506</v>
      </c>
      <c r="K67" s="491" t="n">
        <f aca="false">K19*9.81*K63/1000000+K65</f>
        <v>1.47445071139536</v>
      </c>
      <c r="L67" s="491" t="n">
        <f aca="false">L19*9.81*L63/1000000+L65</f>
        <v>1.30354141434119</v>
      </c>
      <c r="M67" s="491" t="n">
        <f aca="false">M19*9.81*M63/1000000+M65</f>
        <v>0.848118630590034</v>
      </c>
      <c r="N67" s="491" t="n">
        <f aca="false">N19*9.81*N63/1000000+N65</f>
        <v>1.64872876000586</v>
      </c>
      <c r="O67" s="491" t="n">
        <f aca="false">O19*9.81*O63/1000000+O65</f>
        <v>1.84373556630764</v>
      </c>
      <c r="P67" s="491" t="n">
        <f aca="false">P19*9.81*P63/1000000+P65</f>
        <v>3.49078242948933</v>
      </c>
      <c r="Q67" s="491" t="n">
        <f aca="false">Q19*9.81*Q63/1000000+Q65</f>
        <v>0.9465868615</v>
      </c>
      <c r="R67" s="491" t="n">
        <f aca="false">R19*9.81*R63/1000000+R65</f>
        <v>0.9667359905</v>
      </c>
      <c r="S67" s="491" t="n">
        <f aca="false">S19*9.81*S63/1000000+S65</f>
        <v>0.438588785</v>
      </c>
      <c r="T67" s="491"/>
      <c r="U67" s="491"/>
      <c r="V67" s="491"/>
      <c r="W67" s="491"/>
      <c r="X67" s="491"/>
      <c r="Y67" s="491"/>
      <c r="Z67" s="491"/>
      <c r="AA67" s="491"/>
      <c r="AB67" s="491"/>
      <c r="AC67" s="491"/>
      <c r="AD67" s="491"/>
      <c r="AE67" s="491"/>
      <c r="AF67" s="491"/>
      <c r="AG67" s="491"/>
      <c r="AH67" s="491"/>
      <c r="AI67" s="491"/>
      <c r="AJ67" s="491"/>
      <c r="AK67" s="491"/>
      <c r="AL67" s="491"/>
      <c r="AM67" s="491"/>
      <c r="AN67" s="491"/>
      <c r="AO67" s="491"/>
      <c r="AP67" s="491"/>
      <c r="AQ67" s="491"/>
    </row>
    <row r="68" customFormat="false" ht="32.25" hidden="false" customHeight="true" outlineLevel="0" collapsed="false">
      <c r="A68" s="456" t="s">
        <v>872</v>
      </c>
      <c r="B68" s="492"/>
      <c r="C68" s="492"/>
      <c r="D68" s="492"/>
      <c r="E68" s="492" t="s">
        <v>873</v>
      </c>
      <c r="F68" s="492" t="s">
        <v>874</v>
      </c>
      <c r="G68" s="492"/>
      <c r="H68" s="492" t="s">
        <v>875</v>
      </c>
      <c r="I68" s="492" t="s">
        <v>876</v>
      </c>
      <c r="J68" s="492" t="s">
        <v>877</v>
      </c>
      <c r="K68" s="492" t="s">
        <v>878</v>
      </c>
      <c r="L68" s="492" t="s">
        <v>879</v>
      </c>
      <c r="M68" s="492" t="s">
        <v>880</v>
      </c>
      <c r="N68" s="492" t="s">
        <v>881</v>
      </c>
      <c r="O68" s="492" t="s">
        <v>882</v>
      </c>
      <c r="P68" s="492" t="s">
        <v>883</v>
      </c>
      <c r="Q68" s="492" t="s">
        <v>884</v>
      </c>
      <c r="R68" s="492" t="s">
        <v>885</v>
      </c>
      <c r="S68" s="492" t="s">
        <v>886</v>
      </c>
      <c r="T68" s="492"/>
      <c r="U68" s="492"/>
      <c r="V68" s="492"/>
      <c r="W68" s="492"/>
      <c r="X68" s="492"/>
      <c r="Y68" s="492"/>
      <c r="Z68" s="492"/>
      <c r="AA68" s="492"/>
      <c r="AB68" s="492"/>
      <c r="AC68" s="492"/>
      <c r="AD68" s="492"/>
      <c r="AE68" s="492"/>
      <c r="AF68" s="492"/>
      <c r="AG68" s="492"/>
      <c r="AH68" s="492"/>
      <c r="AI68" s="492"/>
      <c r="AJ68" s="492"/>
      <c r="AK68" s="492"/>
      <c r="AL68" s="492"/>
      <c r="AM68" s="492"/>
      <c r="AN68" s="492"/>
      <c r="AO68" s="492"/>
      <c r="AP68" s="492"/>
      <c r="AQ68" s="492"/>
    </row>
    <row r="69" s="380" customFormat="true" ht="15" hidden="false" customHeight="false" outlineLevel="0" collapsed="false">
      <c r="A69" s="456" t="s">
        <v>887</v>
      </c>
    </row>
    <row r="70" s="496" customFormat="true" ht="14.25" hidden="false" customHeight="false" outlineLevel="0" collapsed="false">
      <c r="A70" s="493" t="s">
        <v>888</v>
      </c>
      <c r="B70" s="494" t="n">
        <v>2200</v>
      </c>
      <c r="C70" s="494"/>
      <c r="D70" s="494" t="n">
        <v>130</v>
      </c>
      <c r="E70" s="494" t="n">
        <v>368</v>
      </c>
      <c r="F70" s="494" t="n">
        <v>148</v>
      </c>
      <c r="G70" s="494" t="n">
        <v>90</v>
      </c>
      <c r="H70" s="494" t="n">
        <v>90</v>
      </c>
      <c r="I70" s="494" t="n">
        <v>92</v>
      </c>
      <c r="J70" s="494" t="n">
        <v>145</v>
      </c>
      <c r="K70" s="494" t="n">
        <v>233</v>
      </c>
      <c r="L70" s="494" t="n">
        <v>136</v>
      </c>
      <c r="M70" s="494" t="n">
        <v>80</v>
      </c>
      <c r="N70" s="494" t="n">
        <v>238</v>
      </c>
      <c r="O70" s="494" t="n">
        <v>306</v>
      </c>
      <c r="P70" s="494" t="n">
        <v>364</v>
      </c>
      <c r="Q70" s="494" t="n">
        <v>137</v>
      </c>
      <c r="R70" s="494" t="n">
        <v>96</v>
      </c>
      <c r="S70" s="494" t="n">
        <v>59</v>
      </c>
      <c r="T70" s="494"/>
      <c r="U70" s="495"/>
      <c r="V70" s="495"/>
      <c r="W70" s="494"/>
      <c r="X70" s="494"/>
      <c r="Y70" s="494"/>
      <c r="Z70" s="494"/>
      <c r="AA70" s="494"/>
      <c r="AB70" s="494"/>
      <c r="AC70" s="494"/>
      <c r="AD70" s="494"/>
      <c r="AE70" s="494"/>
      <c r="AF70" s="494"/>
      <c r="AG70" s="494"/>
      <c r="AH70" s="494"/>
      <c r="AI70" s="494"/>
      <c r="AJ70" s="494"/>
      <c r="AK70" s="494"/>
      <c r="AL70" s="494"/>
      <c r="AM70" s="494"/>
      <c r="AN70" s="494"/>
      <c r="AO70" s="494"/>
      <c r="AP70" s="494"/>
      <c r="AQ70" s="494"/>
    </row>
    <row r="71" s="496" customFormat="true" ht="14.25" hidden="false" customHeight="false" outlineLevel="0" collapsed="false">
      <c r="A71" s="493" t="s">
        <v>889</v>
      </c>
      <c r="B71" s="494" t="n">
        <v>2100</v>
      </c>
      <c r="C71" s="494" t="n">
        <v>2000</v>
      </c>
      <c r="D71" s="494" t="n">
        <v>120</v>
      </c>
      <c r="E71" s="494" t="n">
        <v>336</v>
      </c>
      <c r="F71" s="494" t="n">
        <v>130</v>
      </c>
      <c r="G71" s="494" t="n">
        <v>78</v>
      </c>
      <c r="H71" s="494" t="n">
        <v>78</v>
      </c>
      <c r="I71" s="494" t="n">
        <v>90</v>
      </c>
      <c r="J71" s="494" t="n">
        <v>131</v>
      </c>
      <c r="K71" s="494" t="n">
        <v>210</v>
      </c>
      <c r="L71" s="494" t="n">
        <v>116</v>
      </c>
      <c r="M71" s="494" t="n">
        <v>73</v>
      </c>
      <c r="N71" s="494" t="n">
        <v>225</v>
      </c>
      <c r="O71" s="494" t="n">
        <v>263</v>
      </c>
      <c r="P71" s="494" t="n">
        <v>328</v>
      </c>
      <c r="Q71" s="494" t="n">
        <v>127</v>
      </c>
      <c r="R71" s="494" t="n">
        <v>88</v>
      </c>
      <c r="S71" s="494" t="n">
        <v>48</v>
      </c>
      <c r="T71" s="494"/>
      <c r="U71" s="452"/>
      <c r="V71" s="452"/>
      <c r="W71" s="452"/>
      <c r="X71" s="494"/>
      <c r="Y71" s="494"/>
      <c r="Z71" s="494"/>
      <c r="AA71" s="494"/>
      <c r="AB71" s="494"/>
      <c r="AC71" s="494"/>
      <c r="AD71" s="494"/>
      <c r="AE71" s="494"/>
      <c r="AF71" s="494"/>
      <c r="AG71" s="494"/>
      <c r="AH71" s="494"/>
      <c r="AI71" s="494"/>
      <c r="AJ71" s="494"/>
      <c r="AK71" s="494"/>
      <c r="AL71" s="494"/>
      <c r="AM71" s="494"/>
      <c r="AN71" s="494"/>
      <c r="AO71" s="494"/>
      <c r="AP71" s="494"/>
      <c r="AQ71" s="494"/>
    </row>
    <row r="72" s="496" customFormat="true" ht="14.25" hidden="false" customHeight="false" outlineLevel="0" collapsed="false">
      <c r="A72" s="493" t="s">
        <v>890</v>
      </c>
      <c r="B72" s="494"/>
      <c r="C72" s="494"/>
      <c r="D72" s="494"/>
      <c r="E72" s="494" t="n">
        <v>360</v>
      </c>
      <c r="F72" s="494" t="n">
        <v>145</v>
      </c>
      <c r="G72" s="494" t="n">
        <v>86</v>
      </c>
      <c r="H72" s="494" t="n">
        <v>86</v>
      </c>
      <c r="I72" s="494" t="n">
        <v>92</v>
      </c>
      <c r="J72" s="494" t="n">
        <v>140</v>
      </c>
      <c r="K72" s="494" t="n">
        <v>230</v>
      </c>
      <c r="L72" s="494" t="n">
        <v>134</v>
      </c>
      <c r="M72" s="494" t="n">
        <v>76</v>
      </c>
      <c r="N72" s="494" t="n">
        <v>234</v>
      </c>
      <c r="O72" s="494" t="n">
        <v>302</v>
      </c>
      <c r="P72" s="494" t="n">
        <v>372</v>
      </c>
      <c r="Q72" s="494" t="n">
        <v>134</v>
      </c>
      <c r="R72" s="494" t="n">
        <v>93</v>
      </c>
      <c r="S72" s="494" t="n">
        <v>58</v>
      </c>
      <c r="T72" s="494"/>
      <c r="U72" s="494"/>
      <c r="V72" s="494"/>
      <c r="W72" s="494"/>
      <c r="X72" s="494"/>
      <c r="Y72" s="494"/>
      <c r="Z72" s="494"/>
      <c r="AA72" s="494"/>
      <c r="AB72" s="494"/>
      <c r="AC72" s="494"/>
      <c r="AD72" s="494"/>
      <c r="AE72" s="494"/>
      <c r="AF72" s="494"/>
      <c r="AG72" s="494"/>
      <c r="AH72" s="494"/>
      <c r="AI72" s="494"/>
      <c r="AJ72" s="494"/>
      <c r="AK72" s="494"/>
      <c r="AL72" s="494"/>
      <c r="AM72" s="494"/>
      <c r="AN72" s="494"/>
      <c r="AO72" s="494"/>
      <c r="AP72" s="494"/>
      <c r="AQ72" s="494"/>
    </row>
    <row r="73" s="496" customFormat="true" ht="14.25" hidden="false" customHeight="false" outlineLevel="0" collapsed="false">
      <c r="A73" s="493" t="s">
        <v>891</v>
      </c>
      <c r="B73" s="494" t="n">
        <v>2100</v>
      </c>
      <c r="C73" s="494"/>
      <c r="D73" s="494"/>
      <c r="E73" s="494" t="n">
        <v>316</v>
      </c>
      <c r="F73" s="494" t="n">
        <v>125</v>
      </c>
      <c r="G73" s="494" t="n">
        <v>75</v>
      </c>
      <c r="H73" s="494" t="n">
        <v>75</v>
      </c>
      <c r="I73" s="494" t="n">
        <v>88</v>
      </c>
      <c r="J73" s="494" t="n">
        <v>128</v>
      </c>
      <c r="K73" s="494" t="n">
        <v>197</v>
      </c>
      <c r="L73" s="494" t="n">
        <v>106</v>
      </c>
      <c r="M73" s="494" t="n">
        <v>70</v>
      </c>
      <c r="N73" s="494" t="n">
        <v>221</v>
      </c>
      <c r="O73" s="494" t="n">
        <v>250</v>
      </c>
      <c r="P73" s="494" t="n">
        <v>312</v>
      </c>
      <c r="Q73" s="494" t="n">
        <v>125</v>
      </c>
      <c r="R73" s="494" t="n">
        <v>87</v>
      </c>
      <c r="S73" s="494" t="n">
        <v>45</v>
      </c>
      <c r="T73" s="494"/>
      <c r="U73" s="452"/>
      <c r="V73" s="452"/>
      <c r="W73" s="452"/>
      <c r="X73" s="494"/>
      <c r="Y73" s="494"/>
      <c r="Z73" s="494"/>
      <c r="AA73" s="494"/>
      <c r="AB73" s="494"/>
      <c r="AC73" s="494"/>
      <c r="AD73" s="494"/>
      <c r="AE73" s="494"/>
      <c r="AF73" s="494"/>
      <c r="AG73" s="494"/>
      <c r="AH73" s="494"/>
      <c r="AI73" s="494"/>
      <c r="AJ73" s="494"/>
      <c r="AK73" s="494"/>
      <c r="AL73" s="494"/>
      <c r="AM73" s="494"/>
      <c r="AN73" s="494"/>
      <c r="AO73" s="494"/>
      <c r="AP73" s="494"/>
      <c r="AQ73" s="494"/>
    </row>
    <row r="74" customFormat="false" ht="14.25" hidden="false" customHeight="false" outlineLevel="0" collapsed="false">
      <c r="A74" s="462" t="s">
        <v>892</v>
      </c>
      <c r="B74" s="452" t="n">
        <v>0.8</v>
      </c>
      <c r="C74" s="452" t="n">
        <v>0.8</v>
      </c>
      <c r="D74" s="452" t="n">
        <v>0.6</v>
      </c>
      <c r="E74" s="452" t="n">
        <v>0.49</v>
      </c>
      <c r="F74" s="452" t="n">
        <v>0.4</v>
      </c>
      <c r="G74" s="452" t="n">
        <v>0.77</v>
      </c>
      <c r="H74" s="452" t="n">
        <v>0.77</v>
      </c>
      <c r="I74" s="452" t="n">
        <v>0.45</v>
      </c>
      <c r="J74" s="452" t="n">
        <v>0.75</v>
      </c>
      <c r="K74" s="452" t="n">
        <v>0.48</v>
      </c>
      <c r="L74" s="452" t="n">
        <v>0.39</v>
      </c>
      <c r="M74" s="452" t="n">
        <v>0.66</v>
      </c>
      <c r="N74" s="452" t="n">
        <v>0.34</v>
      </c>
      <c r="O74" s="452" t="n">
        <v>0.73</v>
      </c>
      <c r="P74" s="452" t="n">
        <v>0.73</v>
      </c>
      <c r="Q74" s="452" t="n">
        <v>0.33</v>
      </c>
      <c r="R74" s="452" t="n">
        <v>0.36</v>
      </c>
      <c r="S74" s="452" t="n">
        <v>0.5</v>
      </c>
      <c r="T74" s="452"/>
      <c r="U74" s="452"/>
      <c r="V74" s="452"/>
      <c r="W74" s="452"/>
      <c r="X74" s="452"/>
      <c r="Y74" s="452"/>
      <c r="Z74" s="452"/>
      <c r="AA74" s="452"/>
      <c r="AB74" s="452"/>
      <c r="AC74" s="452"/>
      <c r="AD74" s="452"/>
      <c r="AE74" s="452"/>
      <c r="AF74" s="452"/>
      <c r="AG74" s="452"/>
      <c r="AH74" s="452"/>
      <c r="AI74" s="452"/>
      <c r="AJ74" s="452"/>
      <c r="AK74" s="452"/>
      <c r="AL74" s="452"/>
      <c r="AM74" s="452"/>
      <c r="AN74" s="452"/>
      <c r="AO74" s="452"/>
      <c r="AP74" s="452"/>
      <c r="AQ74" s="452"/>
    </row>
    <row r="75" customFormat="false" ht="14.25" hidden="false" customHeight="false" outlineLevel="0" collapsed="false">
      <c r="A75" s="462" t="s">
        <v>893</v>
      </c>
      <c r="B75" s="452" t="n">
        <v>0.6</v>
      </c>
      <c r="C75" s="452"/>
      <c r="D75" s="452"/>
      <c r="E75" s="452" t="n">
        <v>0.39</v>
      </c>
      <c r="F75" s="452" t="n">
        <v>0.33</v>
      </c>
      <c r="G75" s="452" t="n">
        <v>0.6</v>
      </c>
      <c r="H75" s="452" t="n">
        <v>0.6</v>
      </c>
      <c r="I75" s="452" t="n">
        <v>0.31</v>
      </c>
      <c r="J75" s="452" t="n">
        <v>0.55</v>
      </c>
      <c r="K75" s="452" t="n">
        <v>0.37</v>
      </c>
      <c r="L75" s="452" t="n">
        <v>0.3</v>
      </c>
      <c r="M75" s="452" t="n">
        <v>0.5</v>
      </c>
      <c r="N75" s="452" t="n">
        <v>0.25</v>
      </c>
      <c r="O75" s="452" t="n">
        <v>0.57</v>
      </c>
      <c r="P75" s="452" t="n">
        <v>0.63</v>
      </c>
      <c r="Q75" s="452" t="n">
        <v>0.22</v>
      </c>
      <c r="R75" s="452" t="n">
        <v>0.23</v>
      </c>
      <c r="S75" s="452" t="n">
        <v>0.43</v>
      </c>
      <c r="T75" s="452"/>
      <c r="U75" s="452"/>
      <c r="V75" s="452"/>
      <c r="W75" s="452"/>
      <c r="X75" s="452"/>
      <c r="Y75" s="452"/>
      <c r="Z75" s="452"/>
      <c r="AA75" s="452"/>
      <c r="AB75" s="452"/>
      <c r="AC75" s="452"/>
      <c r="AD75" s="452"/>
      <c r="AE75" s="452"/>
      <c r="AF75" s="452"/>
      <c r="AG75" s="452"/>
      <c r="AH75" s="452"/>
      <c r="AI75" s="452"/>
      <c r="AJ75" s="452"/>
      <c r="AK75" s="452"/>
      <c r="AL75" s="452"/>
      <c r="AM75" s="452"/>
      <c r="AN75" s="452"/>
      <c r="AO75" s="452"/>
      <c r="AP75" s="452"/>
      <c r="AQ75" s="452"/>
    </row>
    <row r="76" customFormat="false" ht="14.25" hidden="false" customHeight="false" outlineLevel="0" collapsed="false">
      <c r="A76" s="462" t="s">
        <v>894</v>
      </c>
      <c r="B76" s="452" t="n">
        <v>0.6</v>
      </c>
      <c r="C76" s="452"/>
      <c r="D76" s="452"/>
      <c r="E76" s="452" t="n">
        <v>0.35</v>
      </c>
      <c r="F76" s="452" t="n">
        <v>0.27</v>
      </c>
      <c r="G76" s="452" t="n">
        <v>0.53</v>
      </c>
      <c r="H76" s="452" t="n">
        <v>0.53</v>
      </c>
      <c r="I76" s="452" t="n">
        <v>0.26</v>
      </c>
      <c r="J76" s="452" t="n">
        <v>0.5</v>
      </c>
      <c r="K76" s="452" t="n">
        <v>0.33</v>
      </c>
      <c r="L76" s="452" t="n">
        <v>0.26</v>
      </c>
      <c r="M76" s="452" t="n">
        <v>0.4</v>
      </c>
      <c r="N76" s="452" t="n">
        <v>0.2</v>
      </c>
      <c r="O76" s="452" t="n">
        <v>0.45</v>
      </c>
      <c r="P76" s="452" t="n">
        <v>0.5</v>
      </c>
      <c r="Q76" s="452" t="n">
        <v>0.15</v>
      </c>
      <c r="R76" s="452" t="n">
        <v>0.16</v>
      </c>
      <c r="S76" s="452" t="n">
        <v>0.37</v>
      </c>
      <c r="T76" s="452"/>
      <c r="U76" s="452"/>
      <c r="V76" s="452"/>
      <c r="W76" s="452"/>
      <c r="X76" s="452"/>
      <c r="Y76" s="452"/>
      <c r="Z76" s="452"/>
      <c r="AA76" s="452"/>
      <c r="AB76" s="452"/>
      <c r="AC76" s="452"/>
      <c r="AD76" s="452"/>
      <c r="AE76" s="452"/>
      <c r="AF76" s="452"/>
      <c r="AG76" s="452"/>
      <c r="AH76" s="452"/>
      <c r="AI76" s="452"/>
      <c r="AJ76" s="452"/>
      <c r="AK76" s="452"/>
      <c r="AL76" s="452"/>
      <c r="AM76" s="452"/>
      <c r="AN76" s="452"/>
      <c r="AO76" s="452"/>
      <c r="AP76" s="452"/>
      <c r="AQ76" s="452"/>
    </row>
    <row r="77" customFormat="false" ht="14.25" hidden="false" customHeight="false" outlineLevel="0" collapsed="false">
      <c r="A77" s="462" t="s">
        <v>895</v>
      </c>
      <c r="B77" s="452" t="n">
        <v>0.6</v>
      </c>
      <c r="C77" s="452"/>
      <c r="D77" s="452"/>
      <c r="E77" s="452" t="n">
        <v>0.53</v>
      </c>
      <c r="F77" s="452" t="n">
        <v>0.42</v>
      </c>
      <c r="G77" s="452" t="n">
        <v>0.8</v>
      </c>
      <c r="H77" s="452" t="n">
        <v>0.8</v>
      </c>
      <c r="I77" s="452" t="n">
        <v>0.48</v>
      </c>
      <c r="J77" s="452" t="n">
        <v>0.78</v>
      </c>
      <c r="K77" s="452" t="n">
        <v>0.5</v>
      </c>
      <c r="L77" s="452" t="n">
        <v>0.41</v>
      </c>
      <c r="M77" s="452" t="n">
        <v>0.73</v>
      </c>
      <c r="N77" s="452" t="n">
        <v>0.37</v>
      </c>
      <c r="O77" s="452" t="n">
        <v>0.75</v>
      </c>
      <c r="P77" s="452" t="n">
        <v>0.76</v>
      </c>
      <c r="Q77" s="452" t="n">
        <v>0.32</v>
      </c>
      <c r="R77" s="452" t="n">
        <v>0.4</v>
      </c>
      <c r="S77" s="452" t="n">
        <v>0.51</v>
      </c>
      <c r="T77" s="452"/>
      <c r="U77" s="452"/>
      <c r="V77" s="452"/>
      <c r="W77" s="452"/>
      <c r="X77" s="452"/>
      <c r="Y77" s="452"/>
      <c r="Z77" s="452"/>
      <c r="AA77" s="452"/>
      <c r="AB77" s="452"/>
      <c r="AC77" s="452"/>
      <c r="AD77" s="452"/>
      <c r="AE77" s="452"/>
      <c r="AF77" s="452"/>
      <c r="AG77" s="452"/>
      <c r="AH77" s="452"/>
      <c r="AI77" s="452"/>
      <c r="AJ77" s="452"/>
      <c r="AK77" s="452"/>
      <c r="AL77" s="452"/>
      <c r="AM77" s="452"/>
      <c r="AN77" s="452"/>
      <c r="AO77" s="452"/>
      <c r="AP77" s="452"/>
      <c r="AQ77" s="452"/>
    </row>
    <row r="78" customFormat="false" ht="14.25" hidden="false" customHeight="false" outlineLevel="0" collapsed="false">
      <c r="A78" s="462" t="s">
        <v>896</v>
      </c>
      <c r="B78" s="494" t="n">
        <v>2</v>
      </c>
      <c r="C78" s="494" t="n">
        <v>2</v>
      </c>
      <c r="D78" s="494" t="n">
        <v>2</v>
      </c>
      <c r="E78" s="494" t="n">
        <v>1.25</v>
      </c>
      <c r="F78" s="494" t="n">
        <v>3.5</v>
      </c>
      <c r="G78" s="494" t="n">
        <v>4.8</v>
      </c>
      <c r="H78" s="494" t="n">
        <v>4.8</v>
      </c>
      <c r="I78" s="494" t="n">
        <v>2.5</v>
      </c>
      <c r="J78" s="494" t="n">
        <v>6</v>
      </c>
      <c r="K78" s="494" t="n">
        <v>3</v>
      </c>
      <c r="L78" s="494" t="n">
        <v>3.6</v>
      </c>
      <c r="M78" s="494" t="n">
        <v>4</v>
      </c>
      <c r="N78" s="494" t="n">
        <v>1.25</v>
      </c>
      <c r="O78" s="494" t="n">
        <v>3.2</v>
      </c>
      <c r="P78" s="494" t="n">
        <v>4</v>
      </c>
      <c r="Q78" s="494"/>
      <c r="R78" s="494"/>
      <c r="S78" s="494" t="n">
        <v>2.5</v>
      </c>
      <c r="T78" s="494"/>
      <c r="U78" s="494"/>
      <c r="V78" s="494"/>
      <c r="W78" s="494"/>
      <c r="X78" s="494"/>
      <c r="Y78" s="494"/>
      <c r="Z78" s="494"/>
      <c r="AA78" s="494"/>
      <c r="AB78" s="494"/>
      <c r="AC78" s="494"/>
      <c r="AD78" s="494"/>
      <c r="AE78" s="494"/>
      <c r="AF78" s="494"/>
      <c r="AG78" s="494"/>
      <c r="AH78" s="494"/>
      <c r="AI78" s="494"/>
      <c r="AJ78" s="494"/>
      <c r="AK78" s="494"/>
      <c r="AL78" s="494"/>
      <c r="AM78" s="494"/>
      <c r="AN78" s="494"/>
      <c r="AO78" s="494"/>
      <c r="AP78" s="494"/>
      <c r="AQ78" s="494"/>
    </row>
    <row r="79" customFormat="false" ht="14.25" hidden="false" customHeight="false" outlineLevel="0" collapsed="false">
      <c r="A79" s="456" t="s">
        <v>897</v>
      </c>
      <c r="B79" s="497" t="n">
        <f aca="false">B78*B25</f>
        <v>2</v>
      </c>
      <c r="C79" s="497" t="n">
        <f aca="false">C78*C25</f>
        <v>2</v>
      </c>
      <c r="D79" s="497" t="n">
        <f aca="false">D78*D25</f>
        <v>2</v>
      </c>
      <c r="E79" s="497" t="n">
        <f aca="false">E78*E25</f>
        <v>1.25</v>
      </c>
      <c r="F79" s="497" t="n">
        <f aca="false">F78*F25</f>
        <v>3.5</v>
      </c>
      <c r="G79" s="497" t="n">
        <f aca="false">G78*G25</f>
        <v>4.8</v>
      </c>
      <c r="H79" s="497" t="n">
        <f aca="false">H78*H25</f>
        <v>4.8</v>
      </c>
      <c r="I79" s="497" t="n">
        <f aca="false">I78*I25</f>
        <v>2.5</v>
      </c>
      <c r="J79" s="497" t="n">
        <f aca="false">J78*J25</f>
        <v>6</v>
      </c>
      <c r="K79" s="497" t="n">
        <f aca="false">K78*K25</f>
        <v>3</v>
      </c>
      <c r="L79" s="497" t="n">
        <f aca="false">L78*L25</f>
        <v>3.6</v>
      </c>
      <c r="M79" s="497" t="n">
        <f aca="false">M78*M25</f>
        <v>4</v>
      </c>
      <c r="N79" s="497" t="n">
        <f aca="false">N78*N25</f>
        <v>1.25</v>
      </c>
      <c r="O79" s="497" t="n">
        <f aca="false">O78*O25</f>
        <v>3.2</v>
      </c>
      <c r="P79" s="497" t="n">
        <f aca="false">P78*P25</f>
        <v>4</v>
      </c>
      <c r="Q79" s="497" t="n">
        <f aca="false">Q78*Q25</f>
        <v>0</v>
      </c>
      <c r="R79" s="497" t="n">
        <f aca="false">R78*R25</f>
        <v>0</v>
      </c>
      <c r="S79" s="497" t="n">
        <f aca="false">S78*S25</f>
        <v>2.5</v>
      </c>
      <c r="T79" s="497"/>
      <c r="U79" s="497"/>
      <c r="V79" s="497"/>
      <c r="W79" s="497"/>
      <c r="X79" s="497"/>
      <c r="Y79" s="497"/>
      <c r="Z79" s="497"/>
      <c r="AA79" s="497"/>
      <c r="AB79" s="497"/>
      <c r="AC79" s="497"/>
      <c r="AD79" s="497"/>
      <c r="AE79" s="497"/>
      <c r="AF79" s="497"/>
      <c r="AG79" s="497"/>
      <c r="AH79" s="497"/>
      <c r="AI79" s="497"/>
      <c r="AJ79" s="497"/>
      <c r="AK79" s="497"/>
      <c r="AL79" s="497"/>
      <c r="AM79" s="497"/>
      <c r="AN79" s="497"/>
      <c r="AO79" s="497"/>
      <c r="AP79" s="497"/>
      <c r="AQ79" s="497"/>
    </row>
    <row r="80" customFormat="false" ht="14.25" hidden="false" customHeight="false" outlineLevel="0" collapsed="false">
      <c r="A80" s="456" t="s">
        <v>898</v>
      </c>
      <c r="B80" s="497" t="n">
        <f aca="false">B30+(B27-B20-B39)*1000000/B19/9.81</f>
        <v>5.08348326132073</v>
      </c>
      <c r="C80" s="497" t="n">
        <f aca="false">C30+(C27-C20-C39)*1000000/C19/9.81</f>
        <v>6.43858912461518</v>
      </c>
      <c r="D80" s="497" t="n">
        <f aca="false">D30+(D27-D20-D39)*1000000/D19/9.81</f>
        <v>17.1451810778254</v>
      </c>
      <c r="E80" s="497" t="n">
        <f aca="false">E30+(E27-E20-E39)*1000000/E19/9.81</f>
        <v>34.2092039277639</v>
      </c>
      <c r="F80" s="497" t="n">
        <f aca="false">F30+(F27-F20-F39)*1000000/F19/9.81</f>
        <v>8.82262996941896</v>
      </c>
      <c r="G80" s="497" t="n">
        <f aca="false">G30+(G27-G20-G39)*1000000/G19/9.81</f>
        <v>2.43377684726526</v>
      </c>
      <c r="H80" s="497" t="n">
        <f aca="false">H30+(H27-H20-H39)*1000000/H19/9.81</f>
        <v>29.5490455597327</v>
      </c>
      <c r="I80" s="497" t="n">
        <f aca="false">I30+(I27-I20-I39)*1000000/I19/9.81</f>
        <v>5.11262184486635</v>
      </c>
      <c r="J80" s="497" t="n">
        <f aca="false">J30+(J27-J20-J39)*1000000/J19/9.81</f>
        <v>-13.202863886528</v>
      </c>
      <c r="K80" s="497" t="n">
        <f aca="false">K30+(K27-K20-K39)*1000000/K19/9.81</f>
        <v>6.1257018045343</v>
      </c>
      <c r="L80" s="497" t="n">
        <f aca="false">L30+(L27-L20-L39)*1000000/L19/9.81</f>
        <v>7.39769377824368</v>
      </c>
      <c r="M80" s="497" t="n">
        <f aca="false">M30+(M27-M20-M39)*1000000/M19/9.81</f>
        <v>17.2122021083439</v>
      </c>
      <c r="N80" s="497" t="n">
        <f aca="false">N30+(N27-N20-N39)*1000000/N19/9.81</f>
        <v>4.42352875209621</v>
      </c>
      <c r="O80" s="497" t="n">
        <f aca="false">O30+(O27-O20-O39)*1000000/O19/9.81</f>
        <v>2.81262542868049</v>
      </c>
      <c r="P80" s="497" t="n">
        <f aca="false">P30+(P27-P20-P39)*1000000/P19/9.81</f>
        <v>3.91724584829963</v>
      </c>
      <c r="Q80" s="497" t="n">
        <f aca="false">Q30+(Q27-Q20-Q39)*1000000/Q19/9.81</f>
        <v>-3.74167056892975</v>
      </c>
      <c r="R80" s="497" t="n">
        <f aca="false">R30+(R27-R20-R39)*1000000/R19/9.81</f>
        <v>-3.39678070021275</v>
      </c>
      <c r="S80" s="497" t="n">
        <f aca="false">S30+(S27-S20-S39)*1000000/S19/9.81</f>
        <v>0.768448257662418</v>
      </c>
      <c r="T80" s="497"/>
      <c r="U80" s="497"/>
      <c r="V80" s="497"/>
      <c r="W80" s="497"/>
      <c r="X80" s="497"/>
      <c r="Y80" s="497"/>
      <c r="Z80" s="497"/>
      <c r="AA80" s="497"/>
      <c r="AB80" s="497"/>
      <c r="AC80" s="497"/>
      <c r="AD80" s="497"/>
      <c r="AE80" s="497"/>
      <c r="AF80" s="497"/>
      <c r="AG80" s="497"/>
      <c r="AH80" s="497"/>
      <c r="AI80" s="497"/>
      <c r="AJ80" s="497"/>
      <c r="AK80" s="497"/>
      <c r="AL80" s="497"/>
      <c r="AM80" s="497"/>
      <c r="AN80" s="497"/>
      <c r="AO80" s="497"/>
      <c r="AP80" s="497"/>
      <c r="AQ80" s="497"/>
    </row>
    <row r="81" customFormat="false" ht="15" hidden="false" customHeight="true" outlineLevel="0" collapsed="false">
      <c r="A81" s="466" t="s">
        <v>899</v>
      </c>
      <c r="B81" s="498" t="n">
        <f aca="false">B80-B82</f>
        <v>3.08348326132073</v>
      </c>
      <c r="C81" s="498" t="n">
        <f aca="false">C80-C82</f>
        <v>4.43858912461518</v>
      </c>
      <c r="D81" s="498" t="n">
        <f aca="false">D80-D82</f>
        <v>15.1451810778254</v>
      </c>
      <c r="E81" s="498" t="n">
        <f aca="false">E80-E82</f>
        <v>32.2092039277639</v>
      </c>
      <c r="F81" s="498" t="n">
        <f aca="false">F80-F82</f>
        <v>6.82262996941896</v>
      </c>
      <c r="G81" s="498" t="n">
        <f aca="false">G80-G82</f>
        <v>0.433776847265263</v>
      </c>
      <c r="H81" s="498" t="n">
        <f aca="false">H80-H82</f>
        <v>27.5490455597327</v>
      </c>
      <c r="I81" s="498" t="n">
        <f aca="false">I80-I82</f>
        <v>3.11262184486635</v>
      </c>
      <c r="J81" s="498" t="n">
        <f aca="false">J80-J82</f>
        <v>-15.202863886528</v>
      </c>
      <c r="K81" s="498" t="n">
        <f aca="false">K80-K82</f>
        <v>4.1257018045343</v>
      </c>
      <c r="L81" s="498" t="n">
        <f aca="false">L80-L82</f>
        <v>5.39769377824368</v>
      </c>
      <c r="M81" s="498" t="n">
        <f aca="false">M80-M82</f>
        <v>15.2122021083439</v>
      </c>
      <c r="N81" s="498" t="n">
        <f aca="false">N80-N82</f>
        <v>2.42352875209621</v>
      </c>
      <c r="O81" s="498" t="n">
        <f aca="false">O80-O82</f>
        <v>0.812625428680492</v>
      </c>
      <c r="P81" s="498" t="n">
        <f aca="false">P80-P82</f>
        <v>1.91724584829963</v>
      </c>
      <c r="Q81" s="498" t="n">
        <f aca="false">Q80-Q82</f>
        <v>-5.74167056892975</v>
      </c>
      <c r="R81" s="498" t="n">
        <f aca="false">R80-R82</f>
        <v>-5.39678070021275</v>
      </c>
      <c r="S81" s="498" t="n">
        <f aca="false">S80-S82</f>
        <v>-1.23155174233758</v>
      </c>
      <c r="T81" s="498"/>
      <c r="U81" s="498"/>
      <c r="V81" s="498"/>
      <c r="W81" s="498"/>
      <c r="X81" s="498"/>
      <c r="Y81" s="498"/>
      <c r="Z81" s="498"/>
      <c r="AA81" s="498"/>
      <c r="AB81" s="498"/>
      <c r="AC81" s="498"/>
      <c r="AD81" s="498"/>
      <c r="AE81" s="498"/>
      <c r="AF81" s="498"/>
      <c r="AG81" s="498"/>
      <c r="AH81" s="498"/>
      <c r="AI81" s="498"/>
      <c r="AJ81" s="498"/>
      <c r="AK81" s="498"/>
      <c r="AL81" s="498"/>
      <c r="AM81" s="498"/>
      <c r="AN81" s="498"/>
      <c r="AO81" s="498"/>
      <c r="AP81" s="498"/>
      <c r="AQ81" s="498"/>
    </row>
    <row r="82" customFormat="false" ht="14.25" hidden="false" customHeight="false" outlineLevel="0" collapsed="false">
      <c r="A82" s="462" t="s">
        <v>900</v>
      </c>
      <c r="B82" s="452" t="n">
        <v>2</v>
      </c>
      <c r="C82" s="452" t="n">
        <v>2</v>
      </c>
      <c r="D82" s="452" t="n">
        <v>2</v>
      </c>
      <c r="E82" s="452" t="n">
        <v>2</v>
      </c>
      <c r="F82" s="452" t="n">
        <v>2</v>
      </c>
      <c r="G82" s="452" t="n">
        <v>2</v>
      </c>
      <c r="H82" s="452" t="n">
        <v>2</v>
      </c>
      <c r="I82" s="452" t="n">
        <v>2</v>
      </c>
      <c r="J82" s="452" t="n">
        <v>2</v>
      </c>
      <c r="K82" s="452" t="n">
        <v>2</v>
      </c>
      <c r="L82" s="452" t="n">
        <v>2</v>
      </c>
      <c r="M82" s="452" t="n">
        <v>2</v>
      </c>
      <c r="N82" s="452" t="n">
        <v>2</v>
      </c>
      <c r="O82" s="452" t="n">
        <v>2</v>
      </c>
      <c r="P82" s="452" t="n">
        <v>2</v>
      </c>
      <c r="Q82" s="452" t="n">
        <v>2</v>
      </c>
      <c r="R82" s="452" t="n">
        <v>2</v>
      </c>
      <c r="S82" s="452" t="n">
        <v>2</v>
      </c>
      <c r="T82" s="452"/>
      <c r="U82" s="452"/>
      <c r="V82" s="452"/>
      <c r="W82" s="452"/>
      <c r="X82" s="452"/>
      <c r="Y82" s="452"/>
      <c r="Z82" s="452"/>
      <c r="AA82" s="452"/>
      <c r="AB82" s="452"/>
      <c r="AC82" s="452"/>
      <c r="AD82" s="452"/>
      <c r="AE82" s="452"/>
      <c r="AF82" s="452"/>
      <c r="AG82" s="452"/>
      <c r="AH82" s="452"/>
      <c r="AI82" s="452"/>
      <c r="AJ82" s="452"/>
      <c r="AK82" s="452"/>
      <c r="AL82" s="452"/>
      <c r="AM82" s="452"/>
      <c r="AN82" s="452"/>
      <c r="AO82" s="452"/>
      <c r="AP82" s="452"/>
      <c r="AQ82" s="452"/>
    </row>
    <row r="83" s="502" customFormat="true" ht="14.25" hidden="false" customHeight="false" outlineLevel="0" collapsed="false">
      <c r="A83" s="499" t="s">
        <v>901</v>
      </c>
      <c r="B83" s="500" t="n">
        <f aca="false">B19*9.81*B71/1000000+B65</f>
        <v>16.8405698050282</v>
      </c>
      <c r="C83" s="500" t="n">
        <f aca="false">C19*9.81*C71/1000000+C65</f>
        <v>23.8766125419125</v>
      </c>
      <c r="D83" s="500" t="n">
        <f aca="false">D19*9.81*D71/1000000+D65</f>
        <v>14.5986437556673</v>
      </c>
      <c r="E83" s="500" t="n">
        <f aca="false">E19*9.81*E71/1000000+E65</f>
        <v>3.65695605278809</v>
      </c>
      <c r="F83" s="500" t="n">
        <f aca="false">F19*9.81*F71/1000000+F65</f>
        <v>1.28948</v>
      </c>
      <c r="G83" s="500" t="n">
        <f aca="false">G19*9.81*G71/1000000+G65</f>
        <v>1.0268650235</v>
      </c>
      <c r="H83" s="500" t="n">
        <f aca="false">H19*9.81*H71/1000000+H65</f>
        <v>1.08772423362214</v>
      </c>
      <c r="I83" s="500" t="n">
        <f aca="false">I19*9.81*I71/1000000+I65</f>
        <v>1.73799489447526</v>
      </c>
      <c r="J83" s="500" t="n">
        <f aca="false">J19*9.81*J71/1000000+J65</f>
        <v>1.13119951256159</v>
      </c>
      <c r="K83" s="500" t="n">
        <f aca="false">K19*9.81*K71/1000000+K65</f>
        <v>1.56551843285697</v>
      </c>
      <c r="L83" s="500" t="n">
        <f aca="false">L19*9.81*L71/1000000+L65</f>
        <v>1.31516167082795</v>
      </c>
      <c r="M83" s="500" t="n">
        <f aca="false">M19*9.81*M71/1000000+M65</f>
        <v>0.909485725676416</v>
      </c>
      <c r="N83" s="500" t="n">
        <f aca="false">N19*9.81*N71/1000000+N65</f>
        <v>1.6691687866669</v>
      </c>
      <c r="O83" s="500" t="n">
        <f aca="false">O19*9.81*O71/1000000+O65</f>
        <v>1.93307671831005</v>
      </c>
      <c r="P83" s="500" t="n">
        <f aca="false">P19*9.81*P71/1000000+P65</f>
        <v>3.78808316411682</v>
      </c>
      <c r="Q83" s="500" t="n">
        <f aca="false">Q19*9.81*Q71/1000000+Q65</f>
        <v>1.160620508</v>
      </c>
      <c r="R83" s="500" t="n">
        <f aca="false">R19*9.81*R71/1000000+R65</f>
        <v>1.0686751025</v>
      </c>
      <c r="S83" s="500" t="n">
        <f aca="false">S19*9.81*S71/1000000+S65</f>
        <v>0.575404441</v>
      </c>
      <c r="T83" s="501"/>
      <c r="U83" s="500"/>
      <c r="V83" s="500"/>
      <c r="W83" s="501"/>
      <c r="X83" s="500"/>
      <c r="Y83" s="500"/>
      <c r="Z83" s="500"/>
      <c r="AA83" s="500"/>
      <c r="AB83" s="500"/>
      <c r="AC83" s="500"/>
      <c r="AD83" s="500"/>
      <c r="AE83" s="500"/>
      <c r="AF83" s="500"/>
      <c r="AG83" s="500"/>
      <c r="AH83" s="500"/>
      <c r="AI83" s="500"/>
      <c r="AJ83" s="501"/>
      <c r="AK83" s="500"/>
      <c r="AL83" s="500"/>
      <c r="AM83" s="500"/>
      <c r="AN83" s="500"/>
      <c r="AO83" s="500"/>
      <c r="AP83" s="500"/>
      <c r="AQ83" s="500"/>
    </row>
    <row r="84" customFormat="false" ht="14.25" hidden="false" customHeight="false" outlineLevel="0" collapsed="false">
      <c r="A84" s="456" t="s">
        <v>902</v>
      </c>
      <c r="B84" s="497" t="n">
        <f aca="false">B19*9.81*B70/1000000+B65</f>
        <v>17.6215635250282</v>
      </c>
      <c r="C84" s="497" t="n">
        <f aca="false">C19*9.81*C70/1000000+C65</f>
        <v>13.9818541419125</v>
      </c>
      <c r="D84" s="497" t="n">
        <f aca="false">D19*9.81*D70/1000000+D65</f>
        <v>14.6481273576673</v>
      </c>
      <c r="E84" s="497" t="n">
        <f aca="false">E19*9.81*E70/1000000+E65</f>
        <v>3.95576708318809</v>
      </c>
      <c r="F84" s="497" t="n">
        <f aca="false">F19*9.81*F70/1000000+F65</f>
        <v>1.430744</v>
      </c>
      <c r="G84" s="497" t="n">
        <f aca="false">G19*9.81*G70/1000000+G65</f>
        <v>1.1203876775</v>
      </c>
      <c r="H84" s="497" t="n">
        <f aca="false">H19*9.81*H70/1000000+H65</f>
        <v>1.18677384162214</v>
      </c>
      <c r="I84" s="497" t="n">
        <f aca="false">I19*9.81*I70/1000000+I65</f>
        <v>1.75141046187526</v>
      </c>
      <c r="J84" s="497" t="n">
        <f aca="false">J19*9.81*J70/1000000+J65</f>
        <v>1.21810139756159</v>
      </c>
      <c r="K84" s="497" t="n">
        <f aca="false">K19*9.81*K70/1000000+K65</f>
        <v>1.71509307245697</v>
      </c>
      <c r="L84" s="497" t="n">
        <f aca="false">L19*9.81*L70/1000000+L65</f>
        <v>1.50238748282795</v>
      </c>
      <c r="M84" s="497" t="n">
        <f aca="false">M19*9.81*M70/1000000+M65</f>
        <v>0.953674870676416</v>
      </c>
      <c r="N84" s="497" t="n">
        <f aca="false">N19*9.81*N70/1000000+N65</f>
        <v>1.7529840532669</v>
      </c>
      <c r="O84" s="497" t="n">
        <f aca="false">O19*9.81*O70/1000000+O65</f>
        <v>2.20696250071005</v>
      </c>
      <c r="P84" s="497" t="n">
        <f aca="false">P19*9.81*P70/1000000+P65</f>
        <v>4.14471119531682</v>
      </c>
      <c r="Q84" s="497" t="n">
        <f aca="false">Q19*9.81*Q70/1000000+Q65</f>
        <v>1.238556053</v>
      </c>
      <c r="R84" s="497" t="n">
        <f aca="false">R19*9.81*R70/1000000+R65</f>
        <v>1.1508161945</v>
      </c>
      <c r="S84" s="497" t="n">
        <f aca="false">S19*9.81*S70/1000000+S65</f>
        <v>0.682634608</v>
      </c>
      <c r="T84" s="503"/>
      <c r="U84" s="497"/>
      <c r="V84" s="497"/>
      <c r="W84" s="503"/>
      <c r="X84" s="497"/>
      <c r="Y84" s="497"/>
      <c r="Z84" s="497"/>
      <c r="AA84" s="497"/>
      <c r="AB84" s="497"/>
      <c r="AC84" s="497"/>
      <c r="AD84" s="497"/>
      <c r="AE84" s="497"/>
      <c r="AF84" s="497"/>
      <c r="AG84" s="497"/>
      <c r="AH84" s="497"/>
      <c r="AI84" s="497"/>
      <c r="AJ84" s="503"/>
      <c r="AK84" s="497"/>
      <c r="AL84" s="497"/>
      <c r="AM84" s="497"/>
      <c r="AN84" s="497"/>
      <c r="AO84" s="497"/>
      <c r="AP84" s="497"/>
      <c r="AQ84" s="497"/>
    </row>
    <row r="85" customFormat="false" ht="14.25" hidden="false" customHeight="false" outlineLevel="0" collapsed="false">
      <c r="A85" s="456" t="s">
        <v>903</v>
      </c>
      <c r="B85" s="497" t="n">
        <f aca="false">B66+B19*9.81*B70/1000000</f>
        <v>17.7365314004</v>
      </c>
      <c r="C85" s="497" t="n">
        <f aca="false">C66+C19*9.81*C70/1000000</f>
        <v>14.1192633088</v>
      </c>
      <c r="D85" s="497" t="n">
        <f aca="false">D66+D19*9.81*D70/1000000</f>
        <v>14.7523573096</v>
      </c>
      <c r="E85" s="497" t="n">
        <f aca="false">E66+E19*9.81*E70/1000000</f>
        <v>4.0643403837</v>
      </c>
      <c r="F85" s="497" t="n">
        <f aca="false">F66+F19*9.81*F70/1000000</f>
        <v>1.450744</v>
      </c>
      <c r="G85" s="497" t="n">
        <f aca="false">G66+G19*9.81*G70/1000000</f>
        <v>1.2403876775</v>
      </c>
      <c r="H85" s="497" t="n">
        <f aca="false">H66+H19*9.81*H70/1000000</f>
        <v>1.300650998</v>
      </c>
      <c r="I85" s="497" t="n">
        <f aca="false">I66+I19*9.81*I70/1000000</f>
        <v>1.8573628026</v>
      </c>
      <c r="J85" s="497" t="n">
        <f aca="false">J66+J19*9.81*J70/1000000</f>
        <v>1.3372989025</v>
      </c>
      <c r="K85" s="497" t="n">
        <f aca="false">K66+K19*9.81*K70/1000000</f>
        <v>1.860778848</v>
      </c>
      <c r="L85" s="497" t="n">
        <f aca="false">L66+L19*9.81*L70/1000000</f>
        <v>1.6480258464</v>
      </c>
      <c r="M85" s="497" t="n">
        <f aca="false">M66+M19*9.81*M70/1000000</f>
        <v>1.0712735</v>
      </c>
      <c r="N85" s="497" t="n">
        <f aca="false">N66+N19*9.81*N70/1000000</f>
        <v>1.7667007526</v>
      </c>
      <c r="O85" s="497" t="n">
        <f aca="false">O66+O19*9.81*O70/1000000</f>
        <v>2.314525408</v>
      </c>
      <c r="P85" s="497" t="n">
        <f aca="false">P66+P19*9.81*P70/1000000</f>
        <v>4.2554373198</v>
      </c>
      <c r="Q85" s="497" t="n">
        <f aca="false">Q66+Q19*9.81*Q70/1000000</f>
        <v>1.294336303</v>
      </c>
      <c r="R85" s="497" t="n">
        <f aca="false">R66+R19*9.81*R70/1000000</f>
        <v>1.2048901945</v>
      </c>
      <c r="S85" s="497" t="n">
        <f aca="false">S66+S19*9.81*S70/1000000</f>
        <v>0.723884608</v>
      </c>
      <c r="T85" s="503"/>
      <c r="U85" s="497"/>
      <c r="V85" s="497"/>
      <c r="W85" s="503"/>
      <c r="X85" s="497"/>
      <c r="Y85" s="497"/>
      <c r="Z85" s="497"/>
      <c r="AA85" s="497"/>
      <c r="AB85" s="497"/>
      <c r="AC85" s="497"/>
      <c r="AD85" s="497"/>
      <c r="AE85" s="497"/>
      <c r="AF85" s="497"/>
      <c r="AG85" s="497"/>
      <c r="AH85" s="497"/>
      <c r="AI85" s="497"/>
      <c r="AJ85" s="503"/>
      <c r="AK85" s="497"/>
      <c r="AL85" s="497"/>
      <c r="AM85" s="497"/>
      <c r="AN85" s="497"/>
      <c r="AO85" s="497"/>
      <c r="AP85" s="497"/>
      <c r="AQ85" s="497"/>
    </row>
    <row r="86" customFormat="false" ht="14.25" hidden="false" customHeight="false" outlineLevel="0" collapsed="false">
      <c r="A86" s="464" t="s">
        <v>904</v>
      </c>
      <c r="B86" s="465" t="n">
        <f aca="false">B19*9.81*B14/3600*B71/B74/1000</f>
        <v>2214.0638625</v>
      </c>
      <c r="C86" s="465" t="n">
        <f aca="false">C19*9.81*C14/3600*C71*C74/1000</f>
        <v>1363.0754328</v>
      </c>
      <c r="D86" s="465" t="n">
        <f aca="false">D19*9.81*D14/3600*D71/D74/1000</f>
        <v>233.7477641</v>
      </c>
      <c r="E86" s="465" t="n">
        <f aca="false">E19*9.81*E14/3600*E71/E74/1000</f>
        <v>24.4782857142857</v>
      </c>
      <c r="F86" s="465" t="n">
        <f aca="false">F19*9.81*F14/3600*F71/F74/1000</f>
        <v>27.454375</v>
      </c>
      <c r="G86" s="465" t="n">
        <f aca="false">G19*9.81*G14/3600*G71/G74/1000</f>
        <v>0.165623376623377</v>
      </c>
      <c r="H86" s="465" t="n">
        <f aca="false">H19*9.81*H14/3600*H71/H74/1000</f>
        <v>85.4406833766234</v>
      </c>
      <c r="I86" s="465" t="n">
        <f aca="false">I19*9.81*I14/3600*I71/I74/1000</f>
        <v>8.2742009</v>
      </c>
      <c r="J86" s="465" t="n">
        <f aca="false">J19*9.81*J14/3600*J71/J74/1000</f>
        <v>139.466662703</v>
      </c>
      <c r="K86" s="465" t="n">
        <f aca="false">K19*9.81*K14/3600*K71/K74/1000</f>
        <v>65.45946290625</v>
      </c>
      <c r="L86" s="465" t="n">
        <f aca="false">L19*9.81*L14/3600*L71/L74/1000</f>
        <v>8.03287909230769</v>
      </c>
      <c r="M86" s="465" t="n">
        <f aca="false">M19*9.81*M14/3600*M71/M74/1000</f>
        <v>37.6751893939394</v>
      </c>
      <c r="N86" s="465" t="n">
        <f aca="false">N19*9.81*N14/3600*N71/N74/1000</f>
        <v>48.8913088235294</v>
      </c>
      <c r="O86" s="465" t="n">
        <f aca="false">O19*9.81*O14/3600*O71/O74/1000</f>
        <v>264.025328017123</v>
      </c>
      <c r="P86" s="465" t="n">
        <f aca="false">P19*9.81*P14/3600*P71/P74/1000</f>
        <v>200.798904109589</v>
      </c>
      <c r="Q86" s="465" t="n">
        <f aca="false">Q19*9.81*Q14/3600*Q71/Q74/1000</f>
        <v>20.9742424242424</v>
      </c>
      <c r="R86" s="465" t="n">
        <f aca="false">R19*9.81*R14/3600*R71/R74/1000</f>
        <v>13.3222222222222</v>
      </c>
      <c r="S86" s="465" t="n">
        <f aca="false">S19*9.81*S14/3600*S71/S74/1000</f>
        <v>4.63032</v>
      </c>
      <c r="T86" s="504"/>
      <c r="U86" s="465"/>
      <c r="V86" s="465"/>
      <c r="W86" s="504"/>
      <c r="X86" s="465"/>
      <c r="Y86" s="465"/>
      <c r="Z86" s="465"/>
      <c r="AA86" s="465"/>
      <c r="AB86" s="465"/>
      <c r="AC86" s="465"/>
      <c r="AD86" s="465"/>
      <c r="AE86" s="465"/>
      <c r="AF86" s="465"/>
      <c r="AG86" s="465"/>
      <c r="AH86" s="465"/>
      <c r="AI86" s="465"/>
      <c r="AJ86" s="504"/>
      <c r="AK86" s="465"/>
      <c r="AL86" s="465"/>
      <c r="AM86" s="465"/>
      <c r="AN86" s="465"/>
      <c r="AO86" s="465"/>
      <c r="AP86" s="465"/>
      <c r="AQ86" s="465"/>
    </row>
    <row r="87" s="507" customFormat="true" ht="14.25" hidden="false" customHeight="false" outlineLevel="0" collapsed="false">
      <c r="A87" s="505" t="s">
        <v>905</v>
      </c>
      <c r="B87" s="506" t="n">
        <f aca="false">B19*9.81*B16/3600*B71/B75/1000</f>
        <v>1771.25109</v>
      </c>
      <c r="C87" s="506" t="e">
        <f aca="false">C19*9.81*C16/3600*C71/C75/1000</f>
        <v>#DIV/0!</v>
      </c>
      <c r="D87" s="506" t="e">
        <f aca="false">D19*9.81*D16/3600*D71/D75/1000</f>
        <v>#DIV/0!</v>
      </c>
      <c r="E87" s="506" t="n">
        <f aca="false">E19*9.81*E16/3600*E71/E75/1000</f>
        <v>18.4528615384615</v>
      </c>
      <c r="F87" s="506" t="n">
        <f aca="false">F19*9.81*F16/3600*F71/F75/1000</f>
        <v>19.9668181818182</v>
      </c>
      <c r="G87" s="506" t="n">
        <f aca="false">G19*9.81*G16/3600*G71/G75/1000</f>
        <v>0.12753</v>
      </c>
      <c r="H87" s="506" t="n">
        <f aca="false">H19*9.81*H16/3600*H71/H75/1000</f>
        <v>65.7893262</v>
      </c>
      <c r="I87" s="506" t="n">
        <f aca="false">I19*9.81*I16/3600*I71/I75/1000</f>
        <v>7.20656207419355</v>
      </c>
      <c r="J87" s="506" t="n">
        <f aca="false">J19*9.81*J16/3600*J71/J75/1000</f>
        <v>114.109087666091</v>
      </c>
      <c r="K87" s="506" t="n">
        <f aca="false">K19*9.81*K16/3600*K71/K75/1000</f>
        <v>50.9522305864865</v>
      </c>
      <c r="L87" s="506" t="n">
        <f aca="false">L19*9.81*L16/3600*L71/L75/1000</f>
        <v>6.265645692</v>
      </c>
      <c r="M87" s="506" t="n">
        <f aca="false">M19*9.81*M16/3600*M71/M75/1000</f>
        <v>29.83875</v>
      </c>
      <c r="N87" s="506" t="n">
        <f aca="false">N19*9.81*N16/3600*N71/N75/1000</f>
        <v>39.895308</v>
      </c>
      <c r="O87" s="506" t="n">
        <f aca="false">O19*9.81*O16/3600*O71/O75/1000</f>
        <v>202.882620476316</v>
      </c>
      <c r="P87" s="506" t="n">
        <f aca="false">P19*9.81*P16/3600*P71/P75/1000</f>
        <v>139.603047619048</v>
      </c>
      <c r="Q87" s="506" t="n">
        <f aca="false">Q19*9.81*Q16/3600*Q71/Q75/1000</f>
        <v>18.8768181818182</v>
      </c>
      <c r="R87" s="506" t="n">
        <f aca="false">R19*9.81*R16/3600*R71/R75/1000</f>
        <v>12.5113043478261</v>
      </c>
      <c r="S87" s="506" t="n">
        <f aca="false">S19*9.81*S16/3600*S71/S75/1000</f>
        <v>3.23045581395349</v>
      </c>
      <c r="T87" s="506"/>
      <c r="U87" s="506"/>
      <c r="V87" s="506"/>
      <c r="W87" s="506"/>
      <c r="X87" s="506"/>
      <c r="Y87" s="506"/>
      <c r="Z87" s="506"/>
      <c r="AA87" s="506"/>
      <c r="AB87" s="506"/>
      <c r="AC87" s="506"/>
      <c r="AD87" s="506"/>
      <c r="AE87" s="506"/>
      <c r="AF87" s="506"/>
      <c r="AG87" s="506"/>
      <c r="AH87" s="506"/>
      <c r="AI87" s="506"/>
      <c r="AJ87" s="506"/>
      <c r="AK87" s="506"/>
      <c r="AL87" s="506"/>
      <c r="AM87" s="506"/>
      <c r="AN87" s="506"/>
      <c r="AO87" s="506"/>
      <c r="AP87" s="506"/>
      <c r="AQ87" s="506"/>
    </row>
    <row r="88" customFormat="false" ht="14.25" hidden="false" customHeight="false" outlineLevel="0" collapsed="false">
      <c r="A88" s="466" t="s">
        <v>906</v>
      </c>
      <c r="B88" s="467" t="n">
        <f aca="false">B19*9.81*B15/3600*B73/B77/1000</f>
        <v>3247.293665</v>
      </c>
      <c r="C88" s="467" t="e">
        <f aca="false">C19*9.81*C15/3600*C73/C77/1000</f>
        <v>#DIV/0!</v>
      </c>
      <c r="D88" s="467" t="e">
        <f aca="false">D19*9.81*D15/3600*D73/D77/1000</f>
        <v>#DIV/0!</v>
      </c>
      <c r="E88" s="467" t="n">
        <f aca="false">E19*9.81*E15/3600*E73/E77/1000</f>
        <v>27.6689301886792</v>
      </c>
      <c r="F88" s="467" t="n">
        <f aca="false">F19*9.81*F15/3600*F73/F77/1000</f>
        <v>27.655505952381</v>
      </c>
      <c r="G88" s="467" t="n">
        <f aca="false">G19*9.81*G15/3600*G73/G77/1000</f>
        <v>0.168609375</v>
      </c>
      <c r="H88" s="467" t="n">
        <f aca="false">H19*9.81*H15/3600*H73/H77/1000</f>
        <v>86.9810803125</v>
      </c>
      <c r="I88" s="467" t="n">
        <f aca="false">I19*9.81*I15/3600*I73/I77/1000</f>
        <v>9.10162099</v>
      </c>
      <c r="J88" s="467" t="n">
        <f aca="false">J19*9.81*J15/3600*J73/J77/1000</f>
        <v>144.134660221538</v>
      </c>
      <c r="K88" s="467" t="n">
        <f aca="false">K19*9.81*K15/3600*K73/K77/1000</f>
        <v>70.7411064276</v>
      </c>
      <c r="L88" s="467" t="n">
        <f aca="false">L19*9.81*L15/3600*L73/L77/1000</f>
        <v>8.37878608097561</v>
      </c>
      <c r="M88" s="467" t="n">
        <f aca="false">M19*9.81*M15/3600*M73/M77/1000</f>
        <v>42.4614726027397</v>
      </c>
      <c r="N88" s="467" t="n">
        <f aca="false">N19*9.81*N15/3600*N73/N77/1000</f>
        <v>48.5412881621622</v>
      </c>
      <c r="O88" s="467" t="n">
        <f aca="false">O19*9.81*O15/3600*O73/O77/1000</f>
        <v>268.710188083333</v>
      </c>
      <c r="P88" s="467" t="n">
        <f aca="false">P19*9.81*P15/3600*P73/P77/1000</f>
        <v>201.810631578947</v>
      </c>
      <c r="Q88" s="467" t="n">
        <f aca="false">Q19*9.81*Q15/3600*Q73/Q77/1000</f>
        <v>23.41796875</v>
      </c>
      <c r="R88" s="467" t="n">
        <f aca="false">R19*9.81*R15/3600*R73/R77/1000</f>
        <v>13.039125</v>
      </c>
      <c r="S88" s="467" t="n">
        <f aca="false">S19*9.81*S15/3600*S73/S77/1000</f>
        <v>4.68138970588235</v>
      </c>
      <c r="T88" s="467"/>
      <c r="U88" s="467"/>
      <c r="V88" s="467"/>
      <c r="W88" s="467"/>
      <c r="X88" s="467"/>
      <c r="Y88" s="467"/>
      <c r="Z88" s="467"/>
      <c r="AA88" s="467"/>
      <c r="AB88" s="467"/>
      <c r="AC88" s="467"/>
      <c r="AD88" s="467"/>
      <c r="AE88" s="467"/>
      <c r="AF88" s="467"/>
      <c r="AG88" s="467"/>
      <c r="AH88" s="467"/>
      <c r="AI88" s="467"/>
      <c r="AJ88" s="467"/>
      <c r="AK88" s="467"/>
      <c r="AL88" s="467"/>
      <c r="AM88" s="467"/>
      <c r="AN88" s="467"/>
      <c r="AO88" s="467"/>
      <c r="AP88" s="467"/>
      <c r="AQ88" s="467"/>
    </row>
    <row r="89" customFormat="false" ht="14.25" hidden="false" customHeight="false" outlineLevel="0" collapsed="false">
      <c r="A89" s="456" t="s">
        <v>907</v>
      </c>
      <c r="B89" s="461" t="n">
        <f aca="false">992*9.81*B17/3600*B72/B76/1000</f>
        <v>0</v>
      </c>
      <c r="C89" s="461" t="e">
        <f aca="false">992*9.81*C17/3600*C72/C76/1000</f>
        <v>#DIV/0!</v>
      </c>
      <c r="D89" s="461" t="e">
        <f aca="false">992*9.81*D17/3600*D72/D76/1000</f>
        <v>#DIV/0!</v>
      </c>
      <c r="E89" s="461" t="n">
        <f aca="false">992*9.81*E17/3600*E72/E76/1000</f>
        <v>19.8980095541258</v>
      </c>
      <c r="F89" s="461" t="n">
        <f aca="false">992*9.81*F17/3600*F72/F76/1000</f>
        <v>24.7518007407407</v>
      </c>
      <c r="G89" s="461" t="n">
        <f aca="false">992*9.81*G17/3600*G72/G76/1000</f>
        <v>0.145759918871131</v>
      </c>
      <c r="H89" s="461" t="n">
        <f aca="false">992*9.81*H17/3600*H72/H76/1000</f>
        <v>70.9978599775576</v>
      </c>
      <c r="I89" s="461" t="n">
        <f aca="false">992*9.81*I17/3600*I72/I76/1000</f>
        <v>10.1942061615986</v>
      </c>
      <c r="J89" s="461" t="n">
        <f aca="false">992*9.81*J17/3600*J72/J76/1000</f>
        <v>154.223516959922</v>
      </c>
      <c r="K89" s="461" t="n">
        <f aca="false">992*9.81*K17/3600*K72/K76/1000</f>
        <v>74.9031469294965</v>
      </c>
      <c r="L89" s="461" t="n">
        <f aca="false">992*9.81*L17/3600*L72/L76/1000</f>
        <v>6.94537162057366</v>
      </c>
      <c r="M89" s="461" t="n">
        <f aca="false">992*9.81*M17/3600*M72/M76/1000</f>
        <v>51.879595959596</v>
      </c>
      <c r="N89" s="461" t="n">
        <f aca="false">992*9.81*N17/3600*N72/N76/1000</f>
        <v>57.4073502698031</v>
      </c>
      <c r="O89" s="461" t="n">
        <f aca="false">992*9.81*O17/3600*O72/O76/1000</f>
        <v>330.627866710848</v>
      </c>
      <c r="P89" s="461" t="n">
        <f aca="false">992*9.81*P17/3600*P72/P76/1000</f>
        <v>143.715520120418</v>
      </c>
      <c r="Q89" s="461" t="n">
        <f aca="false">992*9.81*Q17/3600*Q72/Q76/1000</f>
        <v>26.7490166362473</v>
      </c>
      <c r="R89" s="461" t="n">
        <f aca="false">992*9.81*R17/3600*R72/R76/1000</f>
        <v>13.2105937992643</v>
      </c>
      <c r="S89" s="461" t="n">
        <f aca="false">992*9.81*S17/3600*S72/S76/1000</f>
        <v>3.32104760749479</v>
      </c>
      <c r="T89" s="461"/>
      <c r="U89" s="461"/>
      <c r="V89" s="461"/>
      <c r="W89" s="461"/>
      <c r="X89" s="461"/>
      <c r="Y89" s="461"/>
      <c r="Z89" s="461"/>
      <c r="AA89" s="461"/>
      <c r="AB89" s="461"/>
      <c r="AC89" s="461"/>
      <c r="AD89" s="461"/>
      <c r="AE89" s="461"/>
      <c r="AF89" s="461"/>
      <c r="AG89" s="461"/>
      <c r="AH89" s="461"/>
      <c r="AI89" s="461"/>
      <c r="AJ89" s="461"/>
      <c r="AK89" s="461"/>
      <c r="AL89" s="461"/>
      <c r="AM89" s="461"/>
      <c r="AN89" s="461"/>
      <c r="AO89" s="461"/>
      <c r="AP89" s="461"/>
      <c r="AQ89" s="461"/>
    </row>
    <row r="90" customFormat="false" ht="14.25" hidden="false" customHeight="false" outlineLevel="0" collapsed="false">
      <c r="A90" s="456" t="s">
        <v>908</v>
      </c>
      <c r="B90" s="461" t="n">
        <f aca="false">MAX(B86:B89)</f>
        <v>3247.293665</v>
      </c>
      <c r="C90" s="461" t="e">
        <f aca="false">MAX(C86:C89)</f>
        <v>#DIV/0!</v>
      </c>
      <c r="D90" s="461" t="e">
        <f aca="false">MAX(D86:D89)</f>
        <v>#DIV/0!</v>
      </c>
      <c r="E90" s="461" t="n">
        <f aca="false">MAX(E86:E89)</f>
        <v>27.6689301886792</v>
      </c>
      <c r="F90" s="461" t="n">
        <f aca="false">MAX(F86:F89)</f>
        <v>27.655505952381</v>
      </c>
      <c r="G90" s="461" t="n">
        <f aca="false">MAX(G86:G89)</f>
        <v>0.168609375</v>
      </c>
      <c r="H90" s="461" t="n">
        <f aca="false">MAX(H86:H89)</f>
        <v>86.9810803125</v>
      </c>
      <c r="I90" s="461" t="n">
        <f aca="false">MAX(I86:I89)</f>
        <v>10.1942061615986</v>
      </c>
      <c r="J90" s="461" t="n">
        <f aca="false">MAX(J86:J89)</f>
        <v>154.223516959922</v>
      </c>
      <c r="K90" s="461" t="n">
        <f aca="false">MAX(K86:K89)</f>
        <v>74.9031469294965</v>
      </c>
      <c r="L90" s="461" t="n">
        <f aca="false">MAX(L86:L89)</f>
        <v>8.37878608097561</v>
      </c>
      <c r="M90" s="461" t="n">
        <f aca="false">MAX(M86:M89)</f>
        <v>51.879595959596</v>
      </c>
      <c r="N90" s="461" t="n">
        <f aca="false">MAX(N86:N89)</f>
        <v>57.4073502698031</v>
      </c>
      <c r="O90" s="461" t="n">
        <f aca="false">MAX(O86:O89)</f>
        <v>330.627866710848</v>
      </c>
      <c r="P90" s="461" t="n">
        <f aca="false">MAX(P86:P89)</f>
        <v>201.810631578947</v>
      </c>
      <c r="Q90" s="461" t="n">
        <f aca="false">MAX(Q86:Q89)</f>
        <v>26.7490166362473</v>
      </c>
      <c r="R90" s="461" t="n">
        <f aca="false">MAX(R86:R89)</f>
        <v>13.3222222222222</v>
      </c>
      <c r="S90" s="461" t="n">
        <f aca="false">MAX(S86:S89)</f>
        <v>4.68138970588235</v>
      </c>
      <c r="T90" s="508"/>
      <c r="U90" s="461"/>
      <c r="V90" s="461"/>
      <c r="W90" s="461"/>
      <c r="X90" s="461"/>
      <c r="Y90" s="461"/>
      <c r="Z90" s="461"/>
      <c r="AA90" s="461"/>
      <c r="AB90" s="461"/>
      <c r="AC90" s="461"/>
      <c r="AD90" s="461"/>
      <c r="AE90" s="461"/>
      <c r="AF90" s="461"/>
      <c r="AG90" s="461"/>
      <c r="AH90" s="461"/>
      <c r="AI90" s="461"/>
      <c r="AJ90" s="461"/>
      <c r="AK90" s="461"/>
      <c r="AL90" s="461"/>
      <c r="AM90" s="461"/>
      <c r="AN90" s="461"/>
      <c r="AO90" s="461"/>
      <c r="AP90" s="461"/>
      <c r="AQ90" s="461"/>
    </row>
    <row r="91" customFormat="false" ht="14.25" hidden="false" customHeight="false" outlineLevel="0" collapsed="false">
      <c r="A91" s="456" t="s">
        <v>909</v>
      </c>
      <c r="B91" s="485" t="n">
        <f aca="false">IF(B90&gt;55,1.1,(IF(B90&gt;15,1.15,1.25)))</f>
        <v>1.1</v>
      </c>
      <c r="C91" s="485" t="e">
        <f aca="false">IF(C90&gt;55,1.1,(IF(C90&gt;15,1.15,1.25)))</f>
        <v>#DIV/0!</v>
      </c>
      <c r="D91" s="485" t="e">
        <f aca="false">IF(D90&gt;55,1.1,(IF(D90&gt;15,1.15,1.25)))</f>
        <v>#DIV/0!</v>
      </c>
      <c r="E91" s="485" t="n">
        <f aca="false">IF(E90&gt;55,1.1,(IF(E90&gt;15,1.15,1.25)))</f>
        <v>1.15</v>
      </c>
      <c r="F91" s="485" t="n">
        <f aca="false">IF(F90&gt;55,1.1,(IF(F90&gt;15,1.15,1.25)))</f>
        <v>1.15</v>
      </c>
      <c r="G91" s="485" t="n">
        <f aca="false">IF(G90&gt;55,1.1,(IF(G90&gt;15,1.15,1.25)))</f>
        <v>1.25</v>
      </c>
      <c r="H91" s="485" t="n">
        <f aca="false">IF(H90&gt;55,1.1,(IF(H90&gt;15,1.15,1.25)))</f>
        <v>1.1</v>
      </c>
      <c r="I91" s="485" t="n">
        <f aca="false">IF(I90&gt;55,1.1,(IF(I90&gt;15,1.15,1.25)))</f>
        <v>1.25</v>
      </c>
      <c r="J91" s="485" t="n">
        <f aca="false">IF(J90&gt;55,1.1,(IF(J90&gt;15,1.15,1.25)))</f>
        <v>1.1</v>
      </c>
      <c r="K91" s="485" t="n">
        <f aca="false">IF(K90&gt;55,1.1,(IF(K90&gt;15,1.15,1.25)))</f>
        <v>1.1</v>
      </c>
      <c r="L91" s="485" t="n">
        <f aca="false">IF(L90&gt;55,1.1,(IF(L90&gt;15,1.15,1.25)))</f>
        <v>1.25</v>
      </c>
      <c r="M91" s="485" t="n">
        <f aca="false">IF(M90&gt;55,1.1,(IF(M90&gt;15,1.15,1.25)))</f>
        <v>1.15</v>
      </c>
      <c r="N91" s="485" t="n">
        <f aca="false">IF(N90&gt;55,1.1,(IF(N90&gt;15,1.15,1.25)))</f>
        <v>1.1</v>
      </c>
      <c r="O91" s="485" t="n">
        <f aca="false">IF(O90&gt;55,1.1,(IF(O90&gt;15,1.15,1.25)))</f>
        <v>1.1</v>
      </c>
      <c r="P91" s="485" t="n">
        <f aca="false">IF(P90&gt;55,1.1,(IF(P90&gt;15,1.15,1.25)))</f>
        <v>1.1</v>
      </c>
      <c r="Q91" s="485" t="n">
        <f aca="false">IF(Q90&gt;55,1.1,(IF(Q90&gt;15,1.15,1.25)))</f>
        <v>1.15</v>
      </c>
      <c r="R91" s="485" t="n">
        <f aca="false">IF(R90&gt;55,1.1,(IF(R90&gt;15,1.15,1.25)))</f>
        <v>1.25</v>
      </c>
      <c r="S91" s="485" t="n">
        <f aca="false">IF(S90&gt;55,1.1,(IF(S90&gt;15,1.15,1.25)))</f>
        <v>1.25</v>
      </c>
      <c r="T91" s="485"/>
      <c r="U91" s="485"/>
      <c r="V91" s="485"/>
      <c r="W91" s="485"/>
      <c r="X91" s="485"/>
      <c r="Y91" s="485"/>
      <c r="Z91" s="485"/>
      <c r="AA91" s="485"/>
      <c r="AB91" s="485"/>
      <c r="AC91" s="485"/>
      <c r="AD91" s="485"/>
      <c r="AE91" s="485"/>
      <c r="AF91" s="485"/>
      <c r="AG91" s="485"/>
      <c r="AH91" s="485"/>
      <c r="AI91" s="485"/>
      <c r="AJ91" s="485"/>
      <c r="AK91" s="485"/>
      <c r="AL91" s="485"/>
      <c r="AM91" s="485"/>
      <c r="AN91" s="485"/>
      <c r="AO91" s="485"/>
      <c r="AP91" s="485"/>
      <c r="AQ91" s="485"/>
    </row>
    <row r="92" customFormat="false" ht="14.25" hidden="false" customHeight="false" outlineLevel="0" collapsed="false">
      <c r="A92" s="466" t="s">
        <v>910</v>
      </c>
      <c r="B92" s="498" t="n">
        <v>3300</v>
      </c>
      <c r="C92" s="498" t="n">
        <v>2500</v>
      </c>
      <c r="D92" s="498" t="e">
        <f aca="false">D90*D91</f>
        <v>#DIV/0!</v>
      </c>
      <c r="E92" s="498" t="n">
        <f aca="false">E90*E91</f>
        <v>31.8192697169811</v>
      </c>
      <c r="F92" s="498" t="n">
        <f aca="false">F90*F91</f>
        <v>31.8038318452381</v>
      </c>
      <c r="G92" s="498" t="n">
        <f aca="false">G90*G91</f>
        <v>0.21076171875</v>
      </c>
      <c r="H92" s="498" t="n">
        <f aca="false">H90*H91</f>
        <v>95.67918834375</v>
      </c>
      <c r="I92" s="498" t="n">
        <f aca="false">I90*I91</f>
        <v>12.7427577019983</v>
      </c>
      <c r="J92" s="498" t="n">
        <f aca="false">J90*J91</f>
        <v>169.645868655914</v>
      </c>
      <c r="K92" s="498" t="n">
        <f aca="false">K90*K91</f>
        <v>82.3934616224462</v>
      </c>
      <c r="L92" s="498" t="n">
        <f aca="false">L90*L91</f>
        <v>10.4734826012195</v>
      </c>
      <c r="M92" s="498" t="n">
        <f aca="false">M90*M91</f>
        <v>59.6615353535354</v>
      </c>
      <c r="N92" s="498" t="n">
        <f aca="false">N90*N91</f>
        <v>63.1480852967834</v>
      </c>
      <c r="O92" s="498" t="n">
        <f aca="false">O90*O91</f>
        <v>363.690653381933</v>
      </c>
      <c r="P92" s="498" t="n">
        <f aca="false">P90*P91</f>
        <v>221.991694736842</v>
      </c>
      <c r="Q92" s="498" t="n">
        <f aca="false">Q90*Q91</f>
        <v>30.7613691316844</v>
      </c>
      <c r="R92" s="498" t="n">
        <f aca="false">R90*R91</f>
        <v>16.6527777777778</v>
      </c>
      <c r="S92" s="498" t="n">
        <f aca="false">S90*S91</f>
        <v>5.85173713235294</v>
      </c>
      <c r="T92" s="498"/>
      <c r="U92" s="498"/>
      <c r="V92" s="498"/>
      <c r="W92" s="498"/>
      <c r="X92" s="498"/>
      <c r="Y92" s="498"/>
      <c r="Z92" s="498"/>
      <c r="AA92" s="498"/>
      <c r="AB92" s="498"/>
      <c r="AC92" s="498"/>
      <c r="AD92" s="498"/>
      <c r="AE92" s="498"/>
      <c r="AF92" s="498"/>
      <c r="AG92" s="498"/>
      <c r="AH92" s="498"/>
      <c r="AI92" s="498"/>
      <c r="AJ92" s="498"/>
      <c r="AK92" s="498"/>
      <c r="AL92" s="498"/>
      <c r="AM92" s="498"/>
      <c r="AN92" s="498"/>
      <c r="AO92" s="498"/>
      <c r="AP92" s="498"/>
      <c r="AQ92" s="498"/>
    </row>
    <row r="93" customFormat="false" ht="14.25" hidden="false" customHeight="false" outlineLevel="0" collapsed="false">
      <c r="A93" s="456" t="s">
        <v>911</v>
      </c>
      <c r="B93" s="468" t="n">
        <v>2500</v>
      </c>
      <c r="C93" s="468"/>
      <c r="D93" s="468" t="n">
        <v>280</v>
      </c>
      <c r="E93" s="468" t="n">
        <v>37</v>
      </c>
      <c r="F93" s="468" t="n">
        <v>37</v>
      </c>
      <c r="G93" s="468" t="n">
        <v>18.5</v>
      </c>
      <c r="H93" s="468" t="n">
        <v>110</v>
      </c>
      <c r="I93" s="468" t="n">
        <v>15</v>
      </c>
      <c r="J93" s="468" t="n">
        <v>185</v>
      </c>
      <c r="K93" s="468" t="n">
        <v>90</v>
      </c>
      <c r="L93" s="468" t="n">
        <v>15</v>
      </c>
      <c r="M93" s="468" t="n">
        <v>55</v>
      </c>
      <c r="N93" s="468" t="n">
        <v>75</v>
      </c>
      <c r="O93" s="468" t="n">
        <v>355</v>
      </c>
      <c r="P93" s="468" t="n">
        <v>250</v>
      </c>
      <c r="Q93" s="468" t="n">
        <v>30</v>
      </c>
      <c r="R93" s="468" t="n">
        <v>18.5</v>
      </c>
      <c r="S93" s="468" t="n">
        <v>11</v>
      </c>
      <c r="T93" s="468"/>
      <c r="U93" s="468"/>
      <c r="V93" s="468"/>
      <c r="W93" s="468"/>
      <c r="X93" s="468"/>
      <c r="Y93" s="468"/>
      <c r="Z93" s="468"/>
      <c r="AA93" s="468"/>
      <c r="AB93" s="468"/>
      <c r="AC93" s="468"/>
      <c r="AD93" s="468"/>
      <c r="AE93" s="468"/>
      <c r="AF93" s="468"/>
      <c r="AG93" s="468"/>
      <c r="AH93" s="468"/>
      <c r="AI93" s="468"/>
      <c r="AJ93" s="468"/>
      <c r="AK93" s="468"/>
      <c r="AL93" s="468"/>
      <c r="AM93" s="468"/>
      <c r="AN93" s="468"/>
      <c r="AO93" s="468"/>
      <c r="AP93" s="468"/>
      <c r="AQ93" s="468"/>
    </row>
    <row r="94" customFormat="false" ht="15" hidden="false" customHeight="false" outlineLevel="0" collapsed="false">
      <c r="A94" s="456" t="s">
        <v>912</v>
      </c>
      <c r="B94" s="450" t="n">
        <f aca="false">IF(B93="","",VLOOKUP(B93,$C$106:$F$151,2))</f>
        <v>0</v>
      </c>
      <c r="C94" s="450" t="str">
        <f aca="false">IF(C93="","",VLOOKUP(C93,$B$106:$F$151,2))</f>
        <v/>
      </c>
      <c r="D94" s="450" t="str">
        <f aca="false">IF(D93="","",VLOOKUP(D93,$C$106:$F$151,2))</f>
        <v>YB2-4004-2WTH</v>
      </c>
      <c r="E94" s="450" t="str">
        <f aca="false">IF(E93="","",VLOOKUP(E93,$C$106:$F$151,2))</f>
        <v>YB2-200L2-2WTH</v>
      </c>
      <c r="F94" s="450" t="str">
        <f aca="false">IF(F93="","",VLOOKUP(F93,$C$106:$F$151,2))</f>
        <v>YB2-200L2-2WTH</v>
      </c>
      <c r="G94" s="450" t="str">
        <f aca="false">IF(G93="","",VLOOKUP(G93,$C$106:$F$151,2))</f>
        <v>YB2-160L-2WTH</v>
      </c>
      <c r="H94" s="450" t="str">
        <f aca="false">IF(H93="","",VLOOKUP(H93,$C$106:$F$151,2))</f>
        <v>YB2-315S-2WTH</v>
      </c>
      <c r="I94" s="450" t="str">
        <f aca="false">IF(I93="","",VLOOKUP(I93,$C$106:$F$151,2))</f>
        <v>YB2-160M2-2WTH</v>
      </c>
      <c r="J94" s="450" t="str">
        <f aca="false">IF(J93="","",VLOOKUP(J93,$C$106:$F$151,2))</f>
        <v>YB2-315L-2WTH</v>
      </c>
      <c r="K94" s="450" t="str">
        <f aca="false">IF(K93="","",VLOOKUP(K93,$C$106:$F$151,2))</f>
        <v>YB2-280M-2WTH</v>
      </c>
      <c r="L94" s="450" t="str">
        <f aca="false">IF(L93="","",VLOOKUP(L93,$C$106:$F$151,2))</f>
        <v>YB2-160M2-2WTH</v>
      </c>
      <c r="M94" s="450" t="str">
        <f aca="false">IF(M93="","",VLOOKUP(M93,$C$106:$F$151,2))</f>
        <v>YB2-250M-2WTH</v>
      </c>
      <c r="N94" s="450" t="str">
        <f aca="false">IF(N93="","",VLOOKUP(N93,$C$106:$F$151,2))</f>
        <v>YB2-280S-2WTH</v>
      </c>
      <c r="O94" s="450" t="str">
        <f aca="false">IF(O93="","",VLOOKUP(O93,$C$106:$F$151,2))</f>
        <v>YB2-4501-2WTH</v>
      </c>
      <c r="P94" s="450" t="str">
        <f aca="false">IF(P93="","",VLOOKUP(P93,$C$106:$F$151,2))</f>
        <v>YB2-4003-2WTH</v>
      </c>
      <c r="Q94" s="450" t="str">
        <f aca="false">IF(Q93="","",VLOOKUP(Q93,$C$106:$F$151,2))</f>
        <v>YB2-200L1-2WTH</v>
      </c>
      <c r="R94" s="450" t="str">
        <f aca="false">IF(R93="","",VLOOKUP(R93,$C$106:$F$151,2))</f>
        <v>YB2-160L-2WTH</v>
      </c>
      <c r="S94" s="450" t="str">
        <f aca="false">IF(S93="","",VLOOKUP(S93,$C$106:$F$151,2))</f>
        <v>YB2-160M1-2WTH</v>
      </c>
      <c r="T94" s="509"/>
      <c r="U94" s="450"/>
      <c r="V94" s="450"/>
      <c r="W94" s="450"/>
      <c r="X94" s="450"/>
      <c r="Y94" s="450"/>
      <c r="Z94" s="450"/>
      <c r="AA94" s="450"/>
      <c r="AB94" s="450"/>
      <c r="AD94" s="450"/>
      <c r="AE94" s="450"/>
      <c r="AF94" s="450"/>
      <c r="AG94" s="450"/>
      <c r="AH94" s="450"/>
      <c r="AI94" s="450"/>
      <c r="AJ94" s="450"/>
      <c r="AK94" s="450"/>
      <c r="AL94" s="450"/>
      <c r="AM94" s="450"/>
      <c r="AN94" s="450"/>
      <c r="AO94" s="450"/>
      <c r="AP94" s="450"/>
      <c r="AQ94" s="450"/>
    </row>
    <row r="95" customFormat="false" ht="15" hidden="false" customHeight="false" outlineLevel="0" collapsed="false">
      <c r="A95" s="510" t="s">
        <v>913</v>
      </c>
      <c r="B95" s="450" t="n">
        <f aca="false">IF(B93="","",VLOOKUP(B93,$C$106:$F$138,4))</f>
        <v>4.7</v>
      </c>
      <c r="C95" s="450" t="str">
        <f aca="false">IF(C93="","",VLOOKUP(C93,$B$106:$F$138,4))</f>
        <v/>
      </c>
      <c r="D95" s="450" t="n">
        <f aca="false">IF(D93="","",VLOOKUP(D93,$C$106:$F$138,4))</f>
        <v>3.8</v>
      </c>
      <c r="E95" s="450" t="n">
        <f aca="false">IF(E93="","",VLOOKUP(E93,$C$106:$F$138,4))</f>
        <v>0.305</v>
      </c>
      <c r="F95" s="450" t="n">
        <f aca="false">IF(F93="","",VLOOKUP(F93,$C$106:$F$138,4))</f>
        <v>0.305</v>
      </c>
      <c r="G95" s="450" t="n">
        <f aca="false">IF(G93="","",VLOOKUP(G93,$C$106:$F$138,4))</f>
        <v>0.168</v>
      </c>
      <c r="H95" s="450" t="n">
        <f aca="false">IF(H93="","",VLOOKUP(H93,$C$106:$F$138,4))</f>
        <v>1.1</v>
      </c>
      <c r="I95" s="450" t="n">
        <f aca="false">IF(I93="","",VLOOKUP(I93,$C$106:$F$138,4))</f>
        <v>0.152</v>
      </c>
      <c r="J95" s="450" t="n">
        <f aca="false">IF(J93="","",VLOOKUP(J93,$C$106:$F$138,4))</f>
        <v>1.5</v>
      </c>
      <c r="K95" s="450" t="n">
        <f aca="false">IF(K93="","",VLOOKUP(K93,$C$106:$F$138,4))</f>
        <v>0.728</v>
      </c>
      <c r="L95" s="450" t="n">
        <f aca="false">IF(L93="","",VLOOKUP(L93,$C$106:$F$138,4))</f>
        <v>0.152</v>
      </c>
      <c r="M95" s="450" t="n">
        <f aca="false">IF(M93="","",VLOOKUP(M93,$C$106:$F$138,4))</f>
        <v>0.46</v>
      </c>
      <c r="N95" s="450" t="n">
        <f aca="false">IF(N93="","",VLOOKUP(N93,$C$106:$F$138,4))</f>
        <v>0.625</v>
      </c>
      <c r="O95" s="450" t="n">
        <f aca="false">IF(O93="","",VLOOKUP(O93,$C$106:$F$138,4))</f>
        <v>4.55</v>
      </c>
      <c r="P95" s="450" t="n">
        <f aca="false">IF(P93="","",VLOOKUP(P93,$C$106:$F$138,4))</f>
        <v>3.65</v>
      </c>
      <c r="Q95" s="450" t="n">
        <f aca="false">IF(Q93="","",VLOOKUP(Q93,$C$106:$F$138,4))</f>
        <v>0.29</v>
      </c>
      <c r="R95" s="450" t="n">
        <f aca="false">IF(R93="","",VLOOKUP(R93,$C$106:$F$138,4))</f>
        <v>0.168</v>
      </c>
      <c r="S95" s="450" t="n">
        <f aca="false">IF(S93="","",VLOOKUP(S93,$C$106:$F$138,4))</f>
        <v>0.14</v>
      </c>
      <c r="T95" s="450"/>
      <c r="U95" s="450"/>
      <c r="V95" s="450"/>
      <c r="W95" s="450"/>
      <c r="X95" s="450"/>
      <c r="Y95" s="450"/>
      <c r="Z95" s="450"/>
      <c r="AA95" s="450"/>
      <c r="AB95" s="450"/>
      <c r="AD95" s="450"/>
      <c r="AE95" s="450"/>
      <c r="AF95" s="450"/>
      <c r="AG95" s="450"/>
      <c r="AH95" s="450"/>
      <c r="AI95" s="450"/>
      <c r="AJ95" s="450"/>
      <c r="AK95" s="450"/>
      <c r="AL95" s="450"/>
      <c r="AM95" s="450"/>
      <c r="AN95" s="450"/>
      <c r="AO95" s="450"/>
      <c r="AP95" s="450"/>
      <c r="AQ95" s="450"/>
    </row>
    <row r="96" customFormat="false" ht="15" hidden="false" customHeight="false" outlineLevel="0" collapsed="false">
      <c r="A96" s="510" t="s">
        <v>914</v>
      </c>
      <c r="B96" s="450" t="n">
        <f aca="false">IF(B93="","",VLOOKUP(B93,$C$106:$F$138,3))</f>
        <v>2982</v>
      </c>
      <c r="C96" s="450" t="str">
        <f aca="false">IF(C93="","",VLOOKUP(C93,$B$106:$F$138,3))</f>
        <v/>
      </c>
      <c r="D96" s="450" t="n">
        <f aca="false">IF(D93="","",VLOOKUP(D93,$C$106:$F$138,3))</f>
        <v>2980</v>
      </c>
      <c r="E96" s="450" t="n">
        <f aca="false">IF(E93="","",VLOOKUP(E93,$C$106:$F$138,3))</f>
        <v>2950</v>
      </c>
      <c r="F96" s="450" t="n">
        <f aca="false">IF(F93="","",VLOOKUP(F93,$C$106:$F$138,3))</f>
        <v>2950</v>
      </c>
      <c r="G96" s="450" t="n">
        <f aca="false">IF(G93="","",VLOOKUP(G93,$C$106:$F$138,3))</f>
        <v>2930</v>
      </c>
      <c r="H96" s="450" t="n">
        <f aca="false">IF(H93="","",VLOOKUP(H93,$C$106:$F$138,3))</f>
        <v>2980</v>
      </c>
      <c r="I96" s="450" t="n">
        <f aca="false">IF(I93="","",VLOOKUP(I93,$C$106:$F$138,3))</f>
        <v>2930</v>
      </c>
      <c r="J96" s="450" t="n">
        <f aca="false">IF(J93="","",VLOOKUP(J93,$C$106:$F$138,3))</f>
        <v>2980</v>
      </c>
      <c r="K96" s="450" t="n">
        <f aca="false">IF(K93="","",VLOOKUP(K93,$C$106:$F$138,3))</f>
        <v>2970</v>
      </c>
      <c r="L96" s="450" t="n">
        <f aca="false">IF(L93="","",VLOOKUP(L93,$C$106:$F$138,3))</f>
        <v>2930</v>
      </c>
      <c r="M96" s="450" t="n">
        <f aca="false">IF(M93="","",VLOOKUP(M93,$C$106:$F$138,3))</f>
        <v>2970</v>
      </c>
      <c r="N96" s="450" t="n">
        <f aca="false">IF(N93="","",VLOOKUP(N93,$C$106:$F$138,3))</f>
        <v>2970</v>
      </c>
      <c r="O96" s="450" t="n">
        <f aca="false">IF(O93="","",VLOOKUP(O93,$C$106:$F$138,3))</f>
        <v>2982</v>
      </c>
      <c r="P96" s="450" t="n">
        <f aca="false">IF(P93="","",VLOOKUP(P93,$C$106:$F$138,3))</f>
        <v>2980</v>
      </c>
      <c r="Q96" s="450" t="n">
        <f aca="false">IF(Q93="","",VLOOKUP(Q93,$C$106:$F$138,3))</f>
        <v>2950</v>
      </c>
      <c r="R96" s="450" t="n">
        <f aca="false">IF(R93="","",VLOOKUP(R93,$C$106:$F$138,3))</f>
        <v>2930</v>
      </c>
      <c r="S96" s="450" t="n">
        <f aca="false">IF(S93="","",VLOOKUP(S93,$C$106:$F$138,3))</f>
        <v>2930</v>
      </c>
      <c r="T96" s="450"/>
      <c r="U96" s="450"/>
      <c r="V96" s="450"/>
      <c r="W96" s="450"/>
      <c r="X96" s="450"/>
      <c r="Y96" s="450"/>
      <c r="Z96" s="450"/>
      <c r="AA96" s="450"/>
      <c r="AB96" s="450"/>
      <c r="AD96" s="450"/>
      <c r="AE96" s="450"/>
      <c r="AF96" s="450"/>
      <c r="AG96" s="450"/>
      <c r="AH96" s="450"/>
      <c r="AI96" s="450"/>
      <c r="AJ96" s="450"/>
      <c r="AK96" s="450"/>
      <c r="AL96" s="450"/>
      <c r="AM96" s="450"/>
      <c r="AN96" s="450"/>
      <c r="AO96" s="450"/>
      <c r="AP96" s="450"/>
      <c r="AQ96" s="450"/>
    </row>
    <row r="97" s="380" customFormat="true" ht="15" hidden="false" customHeight="false" outlineLevel="0" collapsed="false">
      <c r="A97" s="511" t="s">
        <v>277</v>
      </c>
      <c r="B97" s="512"/>
      <c r="C97" s="512"/>
      <c r="M97" s="512"/>
      <c r="N97" s="512"/>
      <c r="O97" s="512"/>
      <c r="P97" s="512"/>
      <c r="Q97" s="512"/>
      <c r="R97" s="512"/>
      <c r="S97" s="512"/>
      <c r="T97" s="512"/>
      <c r="AE97" s="512"/>
      <c r="AF97" s="512"/>
      <c r="AG97" s="512"/>
      <c r="AH97" s="512"/>
      <c r="AJ97" s="512"/>
      <c r="AK97" s="512"/>
      <c r="AL97" s="512"/>
      <c r="AM97" s="512"/>
      <c r="AN97" s="512"/>
    </row>
    <row r="98" customFormat="false" ht="15" hidden="false" customHeight="false" outlineLevel="0" collapsed="false">
      <c r="A98" s="380" t="s">
        <v>915</v>
      </c>
      <c r="B98" s="450" t="n">
        <f aca="false">(B27-B20-B39)*1000000/9.81/B19-B79-B82</f>
        <v>-5.91651673867927</v>
      </c>
      <c r="C98" s="450" t="n">
        <f aca="false">(C27-C20-C39)*1000000/9.81/C19-C79-C82</f>
        <v>-11.5614108753848</v>
      </c>
      <c r="D98" s="450" t="n">
        <f aca="false">(D27-D20-D39)*1000000/9.81/D19-D79-D82</f>
        <v>-4.85481892217462</v>
      </c>
      <c r="E98" s="450" t="n">
        <f aca="false">(E27-E20-E39)*1000000/9.81/E19-E79-E82</f>
        <v>27.9592039277639</v>
      </c>
      <c r="F98" s="450" t="n">
        <f aca="false">(F27-F20-F39)*1000000/9.81/F19-F79-F82</f>
        <v>-1.67737003058104</v>
      </c>
      <c r="G98" s="450" t="n">
        <f aca="false">(G27-G20-G39)*1000000/9.81/G19-G79-G82</f>
        <v>-9.36622315273474</v>
      </c>
      <c r="H98" s="450" t="n">
        <f aca="false">(H27-H20-H39)*1000000/9.81/H19-H79-H82</f>
        <v>15.7490455597327</v>
      </c>
      <c r="I98" s="450" t="n">
        <f aca="false">(I27-I20-I39)*1000000/9.81/I19-I79-I82</f>
        <v>-5.38737815513365</v>
      </c>
      <c r="J98" s="450" t="n">
        <f aca="false">(J27-J20-J39)*1000000/9.81/J19-J79-J82</f>
        <v>-27.202863886528</v>
      </c>
      <c r="K98" s="450" t="n">
        <f aca="false">(K27-K20-K39)*1000000/9.81/K19-K79-K82</f>
        <v>-5.8742981954657</v>
      </c>
      <c r="L98" s="450" t="n">
        <f aca="false">(L27-L20-L39)*1000000/9.81/L19-L79-L82</f>
        <v>-6.20230622175632</v>
      </c>
      <c r="M98" s="450" t="n">
        <f aca="false">(M27-M20-M39)*1000000/9.81/M19-M79-M82</f>
        <v>-8.78779789165613</v>
      </c>
      <c r="N98" s="450" t="n">
        <f aca="false">(N27-N20-N39)*1000000/9.81/N19-N79-N82</f>
        <v>-3.82647124790379</v>
      </c>
      <c r="O98" s="450" t="n">
        <f aca="false">(O27-O20-O39)*1000000/9.81/O19-O79-O82</f>
        <v>-6.38737457131951</v>
      </c>
      <c r="P98" s="450" t="n">
        <f aca="false">(P27-P20-P39)*1000000/9.81/P19-P79-P82</f>
        <v>-7.08275415170037</v>
      </c>
      <c r="Q98" s="450" t="n">
        <f aca="false">(Q27-Q20-Q39)*1000000/9.81/Q19-Q79-Q82</f>
        <v>-2.74167056892975</v>
      </c>
      <c r="R98" s="450" t="n">
        <f aca="false">(R27-R20-R39)*1000000/9.81/R19-R79-R82</f>
        <v>-2.39678070021275</v>
      </c>
      <c r="S98" s="450" t="n">
        <f aca="false">(S27-S20-S39)*1000000/9.81/S19-S79-S82</f>
        <v>-8.73155174233758</v>
      </c>
      <c r="T98" s="450"/>
      <c r="U98" s="450"/>
      <c r="V98" s="450"/>
      <c r="W98" s="450"/>
      <c r="X98" s="450"/>
      <c r="Y98" s="450"/>
      <c r="Z98" s="450"/>
      <c r="AA98" s="450"/>
      <c r="AB98" s="450"/>
      <c r="AD98" s="450"/>
      <c r="AE98" s="450"/>
      <c r="AF98" s="450"/>
      <c r="AG98" s="450"/>
      <c r="AH98" s="450"/>
      <c r="AI98" s="450"/>
      <c r="AJ98" s="450"/>
      <c r="AK98" s="450"/>
      <c r="AL98" s="450"/>
      <c r="AM98" s="450"/>
      <c r="AN98" s="450"/>
      <c r="AO98" s="450"/>
      <c r="AP98" s="450"/>
      <c r="AQ98" s="450"/>
    </row>
    <row r="99" customFormat="false" ht="15" hidden="false" customHeight="false" outlineLevel="0" collapsed="false">
      <c r="Q99" s="513" t="s">
        <v>916</v>
      </c>
      <c r="R99" s="513" t="s">
        <v>917</v>
      </c>
    </row>
    <row r="100" customFormat="false" ht="15" hidden="false" customHeight="false" outlineLevel="0" collapsed="false"/>
    <row r="101" customFormat="false" ht="15" hidden="false" customHeight="false" outlineLevel="0" collapsed="false">
      <c r="A101" s="447" t="s">
        <v>757</v>
      </c>
      <c r="B101" s="380" t="n">
        <v>108</v>
      </c>
      <c r="C101" s="380" t="n">
        <v>218</v>
      </c>
      <c r="D101" s="380" t="n">
        <v>203</v>
      </c>
      <c r="E101" s="380" t="n">
        <v>318</v>
      </c>
      <c r="G101" s="380" t="n">
        <v>523</v>
      </c>
      <c r="H101" s="380" t="n">
        <v>108</v>
      </c>
      <c r="I101" s="380" t="n">
        <v>416</v>
      </c>
      <c r="J101" s="380" t="n">
        <v>407</v>
      </c>
      <c r="K101" s="380" t="n">
        <v>504</v>
      </c>
      <c r="L101" s="380" t="n">
        <v>510</v>
      </c>
      <c r="M101" s="380" t="n">
        <v>511</v>
      </c>
      <c r="N101" s="380" t="n">
        <v>519</v>
      </c>
      <c r="O101" s="380" t="n">
        <v>500</v>
      </c>
      <c r="P101" s="380" t="n">
        <v>702</v>
      </c>
      <c r="Q101" s="380" t="n">
        <v>523</v>
      </c>
      <c r="R101" s="380" t="n">
        <v>710</v>
      </c>
    </row>
    <row r="102" customFormat="false" ht="15" hidden="false" customHeight="false" outlineLevel="0" collapsed="false">
      <c r="A102" s="514" t="s">
        <v>918</v>
      </c>
      <c r="B102" s="380" t="n">
        <v>109</v>
      </c>
      <c r="C102" s="380" t="n">
        <v>221</v>
      </c>
      <c r="D102" s="380" t="n">
        <v>204</v>
      </c>
      <c r="E102" s="380" t="n">
        <v>319</v>
      </c>
      <c r="I102" s="380" t="n">
        <v>417</v>
      </c>
      <c r="J102" s="380" t="n">
        <v>408</v>
      </c>
      <c r="K102" s="380" t="n">
        <v>505</v>
      </c>
      <c r="L102" s="380" t="n">
        <v>510</v>
      </c>
      <c r="M102" s="380" t="n">
        <v>512</v>
      </c>
      <c r="N102" s="380" t="n">
        <v>520</v>
      </c>
      <c r="O102" s="380" t="n">
        <v>501</v>
      </c>
      <c r="P102" s="380" t="n">
        <v>703</v>
      </c>
      <c r="Q102" s="380" t="n">
        <v>523</v>
      </c>
      <c r="R102" s="380" t="n">
        <v>710</v>
      </c>
    </row>
    <row r="103" customFormat="false" ht="15" hidden="false" customHeight="false" outlineLevel="0" collapsed="false"/>
    <row r="104" s="384" customFormat="true" ht="15" hidden="false" customHeight="false" outlineLevel="0" collapsed="false">
      <c r="A104" s="447"/>
      <c r="B104" s="468" t="s">
        <v>919</v>
      </c>
      <c r="C104" s="468"/>
      <c r="D104" s="468"/>
      <c r="E104" s="468"/>
      <c r="F104" s="468"/>
      <c r="G104" s="515"/>
      <c r="H104" s="515"/>
      <c r="I104" s="515"/>
      <c r="J104" s="515"/>
      <c r="K104" s="515"/>
      <c r="L104" s="515"/>
      <c r="M104" s="515"/>
    </row>
    <row r="105" s="384" customFormat="true" ht="15" hidden="false" customHeight="false" outlineLevel="0" collapsed="false">
      <c r="A105" s="514"/>
      <c r="B105" s="515"/>
      <c r="C105" s="515" t="s">
        <v>920</v>
      </c>
      <c r="D105" s="515" t="s">
        <v>921</v>
      </c>
      <c r="E105" s="515" t="s">
        <v>922</v>
      </c>
      <c r="F105" s="515" t="s">
        <v>923</v>
      </c>
      <c r="G105" s="515"/>
      <c r="H105" s="515"/>
      <c r="I105" s="515"/>
      <c r="J105" s="515"/>
      <c r="K105" s="515"/>
      <c r="L105" s="515"/>
      <c r="M105" s="515"/>
      <c r="AO105" s="515"/>
      <c r="AP105" s="515"/>
      <c r="AQ105" s="515"/>
    </row>
    <row r="106" s="384" customFormat="true" ht="15" hidden="false" customHeight="false" outlineLevel="0" collapsed="false">
      <c r="B106" s="515"/>
      <c r="C106" s="515" t="n">
        <v>0.18</v>
      </c>
      <c r="D106" s="515" t="s">
        <v>924</v>
      </c>
      <c r="E106" s="515" t="n">
        <v>2800</v>
      </c>
      <c r="F106" s="515"/>
      <c r="G106" s="515" t="n">
        <f aca="false">单相流管径核算!H25</f>
        <v>21.8839382636886</v>
      </c>
      <c r="H106" s="515" t="n">
        <f aca="false">单相流管径核算!I25</f>
        <v>18.0986421694161</v>
      </c>
      <c r="I106" s="515"/>
      <c r="J106" s="515"/>
      <c r="K106" s="515"/>
      <c r="L106" s="515"/>
      <c r="M106" s="515"/>
      <c r="AO106" s="515"/>
      <c r="AP106" s="515"/>
      <c r="AQ106" s="515"/>
    </row>
    <row r="107" s="384" customFormat="true" ht="15" hidden="false" customHeight="false" outlineLevel="0" collapsed="false">
      <c r="B107" s="515"/>
      <c r="C107" s="515" t="n">
        <v>0.25</v>
      </c>
      <c r="D107" s="515" t="s">
        <v>925</v>
      </c>
      <c r="E107" s="515" t="n">
        <v>2800</v>
      </c>
      <c r="F107" s="515"/>
      <c r="G107" s="515"/>
      <c r="H107" s="515"/>
      <c r="I107" s="515"/>
      <c r="J107" s="515"/>
      <c r="K107" s="515"/>
      <c r="L107" s="515"/>
      <c r="M107" s="515"/>
      <c r="AO107" s="515"/>
      <c r="AP107" s="515"/>
      <c r="AQ107" s="515"/>
    </row>
    <row r="108" s="384" customFormat="true" ht="15" hidden="false" customHeight="false" outlineLevel="0" collapsed="false">
      <c r="B108" s="515"/>
      <c r="C108" s="515" t="n">
        <v>0.37</v>
      </c>
      <c r="D108" s="515" t="s">
        <v>926</v>
      </c>
      <c r="E108" s="515" t="n">
        <v>2800</v>
      </c>
      <c r="F108" s="515"/>
      <c r="G108" s="515"/>
      <c r="H108" s="515"/>
      <c r="I108" s="515"/>
      <c r="J108" s="515"/>
      <c r="K108" s="515"/>
      <c r="L108" s="515"/>
      <c r="M108" s="515"/>
      <c r="AO108" s="515"/>
      <c r="AP108" s="515"/>
      <c r="AQ108" s="515"/>
    </row>
    <row r="109" s="384" customFormat="true" ht="15" hidden="false" customHeight="false" outlineLevel="0" collapsed="false">
      <c r="B109" s="515"/>
      <c r="C109" s="515" t="n">
        <v>0.55</v>
      </c>
      <c r="D109" s="515" t="s">
        <v>927</v>
      </c>
      <c r="E109" s="515" t="n">
        <v>2800</v>
      </c>
      <c r="F109" s="515"/>
      <c r="G109" s="515"/>
      <c r="H109" s="515"/>
      <c r="I109" s="515"/>
      <c r="J109" s="515"/>
      <c r="K109" s="515"/>
      <c r="L109" s="515"/>
      <c r="M109" s="515"/>
      <c r="AO109" s="515"/>
      <c r="AP109" s="515"/>
      <c r="AQ109" s="515"/>
    </row>
    <row r="110" s="384" customFormat="true" ht="15" hidden="false" customHeight="false" outlineLevel="0" collapsed="false">
      <c r="B110" s="515"/>
      <c r="C110" s="515" t="n">
        <v>0.75</v>
      </c>
      <c r="D110" s="515" t="s">
        <v>928</v>
      </c>
      <c r="E110" s="515" t="n">
        <v>2825</v>
      </c>
      <c r="F110" s="515" t="n">
        <v>0.022</v>
      </c>
      <c r="G110" s="515"/>
      <c r="H110" s="515"/>
      <c r="I110" s="515"/>
      <c r="J110" s="515"/>
      <c r="K110" s="515"/>
      <c r="L110" s="515"/>
      <c r="M110" s="515"/>
      <c r="AO110" s="515"/>
      <c r="AP110" s="515"/>
      <c r="AQ110" s="515"/>
    </row>
    <row r="111" s="384" customFormat="true" ht="15" hidden="false" customHeight="false" outlineLevel="0" collapsed="false">
      <c r="B111" s="515"/>
      <c r="C111" s="515" t="n">
        <v>1.1</v>
      </c>
      <c r="D111" s="515" t="s">
        <v>929</v>
      </c>
      <c r="E111" s="515" t="n">
        <v>2825</v>
      </c>
      <c r="F111" s="515" t="n">
        <v>0.024</v>
      </c>
      <c r="G111" s="515"/>
      <c r="H111" s="515"/>
      <c r="I111" s="515"/>
      <c r="J111" s="515"/>
      <c r="K111" s="515"/>
      <c r="L111" s="515"/>
      <c r="M111" s="515"/>
      <c r="AO111" s="515"/>
      <c r="AP111" s="515"/>
      <c r="AQ111" s="515"/>
    </row>
    <row r="112" s="384" customFormat="true" ht="15" hidden="false" customHeight="false" outlineLevel="0" collapsed="false">
      <c r="B112" s="515"/>
      <c r="C112" s="515" t="n">
        <v>1.5</v>
      </c>
      <c r="D112" s="515" t="s">
        <v>930</v>
      </c>
      <c r="E112" s="515" t="n">
        <v>2840</v>
      </c>
      <c r="F112" s="515" t="n">
        <v>0.033</v>
      </c>
      <c r="G112" s="515"/>
      <c r="H112" s="515"/>
      <c r="I112" s="515"/>
      <c r="J112" s="515"/>
      <c r="K112" s="515"/>
      <c r="L112" s="515"/>
      <c r="M112" s="515"/>
      <c r="AO112" s="515"/>
      <c r="AP112" s="515"/>
      <c r="AQ112" s="515"/>
    </row>
    <row r="113" s="384" customFormat="true" ht="15" hidden="false" customHeight="false" outlineLevel="0" collapsed="false">
      <c r="B113" s="515"/>
      <c r="C113" s="515" t="n">
        <v>2.2</v>
      </c>
      <c r="D113" s="515" t="s">
        <v>931</v>
      </c>
      <c r="E113" s="515" t="n">
        <v>2840</v>
      </c>
      <c r="F113" s="515" t="n">
        <v>0.037</v>
      </c>
      <c r="G113" s="515"/>
      <c r="H113" s="515"/>
      <c r="I113" s="515"/>
      <c r="J113" s="515"/>
      <c r="K113" s="515"/>
      <c r="L113" s="515"/>
      <c r="M113" s="515"/>
      <c r="AO113" s="515"/>
      <c r="AP113" s="515"/>
      <c r="AQ113" s="515"/>
    </row>
    <row r="114" s="384" customFormat="true" ht="15" hidden="false" customHeight="false" outlineLevel="0" collapsed="false">
      <c r="B114" s="515"/>
      <c r="C114" s="515" t="n">
        <v>3</v>
      </c>
      <c r="D114" s="515" t="s">
        <v>932</v>
      </c>
      <c r="E114" s="515" t="n">
        <v>2880</v>
      </c>
      <c r="F114" s="515" t="n">
        <v>0.043</v>
      </c>
      <c r="G114" s="515"/>
      <c r="H114" s="515"/>
      <c r="I114" s="515"/>
      <c r="J114" s="515"/>
      <c r="K114" s="515"/>
      <c r="L114" s="515"/>
      <c r="M114" s="515"/>
      <c r="AO114" s="515"/>
      <c r="AP114" s="515"/>
      <c r="AQ114" s="515"/>
    </row>
    <row r="115" s="384" customFormat="true" ht="15" hidden="false" customHeight="false" outlineLevel="0" collapsed="false">
      <c r="B115" s="515"/>
      <c r="C115" s="515" t="n">
        <v>4</v>
      </c>
      <c r="D115" s="515" t="s">
        <v>933</v>
      </c>
      <c r="E115" s="515" t="n">
        <v>2890</v>
      </c>
      <c r="F115" s="515" t="n">
        <v>0.054</v>
      </c>
      <c r="G115" s="515"/>
      <c r="H115" s="515"/>
      <c r="I115" s="515"/>
      <c r="J115" s="515"/>
      <c r="K115" s="515"/>
      <c r="L115" s="515"/>
      <c r="M115" s="515"/>
      <c r="AO115" s="515"/>
      <c r="AP115" s="515"/>
      <c r="AQ115" s="515"/>
    </row>
    <row r="116" s="384" customFormat="true" ht="15" hidden="false" customHeight="false" outlineLevel="0" collapsed="false">
      <c r="B116" s="515"/>
      <c r="C116" s="515" t="n">
        <v>5.5</v>
      </c>
      <c r="D116" s="515" t="s">
        <v>934</v>
      </c>
      <c r="E116" s="515" t="n">
        <v>2900</v>
      </c>
      <c r="F116" s="515" t="n">
        <v>0.079</v>
      </c>
      <c r="G116" s="515"/>
      <c r="H116" s="515"/>
      <c r="I116" s="515"/>
      <c r="J116" s="515"/>
      <c r="K116" s="515"/>
      <c r="L116" s="515"/>
      <c r="M116" s="515"/>
      <c r="AO116" s="515"/>
      <c r="AP116" s="515"/>
      <c r="AQ116" s="515"/>
    </row>
    <row r="117" s="384" customFormat="true" ht="15" hidden="false" customHeight="false" outlineLevel="0" collapsed="false">
      <c r="B117" s="515"/>
      <c r="C117" s="515" t="n">
        <v>7.5</v>
      </c>
      <c r="D117" s="515" t="s">
        <v>935</v>
      </c>
      <c r="E117" s="515" t="n">
        <v>2900</v>
      </c>
      <c r="F117" s="515" t="n">
        <v>0.087</v>
      </c>
      <c r="G117" s="515"/>
      <c r="H117" s="515"/>
      <c r="I117" s="515"/>
      <c r="J117" s="515"/>
      <c r="K117" s="515"/>
      <c r="L117" s="515"/>
      <c r="M117" s="515"/>
      <c r="AO117" s="515"/>
      <c r="AP117" s="515"/>
      <c r="AQ117" s="515"/>
    </row>
    <row r="118" s="384" customFormat="true" ht="15" hidden="false" customHeight="false" outlineLevel="0" collapsed="false">
      <c r="B118" s="515"/>
      <c r="C118" s="515" t="n">
        <v>11</v>
      </c>
      <c r="D118" s="515" t="s">
        <v>936</v>
      </c>
      <c r="E118" s="515" t="n">
        <v>2930</v>
      </c>
      <c r="F118" s="515" t="n">
        <v>0.14</v>
      </c>
      <c r="G118" s="515"/>
      <c r="H118" s="515"/>
      <c r="I118" s="515"/>
      <c r="J118" s="515"/>
      <c r="K118" s="515"/>
      <c r="L118" s="515"/>
      <c r="M118" s="515"/>
      <c r="AO118" s="515"/>
      <c r="AP118" s="515"/>
      <c r="AQ118" s="515"/>
    </row>
    <row r="119" s="384" customFormat="true" ht="15" hidden="false" customHeight="false" outlineLevel="0" collapsed="false">
      <c r="B119" s="515"/>
      <c r="C119" s="515" t="n">
        <v>15</v>
      </c>
      <c r="D119" s="515" t="s">
        <v>937</v>
      </c>
      <c r="E119" s="515" t="n">
        <v>2930</v>
      </c>
      <c r="F119" s="515" t="n">
        <v>0.152</v>
      </c>
      <c r="G119" s="515"/>
      <c r="H119" s="515"/>
      <c r="I119" s="515"/>
      <c r="J119" s="515"/>
      <c r="K119" s="515"/>
      <c r="L119" s="515"/>
      <c r="M119" s="515"/>
      <c r="AO119" s="515"/>
      <c r="AP119" s="515"/>
      <c r="AQ119" s="515"/>
    </row>
    <row r="120" s="384" customFormat="true" ht="15" hidden="false" customHeight="false" outlineLevel="0" collapsed="false">
      <c r="B120" s="515"/>
      <c r="C120" s="515" t="n">
        <v>18.5</v>
      </c>
      <c r="D120" s="515" t="s">
        <v>938</v>
      </c>
      <c r="E120" s="515" t="n">
        <v>2930</v>
      </c>
      <c r="F120" s="515" t="n">
        <v>0.168</v>
      </c>
      <c r="G120" s="515"/>
      <c r="H120" s="515"/>
      <c r="I120" s="515"/>
      <c r="J120" s="515"/>
      <c r="K120" s="515"/>
      <c r="L120" s="515"/>
      <c r="M120" s="515"/>
      <c r="AO120" s="515"/>
      <c r="AP120" s="515"/>
      <c r="AQ120" s="515"/>
    </row>
    <row r="121" s="384" customFormat="true" ht="15" hidden="false" customHeight="false" outlineLevel="0" collapsed="false">
      <c r="B121" s="515"/>
      <c r="C121" s="515" t="n">
        <v>22</v>
      </c>
      <c r="D121" s="515" t="s">
        <v>939</v>
      </c>
      <c r="E121" s="515" t="n">
        <v>2940</v>
      </c>
      <c r="F121" s="515" t="n">
        <v>0.22</v>
      </c>
      <c r="G121" s="515"/>
      <c r="H121" s="515"/>
      <c r="I121" s="515"/>
      <c r="J121" s="515"/>
      <c r="K121" s="515"/>
      <c r="L121" s="515"/>
      <c r="M121" s="515"/>
      <c r="AO121" s="515"/>
      <c r="AP121" s="515"/>
      <c r="AQ121" s="515"/>
    </row>
    <row r="122" s="384" customFormat="true" ht="15" hidden="false" customHeight="false" outlineLevel="0" collapsed="false">
      <c r="B122" s="515"/>
      <c r="C122" s="515" t="n">
        <v>30</v>
      </c>
      <c r="D122" s="515" t="s">
        <v>940</v>
      </c>
      <c r="E122" s="515" t="n">
        <v>2950</v>
      </c>
      <c r="F122" s="515" t="n">
        <v>0.29</v>
      </c>
      <c r="G122" s="515"/>
      <c r="H122" s="515"/>
      <c r="I122" s="515"/>
      <c r="J122" s="515"/>
      <c r="K122" s="515"/>
      <c r="L122" s="515"/>
      <c r="M122" s="515"/>
      <c r="AO122" s="515"/>
      <c r="AP122" s="515"/>
      <c r="AQ122" s="515"/>
    </row>
    <row r="123" s="384" customFormat="true" ht="15" hidden="false" customHeight="false" outlineLevel="0" collapsed="false">
      <c r="B123" s="515"/>
      <c r="C123" s="515" t="n">
        <v>37</v>
      </c>
      <c r="D123" s="515" t="s">
        <v>941</v>
      </c>
      <c r="E123" s="515" t="n">
        <v>2950</v>
      </c>
      <c r="F123" s="515" t="n">
        <v>0.305</v>
      </c>
      <c r="G123" s="515"/>
      <c r="H123" s="515"/>
      <c r="I123" s="515"/>
      <c r="J123" s="515"/>
      <c r="K123" s="515"/>
      <c r="L123" s="515"/>
      <c r="M123" s="515"/>
      <c r="AO123" s="515"/>
      <c r="AP123" s="515"/>
      <c r="AQ123" s="515"/>
    </row>
    <row r="124" s="384" customFormat="true" ht="15" hidden="false" customHeight="false" outlineLevel="0" collapsed="false">
      <c r="B124" s="515"/>
      <c r="C124" s="515" t="n">
        <v>45</v>
      </c>
      <c r="D124" s="515" t="s">
        <v>942</v>
      </c>
      <c r="E124" s="515" t="n">
        <v>2970</v>
      </c>
      <c r="F124" s="515" t="n">
        <v>0.4</v>
      </c>
      <c r="G124" s="515"/>
      <c r="H124" s="515"/>
      <c r="I124" s="515"/>
      <c r="J124" s="515"/>
      <c r="K124" s="515"/>
      <c r="L124" s="515"/>
      <c r="M124" s="515"/>
      <c r="AO124" s="515"/>
      <c r="AP124" s="515"/>
      <c r="AQ124" s="515"/>
    </row>
    <row r="125" s="384" customFormat="true" ht="15" hidden="false" customHeight="false" outlineLevel="0" collapsed="false">
      <c r="B125" s="515"/>
      <c r="C125" s="515" t="n">
        <v>55</v>
      </c>
      <c r="D125" s="515" t="s">
        <v>943</v>
      </c>
      <c r="E125" s="515" t="n">
        <v>2970</v>
      </c>
      <c r="F125" s="515" t="n">
        <v>0.46</v>
      </c>
      <c r="G125" s="515"/>
      <c r="H125" s="515"/>
      <c r="I125" s="515"/>
      <c r="J125" s="515"/>
      <c r="K125" s="515"/>
      <c r="L125" s="515"/>
      <c r="M125" s="515"/>
      <c r="AO125" s="515"/>
      <c r="AP125" s="515"/>
      <c r="AQ125" s="515"/>
    </row>
    <row r="126" s="384" customFormat="true" ht="15" hidden="false" customHeight="false" outlineLevel="0" collapsed="false">
      <c r="B126" s="515"/>
      <c r="C126" s="515" t="n">
        <v>75</v>
      </c>
      <c r="D126" s="515" t="s">
        <v>944</v>
      </c>
      <c r="E126" s="515" t="n">
        <v>2970</v>
      </c>
      <c r="F126" s="515" t="n">
        <v>0.625</v>
      </c>
      <c r="G126" s="515"/>
      <c r="H126" s="515"/>
      <c r="I126" s="515"/>
      <c r="J126" s="515"/>
      <c r="K126" s="515"/>
      <c r="L126" s="515"/>
      <c r="M126" s="515"/>
      <c r="AO126" s="515"/>
      <c r="AP126" s="515"/>
      <c r="AQ126" s="515"/>
    </row>
    <row r="127" s="384" customFormat="true" ht="15" hidden="false" customHeight="false" outlineLevel="0" collapsed="false">
      <c r="B127" s="515"/>
      <c r="C127" s="515" t="n">
        <v>90</v>
      </c>
      <c r="D127" s="515" t="s">
        <v>945</v>
      </c>
      <c r="E127" s="515" t="n">
        <v>2970</v>
      </c>
      <c r="F127" s="515" t="n">
        <v>0.728</v>
      </c>
      <c r="G127" s="515"/>
      <c r="H127" s="515"/>
      <c r="I127" s="515"/>
      <c r="J127" s="515"/>
      <c r="K127" s="515"/>
      <c r="L127" s="515"/>
      <c r="M127" s="515"/>
      <c r="AO127" s="515"/>
      <c r="AP127" s="515"/>
      <c r="AQ127" s="515"/>
    </row>
    <row r="128" s="384" customFormat="true" ht="15" hidden="false" customHeight="false" outlineLevel="0" collapsed="false">
      <c r="B128" s="515"/>
      <c r="C128" s="515" t="n">
        <v>110</v>
      </c>
      <c r="D128" s="515" t="s">
        <v>946</v>
      </c>
      <c r="E128" s="515" t="n">
        <v>2980</v>
      </c>
      <c r="F128" s="515" t="n">
        <v>1.1</v>
      </c>
      <c r="G128" s="515"/>
      <c r="H128" s="515"/>
      <c r="I128" s="515"/>
      <c r="J128" s="515"/>
      <c r="K128" s="515"/>
      <c r="L128" s="515"/>
      <c r="M128" s="515"/>
      <c r="AO128" s="515"/>
      <c r="AP128" s="515"/>
      <c r="AQ128" s="515"/>
    </row>
    <row r="129" s="384" customFormat="true" ht="15" hidden="false" customHeight="false" outlineLevel="0" collapsed="false">
      <c r="B129" s="515"/>
      <c r="C129" s="515" t="n">
        <v>132</v>
      </c>
      <c r="D129" s="515" t="s">
        <v>947</v>
      </c>
      <c r="E129" s="515" t="n">
        <v>2980</v>
      </c>
      <c r="F129" s="515" t="n">
        <v>1.16</v>
      </c>
      <c r="G129" s="515"/>
      <c r="H129" s="515"/>
      <c r="I129" s="515"/>
      <c r="J129" s="515"/>
      <c r="K129" s="515"/>
      <c r="L129" s="515"/>
      <c r="M129" s="515"/>
      <c r="AO129" s="515"/>
      <c r="AP129" s="515"/>
      <c r="AQ129" s="515"/>
    </row>
    <row r="130" s="384" customFormat="true" ht="15" hidden="false" customHeight="false" outlineLevel="0" collapsed="false">
      <c r="B130" s="515"/>
      <c r="C130" s="515" t="n">
        <v>160</v>
      </c>
      <c r="D130" s="515" t="s">
        <v>948</v>
      </c>
      <c r="E130" s="515" t="n">
        <v>2980</v>
      </c>
      <c r="F130" s="515" t="n">
        <v>1.35</v>
      </c>
      <c r="G130" s="515"/>
      <c r="H130" s="515"/>
      <c r="I130" s="515"/>
      <c r="J130" s="515"/>
      <c r="K130" s="515"/>
      <c r="L130" s="515"/>
      <c r="M130" s="515"/>
      <c r="AO130" s="515"/>
      <c r="AP130" s="515"/>
      <c r="AQ130" s="515"/>
    </row>
    <row r="131" s="384" customFormat="true" ht="15" hidden="false" customHeight="false" outlineLevel="0" collapsed="false">
      <c r="B131" s="515"/>
      <c r="C131" s="515" t="n">
        <v>185</v>
      </c>
      <c r="D131" s="515" t="s">
        <v>949</v>
      </c>
      <c r="E131" s="515" t="n">
        <v>2980</v>
      </c>
      <c r="F131" s="515" t="n">
        <v>1.5</v>
      </c>
      <c r="G131" s="515"/>
      <c r="H131" s="515"/>
      <c r="I131" s="515"/>
      <c r="J131" s="515"/>
      <c r="K131" s="515"/>
      <c r="L131" s="515"/>
      <c r="M131" s="515"/>
      <c r="AO131" s="515"/>
      <c r="AP131" s="515"/>
      <c r="AQ131" s="515"/>
    </row>
    <row r="132" s="384" customFormat="true" ht="15" hidden="false" customHeight="false" outlineLevel="0" collapsed="false">
      <c r="B132" s="515"/>
      <c r="C132" s="515" t="n">
        <v>200</v>
      </c>
      <c r="D132" s="515" t="s">
        <v>950</v>
      </c>
      <c r="E132" s="515" t="n">
        <v>2980</v>
      </c>
      <c r="F132" s="515" t="n">
        <v>3.4</v>
      </c>
      <c r="G132" s="515"/>
      <c r="H132" s="515"/>
      <c r="I132" s="515"/>
      <c r="J132" s="515"/>
      <c r="K132" s="515"/>
      <c r="L132" s="515"/>
      <c r="M132" s="515"/>
      <c r="AO132" s="515"/>
      <c r="AP132" s="515"/>
      <c r="AQ132" s="515"/>
    </row>
    <row r="133" s="384" customFormat="true" ht="15" hidden="false" customHeight="false" outlineLevel="0" collapsed="false">
      <c r="B133" s="515"/>
      <c r="C133" s="515" t="n">
        <v>220</v>
      </c>
      <c r="D133" s="515" t="s">
        <v>951</v>
      </c>
      <c r="E133" s="515" t="n">
        <v>2980</v>
      </c>
      <c r="F133" s="515" t="n">
        <v>3.5</v>
      </c>
      <c r="G133" s="515"/>
      <c r="H133" s="515"/>
      <c r="I133" s="515"/>
      <c r="J133" s="515"/>
      <c r="K133" s="515"/>
      <c r="L133" s="515"/>
      <c r="M133" s="515"/>
      <c r="AO133" s="515"/>
      <c r="AP133" s="515"/>
      <c r="AQ133" s="515"/>
    </row>
    <row r="134" s="384" customFormat="true" ht="15" hidden="false" customHeight="false" outlineLevel="0" collapsed="false">
      <c r="B134" s="516"/>
      <c r="C134" s="516" t="n">
        <v>250</v>
      </c>
      <c r="D134" s="516" t="s">
        <v>952</v>
      </c>
      <c r="E134" s="516" t="n">
        <v>2980</v>
      </c>
      <c r="F134" s="516" t="n">
        <v>3.65</v>
      </c>
      <c r="G134" s="515"/>
      <c r="H134" s="515"/>
      <c r="I134" s="515"/>
      <c r="J134" s="515"/>
      <c r="K134" s="515"/>
      <c r="L134" s="515"/>
      <c r="M134" s="515"/>
      <c r="AO134" s="515"/>
      <c r="AP134" s="515"/>
      <c r="AQ134" s="515"/>
    </row>
    <row r="135" s="384" customFormat="true" ht="15" hidden="false" customHeight="false" outlineLevel="0" collapsed="false">
      <c r="B135" s="516"/>
      <c r="C135" s="516" t="n">
        <v>280</v>
      </c>
      <c r="D135" s="516" t="s">
        <v>953</v>
      </c>
      <c r="E135" s="516" t="n">
        <v>2980</v>
      </c>
      <c r="F135" s="516" t="n">
        <v>3.8</v>
      </c>
      <c r="G135" s="515"/>
      <c r="H135" s="515"/>
      <c r="I135" s="515"/>
      <c r="J135" s="515"/>
      <c r="K135" s="515"/>
      <c r="L135" s="515"/>
      <c r="M135" s="515"/>
      <c r="AO135" s="515"/>
      <c r="AP135" s="515"/>
      <c r="AQ135" s="515"/>
    </row>
    <row r="136" s="384" customFormat="true" ht="15" hidden="false" customHeight="false" outlineLevel="0" collapsed="false">
      <c r="B136" s="516"/>
      <c r="C136" s="516" t="n">
        <v>315</v>
      </c>
      <c r="D136" s="516" t="s">
        <v>954</v>
      </c>
      <c r="E136" s="516" t="n">
        <v>2980</v>
      </c>
      <c r="F136" s="516" t="n">
        <v>4</v>
      </c>
      <c r="G136" s="515"/>
      <c r="H136" s="515"/>
      <c r="I136" s="515"/>
      <c r="J136" s="515"/>
      <c r="K136" s="515"/>
      <c r="L136" s="515"/>
      <c r="M136" s="515"/>
      <c r="AO136" s="515"/>
      <c r="AP136" s="515"/>
      <c r="AQ136" s="515"/>
    </row>
    <row r="137" s="384" customFormat="true" ht="15" hidden="false" customHeight="false" outlineLevel="0" collapsed="false">
      <c r="B137" s="516"/>
      <c r="C137" s="516" t="n">
        <v>355</v>
      </c>
      <c r="D137" s="516" t="s">
        <v>955</v>
      </c>
      <c r="E137" s="516" t="n">
        <v>2982</v>
      </c>
      <c r="F137" s="516" t="n">
        <v>4.55</v>
      </c>
      <c r="G137" s="515"/>
      <c r="H137" s="515"/>
      <c r="I137" s="515"/>
      <c r="J137" s="515"/>
      <c r="K137" s="515"/>
      <c r="L137" s="515"/>
      <c r="M137" s="515"/>
      <c r="AO137" s="515"/>
      <c r="AP137" s="515"/>
      <c r="AQ137" s="515"/>
    </row>
    <row r="138" s="384" customFormat="true" ht="15" hidden="false" customHeight="false" outlineLevel="0" collapsed="false">
      <c r="B138" s="516"/>
      <c r="C138" s="516" t="n">
        <v>400</v>
      </c>
      <c r="D138" s="516" t="s">
        <v>956</v>
      </c>
      <c r="E138" s="516" t="n">
        <v>2982</v>
      </c>
      <c r="F138" s="516" t="n">
        <v>4.7</v>
      </c>
      <c r="G138" s="515"/>
      <c r="H138" s="515"/>
      <c r="I138" s="515"/>
      <c r="J138" s="515"/>
      <c r="K138" s="515"/>
      <c r="L138" s="515"/>
      <c r="M138" s="515"/>
      <c r="AO138" s="515"/>
      <c r="AP138" s="515"/>
      <c r="AQ138" s="515"/>
    </row>
    <row r="139" customFormat="false" ht="15" hidden="false" customHeight="false" outlineLevel="0" collapsed="false">
      <c r="B139" s="515"/>
      <c r="C139" s="515" t="n">
        <v>450</v>
      </c>
      <c r="D139" s="515" t="s">
        <v>957</v>
      </c>
      <c r="E139" s="515" t="n">
        <v>2982</v>
      </c>
      <c r="F139" s="515" t="n">
        <v>4.95</v>
      </c>
      <c r="AO139" s="515"/>
      <c r="AP139" s="515"/>
      <c r="AQ139" s="515"/>
    </row>
    <row r="140" customFormat="false" ht="15" hidden="false" customHeight="false" outlineLevel="0" collapsed="false">
      <c r="B140" s="515"/>
      <c r="C140" s="515" t="n">
        <v>500</v>
      </c>
      <c r="D140" s="515" t="s">
        <v>958</v>
      </c>
      <c r="E140" s="515" t="n">
        <v>2982</v>
      </c>
      <c r="F140" s="515" t="n">
        <v>5.1</v>
      </c>
      <c r="AO140" s="515"/>
      <c r="AP140" s="515"/>
      <c r="AQ140" s="515"/>
    </row>
    <row r="141" customFormat="false" ht="15" hidden="false" customHeight="false" outlineLevel="0" collapsed="false">
      <c r="B141" s="515"/>
      <c r="C141" s="515" t="n">
        <v>560</v>
      </c>
      <c r="D141" s="515" t="s">
        <v>959</v>
      </c>
      <c r="E141" s="515" t="n">
        <v>2985</v>
      </c>
      <c r="F141" s="515" t="n">
        <v>5.75</v>
      </c>
      <c r="AO141" s="515"/>
      <c r="AP141" s="515"/>
      <c r="AQ141" s="515"/>
    </row>
    <row r="142" customFormat="false" ht="15" hidden="false" customHeight="false" outlineLevel="0" collapsed="false">
      <c r="B142" s="515"/>
      <c r="C142" s="515" t="n">
        <v>630</v>
      </c>
      <c r="D142" s="515" t="s">
        <v>960</v>
      </c>
      <c r="E142" s="515" t="n">
        <v>2985</v>
      </c>
      <c r="F142" s="515" t="n">
        <v>5.9</v>
      </c>
      <c r="AO142" s="515"/>
      <c r="AP142" s="515"/>
      <c r="AQ142" s="515"/>
    </row>
    <row r="143" customFormat="false" ht="15" hidden="false" customHeight="false" outlineLevel="0" collapsed="false">
      <c r="B143" s="515"/>
      <c r="C143" s="515" t="n">
        <v>710</v>
      </c>
      <c r="D143" s="515" t="s">
        <v>961</v>
      </c>
      <c r="E143" s="515" t="n">
        <v>2985</v>
      </c>
      <c r="F143" s="515" t="n">
        <v>6.1</v>
      </c>
      <c r="AO143" s="515"/>
      <c r="AP143" s="515"/>
      <c r="AQ143" s="515"/>
    </row>
    <row r="144" customFormat="false" ht="15" hidden="false" customHeight="false" outlineLevel="0" collapsed="false">
      <c r="B144" s="515"/>
      <c r="C144" s="515" t="n">
        <v>800</v>
      </c>
      <c r="D144" s="515" t="s">
        <v>962</v>
      </c>
      <c r="E144" s="515" t="n">
        <v>2985</v>
      </c>
      <c r="F144" s="515" t="n">
        <v>6.35</v>
      </c>
      <c r="AO144" s="515"/>
      <c r="AP144" s="515"/>
      <c r="AQ144" s="515"/>
    </row>
    <row r="145" customFormat="false" ht="15" hidden="false" customHeight="false" outlineLevel="0" collapsed="false">
      <c r="B145" s="515"/>
      <c r="C145" s="515" t="n">
        <v>900</v>
      </c>
      <c r="D145" s="515" t="s">
        <v>963</v>
      </c>
      <c r="E145" s="515" t="n">
        <v>2985</v>
      </c>
      <c r="F145" s="515" t="n">
        <v>6.65</v>
      </c>
      <c r="AO145" s="515"/>
      <c r="AP145" s="515"/>
      <c r="AQ145" s="515"/>
    </row>
    <row r="146" customFormat="false" ht="15" hidden="false" customHeight="false" outlineLevel="0" collapsed="false">
      <c r="B146" s="515"/>
      <c r="C146" s="515" t="n">
        <v>1000</v>
      </c>
      <c r="D146" s="515" t="s">
        <v>964</v>
      </c>
      <c r="E146" s="515" t="n">
        <v>2988</v>
      </c>
      <c r="F146" s="515" t="n">
        <v>8.3</v>
      </c>
      <c r="AO146" s="515"/>
      <c r="AP146" s="515"/>
      <c r="AQ146" s="515"/>
    </row>
    <row r="147" customFormat="false" ht="15" hidden="false" customHeight="false" outlineLevel="0" collapsed="false">
      <c r="B147" s="515"/>
      <c r="C147" s="515" t="n">
        <v>1120</v>
      </c>
      <c r="D147" s="515" t="s">
        <v>965</v>
      </c>
      <c r="E147" s="515" t="n">
        <v>2988</v>
      </c>
      <c r="F147" s="515" t="n">
        <v>8.5</v>
      </c>
      <c r="AO147" s="515"/>
      <c r="AP147" s="515"/>
      <c r="AQ147" s="515"/>
    </row>
    <row r="148" customFormat="false" ht="15" hidden="false" customHeight="false" outlineLevel="0" collapsed="false">
      <c r="B148" s="515"/>
      <c r="C148" s="515" t="n">
        <v>1250</v>
      </c>
      <c r="D148" s="515" t="s">
        <v>966</v>
      </c>
      <c r="E148" s="515" t="n">
        <v>2988</v>
      </c>
      <c r="F148" s="515" t="n">
        <v>8.75</v>
      </c>
      <c r="AO148" s="515"/>
      <c r="AP148" s="515"/>
      <c r="AQ148" s="515"/>
    </row>
    <row r="149" customFormat="false" ht="15" hidden="false" customHeight="false" outlineLevel="0" collapsed="false">
      <c r="B149" s="515"/>
      <c r="C149" s="515" t="n">
        <v>2500</v>
      </c>
      <c r="D149" s="515"/>
      <c r="E149" s="515"/>
      <c r="F149" s="515" t="n">
        <v>2</v>
      </c>
      <c r="AO149" s="515"/>
      <c r="AP149" s="515"/>
      <c r="AQ149" s="515"/>
    </row>
    <row r="150" customFormat="false" ht="15" hidden="false" customHeight="false" outlineLevel="0" collapsed="false">
      <c r="B150" s="515"/>
      <c r="C150" s="515" t="n">
        <v>1400</v>
      </c>
      <c r="D150" s="515" t="s">
        <v>967</v>
      </c>
      <c r="E150" s="515" t="n">
        <v>2988</v>
      </c>
      <c r="F150" s="515" t="n">
        <v>9</v>
      </c>
      <c r="AO150" s="515"/>
      <c r="AP150" s="515"/>
      <c r="AQ150" s="515"/>
    </row>
  </sheetData>
  <mergeCells count="1">
    <mergeCell ref="B104:F104"/>
  </mergeCells>
  <conditionalFormatting sqref="S73">
    <cfRule type="cellIs" priority="2" operator="lessThan" aboveAverage="0" equalAverage="0" bottom="0" percent="0" rank="0" text="" dxfId="346">
      <formula>S64</formula>
    </cfRule>
  </conditionalFormatting>
  <conditionalFormatting sqref="S71">
    <cfRule type="cellIs" priority="3" operator="lessThan" aboveAverage="0" equalAverage="0" bottom="0" percent="0" rank="0" text="" dxfId="347">
      <formula>S63</formula>
    </cfRule>
  </conditionalFormatting>
  <conditionalFormatting sqref="S70">
    <cfRule type="cellIs" priority="4" operator="lessThan" aboveAverage="0" equalAverage="0" bottom="0" percent="0" rank="0" text="" dxfId="348">
      <formula>MAX(S63:S64)</formula>
    </cfRule>
  </conditionalFormatting>
  <conditionalFormatting sqref="S78">
    <cfRule type="expression" priority="5" aboveAverage="0" equalAverage="0" bottom="0" percent="0" rank="0" text="" dxfId="349">
      <formula>S79&gt;S81</formula>
    </cfRule>
  </conditionalFormatting>
  <conditionalFormatting sqref="S68">
    <cfRule type="cellIs" priority="6" operator="lessThan" aboveAverage="0" equalAverage="0" bottom="0" percent="0" rank="0" text="" dxfId="350">
      <formula>MAX(S62:S63)</formula>
    </cfRule>
  </conditionalFormatting>
  <conditionalFormatting sqref="S86 S88:S90">
    <cfRule type="duplicateValues" priority="7" aboveAverage="0" equalAverage="0" bottom="0" percent="0" rank="0" text="" dxfId="351"/>
  </conditionalFormatting>
  <conditionalFormatting sqref="C73">
    <cfRule type="cellIs" priority="8" operator="lessThan" aboveAverage="0" equalAverage="0" bottom="0" percent="0" rank="0" text="" dxfId="352">
      <formula>C64</formula>
    </cfRule>
  </conditionalFormatting>
  <conditionalFormatting sqref="C71">
    <cfRule type="cellIs" priority="9" operator="lessThan" aboveAverage="0" equalAverage="0" bottom="0" percent="0" rank="0" text="" dxfId="353">
      <formula>C63</formula>
    </cfRule>
  </conditionalFormatting>
  <conditionalFormatting sqref="C70">
    <cfRule type="cellIs" priority="10" operator="lessThan" aboveAverage="0" equalAverage="0" bottom="0" percent="0" rank="0" text="" dxfId="354">
      <formula>MAX(C63:C64)</formula>
    </cfRule>
  </conditionalFormatting>
  <conditionalFormatting sqref="C78">
    <cfRule type="expression" priority="11" aboveAverage="0" equalAverage="0" bottom="0" percent="0" rank="0" text="" dxfId="355">
      <formula>C79&gt;C81</formula>
    </cfRule>
  </conditionalFormatting>
  <conditionalFormatting sqref="C68">
    <cfRule type="cellIs" priority="12" operator="lessThan" aboveAverage="0" equalAverage="0" bottom="0" percent="0" rank="0" text="" dxfId="356">
      <formula>MAX(C62:C63)</formula>
    </cfRule>
  </conditionalFormatting>
  <conditionalFormatting sqref="C88:C90">
    <cfRule type="duplicateValues" priority="13" aboveAverage="0" equalAverage="0" bottom="0" percent="0" rank="0" text="" dxfId="357"/>
  </conditionalFormatting>
  <conditionalFormatting sqref="R73">
    <cfRule type="cellIs" priority="14" operator="lessThan" aboveAverage="0" equalAverage="0" bottom="0" percent="0" rank="0" text="" dxfId="358">
      <formula>R64</formula>
    </cfRule>
  </conditionalFormatting>
  <conditionalFormatting sqref="R71">
    <cfRule type="cellIs" priority="15" operator="lessThan" aboveAverage="0" equalAverage="0" bottom="0" percent="0" rank="0" text="" dxfId="359">
      <formula>R63</formula>
    </cfRule>
  </conditionalFormatting>
  <conditionalFormatting sqref="R70">
    <cfRule type="cellIs" priority="16" operator="lessThan" aboveAverage="0" equalAverage="0" bottom="0" percent="0" rank="0" text="" dxfId="360">
      <formula>MAX(R63:R64)</formula>
    </cfRule>
  </conditionalFormatting>
  <conditionalFormatting sqref="R78">
    <cfRule type="expression" priority="17" aboveAverage="0" equalAverage="0" bottom="0" percent="0" rank="0" text="" dxfId="361">
      <formula>R79&gt;R81</formula>
    </cfRule>
  </conditionalFormatting>
  <conditionalFormatting sqref="R68">
    <cfRule type="cellIs" priority="18" operator="lessThan" aboveAverage="0" equalAverage="0" bottom="0" percent="0" rank="0" text="" dxfId="362">
      <formula>MAX(R62:R63)</formula>
    </cfRule>
  </conditionalFormatting>
  <conditionalFormatting sqref="R86 R88:R90">
    <cfRule type="duplicateValues" priority="19" aboveAverage="0" equalAverage="0" bottom="0" percent="0" rank="0" text="" dxfId="363"/>
  </conditionalFormatting>
  <conditionalFormatting sqref="G73">
    <cfRule type="cellIs" priority="20" operator="lessThan" aboveAverage="0" equalAverage="0" bottom="0" percent="0" rank="0" text="" dxfId="364">
      <formula>G64</formula>
    </cfRule>
  </conditionalFormatting>
  <conditionalFormatting sqref="G71">
    <cfRule type="cellIs" priority="21" operator="lessThan" aboveAverage="0" equalAverage="0" bottom="0" percent="0" rank="0" text="" dxfId="365">
      <formula>G63</formula>
    </cfRule>
  </conditionalFormatting>
  <conditionalFormatting sqref="G70">
    <cfRule type="cellIs" priority="22" operator="lessThan" aboveAverage="0" equalAverage="0" bottom="0" percent="0" rank="0" text="" dxfId="366">
      <formula>MAX(G63:G64)</formula>
    </cfRule>
  </conditionalFormatting>
  <conditionalFormatting sqref="G78">
    <cfRule type="expression" priority="23" aboveAverage="0" equalAverage="0" bottom="0" percent="0" rank="0" text="" dxfId="367">
      <formula>G79&gt;G81</formula>
    </cfRule>
  </conditionalFormatting>
  <conditionalFormatting sqref="G68">
    <cfRule type="cellIs" priority="24" operator="lessThan" aboveAverage="0" equalAverage="0" bottom="0" percent="0" rank="0" text="" dxfId="368">
      <formula>MAX(G62:G63)</formula>
    </cfRule>
  </conditionalFormatting>
  <conditionalFormatting sqref="G86 G88:G90">
    <cfRule type="duplicateValues" priority="25" aboveAverage="0" equalAverage="0" bottom="0" percent="0" rank="0" text="" dxfId="369"/>
  </conditionalFormatting>
  <conditionalFormatting sqref="G88:G90 G86">
    <cfRule type="duplicateValues" priority="26" aboveAverage="0" equalAverage="0" bottom="0" percent="0" rank="0" text="" dxfId="370"/>
  </conditionalFormatting>
  <conditionalFormatting sqref="Q73">
    <cfRule type="cellIs" priority="27" operator="lessThan" aboveAverage="0" equalAverage="0" bottom="0" percent="0" rank="0" text="" dxfId="371">
      <formula>Q64</formula>
    </cfRule>
  </conditionalFormatting>
  <conditionalFormatting sqref="Q71">
    <cfRule type="cellIs" priority="28" operator="lessThan" aboveAverage="0" equalAverage="0" bottom="0" percent="0" rank="0" text="" dxfId="372">
      <formula>Q63</formula>
    </cfRule>
  </conditionalFormatting>
  <conditionalFormatting sqref="Q70">
    <cfRule type="cellIs" priority="29" operator="lessThan" aboveAverage="0" equalAverage="0" bottom="0" percent="0" rank="0" text="" dxfId="373">
      <formula>MAX(Q63:Q64)</formula>
    </cfRule>
  </conditionalFormatting>
  <conditionalFormatting sqref="Q78">
    <cfRule type="expression" priority="30" aboveAverage="0" equalAverage="0" bottom="0" percent="0" rank="0" text="" dxfId="374">
      <formula>Q79&gt;Q81</formula>
    </cfRule>
  </conditionalFormatting>
  <conditionalFormatting sqref="Q68">
    <cfRule type="cellIs" priority="31" operator="lessThan" aboveAverage="0" equalAverage="0" bottom="0" percent="0" rank="0" text="" dxfId="375">
      <formula>MAX(Q62:Q63)</formula>
    </cfRule>
  </conditionalFormatting>
  <conditionalFormatting sqref="Q86 Q88:Q90">
    <cfRule type="duplicateValues" priority="32" aboveAverage="0" equalAverage="0" bottom="0" percent="0" rank="0" text="" dxfId="376"/>
  </conditionalFormatting>
  <conditionalFormatting sqref="H73">
    <cfRule type="cellIs" priority="33" operator="lessThan" aboveAverage="0" equalAverage="0" bottom="0" percent="0" rank="0" text="" dxfId="377">
      <formula>H64</formula>
    </cfRule>
  </conditionalFormatting>
  <conditionalFormatting sqref="H71">
    <cfRule type="cellIs" priority="34" operator="lessThan" aboveAverage="0" equalAverage="0" bottom="0" percent="0" rank="0" text="" dxfId="378">
      <formula>H63</formula>
    </cfRule>
  </conditionalFormatting>
  <conditionalFormatting sqref="H70">
    <cfRule type="cellIs" priority="35" operator="lessThan" aboveAverage="0" equalAverage="0" bottom="0" percent="0" rank="0" text="" dxfId="379">
      <formula>MAX(H63:H64)</formula>
    </cfRule>
  </conditionalFormatting>
  <conditionalFormatting sqref="H78">
    <cfRule type="expression" priority="36" aboveAverage="0" equalAverage="0" bottom="0" percent="0" rank="0" text="" dxfId="380">
      <formula>H79&gt;H81</formula>
    </cfRule>
  </conditionalFormatting>
  <conditionalFormatting sqref="H68">
    <cfRule type="cellIs" priority="37" operator="lessThan" aboveAverage="0" equalAverage="0" bottom="0" percent="0" rank="0" text="" dxfId="381">
      <formula>MAX(H62:H63)</formula>
    </cfRule>
  </conditionalFormatting>
  <conditionalFormatting sqref="H86 H88:H90">
    <cfRule type="duplicateValues" priority="38" aboveAverage="0" equalAverage="0" bottom="0" percent="0" rank="0" text="" dxfId="382"/>
  </conditionalFormatting>
  <conditionalFormatting sqref="H88:H90 H86">
    <cfRule type="duplicateValues" priority="39" aboveAverage="0" equalAverage="0" bottom="0" percent="0" rank="0" text="" dxfId="383"/>
  </conditionalFormatting>
  <conditionalFormatting sqref="F73">
    <cfRule type="cellIs" priority="40" operator="lessThan" aboveAverage="0" equalAverage="0" bottom="0" percent="0" rank="0" text="" dxfId="384">
      <formula>F64</formula>
    </cfRule>
  </conditionalFormatting>
  <conditionalFormatting sqref="F71">
    <cfRule type="cellIs" priority="41" operator="lessThan" aboveAverage="0" equalAverage="0" bottom="0" percent="0" rank="0" text="" dxfId="385">
      <formula>F63</formula>
    </cfRule>
  </conditionalFormatting>
  <conditionalFormatting sqref="F70">
    <cfRule type="cellIs" priority="42" operator="lessThan" aboveAverage="0" equalAverage="0" bottom="0" percent="0" rank="0" text="" dxfId="386">
      <formula>MAX(F63:F64)</formula>
    </cfRule>
  </conditionalFormatting>
  <conditionalFormatting sqref="F78">
    <cfRule type="expression" priority="43" aboveAverage="0" equalAverage="0" bottom="0" percent="0" rank="0" text="" dxfId="387">
      <formula>F79&gt;F81</formula>
    </cfRule>
  </conditionalFormatting>
  <conditionalFormatting sqref="F68">
    <cfRule type="cellIs" priority="44" operator="lessThan" aboveAverage="0" equalAverage="0" bottom="0" percent="0" rank="0" text="" dxfId="388">
      <formula>MAX(F62:F63)</formula>
    </cfRule>
  </conditionalFormatting>
  <conditionalFormatting sqref="K73">
    <cfRule type="cellIs" priority="45" operator="lessThan" aboveAverage="0" equalAverage="0" bottom="0" percent="0" rank="0" text="" dxfId="389">
      <formula>K64</formula>
    </cfRule>
  </conditionalFormatting>
  <conditionalFormatting sqref="K71">
    <cfRule type="cellIs" priority="46" operator="lessThan" aboveAverage="0" equalAverage="0" bottom="0" percent="0" rank="0" text="" dxfId="390">
      <formula>K63</formula>
    </cfRule>
  </conditionalFormatting>
  <conditionalFormatting sqref="K70">
    <cfRule type="cellIs" priority="47" operator="lessThan" aboveAverage="0" equalAverage="0" bottom="0" percent="0" rank="0" text="" dxfId="391">
      <formula>MAX(K63:K64)</formula>
    </cfRule>
  </conditionalFormatting>
  <conditionalFormatting sqref="K78">
    <cfRule type="expression" priority="48" aboveAverage="0" equalAverage="0" bottom="0" percent="0" rank="0" text="" dxfId="392">
      <formula>K79&gt;K81</formula>
    </cfRule>
  </conditionalFormatting>
  <conditionalFormatting sqref="K68">
    <cfRule type="cellIs" priority="49" operator="lessThan" aboveAverage="0" equalAverage="0" bottom="0" percent="0" rank="0" text="" dxfId="393">
      <formula>MAX(K62:K63)</formula>
    </cfRule>
  </conditionalFormatting>
  <conditionalFormatting sqref="K88:K90 K86">
    <cfRule type="duplicateValues" priority="50" aboveAverage="0" equalAverage="0" bottom="0" percent="0" rank="0" text="" dxfId="394"/>
  </conditionalFormatting>
  <conditionalFormatting sqref="B93:S93">
    <cfRule type="expression" priority="51" aboveAverage="0" equalAverage="0" bottom="0" percent="0" rank="0" text="" dxfId="395">
      <formula>B93&lt;B92</formula>
    </cfRule>
  </conditionalFormatting>
  <conditionalFormatting sqref="B73">
    <cfRule type="cellIs" priority="52" operator="lessThan" aboveAverage="0" equalAverage="0" bottom="0" percent="0" rank="0" text="" dxfId="396">
      <formula>B64</formula>
    </cfRule>
  </conditionalFormatting>
  <conditionalFormatting sqref="B71">
    <cfRule type="cellIs" priority="53" operator="lessThan" aboveAverage="0" equalAverage="0" bottom="0" percent="0" rank="0" text="" dxfId="397">
      <formula>B63</formula>
    </cfRule>
  </conditionalFormatting>
  <conditionalFormatting sqref="B70">
    <cfRule type="cellIs" priority="54" operator="lessThan" aboveAverage="0" equalAverage="0" bottom="0" percent="0" rank="0" text="" dxfId="398">
      <formula>MAX(B63:B64)</formula>
    </cfRule>
  </conditionalFormatting>
  <conditionalFormatting sqref="B78">
    <cfRule type="expression" priority="55" aboveAverage="0" equalAverage="0" bottom="0" percent="0" rank="0" text="" dxfId="399">
      <formula>B79&gt;B81</formula>
    </cfRule>
  </conditionalFormatting>
  <conditionalFormatting sqref="B68">
    <cfRule type="cellIs" priority="56" operator="lessThan" aboveAverage="0" equalAverage="0" bottom="0" percent="0" rank="0" text="" dxfId="400">
      <formula>MAX(B62:B63)</formula>
    </cfRule>
  </conditionalFormatting>
  <conditionalFormatting sqref="B88:B90 B86:C86">
    <cfRule type="duplicateValues" priority="57" aboveAverage="0" equalAverage="0" bottom="0" percent="0" rank="0" text="" dxfId="401"/>
  </conditionalFormatting>
  <conditionalFormatting sqref="D73:E73 L73:P73 I73:J73">
    <cfRule type="cellIs" priority="58" operator="lessThan" aboveAverage="0" equalAverage="0" bottom="0" percent="0" rank="0" text="" dxfId="402">
      <formula>D64</formula>
    </cfRule>
  </conditionalFormatting>
  <conditionalFormatting sqref="D71:E71 L71:P71 I71:J71">
    <cfRule type="cellIs" priority="59" operator="lessThan" aboveAverage="0" equalAverage="0" bottom="0" percent="0" rank="0" text="" dxfId="403">
      <formula>D63</formula>
    </cfRule>
  </conditionalFormatting>
  <conditionalFormatting sqref="D70:E70 L70:P70 I70:J70">
    <cfRule type="cellIs" priority="60" operator="lessThan" aboveAverage="0" equalAverage="0" bottom="0" percent="0" rank="0" text="" dxfId="404">
      <formula>MAX(D63:D64)</formula>
    </cfRule>
  </conditionalFormatting>
  <conditionalFormatting sqref="D78:E78 L78:P78 I78:J78">
    <cfRule type="expression" priority="61" aboveAverage="0" equalAverage="0" bottom="0" percent="0" rank="0" text="" dxfId="405">
      <formula>D79&gt;D81</formula>
    </cfRule>
  </conditionalFormatting>
  <conditionalFormatting sqref="D68:E68 L68:P68 I68:J68">
    <cfRule type="cellIs" priority="62" operator="lessThan" aboveAverage="0" equalAverage="0" bottom="0" percent="0" rank="0" text="" dxfId="406">
      <formula>MAX(D62:D63)</formula>
    </cfRule>
  </conditionalFormatting>
  <conditionalFormatting sqref="D88:D90 D86">
    <cfRule type="duplicateValues" priority="63" aboveAverage="0" equalAverage="0" bottom="0" percent="0" rank="0" text="" dxfId="407"/>
  </conditionalFormatting>
  <conditionalFormatting sqref="F88:F90 F86">
    <cfRule type="duplicateValues" priority="64" aboveAverage="0" equalAverage="0" bottom="0" percent="0" rank="0" text="" dxfId="408"/>
  </conditionalFormatting>
  <conditionalFormatting sqref="D88:F90 D86:F86">
    <cfRule type="duplicateValues" priority="65" aboveAverage="0" equalAverage="0" bottom="0" percent="0" rank="0" text="" dxfId="409"/>
  </conditionalFormatting>
  <conditionalFormatting sqref="D88:F90">
    <cfRule type="duplicateValues" priority="66" aboveAverage="0" equalAverage="0" bottom="0" percent="0" rank="0" text="" dxfId="410"/>
  </conditionalFormatting>
  <conditionalFormatting sqref="E88:F90 E86:F86 I86 I88:I90">
    <cfRule type="duplicateValues" priority="67" aboveAverage="0" equalAverage="0" bottom="0" percent="0" rank="0" text="" dxfId="411"/>
  </conditionalFormatting>
  <conditionalFormatting sqref="I88:J90 I86:J86 L86:P86 L88:P90">
    <cfRule type="duplicateValues" priority="68" aboveAverage="0" equalAverage="0" bottom="0" percent="0" rank="0" text="" dxfId="412"/>
  </conditionalFormatting>
  <conditionalFormatting sqref="AN86">
    <cfRule type="duplicateValues" priority="69" aboveAverage="0" equalAverage="0" bottom="0" percent="0" rank="0" text="" dxfId="413"/>
  </conditionalFormatting>
  <conditionalFormatting sqref="AN86">
    <cfRule type="duplicateValues" priority="70" aboveAverage="0" equalAverage="0" bottom="0" percent="0" rank="0" text="" dxfId="414"/>
  </conditionalFormatting>
  <conditionalFormatting sqref="AN68">
    <cfRule type="cellIs" priority="71" operator="lessThan" aboveAverage="0" equalAverage="0" bottom="0" percent="0" rank="0" text="" dxfId="415">
      <formula>MAX(AN62:AN63)</formula>
    </cfRule>
  </conditionalFormatting>
  <conditionalFormatting sqref="AN86">
    <cfRule type="duplicateValues" priority="72" aboveAverage="0" equalAverage="0" bottom="0" percent="0" rank="0" text="" dxfId="416"/>
  </conditionalFormatting>
  <conditionalFormatting sqref="AQ78">
    <cfRule type="expression" priority="73" aboveAverage="0" equalAverage="0" bottom="0" percent="0" rank="0" text="" dxfId="417">
      <formula>AQ79&gt;AQ81</formula>
    </cfRule>
  </conditionalFormatting>
  <conditionalFormatting sqref="AQ93">
    <cfRule type="expression" priority="74" aboveAverage="0" equalAverage="0" bottom="0" percent="0" rank="0" text="" dxfId="418">
      <formula>AQ93&lt;AQ92</formula>
    </cfRule>
  </conditionalFormatting>
  <conditionalFormatting sqref="AQ73">
    <cfRule type="cellIs" priority="75" operator="lessThan" aboveAverage="0" equalAverage="0" bottom="0" percent="0" rank="0" text="" dxfId="419">
      <formula>AQ64</formula>
    </cfRule>
  </conditionalFormatting>
  <conditionalFormatting sqref="AQ71">
    <cfRule type="cellIs" priority="76" operator="lessThan" aboveAverage="0" equalAverage="0" bottom="0" percent="0" rank="0" text="" dxfId="420">
      <formula>AQ63</formula>
    </cfRule>
  </conditionalFormatting>
  <conditionalFormatting sqref="AQ70">
    <cfRule type="cellIs" priority="77" operator="lessThan" aboveAverage="0" equalAverage="0" bottom="0" percent="0" rank="0" text="" dxfId="421">
      <formula>MAX(AQ63:AQ64)</formula>
    </cfRule>
  </conditionalFormatting>
  <conditionalFormatting sqref="AQ78">
    <cfRule type="expression" priority="78" aboveAverage="0" equalAverage="0" bottom="0" percent="0" rank="0" text="" dxfId="422">
      <formula>AQ79&gt;AQ81</formula>
    </cfRule>
  </conditionalFormatting>
  <conditionalFormatting sqref="AQ88:AQ90">
    <cfRule type="duplicateValues" priority="79" aboveAverage="0" equalAverage="0" bottom="0" percent="0" rank="0" text="" dxfId="423"/>
    <cfRule type="duplicateValues" priority="80" aboveAverage="0" equalAverage="0" bottom="0" percent="0" rank="0" text="" dxfId="424"/>
  </conditionalFormatting>
  <conditionalFormatting sqref="AQ88:AQ90 AQ86">
    <cfRule type="duplicateValues" priority="81" aboveAverage="0" equalAverage="0" bottom="0" percent="0" rank="0" text="" dxfId="425"/>
  </conditionalFormatting>
  <conditionalFormatting sqref="AQ68">
    <cfRule type="cellIs" priority="82" operator="lessThan" aboveAverage="0" equalAverage="0" bottom="0" percent="0" rank="0" text="" dxfId="426">
      <formula>MAX(AQ62:AQ63)</formula>
    </cfRule>
  </conditionalFormatting>
  <conditionalFormatting sqref="AQ86">
    <cfRule type="duplicateValues" priority="83" aboveAverage="0" equalAverage="0" bottom="0" percent="0" rank="0" text="" dxfId="427"/>
  </conditionalFormatting>
  <conditionalFormatting sqref="AQ86">
    <cfRule type="duplicateValues" priority="84" aboveAverage="0" equalAverage="0" bottom="0" percent="0" rank="0" text="" dxfId="428"/>
  </conditionalFormatting>
  <conditionalFormatting sqref="AQ86 AQ88:AQ90">
    <cfRule type="duplicateValues" priority="85" aboveAverage="0" equalAverage="0" bottom="0" percent="0" rank="0" text="" dxfId="429"/>
  </conditionalFormatting>
  <conditionalFormatting sqref="AP93">
    <cfRule type="expression" priority="86" aboveAverage="0" equalAverage="0" bottom="0" percent="0" rank="0" text="" dxfId="430">
      <formula>AP93&lt;AP92</formula>
    </cfRule>
  </conditionalFormatting>
  <conditionalFormatting sqref="AP73">
    <cfRule type="cellIs" priority="87" operator="lessThan" aboveAverage="0" equalAverage="0" bottom="0" percent="0" rank="0" text="" dxfId="431">
      <formula>AP64</formula>
    </cfRule>
  </conditionalFormatting>
  <conditionalFormatting sqref="AP71">
    <cfRule type="cellIs" priority="88" operator="lessThan" aboveAverage="0" equalAverage="0" bottom="0" percent="0" rank="0" text="" dxfId="432">
      <formula>AP63</formula>
    </cfRule>
  </conditionalFormatting>
  <conditionalFormatting sqref="AP70">
    <cfRule type="cellIs" priority="89" operator="lessThan" aboveAverage="0" equalAverage="0" bottom="0" percent="0" rank="0" text="" dxfId="433">
      <formula>MAX(AP63:AP64)</formula>
    </cfRule>
  </conditionalFormatting>
  <conditionalFormatting sqref="AP78">
    <cfRule type="expression" priority="90" aboveAverage="0" equalAverage="0" bottom="0" percent="0" rank="0" text="" dxfId="434">
      <formula>AP79&gt;AP81</formula>
    </cfRule>
  </conditionalFormatting>
  <conditionalFormatting sqref="AP88:AP90">
    <cfRule type="duplicateValues" priority="91" aboveAverage="0" equalAverage="0" bottom="0" percent="0" rank="0" text="" dxfId="435"/>
    <cfRule type="duplicateValues" priority="92" aboveAverage="0" equalAverage="0" bottom="0" percent="0" rank="0" text="" dxfId="436"/>
  </conditionalFormatting>
  <conditionalFormatting sqref="AP88:AP90 AP86">
    <cfRule type="duplicateValues" priority="93" aboveAverage="0" equalAverage="0" bottom="0" percent="0" rank="0" text="" dxfId="437"/>
  </conditionalFormatting>
  <conditionalFormatting sqref="AP68">
    <cfRule type="cellIs" priority="94" operator="lessThan" aboveAverage="0" equalAverage="0" bottom="0" percent="0" rank="0" text="" dxfId="438">
      <formula>MAX(AP62:AP63)</formula>
    </cfRule>
  </conditionalFormatting>
  <conditionalFormatting sqref="AP86">
    <cfRule type="duplicateValues" priority="95" aboveAverage="0" equalAverage="0" bottom="0" percent="0" rank="0" text="" dxfId="439"/>
  </conditionalFormatting>
  <conditionalFormatting sqref="AP86">
    <cfRule type="duplicateValues" priority="96" aboveAverage="0" equalAverage="0" bottom="0" percent="0" rank="0" text="" dxfId="440"/>
  </conditionalFormatting>
  <conditionalFormatting sqref="AP86 AP88:AP90">
    <cfRule type="duplicateValues" priority="97" aboveAverage="0" equalAverage="0" bottom="0" percent="0" rank="0" text="" dxfId="441"/>
  </conditionalFormatting>
  <conditionalFormatting sqref="AO93">
    <cfRule type="expression" priority="98" aboveAverage="0" equalAverage="0" bottom="0" percent="0" rank="0" text="" dxfId="442">
      <formula>AO93&lt;AO92</formula>
    </cfRule>
  </conditionalFormatting>
  <conditionalFormatting sqref="AO73">
    <cfRule type="cellIs" priority="99" operator="lessThan" aboveAverage="0" equalAverage="0" bottom="0" percent="0" rank="0" text="" dxfId="443">
      <formula>AO64</formula>
    </cfRule>
  </conditionalFormatting>
  <conditionalFormatting sqref="AO71">
    <cfRule type="cellIs" priority="100" operator="lessThan" aboveAverage="0" equalAverage="0" bottom="0" percent="0" rank="0" text="" dxfId="444">
      <formula>AO63</formula>
    </cfRule>
  </conditionalFormatting>
  <conditionalFormatting sqref="AO70">
    <cfRule type="cellIs" priority="101" operator="lessThan" aboveAverage="0" equalAverage="0" bottom="0" percent="0" rank="0" text="" dxfId="445">
      <formula>MAX(AO63:AO64)</formula>
    </cfRule>
  </conditionalFormatting>
  <conditionalFormatting sqref="AO78">
    <cfRule type="expression" priority="102" aboveAverage="0" equalAverage="0" bottom="0" percent="0" rank="0" text="" dxfId="446">
      <formula>AO79&gt;AO81</formula>
    </cfRule>
  </conditionalFormatting>
  <conditionalFormatting sqref="AO68">
    <cfRule type="cellIs" priority="103" operator="lessThan" aboveAverage="0" equalAverage="0" bottom="0" percent="0" rank="0" text="" dxfId="447">
      <formula>MAX(AO62:AO63)</formula>
    </cfRule>
  </conditionalFormatting>
  <conditionalFormatting sqref="AO88:AO90 AO86">
    <cfRule type="duplicateValues" priority="104" aboveAverage="0" equalAverage="0" bottom="0" percent="0" rank="0" text="" dxfId="448"/>
  </conditionalFormatting>
  <conditionalFormatting sqref="AO88:AO90">
    <cfRule type="duplicateValues" priority="105" aboveAverage="0" equalAverage="0" bottom="0" percent="0" rank="0" text="" dxfId="449"/>
    <cfRule type="duplicateValues" priority="106" aboveAverage="0" equalAverage="0" bottom="0" percent="0" rank="0" text="" dxfId="450"/>
  </conditionalFormatting>
  <conditionalFormatting sqref="U86:V86">
    <cfRule type="duplicateValues" priority="107" aboveAverage="0" equalAverage="0" bottom="0" percent="0" rank="0" text="" dxfId="451"/>
  </conditionalFormatting>
  <conditionalFormatting sqref="W93">
    <cfRule type="expression" priority="108" aboveAverage="0" equalAverage="0" bottom="0" percent="0" rank="0" text="" dxfId="452">
      <formula>W93&lt;W92</formula>
    </cfRule>
  </conditionalFormatting>
  <conditionalFormatting sqref="W73">
    <cfRule type="cellIs" priority="109" operator="lessThan" aboveAverage="0" equalAverage="0" bottom="0" percent="0" rank="0" text="" dxfId="453">
      <formula>W64</formula>
    </cfRule>
  </conditionalFormatting>
  <conditionalFormatting sqref="W71">
    <cfRule type="cellIs" priority="110" operator="lessThan" aboveAverage="0" equalAverage="0" bottom="0" percent="0" rank="0" text="" dxfId="454">
      <formula>W63</formula>
    </cfRule>
  </conditionalFormatting>
  <conditionalFormatting sqref="W70">
    <cfRule type="cellIs" priority="111" operator="lessThan" aboveAverage="0" equalAverage="0" bottom="0" percent="0" rank="0" text="" dxfId="455">
      <formula>MAX(W63:W64)</formula>
    </cfRule>
  </conditionalFormatting>
  <conditionalFormatting sqref="W78">
    <cfRule type="expression" priority="112" aboveAverage="0" equalAverage="0" bottom="0" percent="0" rank="0" text="" dxfId="456">
      <formula>W79&gt;W81</formula>
    </cfRule>
  </conditionalFormatting>
  <conditionalFormatting sqref="W68">
    <cfRule type="cellIs" priority="113" operator="lessThan" aboveAverage="0" equalAverage="0" bottom="0" percent="0" rank="0" text="" dxfId="457">
      <formula>MAX(W62:W63)</formula>
    </cfRule>
  </conditionalFormatting>
  <conditionalFormatting sqref="W86 W88:W90">
    <cfRule type="duplicateValues" priority="114" aboveAverage="0" equalAverage="0" bottom="0" percent="0" rank="0" text="" dxfId="458"/>
  </conditionalFormatting>
  <conditionalFormatting sqref="AK68">
    <cfRule type="cellIs" priority="115" operator="lessThan" aboveAverage="0" equalAverage="0" bottom="0" percent="0" rank="0" text="" dxfId="459">
      <formula>MAX(AK62:AK63)</formula>
    </cfRule>
  </conditionalFormatting>
  <conditionalFormatting sqref="T93:V93">
    <cfRule type="expression" priority="116" aboveAverage="0" equalAverage="0" bottom="0" percent="0" rank="0" text="" dxfId="460">
      <formula>T93&lt;T92</formula>
    </cfRule>
  </conditionalFormatting>
  <conditionalFormatting sqref="X93:AN93">
    <cfRule type="expression" priority="117" aboveAverage="0" equalAverage="0" bottom="0" percent="0" rank="0" text="" dxfId="461">
      <formula>X93&lt;X92</formula>
    </cfRule>
  </conditionalFormatting>
  <conditionalFormatting sqref="Z73:AN73">
    <cfRule type="cellIs" priority="118" operator="lessThan" aboveAverage="0" equalAverage="0" bottom="0" percent="0" rank="0" text="" dxfId="462">
      <formula>Z64</formula>
    </cfRule>
  </conditionalFormatting>
  <conditionalFormatting sqref="AE72 Z71:AN71">
    <cfRule type="cellIs" priority="119" operator="lessThan" aboveAverage="0" equalAverage="0" bottom="0" percent="0" rank="0" text="" dxfId="463">
      <formula>Z63</formula>
    </cfRule>
  </conditionalFormatting>
  <conditionalFormatting sqref="Z70:AN70">
    <cfRule type="cellIs" priority="120" operator="lessThan" aboveAverage="0" equalAverage="0" bottom="0" percent="0" rank="0" text="" dxfId="464">
      <formula>MAX(Z63:Z64)</formula>
    </cfRule>
  </conditionalFormatting>
  <conditionalFormatting sqref="Z78:AN78">
    <cfRule type="expression" priority="121" aboveAverage="0" equalAverage="0" bottom="0" percent="0" rank="0" text="" dxfId="465">
      <formula>Z79&gt;Z81</formula>
    </cfRule>
  </conditionalFormatting>
  <conditionalFormatting sqref="T73:V73 X73">
    <cfRule type="cellIs" priority="122" operator="lessThan" aboveAverage="0" equalAverage="0" bottom="0" percent="0" rank="0" text="" dxfId="466">
      <formula>T64</formula>
    </cfRule>
  </conditionalFormatting>
  <conditionalFormatting sqref="T71:V71 X71">
    <cfRule type="cellIs" priority="123" operator="lessThan" aboveAverage="0" equalAverage="0" bottom="0" percent="0" rank="0" text="" dxfId="467">
      <formula>T63</formula>
    </cfRule>
  </conditionalFormatting>
  <conditionalFormatting sqref="X70 T70:V70">
    <cfRule type="cellIs" priority="124" operator="lessThan" aboveAverage="0" equalAverage="0" bottom="0" percent="0" rank="0" text="" dxfId="468">
      <formula>MAX(T63:T64)</formula>
    </cfRule>
  </conditionalFormatting>
  <conditionalFormatting sqref="T78:V78 X78">
    <cfRule type="expression" priority="125" aboveAverage="0" equalAverage="0" bottom="0" percent="0" rank="0" text="" dxfId="469">
      <formula>T79&gt;T81</formula>
    </cfRule>
  </conditionalFormatting>
  <conditionalFormatting sqref="AN86">
    <cfRule type="duplicateValues" priority="126" aboveAverage="0" equalAverage="0" bottom="0" percent="0" rank="0" text="" dxfId="470"/>
  </conditionalFormatting>
  <conditionalFormatting sqref="AN68">
    <cfRule type="cellIs" priority="127" operator="lessThan" aboveAverage="0" equalAverage="0" bottom="0" percent="0" rank="0" text="" dxfId="471">
      <formula>MAX(AN62:AN63)</formula>
    </cfRule>
  </conditionalFormatting>
  <conditionalFormatting sqref="AN86 AN88:AN90">
    <cfRule type="duplicateValues" priority="128" aboveAverage="0" equalAverage="0" bottom="0" percent="0" rank="0" text="" dxfId="472"/>
  </conditionalFormatting>
  <conditionalFormatting sqref="AN88:AN90 AN86">
    <cfRule type="duplicateValues" priority="129" aboveAverage="0" equalAverage="0" bottom="0" percent="0" rank="0" text="" dxfId="473"/>
  </conditionalFormatting>
  <conditionalFormatting sqref="AK86:AL86 AK88:AL90">
    <cfRule type="duplicateValues" priority="130" aboveAverage="0" equalAverage="0" bottom="0" percent="0" rank="0" text="" dxfId="474"/>
  </conditionalFormatting>
  <conditionalFormatting sqref="AL68">
    <cfRule type="cellIs" priority="131" operator="lessThan" aboveAverage="0" equalAverage="0" bottom="0" percent="0" rank="0" text="" dxfId="475">
      <formula>MAX(AL62:AL63)</formula>
    </cfRule>
  </conditionalFormatting>
  <conditionalFormatting sqref="AK86:AM86 AK88:AM90">
    <cfRule type="duplicateValues" priority="132" aboveAverage="0" equalAverage="0" bottom="0" percent="0" rank="0" text="" dxfId="476"/>
  </conditionalFormatting>
  <conditionalFormatting sqref="AM68">
    <cfRule type="cellIs" priority="133" operator="lessThan" aboveAverage="0" equalAverage="0" bottom="0" percent="0" rank="0" text="" dxfId="477">
      <formula>MAX(AM62:AM63)</formula>
    </cfRule>
  </conditionalFormatting>
  <conditionalFormatting sqref="T68:V68 X68:AJ68">
    <cfRule type="cellIs" priority="134" operator="lessThan" aboveAverage="0" equalAverage="0" bottom="0" percent="0" rank="0" text="" dxfId="478">
      <formula>MAX(T62:T63)</formula>
    </cfRule>
  </conditionalFormatting>
  <conditionalFormatting sqref="AC88:AC90">
    <cfRule type="duplicateValues" priority="135" aboveAverage="0" equalAverage="0" bottom="0" percent="0" rank="0" text="" dxfId="479"/>
  </conditionalFormatting>
  <conditionalFormatting sqref="Y73">
    <cfRule type="cellIs" priority="136" operator="lessThan" aboveAverage="0" equalAverage="0" bottom="0" percent="0" rank="0" text="" dxfId="480">
      <formula>Y64</formula>
    </cfRule>
  </conditionalFormatting>
  <conditionalFormatting sqref="Y71">
    <cfRule type="cellIs" priority="137" operator="lessThan" aboveAverage="0" equalAverage="0" bottom="0" percent="0" rank="0" text="" dxfId="481">
      <formula>Y63</formula>
    </cfRule>
  </conditionalFormatting>
  <conditionalFormatting sqref="Y70">
    <cfRule type="cellIs" priority="138" operator="lessThan" aboveAverage="0" equalAverage="0" bottom="0" percent="0" rank="0" text="" dxfId="482">
      <formula>MAX(Y63:Y64)</formula>
    </cfRule>
  </conditionalFormatting>
  <conditionalFormatting sqref="Y78">
    <cfRule type="expression" priority="139" aboveAverage="0" equalAverage="0" bottom="0" percent="0" rank="0" text="" dxfId="483">
      <formula>Y79&gt;Y81</formula>
    </cfRule>
  </conditionalFormatting>
  <conditionalFormatting sqref="AC86">
    <cfRule type="duplicateValues" priority="140" aboveAverage="0" equalAverage="0" bottom="0" percent="0" rank="0" text="" dxfId="484"/>
  </conditionalFormatting>
  <conditionalFormatting sqref="AD86 X88:AB90 X86:AB86 AD88:AD90">
    <cfRule type="duplicateValues" priority="141" aboveAverage="0" equalAverage="0" bottom="0" percent="0" rank="0" text="" dxfId="485"/>
  </conditionalFormatting>
  <conditionalFormatting sqref="T86 T88:V90 AE86:AM86 AE88:AM90">
    <cfRule type="duplicateValues" priority="142" aboveAverage="0" equalAverage="0" bottom="0" percent="0" rank="0" text="" dxfId="486"/>
  </conditionalFormatting>
  <dataValidations count="2">
    <dataValidation allowBlank="true" errorStyle="stop" operator="between" showDropDown="false" showErrorMessage="true" showInputMessage="true" sqref="T93:AO93" type="list">
      <formula1>$B$106:$B$157</formula1>
      <formula2>0</formula2>
    </dataValidation>
    <dataValidation allowBlank="true" errorStyle="stop" operator="between" showDropDown="false" showErrorMessage="true" showInputMessage="true" sqref="B93:S93" type="list">
      <formula1>$C$106:$C$150</formula1>
      <formula2>0</formula2>
    </dataValidation>
  </dataValidations>
  <printOptions headings="false" gridLines="false" gridLinesSet="true" horizontalCentered="false" verticalCentered="false"/>
  <pageMargins left="0.75" right="0.75" top="1" bottom="1" header="0.511811023622047" footer="0.511811023622047"/>
  <pageSetup paperSize="8" scale="68" fitToWidth="1" fitToHeight="1" pageOrder="downThenOver" orientation="portrait" blackAndWhite="false" draft="false" cellComments="none" horizontalDpi="300" verticalDpi="300" copies="1"/>
  <headerFooter differentFirst="false" differentOddEven="false">
    <oddHeader/>
    <oddFooter/>
  </headerFooter>
  <rowBreaks count="1" manualBreakCount="1">
    <brk id="103" man="true" max="16383" min="0"/>
  </rowBreaks>
  <drawing r:id="rId2"/>
  <legacyDrawing r:id="rId3"/>
  <mc:AlternateContent xmlns:mc="http://schemas.openxmlformats.org/markup-compatibility/2006">
    <mc:Choice Requires="x14">
      <controls>
        <mc:AlternateContent xmlns:mc="http://schemas.openxmlformats.org/markup-compatibility/2006">
          <mc:Choice Requires="x14">
            <control shapeId="1001" r:id="rId4" name="Button 45">
              <controlPr defaultSize="0" print="false" autoFill="0" autoPict="0" macro="模块3.返回主页">
                <anchor moveWithCells="true" sizeWithCells="false">
                  <from>
                    <xdr:col>0</xdr:col>
                    <xdr:colOff>1379520</xdr:colOff>
                    <xdr:row>0</xdr:row>
                    <xdr:rowOff>30600</xdr:rowOff>
                  </from>
                  <to>
                    <xdr:col>1</xdr:col>
                    <xdr:colOff>-997920</xdr:colOff>
                    <xdr:row>1</xdr:row>
                    <xdr:rowOff>-43920</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AQ68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7" topLeftCell="E96" activePane="bottomRight" state="frozen"/>
      <selection pane="topLeft" activeCell="A1" activeCellId="0" sqref="A1"/>
      <selection pane="topRight" activeCell="E1" activeCellId="0" sqref="E1"/>
      <selection pane="bottomLeft" activeCell="A96" activeCellId="0" sqref="A96"/>
      <selection pane="bottomRight" activeCell="E21" activeCellId="0" sqref="1:1048576"/>
    </sheetView>
  </sheetViews>
  <sheetFormatPr defaultColWidth="9.00390625" defaultRowHeight="14.25" zeroHeight="false" outlineLevelRow="0" outlineLevelCol="0"/>
  <cols>
    <col collapsed="false" customWidth="true" hidden="false" outlineLevel="0" max="1" min="1" style="380" width="38.5"/>
    <col collapsed="false" customWidth="true" hidden="false" outlineLevel="0" max="2" min="2" style="380" width="20.75"/>
    <col collapsed="false" customWidth="true" hidden="false" outlineLevel="0" max="3" min="3" style="380" width="25.5"/>
    <col collapsed="false" customWidth="true" hidden="false" outlineLevel="0" max="6" min="4" style="380" width="24.25"/>
    <col collapsed="false" customWidth="true" hidden="false" outlineLevel="0" max="8" min="7" style="380" width="18.62"/>
    <col collapsed="false" customWidth="true" hidden="false" outlineLevel="0" max="9" min="9" style="380" width="19.12"/>
    <col collapsed="false" customWidth="true" hidden="false" outlineLevel="0" max="10" min="10" style="380" width="19.63"/>
    <col collapsed="false" customWidth="true" hidden="false" outlineLevel="0" max="11" min="11" style="380" width="23"/>
    <col collapsed="false" customWidth="true" hidden="false" outlineLevel="0" max="12" min="12" style="380" width="20.5"/>
    <col collapsed="false" customWidth="true" hidden="false" outlineLevel="0" max="13" min="13" style="380" width="18.62"/>
    <col collapsed="false" customWidth="true" hidden="false" outlineLevel="0" max="14" min="14" style="380" width="23"/>
    <col collapsed="false" customWidth="true" hidden="false" outlineLevel="0" max="15" min="15" style="380" width="19"/>
    <col collapsed="false" customWidth="true" hidden="false" outlineLevel="0" max="16" min="16" style="380" width="20.88"/>
    <col collapsed="false" customWidth="true" hidden="false" outlineLevel="0" max="17" min="17" style="380" width="22.25"/>
    <col collapsed="false" customWidth="true" hidden="false" outlineLevel="0" max="18" min="18" style="380" width="19.88"/>
    <col collapsed="false" customWidth="true" hidden="false" outlineLevel="0" max="19" min="19" style="380" width="21.25"/>
    <col collapsed="false" customWidth="true" hidden="false" outlineLevel="0" max="20" min="20" style="380" width="21.37"/>
    <col collapsed="false" customWidth="true" hidden="false" outlineLevel="0" max="21" min="21" style="380" width="18.87"/>
    <col collapsed="false" customWidth="true" hidden="false" outlineLevel="0" max="22" min="22" style="380" width="19.75"/>
    <col collapsed="false" customWidth="true" hidden="false" outlineLevel="0" max="23" min="23" style="380" width="22"/>
    <col collapsed="false" customWidth="true" hidden="false" outlineLevel="0" max="27" min="24" style="380" width="21.37"/>
    <col collapsed="false" customWidth="false" hidden="false" outlineLevel="0" max="16384" min="28" style="380" width="9"/>
  </cols>
  <sheetData>
    <row r="1" s="379" customFormat="true" ht="15" hidden="false" customHeight="false" outlineLevel="0" collapsed="false">
      <c r="A1" s="456" t="s">
        <v>758</v>
      </c>
      <c r="B1" s="517" t="s">
        <v>759</v>
      </c>
      <c r="C1" s="518" t="s">
        <v>760</v>
      </c>
      <c r="D1" s="517" t="s">
        <v>761</v>
      </c>
      <c r="E1" s="452" t="s">
        <v>762</v>
      </c>
      <c r="F1" s="452" t="s">
        <v>763</v>
      </c>
      <c r="G1" s="519" t="s">
        <v>764</v>
      </c>
      <c r="H1" s="452" t="s">
        <v>765</v>
      </c>
      <c r="I1" s="452" t="s">
        <v>766</v>
      </c>
      <c r="J1" s="452" t="s">
        <v>767</v>
      </c>
      <c r="K1" s="452" t="s">
        <v>768</v>
      </c>
      <c r="L1" s="452" t="s">
        <v>769</v>
      </c>
      <c r="M1" s="452" t="s">
        <v>770</v>
      </c>
      <c r="N1" s="452" t="s">
        <v>771</v>
      </c>
      <c r="O1" s="452" t="s">
        <v>772</v>
      </c>
      <c r="P1" s="452" t="s">
        <v>773</v>
      </c>
      <c r="Q1" s="452" t="s">
        <v>774</v>
      </c>
      <c r="R1" s="452" t="s">
        <v>968</v>
      </c>
      <c r="S1" s="452" t="s">
        <v>775</v>
      </c>
      <c r="T1" s="452" t="s">
        <v>969</v>
      </c>
      <c r="U1" s="452" t="s">
        <v>970</v>
      </c>
      <c r="V1" s="452" t="s">
        <v>776</v>
      </c>
      <c r="W1" s="452" t="s">
        <v>971</v>
      </c>
      <c r="X1" s="452" t="s">
        <v>972</v>
      </c>
      <c r="Y1" s="452"/>
      <c r="Z1" s="452"/>
      <c r="AA1" s="452"/>
    </row>
    <row r="2" s="379" customFormat="true" ht="15" hidden="false" customHeight="false" outlineLevel="0" collapsed="false">
      <c r="A2" s="456" t="s">
        <v>777</v>
      </c>
      <c r="B2" s="517" t="s">
        <v>778</v>
      </c>
      <c r="C2" s="517" t="s">
        <v>779</v>
      </c>
      <c r="D2" s="517" t="s">
        <v>780</v>
      </c>
      <c r="E2" s="452" t="s">
        <v>781</v>
      </c>
      <c r="F2" s="452" t="s">
        <v>782</v>
      </c>
      <c r="G2" s="452" t="s">
        <v>973</v>
      </c>
      <c r="H2" s="452" t="s">
        <v>784</v>
      </c>
      <c r="I2" s="452" t="s">
        <v>785</v>
      </c>
      <c r="J2" s="452" t="s">
        <v>786</v>
      </c>
      <c r="K2" s="452" t="s">
        <v>787</v>
      </c>
      <c r="L2" s="452" t="s">
        <v>788</v>
      </c>
      <c r="M2" s="452" t="s">
        <v>789</v>
      </c>
      <c r="N2" s="452" t="s">
        <v>974</v>
      </c>
      <c r="O2" s="452" t="s">
        <v>791</v>
      </c>
      <c r="P2" s="452" t="s">
        <v>792</v>
      </c>
      <c r="Q2" s="452" t="s">
        <v>975</v>
      </c>
      <c r="R2" s="452" t="s">
        <v>976</v>
      </c>
      <c r="S2" s="452" t="s">
        <v>977</v>
      </c>
      <c r="T2" s="452" t="s">
        <v>795</v>
      </c>
      <c r="U2" s="452" t="s">
        <v>978</v>
      </c>
      <c r="V2" s="452" t="s">
        <v>979</v>
      </c>
      <c r="W2" s="452" t="s">
        <v>980</v>
      </c>
      <c r="X2" s="452" t="s">
        <v>981</v>
      </c>
      <c r="Y2" s="452"/>
      <c r="Z2" s="452"/>
      <c r="AA2" s="452"/>
    </row>
    <row r="3" s="379" customFormat="true" ht="15" hidden="false" customHeight="false" outlineLevel="0" collapsed="false">
      <c r="A3" s="456" t="s">
        <v>796</v>
      </c>
      <c r="B3" s="517" t="s">
        <v>797</v>
      </c>
      <c r="C3" s="517" t="s">
        <v>798</v>
      </c>
      <c r="D3" s="517" t="s">
        <v>799</v>
      </c>
      <c r="E3" s="452" t="s">
        <v>800</v>
      </c>
      <c r="F3" s="452" t="s">
        <v>681</v>
      </c>
      <c r="G3" s="452" t="s">
        <v>678</v>
      </c>
      <c r="H3" s="452" t="s">
        <v>160</v>
      </c>
      <c r="I3" s="452" t="s">
        <v>801</v>
      </c>
      <c r="J3" s="452" t="s">
        <v>802</v>
      </c>
      <c r="K3" s="452" t="s">
        <v>645</v>
      </c>
      <c r="L3" s="452" t="s">
        <v>803</v>
      </c>
      <c r="M3" s="452" t="s">
        <v>678</v>
      </c>
      <c r="N3" s="452" t="s">
        <v>678</v>
      </c>
      <c r="O3" s="452" t="s">
        <v>804</v>
      </c>
      <c r="P3" s="452" t="s">
        <v>679</v>
      </c>
      <c r="Q3" s="452" t="s">
        <v>805</v>
      </c>
      <c r="R3" s="452" t="s">
        <v>982</v>
      </c>
      <c r="S3" s="452" t="s">
        <v>806</v>
      </c>
      <c r="T3" s="452" t="s">
        <v>983</v>
      </c>
      <c r="U3" s="452" t="s">
        <v>984</v>
      </c>
      <c r="V3" s="452" t="s">
        <v>985</v>
      </c>
      <c r="W3" s="452" t="s">
        <v>986</v>
      </c>
      <c r="X3" s="452" t="s">
        <v>680</v>
      </c>
      <c r="Y3" s="452"/>
      <c r="Z3" s="452"/>
      <c r="AA3" s="452"/>
    </row>
    <row r="4" s="379" customFormat="true" ht="15" hidden="false" customHeight="false" outlineLevel="0" collapsed="false">
      <c r="A4" s="456" t="s">
        <v>987</v>
      </c>
      <c r="B4" s="520" t="n">
        <f aca="false">HLOOKUP(B106,物流参数!$C$1:$GC$29,MATCH("TOTAL MASS FLOW",物流参数!$A$1:$A$29,FALSE()),FALSE())</f>
        <v>309524</v>
      </c>
      <c r="C4" s="520" t="n">
        <f aca="false">HLOOKUP(C106,物流参数!$C$1:$GC$29,MATCH("TOTAL MASS FLOW",物流参数!$A$1:$A$29,FALSE()),FALSE())</f>
        <v>312631.98</v>
      </c>
      <c r="D4" s="520" t="n">
        <f aca="false">HLOOKUP(D106,物流参数!$C$1:$GC$29,MATCH("TOTAL MASS FLOW",物流参数!$A$1:$A$29,FALSE()),FALSE())</f>
        <v>428894.98</v>
      </c>
      <c r="E4" s="354" t="n">
        <f aca="false">HLOOKUP(E106,物流参数!$C$1:$GC$29,MATCH("TOTAL MASS FLOW",物流参数!$A$1:$A$29,FALSE()),FALSE())</f>
        <v>13100</v>
      </c>
      <c r="F4" s="521" t="n">
        <v>30850</v>
      </c>
      <c r="G4" s="457" t="n">
        <v>600</v>
      </c>
      <c r="H4" s="354" t="n">
        <f aca="false">HLOOKUP(H106,物流参数!$C$1:$GC$29,MATCH("TOTAL MASS FLOW",物流参数!$A$1:$A$29,FALSE()),FALSE())</f>
        <v>309524</v>
      </c>
      <c r="I4" s="521" t="n">
        <v>16328</v>
      </c>
      <c r="J4" s="354" t="n">
        <f aca="false">HLOOKUP(J106,物流参数!$C$1:$GC$29,MATCH("TOTAL MASS FLOW",物流参数!$A$1:$A$29,FALSE()),FALSE())</f>
        <v>293017.71</v>
      </c>
      <c r="K4" s="521" t="n">
        <v>64414</v>
      </c>
      <c r="L4" s="354" t="n">
        <f aca="false">HLOOKUP(L106,物流参数!$C$1:$GC$29,MATCH("TOTAL MASS FLOW",物流参数!$A$1:$A$29,FALSE()),FALSE())</f>
        <v>9910.86</v>
      </c>
      <c r="M4" s="354" t="n">
        <f aca="false">HLOOKUP(M106,物流参数!$C$1:$GC$29,MATCH("TOTAL MASS FLOW",物流参数!$A$1:$A$29,FALSE()),FALSE())</f>
        <v>125000</v>
      </c>
      <c r="N4" s="354" t="n">
        <f aca="false">HLOOKUP(N106,物流参数!$C$1:$GC$29,MATCH("TOTAL MASS FLOW",物流参数!$A$1:$A$29,FALSE()),FALSE())</f>
        <v>27112</v>
      </c>
      <c r="O4" s="522" t="n">
        <v>269500</v>
      </c>
      <c r="P4" s="354" t="n">
        <f aca="false">HLOOKUP(P106,物流参数!$C$1:$GC$29,MATCH("TOTAL MASS FLOW",物流参数!$A$1:$A$29,FALSE()),FALSE())</f>
        <v>164000</v>
      </c>
      <c r="Q4" s="457" t="n">
        <v>24000</v>
      </c>
      <c r="R4" s="457" t="n">
        <v>26000</v>
      </c>
      <c r="S4" s="457" t="n">
        <v>31000</v>
      </c>
      <c r="T4" s="457" t="n">
        <v>17700</v>
      </c>
      <c r="U4" s="457" t="n">
        <v>7750</v>
      </c>
      <c r="V4" s="457" t="n">
        <v>85</v>
      </c>
      <c r="W4" s="523" t="n">
        <v>45</v>
      </c>
      <c r="X4" s="459" t="n">
        <v>10600</v>
      </c>
      <c r="Y4" s="459"/>
      <c r="Z4" s="459"/>
      <c r="AA4" s="459"/>
    </row>
    <row r="5" s="379" customFormat="true" ht="15" hidden="false" customHeight="false" outlineLevel="0" collapsed="false">
      <c r="A5" s="456" t="s">
        <v>988</v>
      </c>
      <c r="B5" s="461" t="n">
        <f aca="false">B4</f>
        <v>309524</v>
      </c>
      <c r="C5" s="461" t="n">
        <f aca="false">C4</f>
        <v>312631.98</v>
      </c>
      <c r="D5" s="461" t="n">
        <f aca="false">D4</f>
        <v>428894.98</v>
      </c>
      <c r="E5" s="461" t="n">
        <f aca="false">E4</f>
        <v>13100</v>
      </c>
      <c r="F5" s="461" t="n">
        <f aca="false">F4</f>
        <v>30850</v>
      </c>
      <c r="G5" s="461" t="n">
        <f aca="false">G4</f>
        <v>600</v>
      </c>
      <c r="H5" s="461" t="n">
        <f aca="false">H4</f>
        <v>309524</v>
      </c>
      <c r="I5" s="461" t="n">
        <f aca="false">I4</f>
        <v>16328</v>
      </c>
      <c r="J5" s="461" t="n">
        <f aca="false">J4</f>
        <v>293017.71</v>
      </c>
      <c r="K5" s="461" t="n">
        <f aca="false">K4</f>
        <v>64414</v>
      </c>
      <c r="L5" s="461" t="n">
        <f aca="false">L4</f>
        <v>9910.86</v>
      </c>
      <c r="M5" s="461" t="n">
        <f aca="false">M4</f>
        <v>125000</v>
      </c>
      <c r="N5" s="461" t="n">
        <f aca="false">N4</f>
        <v>27112</v>
      </c>
      <c r="O5" s="461" t="n">
        <f aca="false">O4</f>
        <v>269500</v>
      </c>
      <c r="P5" s="461" t="n">
        <f aca="false">P4</f>
        <v>164000</v>
      </c>
      <c r="Q5" s="461" t="n">
        <f aca="false">Q4</f>
        <v>24000</v>
      </c>
      <c r="R5" s="461" t="n">
        <f aca="false">R4</f>
        <v>26000</v>
      </c>
      <c r="S5" s="461" t="n">
        <f aca="false">S4</f>
        <v>31000</v>
      </c>
      <c r="T5" s="461" t="n">
        <f aca="false">T4</f>
        <v>17700</v>
      </c>
      <c r="U5" s="461" t="n">
        <f aca="false">U4</f>
        <v>7750</v>
      </c>
      <c r="V5" s="461" t="n">
        <f aca="false">V4</f>
        <v>85</v>
      </c>
      <c r="W5" s="461" t="n">
        <f aca="false">W4</f>
        <v>45</v>
      </c>
      <c r="X5" s="461" t="n">
        <f aca="false">X4</f>
        <v>10600</v>
      </c>
      <c r="Y5" s="461"/>
      <c r="Z5" s="461"/>
      <c r="AA5" s="461"/>
    </row>
    <row r="6" s="379" customFormat="true" ht="15" hidden="false" customHeight="false" outlineLevel="0" collapsed="false">
      <c r="A6" s="462" t="s">
        <v>810</v>
      </c>
      <c r="B6" s="452" t="n">
        <v>1.1</v>
      </c>
      <c r="C6" s="452" t="n">
        <v>1.1</v>
      </c>
      <c r="D6" s="524" t="n">
        <v>1.15</v>
      </c>
      <c r="E6" s="524" t="n">
        <v>1.3</v>
      </c>
      <c r="F6" s="452" t="n">
        <v>1.1</v>
      </c>
      <c r="G6" s="452" t="n">
        <v>1.1</v>
      </c>
      <c r="H6" s="452" t="n">
        <v>1.1</v>
      </c>
      <c r="I6" s="524" t="n">
        <v>1.5</v>
      </c>
      <c r="J6" s="452" t="n">
        <v>1.1</v>
      </c>
      <c r="K6" s="524" t="n">
        <v>1.5</v>
      </c>
      <c r="L6" s="452" t="n">
        <v>1.1</v>
      </c>
      <c r="M6" s="452" t="n">
        <v>1.1</v>
      </c>
      <c r="N6" s="452" t="n">
        <v>1.1</v>
      </c>
      <c r="O6" s="452" t="n">
        <v>1.1</v>
      </c>
      <c r="P6" s="452" t="n">
        <v>1.1</v>
      </c>
      <c r="Q6" s="452" t="n">
        <v>1.1</v>
      </c>
      <c r="R6" s="452" t="n">
        <v>1.1</v>
      </c>
      <c r="S6" s="452" t="n">
        <v>1.1</v>
      </c>
      <c r="T6" s="452" t="n">
        <v>1.1</v>
      </c>
      <c r="U6" s="452" t="n">
        <v>1.1</v>
      </c>
      <c r="V6" s="524" t="n">
        <v>1.1</v>
      </c>
      <c r="W6" s="523" t="n">
        <v>1.1</v>
      </c>
      <c r="X6" s="452" t="n">
        <v>1.1</v>
      </c>
      <c r="Y6" s="452"/>
      <c r="Z6" s="452"/>
      <c r="AA6" s="452"/>
    </row>
    <row r="7" s="379" customFormat="true" ht="15" hidden="false" customHeight="false" outlineLevel="0" collapsed="false">
      <c r="A7" s="462" t="s">
        <v>811</v>
      </c>
      <c r="B7" s="452" t="n">
        <v>0.6</v>
      </c>
      <c r="C7" s="452" t="n">
        <v>0.6</v>
      </c>
      <c r="D7" s="452" t="n">
        <v>0.6</v>
      </c>
      <c r="E7" s="452" t="n">
        <v>0.6</v>
      </c>
      <c r="F7" s="452" t="n">
        <v>0.6</v>
      </c>
      <c r="G7" s="452" t="n">
        <v>0.6</v>
      </c>
      <c r="H7" s="452" t="n">
        <v>0.6</v>
      </c>
      <c r="I7" s="452" t="n">
        <v>0.6</v>
      </c>
      <c r="J7" s="452" t="n">
        <v>0.6</v>
      </c>
      <c r="K7" s="452" t="n">
        <v>0.6</v>
      </c>
      <c r="L7" s="452" t="n">
        <v>0.6</v>
      </c>
      <c r="M7" s="452" t="n">
        <v>0.6</v>
      </c>
      <c r="N7" s="452" t="n">
        <v>0.6</v>
      </c>
      <c r="O7" s="452" t="n">
        <v>0.6</v>
      </c>
      <c r="P7" s="452" t="n">
        <v>0.6</v>
      </c>
      <c r="Q7" s="452" t="n">
        <v>0.6</v>
      </c>
      <c r="R7" s="452" t="n">
        <v>0.6</v>
      </c>
      <c r="S7" s="452" t="n">
        <v>0.6</v>
      </c>
      <c r="T7" s="452" t="n">
        <v>0.6</v>
      </c>
      <c r="U7" s="452" t="n">
        <v>0.6</v>
      </c>
      <c r="V7" s="452" t="n">
        <v>0.6</v>
      </c>
      <c r="W7" s="523" t="n">
        <v>0.6</v>
      </c>
      <c r="X7" s="452" t="n">
        <v>0.6</v>
      </c>
      <c r="Y7" s="452"/>
      <c r="Z7" s="452"/>
      <c r="AA7" s="452"/>
    </row>
    <row r="8" customFormat="false" ht="14.25" hidden="false" customHeight="true" outlineLevel="0" collapsed="false">
      <c r="A8" s="456" t="s">
        <v>989</v>
      </c>
      <c r="B8" s="463" t="n">
        <f aca="false">B5*B6</f>
        <v>340476.4</v>
      </c>
      <c r="C8" s="463" t="n">
        <f aca="false">C5*C6</f>
        <v>343895.178</v>
      </c>
      <c r="D8" s="463" t="n">
        <f aca="false">D5*D6</f>
        <v>493229.227</v>
      </c>
      <c r="E8" s="463" t="n">
        <f aca="false">E5*E6</f>
        <v>17030</v>
      </c>
      <c r="F8" s="463" t="n">
        <f aca="false">F5*F6</f>
        <v>33935</v>
      </c>
      <c r="G8" s="463" t="n">
        <f aca="false">G5*G6</f>
        <v>660</v>
      </c>
      <c r="H8" s="463" t="n">
        <f aca="false">H5*H6</f>
        <v>340476.4</v>
      </c>
      <c r="I8" s="463" t="n">
        <f aca="false">I5*I6</f>
        <v>24492</v>
      </c>
      <c r="J8" s="463" t="n">
        <f aca="false">J5*J6</f>
        <v>322319.481</v>
      </c>
      <c r="K8" s="463" t="n">
        <f aca="false">K5*K6</f>
        <v>96621</v>
      </c>
      <c r="L8" s="463" t="n">
        <f aca="false">L5*L6</f>
        <v>10901.946</v>
      </c>
      <c r="M8" s="463" t="n">
        <f aca="false">M5*M6</f>
        <v>137500</v>
      </c>
      <c r="N8" s="463" t="n">
        <f aca="false">N5*N6</f>
        <v>29823.2</v>
      </c>
      <c r="O8" s="463" t="n">
        <f aca="false">O5*O6</f>
        <v>296450</v>
      </c>
      <c r="P8" s="463" t="n">
        <f aca="false">P5*P6</f>
        <v>180400</v>
      </c>
      <c r="Q8" s="463" t="n">
        <f aca="false">Q5*Q6</f>
        <v>26400</v>
      </c>
      <c r="R8" s="463" t="n">
        <f aca="false">R5*R6</f>
        <v>28600</v>
      </c>
      <c r="S8" s="463" t="n">
        <f aca="false">S5*S6</f>
        <v>34100</v>
      </c>
      <c r="T8" s="463" t="n">
        <f aca="false">T5*T6</f>
        <v>19470</v>
      </c>
      <c r="U8" s="463" t="n">
        <f aca="false">U5*U6</f>
        <v>8525</v>
      </c>
      <c r="V8" s="463" t="n">
        <f aca="false">V5*V6</f>
        <v>93.5</v>
      </c>
      <c r="W8" s="463" t="n">
        <f aca="false">W5*W6</f>
        <v>49.5</v>
      </c>
      <c r="X8" s="463" t="n">
        <f aca="false">X5*X6</f>
        <v>11660</v>
      </c>
      <c r="Y8" s="463"/>
      <c r="Z8" s="463"/>
      <c r="AA8" s="463"/>
    </row>
    <row r="9" customFormat="false" ht="14.25" hidden="false" customHeight="true" outlineLevel="0" collapsed="false">
      <c r="A9" s="456" t="s">
        <v>990</v>
      </c>
      <c r="B9" s="463" t="n">
        <f aca="false">B5*B7</f>
        <v>185714.4</v>
      </c>
      <c r="C9" s="463" t="n">
        <f aca="false">C5*C7</f>
        <v>187579.188</v>
      </c>
      <c r="D9" s="463" t="n">
        <f aca="false">D5*D7</f>
        <v>257336.988</v>
      </c>
      <c r="E9" s="463" t="n">
        <f aca="false">E5*E7</f>
        <v>7860</v>
      </c>
      <c r="F9" s="463" t="n">
        <f aca="false">F5*F7</f>
        <v>18510</v>
      </c>
      <c r="G9" s="463" t="n">
        <f aca="false">G5*G7</f>
        <v>360</v>
      </c>
      <c r="H9" s="463" t="n">
        <f aca="false">H5*H7</f>
        <v>185714.4</v>
      </c>
      <c r="I9" s="463" t="n">
        <f aca="false">I5*I7</f>
        <v>9796.8</v>
      </c>
      <c r="J9" s="463" t="n">
        <f aca="false">J5*J7</f>
        <v>175810.626</v>
      </c>
      <c r="K9" s="463" t="n">
        <f aca="false">K5*K7</f>
        <v>38648.4</v>
      </c>
      <c r="L9" s="463" t="n">
        <f aca="false">L5*L7</f>
        <v>5946.516</v>
      </c>
      <c r="M9" s="463" t="n">
        <f aca="false">M5*M7</f>
        <v>75000</v>
      </c>
      <c r="N9" s="463" t="n">
        <f aca="false">N5*N7</f>
        <v>16267.2</v>
      </c>
      <c r="O9" s="463" t="n">
        <f aca="false">O5*O7</f>
        <v>161700</v>
      </c>
      <c r="P9" s="463" t="n">
        <f aca="false">P5*P7</f>
        <v>98400</v>
      </c>
      <c r="Q9" s="463" t="n">
        <f aca="false">Q5*Q7</f>
        <v>14400</v>
      </c>
      <c r="R9" s="463" t="n">
        <f aca="false">R5*R7</f>
        <v>15600</v>
      </c>
      <c r="S9" s="463" t="n">
        <f aca="false">S5*S7</f>
        <v>18600</v>
      </c>
      <c r="T9" s="463" t="n">
        <f aca="false">T5*T7</f>
        <v>10620</v>
      </c>
      <c r="U9" s="463" t="n">
        <f aca="false">U5*U7</f>
        <v>4650</v>
      </c>
      <c r="V9" s="463" t="n">
        <f aca="false">V5*V7</f>
        <v>51</v>
      </c>
      <c r="W9" s="463" t="n">
        <f aca="false">W5*W7</f>
        <v>27</v>
      </c>
      <c r="X9" s="463" t="n">
        <f aca="false">X5*X7</f>
        <v>6360</v>
      </c>
      <c r="Y9" s="463"/>
      <c r="Z9" s="463"/>
      <c r="AA9" s="463"/>
    </row>
    <row r="10" customFormat="false" ht="15.75" hidden="false" customHeight="true" outlineLevel="0" collapsed="false">
      <c r="A10" s="456" t="s">
        <v>991</v>
      </c>
      <c r="B10" s="461" t="n">
        <f aca="false">B4/B19</f>
        <v>388.790634577702</v>
      </c>
      <c r="C10" s="461" t="n">
        <f aca="false">C4/C19</f>
        <v>619.907955266497</v>
      </c>
      <c r="D10" s="461" t="n">
        <f aca="false">D4/D19</f>
        <v>850.273541889695</v>
      </c>
      <c r="E10" s="461" t="n">
        <f aca="false">E4/E19</f>
        <v>13.7623835187578</v>
      </c>
      <c r="F10" s="461" t="n">
        <f aca="false">F4/F19</f>
        <v>38.7562814070352</v>
      </c>
      <c r="G10" s="461" t="n">
        <f aca="false">G4/G19</f>
        <v>0.755239473849833</v>
      </c>
      <c r="H10" s="461" t="n">
        <f aca="false">H4/H19</f>
        <v>366.560871624822</v>
      </c>
      <c r="I10" s="461" t="n">
        <f aca="false">I4/I19</f>
        <v>24.1681468324452</v>
      </c>
      <c r="J10" s="461" t="n">
        <f aca="false">J4/J19</f>
        <v>463.086068747531</v>
      </c>
      <c r="K10" s="461" t="n">
        <f aca="false">K4/K19</f>
        <v>97.4345787324157</v>
      </c>
      <c r="L10" s="461" t="n">
        <f aca="false">L4/L19</f>
        <v>10.3859115964203</v>
      </c>
      <c r="M10" s="461" t="n">
        <f aca="false">M4/M19</f>
        <v>194.250194250194</v>
      </c>
      <c r="N10" s="461" t="n">
        <f aca="false">N4/N19</f>
        <v>41.2525486138584</v>
      </c>
      <c r="O10" s="461" t="n">
        <f aca="false">O4/O19</f>
        <v>417.118093174431</v>
      </c>
      <c r="P10" s="461" t="n">
        <f aca="false">P4/P19</f>
        <v>162.405181121388</v>
      </c>
      <c r="Q10" s="461" t="n">
        <f aca="false">Q4/Q19</f>
        <v>30</v>
      </c>
      <c r="R10" s="461" t="n">
        <f aca="false">R4/R19</f>
        <v>30.5882352941177</v>
      </c>
      <c r="S10" s="461" t="n">
        <f aca="false">S4/S19</f>
        <v>30.6930693069307</v>
      </c>
      <c r="T10" s="461" t="n">
        <f aca="false">T4/T19</f>
        <v>17.8068410462777</v>
      </c>
      <c r="U10" s="461" t="n">
        <f aca="false">U4/U19</f>
        <v>7.31132075471698</v>
      </c>
      <c r="V10" s="461" t="n">
        <f aca="false">V4/V19</f>
        <v>0.0944444444444444</v>
      </c>
      <c r="W10" s="461" t="n">
        <f aca="false">W4/W19</f>
        <v>0.05</v>
      </c>
      <c r="X10" s="461" t="n">
        <f aca="false">X4/X19</f>
        <v>10</v>
      </c>
      <c r="Y10" s="461"/>
      <c r="Z10" s="461"/>
      <c r="AA10" s="461"/>
    </row>
    <row r="11" customFormat="false" ht="15.75" hidden="false" customHeight="true" outlineLevel="0" collapsed="false">
      <c r="A11" s="456" t="s">
        <v>992</v>
      </c>
      <c r="B11" s="461" t="n">
        <f aca="false">B5/B19</f>
        <v>388.790634577702</v>
      </c>
      <c r="C11" s="461" t="n">
        <f aca="false">C5/C19</f>
        <v>619.907955266497</v>
      </c>
      <c r="D11" s="461" t="n">
        <f aca="false">D5/D19</f>
        <v>850.273541889695</v>
      </c>
      <c r="E11" s="461" t="n">
        <f aca="false">E5/E19</f>
        <v>13.7623835187578</v>
      </c>
      <c r="F11" s="461" t="n">
        <f aca="false">F5/F19</f>
        <v>38.7562814070352</v>
      </c>
      <c r="G11" s="461" t="n">
        <f aca="false">G5/G19</f>
        <v>0.755239473849833</v>
      </c>
      <c r="H11" s="461" t="n">
        <f aca="false">H5/H19</f>
        <v>366.560871624822</v>
      </c>
      <c r="I11" s="461" t="n">
        <f aca="false">I5/I19</f>
        <v>24.1681468324452</v>
      </c>
      <c r="J11" s="461" t="n">
        <f aca="false">J5/J19</f>
        <v>463.086068747531</v>
      </c>
      <c r="K11" s="461" t="n">
        <f aca="false">K5/K19</f>
        <v>97.4345787324157</v>
      </c>
      <c r="L11" s="461" t="n">
        <f aca="false">L5/L19</f>
        <v>10.3859115964203</v>
      </c>
      <c r="M11" s="461" t="n">
        <f aca="false">M5/M19</f>
        <v>194.250194250194</v>
      </c>
      <c r="N11" s="461" t="n">
        <f aca="false">N5/N19</f>
        <v>41.2525486138584</v>
      </c>
      <c r="O11" s="461" t="n">
        <f aca="false">O5/O19</f>
        <v>417.118093174431</v>
      </c>
      <c r="P11" s="461" t="n">
        <f aca="false">P5/P19</f>
        <v>162.405181121388</v>
      </c>
      <c r="Q11" s="461" t="n">
        <f aca="false">Q5/Q19</f>
        <v>30</v>
      </c>
      <c r="R11" s="461" t="n">
        <f aca="false">R5/R19</f>
        <v>30.5882352941177</v>
      </c>
      <c r="S11" s="461" t="n">
        <f aca="false">S5/S19</f>
        <v>30.6930693069307</v>
      </c>
      <c r="T11" s="461" t="n">
        <f aca="false">T5/T19</f>
        <v>17.8068410462777</v>
      </c>
      <c r="U11" s="461" t="n">
        <f aca="false">U5/U19</f>
        <v>7.31132075471698</v>
      </c>
      <c r="V11" s="461" t="n">
        <f aca="false">V5/V19</f>
        <v>0.0944444444444444</v>
      </c>
      <c r="W11" s="461" t="n">
        <f aca="false">W5/W19</f>
        <v>0.05</v>
      </c>
      <c r="X11" s="461" t="n">
        <f aca="false">X5/X19</f>
        <v>10</v>
      </c>
      <c r="Y11" s="461"/>
      <c r="Z11" s="461"/>
      <c r="AA11" s="461"/>
    </row>
    <row r="12" customFormat="false" ht="15.75" hidden="false" customHeight="true" outlineLevel="0" collapsed="false">
      <c r="A12" s="456" t="s">
        <v>993</v>
      </c>
      <c r="B12" s="461" t="n">
        <f aca="false">B8/B19</f>
        <v>427.669698035472</v>
      </c>
      <c r="C12" s="461" t="n">
        <f aca="false">C8/C19</f>
        <v>681.898750793147</v>
      </c>
      <c r="D12" s="461" t="n">
        <f aca="false">D8/D19</f>
        <v>977.814573173149</v>
      </c>
      <c r="E12" s="461" t="n">
        <f aca="false">E8/E19</f>
        <v>17.8910985743852</v>
      </c>
      <c r="F12" s="461" t="n">
        <f aca="false">F8/F19</f>
        <v>42.6319095477387</v>
      </c>
      <c r="G12" s="461" t="n">
        <f aca="false">G8/G19</f>
        <v>0.830763421234817</v>
      </c>
      <c r="H12" s="461" t="n">
        <f aca="false">H8/H19</f>
        <v>403.216958787305</v>
      </c>
      <c r="I12" s="461" t="n">
        <f aca="false">I8/I19</f>
        <v>36.2522202486679</v>
      </c>
      <c r="J12" s="461" t="n">
        <f aca="false">J8/J19</f>
        <v>509.394675622284</v>
      </c>
      <c r="K12" s="461" t="n">
        <f aca="false">K8/K19</f>
        <v>146.151868098624</v>
      </c>
      <c r="L12" s="461" t="n">
        <f aca="false">L8/L19</f>
        <v>11.4245027560623</v>
      </c>
      <c r="M12" s="461" t="n">
        <f aca="false">M8/M19</f>
        <v>213.675213675214</v>
      </c>
      <c r="N12" s="461" t="n">
        <f aca="false">N8/N19</f>
        <v>45.3778034752442</v>
      </c>
      <c r="O12" s="461" t="n">
        <f aca="false">O8/O19</f>
        <v>458.829902491874</v>
      </c>
      <c r="P12" s="461" t="n">
        <f aca="false">P8/P19</f>
        <v>178.645699233527</v>
      </c>
      <c r="Q12" s="461" t="n">
        <f aca="false">Q8/Q19</f>
        <v>33</v>
      </c>
      <c r="R12" s="461" t="n">
        <f aca="false">R8/R19</f>
        <v>33.6470588235294</v>
      </c>
      <c r="S12" s="461" t="n">
        <f aca="false">S8/S19</f>
        <v>33.7623762376238</v>
      </c>
      <c r="T12" s="461" t="n">
        <f aca="false">T8/T19</f>
        <v>19.5875251509054</v>
      </c>
      <c r="U12" s="461" t="n">
        <f aca="false">U8/U19</f>
        <v>8.04245283018868</v>
      </c>
      <c r="V12" s="461" t="n">
        <f aca="false">V8/V19</f>
        <v>0.103888888888889</v>
      </c>
      <c r="W12" s="461" t="n">
        <f aca="false">W8/W19</f>
        <v>0.055</v>
      </c>
      <c r="X12" s="461" t="n">
        <f aca="false">X8/X19</f>
        <v>11</v>
      </c>
      <c r="Y12" s="461"/>
      <c r="Z12" s="461"/>
      <c r="AA12" s="461"/>
    </row>
    <row r="13" customFormat="false" ht="15.75" hidden="false" customHeight="true" outlineLevel="0" collapsed="false">
      <c r="A13" s="456" t="s">
        <v>994</v>
      </c>
      <c r="B13" s="461" t="n">
        <f aca="false">B9/B19</f>
        <v>233.274380746621</v>
      </c>
      <c r="C13" s="461" t="n">
        <f aca="false">C9/C19</f>
        <v>371.944773159899</v>
      </c>
      <c r="D13" s="461" t="n">
        <f aca="false">D9/D19</f>
        <v>510.164125133817</v>
      </c>
      <c r="E13" s="461" t="n">
        <f aca="false">E9/E19</f>
        <v>8.25743011125469</v>
      </c>
      <c r="F13" s="461" t="n">
        <f aca="false">F9/F19</f>
        <v>23.2537688442211</v>
      </c>
      <c r="G13" s="461" t="n">
        <f aca="false">G9/G19</f>
        <v>0.4531436843099</v>
      </c>
      <c r="H13" s="461" t="n">
        <f aca="false">H9/H19</f>
        <v>219.936522974893</v>
      </c>
      <c r="I13" s="461" t="n">
        <f aca="false">I9/I19</f>
        <v>14.5008880994671</v>
      </c>
      <c r="J13" s="461" t="n">
        <f aca="false">J9/J19</f>
        <v>277.851641248518</v>
      </c>
      <c r="K13" s="461" t="n">
        <f aca="false">K9/K19</f>
        <v>58.4607472394494</v>
      </c>
      <c r="L13" s="461" t="n">
        <f aca="false">L9/L19</f>
        <v>6.23154695785216</v>
      </c>
      <c r="M13" s="461" t="n">
        <f aca="false">M9/M19</f>
        <v>116.550116550117</v>
      </c>
      <c r="N13" s="461" t="n">
        <f aca="false">N9/N19</f>
        <v>24.751529168315</v>
      </c>
      <c r="O13" s="461" t="n">
        <f aca="false">O9/O19</f>
        <v>250.270855904659</v>
      </c>
      <c r="P13" s="461" t="n">
        <f aca="false">P9/P19</f>
        <v>97.4431086728328</v>
      </c>
      <c r="Q13" s="461" t="n">
        <f aca="false">Q9/Q19</f>
        <v>18</v>
      </c>
      <c r="R13" s="461" t="n">
        <f aca="false">R9/R19</f>
        <v>18.3529411764706</v>
      </c>
      <c r="S13" s="461" t="n">
        <f aca="false">S9/S19</f>
        <v>18.4158415841584</v>
      </c>
      <c r="T13" s="461" t="n">
        <f aca="false">T9/T19</f>
        <v>10.6841046277666</v>
      </c>
      <c r="U13" s="461" t="n">
        <f aca="false">U9/U19</f>
        <v>4.38679245283019</v>
      </c>
      <c r="V13" s="461" t="n">
        <f aca="false">V9/V19</f>
        <v>0.0566666666666667</v>
      </c>
      <c r="W13" s="461" t="n">
        <f aca="false">W9/W19</f>
        <v>0.03</v>
      </c>
      <c r="X13" s="461" t="n">
        <f aca="false">X9/X19</f>
        <v>6</v>
      </c>
      <c r="Y13" s="461"/>
      <c r="Z13" s="461"/>
      <c r="AA13" s="461"/>
    </row>
    <row r="14" customFormat="false" ht="15" hidden="false" customHeight="false" outlineLevel="0" collapsed="false">
      <c r="A14" s="464" t="s">
        <v>995</v>
      </c>
      <c r="B14" s="465" t="n">
        <f aca="false">B11/B22</f>
        <v>388.790634577702</v>
      </c>
      <c r="C14" s="465" t="n">
        <f aca="false">C11/C22</f>
        <v>619.907955266497</v>
      </c>
      <c r="D14" s="465" t="n">
        <f aca="false">D11/D22</f>
        <v>850.273541889695</v>
      </c>
      <c r="E14" s="465" t="n">
        <f aca="false">E11/E22</f>
        <v>13.7623835187578</v>
      </c>
      <c r="F14" s="465" t="n">
        <f aca="false">F11/F22</f>
        <v>38.7562814070352</v>
      </c>
      <c r="G14" s="465" t="n">
        <f aca="false">G11/G22</f>
        <v>0.755239473849833</v>
      </c>
      <c r="H14" s="465" t="n">
        <f aca="false">H11/H22</f>
        <v>366.560871624822</v>
      </c>
      <c r="I14" s="465" t="n">
        <f aca="false">I11/I22</f>
        <v>24.1681468324452</v>
      </c>
      <c r="J14" s="465" t="n">
        <f aca="false">J11/J22</f>
        <v>463.086068747531</v>
      </c>
      <c r="K14" s="465" t="n">
        <f aca="false">K11/K22</f>
        <v>97.4345787324157</v>
      </c>
      <c r="L14" s="465" t="n">
        <f aca="false">L11/L22</f>
        <v>10.3859115964203</v>
      </c>
      <c r="M14" s="465" t="n">
        <f aca="false">M11/M22</f>
        <v>194.250194250194</v>
      </c>
      <c r="N14" s="465" t="n">
        <f aca="false">N11/N22</f>
        <v>41.2525486138584</v>
      </c>
      <c r="O14" s="465" t="n">
        <f aca="false">O11/O22</f>
        <v>417.118093174431</v>
      </c>
      <c r="P14" s="465" t="n">
        <f aca="false">P11/P22</f>
        <v>162.405181121388</v>
      </c>
      <c r="Q14" s="465" t="n">
        <f aca="false">Q11/Q22</f>
        <v>30</v>
      </c>
      <c r="R14" s="465" t="n">
        <f aca="false">R11/R22</f>
        <v>30.5882352941177</v>
      </c>
      <c r="S14" s="465" t="n">
        <f aca="false">S11/S22</f>
        <v>30.6930693069307</v>
      </c>
      <c r="T14" s="465" t="n">
        <f aca="false">T11/T22</f>
        <v>17.8068410462777</v>
      </c>
      <c r="U14" s="465" t="n">
        <f aca="false">U11/U22</f>
        <v>7.31132075471698</v>
      </c>
      <c r="V14" s="465" t="n">
        <f aca="false">V11/V22</f>
        <v>0.0944444444444444</v>
      </c>
      <c r="W14" s="465" t="n">
        <f aca="false">W11/W22</f>
        <v>0.05</v>
      </c>
      <c r="X14" s="465" t="n">
        <f aca="false">X11/X22</f>
        <v>10</v>
      </c>
      <c r="Y14" s="465"/>
      <c r="Z14" s="465"/>
      <c r="AA14" s="465"/>
    </row>
    <row r="15" customFormat="false" ht="15" hidden="false" customHeight="false" outlineLevel="0" collapsed="false">
      <c r="A15" s="466" t="s">
        <v>996</v>
      </c>
      <c r="B15" s="467" t="n">
        <f aca="false">B12/B22</f>
        <v>427.669698035472</v>
      </c>
      <c r="C15" s="467" t="n">
        <f aca="false">C12/C22</f>
        <v>681.898750793147</v>
      </c>
      <c r="D15" s="467" t="n">
        <f aca="false">D12/D22</f>
        <v>977.814573173149</v>
      </c>
      <c r="E15" s="467" t="n">
        <f aca="false">E12/E22</f>
        <v>17.8910985743852</v>
      </c>
      <c r="F15" s="467" t="n">
        <f aca="false">F12/F22</f>
        <v>42.6319095477387</v>
      </c>
      <c r="G15" s="467" t="n">
        <f aca="false">G12/G22</f>
        <v>0.830763421234817</v>
      </c>
      <c r="H15" s="467" t="n">
        <f aca="false">H12/H22</f>
        <v>403.216958787305</v>
      </c>
      <c r="I15" s="467" t="n">
        <f aca="false">I12/I22</f>
        <v>36.2522202486679</v>
      </c>
      <c r="J15" s="467" t="n">
        <f aca="false">J12/J22</f>
        <v>509.394675622284</v>
      </c>
      <c r="K15" s="467" t="n">
        <f aca="false">K12/K22</f>
        <v>146.151868098624</v>
      </c>
      <c r="L15" s="467" t="n">
        <f aca="false">L12/L22</f>
        <v>11.4245027560623</v>
      </c>
      <c r="M15" s="467" t="n">
        <f aca="false">M12/M22</f>
        <v>213.675213675214</v>
      </c>
      <c r="N15" s="467" t="n">
        <f aca="false">N12/N22</f>
        <v>45.3778034752442</v>
      </c>
      <c r="O15" s="467" t="n">
        <f aca="false">O12/O22</f>
        <v>458.829902491874</v>
      </c>
      <c r="P15" s="467" t="n">
        <f aca="false">P12/P22</f>
        <v>178.645699233527</v>
      </c>
      <c r="Q15" s="467" t="n">
        <f aca="false">Q12/Q22</f>
        <v>33</v>
      </c>
      <c r="R15" s="467" t="n">
        <f aca="false">R12/R22</f>
        <v>33.6470588235294</v>
      </c>
      <c r="S15" s="467" t="n">
        <f aca="false">S12/S22</f>
        <v>33.7623762376238</v>
      </c>
      <c r="T15" s="467" t="n">
        <f aca="false">T12/T22</f>
        <v>19.5875251509054</v>
      </c>
      <c r="U15" s="467" t="n">
        <f aca="false">U12/U22</f>
        <v>8.04245283018868</v>
      </c>
      <c r="V15" s="467" t="n">
        <f aca="false">V12/V22</f>
        <v>0.103888888888889</v>
      </c>
      <c r="W15" s="467" t="n">
        <f aca="false">W12/W22</f>
        <v>0.055</v>
      </c>
      <c r="X15" s="467" t="n">
        <f aca="false">X12/X22</f>
        <v>11</v>
      </c>
      <c r="Y15" s="467"/>
      <c r="Z15" s="467"/>
      <c r="AA15" s="467"/>
    </row>
    <row r="16" s="379" customFormat="true" ht="15" hidden="false" customHeight="false" outlineLevel="0" collapsed="false">
      <c r="A16" s="456" t="s">
        <v>997</v>
      </c>
      <c r="B16" s="461" t="n">
        <f aca="false">B13/B22</f>
        <v>233.274380746621</v>
      </c>
      <c r="C16" s="461" t="n">
        <f aca="false">C13/C22</f>
        <v>371.944773159899</v>
      </c>
      <c r="D16" s="461" t="n">
        <f aca="false">D13/D22</f>
        <v>510.164125133817</v>
      </c>
      <c r="E16" s="461" t="n">
        <f aca="false">E13/E22</f>
        <v>8.25743011125469</v>
      </c>
      <c r="F16" s="461" t="n">
        <f aca="false">F13/F22</f>
        <v>23.2537688442211</v>
      </c>
      <c r="G16" s="461" t="n">
        <f aca="false">G13/G22</f>
        <v>0.4531436843099</v>
      </c>
      <c r="H16" s="461" t="n">
        <f aca="false">H13/H22</f>
        <v>219.936522974893</v>
      </c>
      <c r="I16" s="461" t="n">
        <f aca="false">I13/I22</f>
        <v>14.5008880994671</v>
      </c>
      <c r="J16" s="461" t="n">
        <f aca="false">J13/J22</f>
        <v>277.851641248518</v>
      </c>
      <c r="K16" s="461" t="n">
        <f aca="false">K13/K22</f>
        <v>58.4607472394494</v>
      </c>
      <c r="L16" s="461" t="n">
        <f aca="false">L13/L22</f>
        <v>6.23154695785216</v>
      </c>
      <c r="M16" s="461" t="n">
        <f aca="false">M13/M22</f>
        <v>116.550116550117</v>
      </c>
      <c r="N16" s="461" t="n">
        <f aca="false">N13/N22</f>
        <v>24.751529168315</v>
      </c>
      <c r="O16" s="461" t="n">
        <f aca="false">O13/O22</f>
        <v>250.270855904659</v>
      </c>
      <c r="P16" s="461" t="n">
        <f aca="false">P13/P22</f>
        <v>97.4431086728328</v>
      </c>
      <c r="Q16" s="461" t="n">
        <f aca="false">Q13/Q22</f>
        <v>18</v>
      </c>
      <c r="R16" s="461" t="n">
        <f aca="false">R13/R22</f>
        <v>18.3529411764706</v>
      </c>
      <c r="S16" s="461" t="n">
        <f aca="false">S13/S22</f>
        <v>18.4158415841584</v>
      </c>
      <c r="T16" s="461" t="n">
        <f aca="false">T13/T22</f>
        <v>10.6841046277666</v>
      </c>
      <c r="U16" s="461" t="n">
        <f aca="false">U13/U22</f>
        <v>4.38679245283019</v>
      </c>
      <c r="V16" s="461" t="n">
        <f aca="false">V13/V22</f>
        <v>0.0566666666666667</v>
      </c>
      <c r="W16" s="461" t="n">
        <f aca="false">W13/W22</f>
        <v>0.03</v>
      </c>
      <c r="X16" s="461" t="n">
        <f aca="false">X13/X22</f>
        <v>6</v>
      </c>
      <c r="Y16" s="461"/>
      <c r="Z16" s="461"/>
      <c r="AA16" s="461"/>
    </row>
    <row r="17" s="526" customFormat="true" ht="15" hidden="false" customHeight="false" outlineLevel="0" collapsed="false">
      <c r="A17" s="525" t="s">
        <v>998</v>
      </c>
      <c r="B17" s="452" t="n">
        <f aca="false">B15*0.4</f>
        <v>171.067879214189</v>
      </c>
      <c r="C17" s="452" t="n">
        <f aca="false">C15*0.4</f>
        <v>272.759500317259</v>
      </c>
      <c r="D17" s="452" t="n">
        <f aca="false">D15*0.4</f>
        <v>391.12582926926</v>
      </c>
      <c r="E17" s="452" t="n">
        <f aca="false">E15*0.4</f>
        <v>7.15643942975406</v>
      </c>
      <c r="F17" s="452" t="n">
        <f aca="false">F15*0.4</f>
        <v>17.0527638190955</v>
      </c>
      <c r="G17" s="452" t="n">
        <f aca="false">G15*0.4</f>
        <v>0.332305368493927</v>
      </c>
      <c r="H17" s="452" t="n">
        <f aca="false">H15*0.4</f>
        <v>161.286783514922</v>
      </c>
      <c r="I17" s="452" t="n">
        <f aca="false">I15*0.4</f>
        <v>14.5008880994671</v>
      </c>
      <c r="J17" s="452" t="n">
        <f aca="false">J15*0.4</f>
        <v>203.757870248914</v>
      </c>
      <c r="K17" s="452" t="n">
        <f aca="false">K15*0.4</f>
        <v>58.4607472394494</v>
      </c>
      <c r="L17" s="452" t="n">
        <f aca="false">L15*0.4</f>
        <v>4.56980110242492</v>
      </c>
      <c r="M17" s="452" t="n">
        <f aca="false">M15*0.4</f>
        <v>85.4700854700855</v>
      </c>
      <c r="N17" s="452" t="n">
        <f aca="false">N15*0.4</f>
        <v>18.1511213900977</v>
      </c>
      <c r="O17" s="452" t="n">
        <f aca="false">O15*0.4</f>
        <v>183.53196099675</v>
      </c>
      <c r="P17" s="452" t="n">
        <f aca="false">P15*0.4</f>
        <v>71.4582796934107</v>
      </c>
      <c r="Q17" s="452" t="n">
        <f aca="false">Q15*0.4</f>
        <v>13.2</v>
      </c>
      <c r="R17" s="452" t="n">
        <f aca="false">R15*0.4</f>
        <v>13.4588235294118</v>
      </c>
      <c r="S17" s="452" t="n">
        <f aca="false">S15*0.4</f>
        <v>13.5049504950495</v>
      </c>
      <c r="T17" s="452" t="n">
        <f aca="false">T15*0.4</f>
        <v>7.83501006036217</v>
      </c>
      <c r="U17" s="452" t="n">
        <f aca="false">U15*0.4</f>
        <v>3.21698113207547</v>
      </c>
      <c r="V17" s="452" t="n">
        <f aca="false">V15*0.4</f>
        <v>0.0415555555555556</v>
      </c>
      <c r="W17" s="452" t="n">
        <f aca="false">W15*0.4</f>
        <v>0.022</v>
      </c>
      <c r="X17" s="452" t="n">
        <f aca="false">X15*0.4</f>
        <v>4.4</v>
      </c>
      <c r="Y17" s="452"/>
      <c r="Z17" s="452"/>
      <c r="AA17" s="452"/>
    </row>
    <row r="18" s="379" customFormat="true" ht="15" hidden="false" customHeight="false" outlineLevel="0" collapsed="false">
      <c r="A18" s="456" t="s">
        <v>999</v>
      </c>
      <c r="B18" s="520" t="n">
        <f aca="false">HLOOKUP(B106,物流参数!$C$1:$GC$29,MATCH("TEMPERATURE",物流参数!$A$1:$A$29,FALSE()),FALSE())</f>
        <v>184.99</v>
      </c>
      <c r="C18" s="520" t="n">
        <f aca="false">HLOOKUP(C106,物流参数!$C$1:$GC$29,MATCH("TEMPERATURE",物流参数!$A$1:$A$29,FALSE()),FALSE())</f>
        <v>417.67</v>
      </c>
      <c r="D18" s="520" t="n">
        <f aca="false">HLOOKUP(D106,物流参数!$C$1:$GC$29,MATCH("TEMPERATURE",物流参数!$A$1:$A$29,FALSE()),FALSE())</f>
        <v>417.67</v>
      </c>
      <c r="E18" s="354" t="n">
        <f aca="false">HLOOKUP(E106,物流参数!$C$1:$GC$29,MATCH("TEMPERATURE",物流参数!$A$1:$A$29,FALSE()),FALSE())</f>
        <v>95.46</v>
      </c>
      <c r="F18" s="354" t="n">
        <v>185</v>
      </c>
      <c r="G18" s="354" t="n">
        <f aca="false">HLOOKUP(G106,物流参数!$C$1:$GC$29,MATCH("TEMPERATURE",物流参数!$A$1:$A$29,FALSE()),FALSE())</f>
        <v>50.04</v>
      </c>
      <c r="H18" s="468" t="n">
        <v>110</v>
      </c>
      <c r="I18" s="354" t="n">
        <f aca="false">HLOOKUP(I106,物流参数!$C$1:$GC$29,MATCH("TEMPERATURE",物流参数!$A$1:$A$29,FALSE()),FALSE())</f>
        <v>39.99</v>
      </c>
      <c r="J18" s="354" t="n">
        <f aca="false">HLOOKUP(J106,物流参数!$C$1:$GC$29,MATCH("TEMPERATURE",物流参数!$A$1:$A$29,FALSE()),FALSE())</f>
        <v>335</v>
      </c>
      <c r="K18" s="354" t="n">
        <v>92</v>
      </c>
      <c r="L18" s="354" t="n">
        <f aca="false">HLOOKUP(L106,物流参数!$C$1:$GC$29,MATCH("TEMPERATURE",物流参数!$A$1:$A$29,FALSE()),FALSE())</f>
        <v>92.58</v>
      </c>
      <c r="M18" s="354" t="n">
        <f aca="false">HLOOKUP(M106,物流参数!$C$1:$GC$29,MATCH("TEMPERATURE",物流参数!$A$1:$A$29,FALSE()),FALSE())</f>
        <v>234.36</v>
      </c>
      <c r="N18" s="354" t="n">
        <f aca="false">HLOOKUP(N106,物流参数!$C$1:$GC$29,MATCH("TEMPERATURE",物流参数!$A$1:$A$29,FALSE()),FALSE())</f>
        <v>223.17</v>
      </c>
      <c r="O18" s="354" t="n">
        <f aca="false">HLOOKUP(O106,物流参数!$C$1:$GC$29,MATCH("TEMPERATURE",物流参数!$A$1:$A$29,FALSE()),FALSE())</f>
        <v>330.49</v>
      </c>
      <c r="P18" s="457" t="n">
        <v>40</v>
      </c>
      <c r="Q18" s="354" t="n">
        <f aca="false">HLOOKUP(Q106,物流参数!$C$1:$GC$29,MATCH("TEMPERATURE",物流参数!$A$1:$A$29,FALSE()),FALSE())</f>
        <v>50.04</v>
      </c>
      <c r="R18" s="354" t="n">
        <f aca="false">HLOOKUP(R106,物流参数!$C$1:$GC$29,MATCH("TEMPERATURE",物流参数!$A$1:$A$29,FALSE()),FALSE())</f>
        <v>120.06</v>
      </c>
      <c r="S18" s="457" t="n">
        <v>40</v>
      </c>
      <c r="T18" s="457" t="n">
        <v>43</v>
      </c>
      <c r="U18" s="223" t="n">
        <v>40</v>
      </c>
      <c r="V18" s="223" t="n">
        <v>40</v>
      </c>
      <c r="W18" s="523" t="n">
        <v>40</v>
      </c>
      <c r="X18" s="223" t="n">
        <v>40</v>
      </c>
      <c r="Y18" s="223"/>
      <c r="Z18" s="223"/>
      <c r="AA18" s="223"/>
    </row>
    <row r="19" s="379" customFormat="true" ht="15" hidden="false" customHeight="false" outlineLevel="0" collapsed="false">
      <c r="A19" s="456" t="s">
        <v>1000</v>
      </c>
      <c r="B19" s="520" t="n">
        <f aca="false">HLOOKUP(B106,物流参数!$C$1:$GC$29,MATCH("LIQUID DENSITY",物流参数!$A$1:$A$29,FALSE()),FALSE())</f>
        <v>796.12</v>
      </c>
      <c r="C19" s="520" t="n">
        <f aca="false">HLOOKUP(C106,物流参数!$C$1:$GC$29,MATCH("LIQUID DENSITY",物流参数!$A$1:$A$29,FALSE()),FALSE())</f>
        <v>504.32</v>
      </c>
      <c r="D19" s="520" t="n">
        <f aca="false">HLOOKUP(D106,物流参数!$C$1:$GC$29,MATCH("LIQUID DENSITY",物流参数!$A$1:$A$29,FALSE()),FALSE())</f>
        <v>504.42</v>
      </c>
      <c r="E19" s="354" t="n">
        <f aca="false">HLOOKUP(E106,物流参数!$C$1:$GC$29,MATCH("LIQUID DENSITY",物流参数!$A$1:$A$29,FALSE()),FALSE())</f>
        <v>951.87</v>
      </c>
      <c r="F19" s="522" t="n">
        <v>796</v>
      </c>
      <c r="G19" s="354" t="n">
        <f aca="false">HLOOKUP(G106,物流参数!$C$1:$GC$29,MATCH("LIQUID DENSITY",物流参数!$A$1:$A$29,FALSE()),FALSE())</f>
        <v>794.45</v>
      </c>
      <c r="H19" s="468" t="n">
        <v>844.4</v>
      </c>
      <c r="I19" s="521" t="n">
        <v>675.6</v>
      </c>
      <c r="J19" s="223" t="n">
        <f aca="false">HLOOKUP(J106,物流参数!$C$1:$GC$29,MATCH("LIQUID DENSITY",物流参数!$A$1:$A$29,FALSE()),FALSE())</f>
        <v>632.75</v>
      </c>
      <c r="K19" s="521" t="n">
        <v>661.1</v>
      </c>
      <c r="L19" s="354" t="n">
        <f aca="false">HLOOKUP(L106,物流参数!$C$1:$GC$29,MATCH("LIQUID DENSITY",物流参数!$A$1:$A$29,FALSE()),FALSE())</f>
        <v>954.26</v>
      </c>
      <c r="M19" s="354" t="n">
        <f aca="false">HLOOKUP(M106,物流参数!$C$1:$GC$29,MATCH("LIQUID DENSITY",物流参数!$A$1:$A$29,FALSE()),FALSE())</f>
        <v>643.5</v>
      </c>
      <c r="N19" s="354" t="n">
        <f aca="false">HLOOKUP(N106,物流参数!$C$1:$GC$29,MATCH("LIQUID DENSITY",物流参数!$A$1:$A$29,FALSE()),FALSE())</f>
        <v>657.22</v>
      </c>
      <c r="O19" s="522" t="n">
        <v>646.1</v>
      </c>
      <c r="P19" s="354" t="n">
        <f aca="false">HLOOKUP(P106,物流参数!$C$1:$GC$29,MATCH("LIQUID DENSITY",物流参数!$A$1:$A$29,FALSE()),FALSE())</f>
        <v>1009.82</v>
      </c>
      <c r="Q19" s="354" t="n">
        <v>800</v>
      </c>
      <c r="R19" s="354" t="n">
        <v>850</v>
      </c>
      <c r="S19" s="354" t="n">
        <v>1010</v>
      </c>
      <c r="T19" s="469" t="n">
        <v>994</v>
      </c>
      <c r="U19" s="469" t="n">
        <v>1060</v>
      </c>
      <c r="V19" s="470" t="n">
        <v>900</v>
      </c>
      <c r="W19" s="523" t="n">
        <v>900</v>
      </c>
      <c r="X19" s="470" t="n">
        <v>1060</v>
      </c>
      <c r="Y19" s="470"/>
      <c r="Z19" s="470"/>
      <c r="AA19" s="470"/>
    </row>
    <row r="20" s="379" customFormat="true" ht="15" hidden="false" customHeight="false" outlineLevel="0" collapsed="false">
      <c r="A20" s="456" t="s">
        <v>1001</v>
      </c>
      <c r="B20" s="527" t="n">
        <v>0.4</v>
      </c>
      <c r="C20" s="527" t="n">
        <v>13.95</v>
      </c>
      <c r="D20" s="528" t="n">
        <v>11.04</v>
      </c>
      <c r="E20" s="529" t="n">
        <v>0.08</v>
      </c>
      <c r="F20" s="530" t="n">
        <v>0.05</v>
      </c>
      <c r="G20" s="471" t="n">
        <v>0.4</v>
      </c>
      <c r="H20" s="529" t="n">
        <v>0.05</v>
      </c>
      <c r="I20" s="471" t="n">
        <v>1.09</v>
      </c>
      <c r="J20" s="529" t="n">
        <v>0.3</v>
      </c>
      <c r="K20" s="471" t="n">
        <v>0.16</v>
      </c>
      <c r="L20" s="529" t="n">
        <v>0.07</v>
      </c>
      <c r="M20" s="471" t="n">
        <v>0.19</v>
      </c>
      <c r="N20" s="471" t="n">
        <v>0.2</v>
      </c>
      <c r="O20" s="471" t="n">
        <v>0.22</v>
      </c>
      <c r="P20" s="471" t="n">
        <v>0.01</v>
      </c>
      <c r="Q20" s="471" t="n">
        <v>0.02</v>
      </c>
      <c r="R20" s="471" t="n">
        <v>0.01</v>
      </c>
      <c r="S20" s="471" t="n">
        <v>0.02</v>
      </c>
      <c r="T20" s="529" t="n">
        <v>0.02</v>
      </c>
      <c r="U20" s="471" t="n">
        <v>0.002</v>
      </c>
      <c r="V20" s="474" t="n">
        <v>0.02</v>
      </c>
      <c r="W20" s="523" t="n">
        <v>0.02</v>
      </c>
      <c r="X20" s="468" t="n">
        <v>0.002</v>
      </c>
      <c r="Y20" s="452"/>
      <c r="Z20" s="452"/>
      <c r="AA20" s="212"/>
    </row>
    <row r="21" customFormat="false" ht="15" hidden="false" customHeight="false" outlineLevel="0" collapsed="false">
      <c r="A21" s="456" t="s">
        <v>1002</v>
      </c>
      <c r="B21" s="527" t="n">
        <f aca="false">HLOOKUP(B106,物流参数!$C$1:$GC$29,MATCH("LIQ. VISC @ P&amp;T",物流参数!$A$1:$A$29,FALSE()),FALSE())/B19*1000</f>
        <v>1.13048284178265</v>
      </c>
      <c r="C21" s="527" t="n">
        <f aca="false">HLOOKUP(C106,物流参数!$C$1:$GC$29,MATCH("LIQ. VISC @ P&amp;T",物流参数!$A$1:$A$29,FALSE()),FALSE())/C19*1000</f>
        <v>0.0991434010152284</v>
      </c>
      <c r="D21" s="527" t="n">
        <f aca="false">HLOOKUP(D106,物流参数!$C$1:$GC$29,MATCH("LIQ. VISC @ P&amp;T",物流参数!$A$1:$A$29,FALSE()),FALSE())/D19*1000</f>
        <v>0.099123746084612</v>
      </c>
      <c r="E21" s="470" t="n">
        <f aca="false">HLOOKUP(E106,物流参数!$C$1:$GC$29,MATCH("LIQ. VISC @ P&amp;T",物流参数!$A$1:$A$29,FALSE()),FALSE())/E19*1000</f>
        <v>0.304663451941967</v>
      </c>
      <c r="F21" s="470" t="n">
        <v>1.13</v>
      </c>
      <c r="G21" s="470" t="n">
        <f aca="false">HLOOKUP(G106,物流参数!$C$1:$GC$29,MATCH("LIQ. VISC @ P&amp;T",物流参数!$A$1:$A$29,FALSE()),FALSE())/G19*1000</f>
        <v>2.20278179872868</v>
      </c>
      <c r="H21" s="470" t="n">
        <f aca="false">HLOOKUP(H106,物流参数!$C$1:$GC$29,MATCH("LIQ. VISC @ P&amp;T",物流参数!$A$1:$A$29,FALSE()),FALSE())/H19*1000</f>
        <v>5.04500236854571</v>
      </c>
      <c r="I21" s="470" t="n">
        <f aca="false">HLOOKUP(I106,物流参数!$C$1:$GC$29,MATCH("LIQ. VISC @ P&amp;T",物流参数!$A$1:$A$29,FALSE()),FALSE())/I19*1000</f>
        <v>0.429248075784488</v>
      </c>
      <c r="J21" s="470" t="n">
        <f aca="false">HLOOKUP(J106,物流参数!$C$1:$GC$29,MATCH("LIQ. VISC @ P&amp;T",物流参数!$A$1:$A$29,FALSE()),FALSE())/J19*1000</f>
        <v>0.173844330304228</v>
      </c>
      <c r="K21" s="470" t="n">
        <f aca="false">HLOOKUP(K106,物流参数!$C$1:$GC$29,MATCH("LIQ. VISC @ P&amp;T",物流参数!$A$1:$A$29,FALSE()),FALSE())/K19*1000</f>
        <v>0.393283920738164</v>
      </c>
      <c r="L21" s="470" t="n">
        <f aca="false">HLOOKUP(L106,物流参数!$C$1:$GC$29,MATCH("LIQ. VISC @ P&amp;T",物流参数!$A$1:$A$29,FALSE()),FALSE())/L19*1000</f>
        <v>0.314379728795087</v>
      </c>
      <c r="M21" s="470" t="n">
        <f aca="false">HLOOKUP(M106,物流参数!$C$1:$GC$29,MATCH("LIQ. VISC @ P&amp;T",物流参数!$A$1:$A$29,FALSE()),FALSE())/M19*1000</f>
        <v>0.341880341880342</v>
      </c>
      <c r="N21" s="470" t="n">
        <f aca="false">HLOOKUP(N106,物流参数!$C$1:$GC$29,MATCH("LIQ. VISC @ P&amp;T",物流参数!$A$1:$A$29,FALSE()),FALSE())/N19*1000</f>
        <v>0.380390128115395</v>
      </c>
      <c r="O21" s="470" t="n">
        <f aca="false">HLOOKUP(O106,物流参数!$C$1:$GC$29,MATCH("LIQ. VISC @ P&amp;T",物流参数!$A$1:$A$29,FALSE()),FALSE())/O19*1000</f>
        <v>0.185729763194552</v>
      </c>
      <c r="P21" s="470" t="n">
        <f aca="false">HLOOKUP(P106,物流参数!$C$1:$GC$29,MATCH("LIQ. VISC @ P&amp;T",物流参数!$A$1:$A$29,FALSE()),FALSE())/P19*1000</f>
        <v>1.30716365292824</v>
      </c>
      <c r="Q21" s="530" t="n">
        <f aca="false">HLOOKUP(Q106,物流参数!$C$1:$GC$29,MATCH("LIQ. VISC @ P&amp;T",物流参数!$A$1:$A$29,FALSE()),FALSE())/Q19*1000</f>
        <v>2.1875</v>
      </c>
      <c r="R21" s="530" t="n">
        <f aca="false">HLOOKUP(R106,物流参数!$C$1:$GC$29,MATCH("LIQ. VISC @ P&amp;T",物流参数!$A$1:$A$29,FALSE()),FALSE())/R19*1000</f>
        <v>2.8</v>
      </c>
      <c r="S21" s="530" t="n">
        <f aca="false">HLOOKUP(S106,物流参数!$C$1:$GC$29,MATCH("LIQ. VISC @ P&amp;T",物流参数!$A$1:$A$29,FALSE()),FALSE())/S19*1000</f>
        <v>1.08910891089109</v>
      </c>
      <c r="T21" s="452" t="n">
        <f aca="false">0.65/T19*1000</f>
        <v>0.653923541247485</v>
      </c>
      <c r="U21" s="452" t="n">
        <f aca="false">0.62/U19*1000</f>
        <v>0.584905660377359</v>
      </c>
      <c r="V21" s="470" t="n">
        <v>2.2</v>
      </c>
      <c r="W21" s="523" t="n">
        <v>2.2</v>
      </c>
      <c r="X21" s="470" t="n">
        <v>0.58</v>
      </c>
      <c r="Y21" s="470"/>
      <c r="Z21" s="470"/>
      <c r="AA21" s="470"/>
    </row>
    <row r="22" customFormat="false" ht="15" hidden="false" customHeight="false" outlineLevel="0" collapsed="false">
      <c r="A22" s="475" t="s">
        <v>826</v>
      </c>
      <c r="B22" s="477" t="n">
        <f aca="false">IF(OR(B2="原油泵",B21&gt;10),0.98,1)</f>
        <v>1</v>
      </c>
      <c r="C22" s="477" t="n">
        <f aca="false">IF(OR(C2="原油泵",C21&gt;10),0.98,1)</f>
        <v>1</v>
      </c>
      <c r="D22" s="477" t="n">
        <f aca="false">IF(OR(D2="原油泵",D21&gt;10),0.98,1)</f>
        <v>1</v>
      </c>
      <c r="E22" s="477" t="n">
        <f aca="false">IF(OR(E2="原油泵",E21&gt;10),0.98,1)</f>
        <v>1</v>
      </c>
      <c r="F22" s="477" t="n">
        <f aca="false">IF(OR(F2="原油泵",F21&gt;10),0.98,1)</f>
        <v>1</v>
      </c>
      <c r="G22" s="477" t="n">
        <f aca="false">IF(OR(G2="原油泵",G21&gt;10),0.98,1)</f>
        <v>1</v>
      </c>
      <c r="H22" s="477" t="n">
        <f aca="false">IF(OR(H2="原油泵",H21&gt;10),0.98,1)</f>
        <v>1</v>
      </c>
      <c r="I22" s="477" t="n">
        <f aca="false">IF(OR(I2="原油泵",I21&gt;10),0.98,1)</f>
        <v>1</v>
      </c>
      <c r="J22" s="477" t="n">
        <f aca="false">IF(OR(J2="原油泵",J21&gt;10),0.98,1)</f>
        <v>1</v>
      </c>
      <c r="K22" s="477" t="n">
        <f aca="false">IF(OR(K2="原油泵",K21&gt;10),0.98,1)</f>
        <v>1</v>
      </c>
      <c r="L22" s="477" t="n">
        <f aca="false">IF(OR(L2="原油泵",L21&gt;10),0.98,1)</f>
        <v>1</v>
      </c>
      <c r="M22" s="477" t="n">
        <f aca="false">IF(OR(M2="原油泵",M21&gt;10),0.98,1)</f>
        <v>1</v>
      </c>
      <c r="N22" s="477" t="n">
        <f aca="false">IF(OR(N2="原油泵",N21&gt;10),0.98,1)</f>
        <v>1</v>
      </c>
      <c r="O22" s="477" t="n">
        <f aca="false">IF(OR(O2="原油泵",O21&gt;10),0.98,1)</f>
        <v>1</v>
      </c>
      <c r="P22" s="477" t="n">
        <f aca="false">IF(OR(P2="原油泵",P21&gt;10),0.98,1)</f>
        <v>1</v>
      </c>
      <c r="Q22" s="477" t="n">
        <f aca="false">IF(OR(Q2="原油泵",Q21&gt;10),0.98,1)</f>
        <v>1</v>
      </c>
      <c r="R22" s="477" t="n">
        <f aca="false">IF(OR(R2="原油泵",R21&gt;10),0.98,1)</f>
        <v>1</v>
      </c>
      <c r="S22" s="477" t="n">
        <f aca="false">IF(OR(S2="原油泵",S21&gt;10),0.98,1)</f>
        <v>1</v>
      </c>
      <c r="T22" s="477" t="n">
        <f aca="false">IF(OR(T2="原油泵",T21&gt;10),0.98,1)</f>
        <v>1</v>
      </c>
      <c r="U22" s="477" t="n">
        <v>1</v>
      </c>
      <c r="V22" s="463" t="n">
        <v>1</v>
      </c>
      <c r="W22" s="477" t="n">
        <v>1</v>
      </c>
      <c r="X22" s="463" t="n">
        <v>1</v>
      </c>
      <c r="Y22" s="463"/>
      <c r="Z22" s="463"/>
      <c r="AA22" s="463"/>
    </row>
    <row r="23" customFormat="false" ht="15" hidden="false" customHeight="false" outlineLevel="0" collapsed="false">
      <c r="A23" s="475" t="s">
        <v>827</v>
      </c>
      <c r="B23" s="477" t="n">
        <f aca="false">IF(OR(B2="原油泵",B21&gt;10),0.97,1)</f>
        <v>1</v>
      </c>
      <c r="C23" s="477" t="n">
        <f aca="false">IF(OR(C2="原油泵",C21&gt;10),0.97,1)</f>
        <v>1</v>
      </c>
      <c r="D23" s="477" t="n">
        <f aca="false">IF(OR(D2="原油泵",D21&gt;10),0.97,1)</f>
        <v>1</v>
      </c>
      <c r="E23" s="477" t="n">
        <f aca="false">IF(OR(E2="原油泵",E21&gt;10),0.97,1)</f>
        <v>1</v>
      </c>
      <c r="F23" s="477" t="n">
        <f aca="false">IF(OR(F2="原油泵",F21&gt;10),0.97,1)</f>
        <v>1</v>
      </c>
      <c r="G23" s="477" t="n">
        <f aca="false">IF(OR(G2="原油泵",G21&gt;10),0.97,1)</f>
        <v>1</v>
      </c>
      <c r="H23" s="477" t="n">
        <f aca="false">IF(OR(H2="原油泵",H21&gt;10),0.97,1)</f>
        <v>1</v>
      </c>
      <c r="I23" s="477" t="n">
        <f aca="false">IF(OR(I2="原油泵",I21&gt;10),0.97,1)</f>
        <v>1</v>
      </c>
      <c r="J23" s="477" t="n">
        <f aca="false">IF(OR(J2="原油泵",J21&gt;10),0.97,1)</f>
        <v>1</v>
      </c>
      <c r="K23" s="477" t="n">
        <f aca="false">IF(OR(K2="原油泵",K21&gt;10),0.97,1)</f>
        <v>1</v>
      </c>
      <c r="L23" s="477" t="n">
        <f aca="false">IF(OR(L2="原油泵",L21&gt;10),0.97,1)</f>
        <v>1</v>
      </c>
      <c r="M23" s="477" t="n">
        <f aca="false">IF(OR(M2="原油泵",M21&gt;10),0.97,1)</f>
        <v>1</v>
      </c>
      <c r="N23" s="477" t="n">
        <f aca="false">IF(OR(N2="原油泵",N21&gt;10),0.97,1)</f>
        <v>1</v>
      </c>
      <c r="O23" s="477" t="n">
        <f aca="false">IF(OR(O2="原油泵",O21&gt;10),0.97,1)</f>
        <v>1</v>
      </c>
      <c r="P23" s="477" t="n">
        <f aca="false">IF(OR(P2="原油泵",P21&gt;10),0.97,1)</f>
        <v>1</v>
      </c>
      <c r="Q23" s="477" t="n">
        <f aca="false">IF(OR(Q2="原油泵",Q21&gt;10),0.97,1)</f>
        <v>1</v>
      </c>
      <c r="R23" s="477" t="n">
        <f aca="false">IF(OR(R2="原油泵",R21&gt;10),0.97,1)</f>
        <v>1</v>
      </c>
      <c r="S23" s="477" t="n">
        <f aca="false">IF(OR(S2="原油泵",S21&gt;10),0.97,1)</f>
        <v>1</v>
      </c>
      <c r="T23" s="477" t="n">
        <f aca="false">IF(OR(T2="原油泵",T21&gt;10),0.97,1)</f>
        <v>1</v>
      </c>
      <c r="U23" s="477" t="n">
        <v>1</v>
      </c>
      <c r="V23" s="463" t="n">
        <v>1</v>
      </c>
      <c r="W23" s="477" t="n">
        <v>1</v>
      </c>
      <c r="X23" s="463" t="n">
        <v>1</v>
      </c>
      <c r="Y23" s="463"/>
      <c r="Z23" s="463"/>
      <c r="AA23" s="463"/>
    </row>
    <row r="24" customFormat="false" ht="15" hidden="false" customHeight="false" outlineLevel="0" collapsed="false">
      <c r="A24" s="475" t="s">
        <v>828</v>
      </c>
      <c r="B24" s="477" t="n">
        <v>1</v>
      </c>
      <c r="C24" s="477" t="n">
        <f aca="false">IF(OR(C2="原油泵",C21&gt;10),0.92,1)</f>
        <v>1</v>
      </c>
      <c r="D24" s="477" t="n">
        <f aca="false">IF(OR(D2="原油泵",D21&gt;10),0.92,1)</f>
        <v>1</v>
      </c>
      <c r="E24" s="477" t="n">
        <f aca="false">IF(OR(E2="原油泵",E21&gt;10),0.92,1)</f>
        <v>1</v>
      </c>
      <c r="F24" s="477" t="n">
        <f aca="false">IF(OR(F2="原油泵",F21&gt;10),0.92,1)</f>
        <v>1</v>
      </c>
      <c r="G24" s="477" t="n">
        <f aca="false">IF(OR(G2="原油泵",G21&gt;10),0.92,1)</f>
        <v>1</v>
      </c>
      <c r="H24" s="477" t="n">
        <f aca="false">IF(OR(H2="原油泵",H21&gt;10),0.92,1)</f>
        <v>1</v>
      </c>
      <c r="I24" s="477" t="n">
        <f aca="false">IF(OR(I2="原油泵",I21&gt;10),0.92,1)</f>
        <v>1</v>
      </c>
      <c r="J24" s="477" t="n">
        <f aca="false">IF(OR(J2="原油泵",J21&gt;10),0.92,1)</f>
        <v>1</v>
      </c>
      <c r="K24" s="477" t="n">
        <f aca="false">IF(OR(K2="原油泵",K21&gt;10),0.92,1)</f>
        <v>1</v>
      </c>
      <c r="L24" s="477" t="n">
        <f aca="false">IF(OR(L2="原油泵",L21&gt;10),0.92,1)</f>
        <v>1</v>
      </c>
      <c r="M24" s="477" t="n">
        <f aca="false">IF(OR(M2="原油泵",M21&gt;10),0.92,1)</f>
        <v>1</v>
      </c>
      <c r="N24" s="477" t="n">
        <f aca="false">IF(OR(N2="原油泵",N21&gt;10),0.92,1)</f>
        <v>1</v>
      </c>
      <c r="O24" s="477" t="n">
        <f aca="false">IF(OR(O2="原油泵",O21&gt;10),0.92,1)</f>
        <v>1</v>
      </c>
      <c r="P24" s="477" t="n">
        <f aca="false">IF(OR(P2="原油泵",P21&gt;10),0.92,1)</f>
        <v>1</v>
      </c>
      <c r="Q24" s="477" t="n">
        <f aca="false">IF(OR(Q2="原油泵",Q21&gt;10),0.92,1)</f>
        <v>1</v>
      </c>
      <c r="R24" s="477" t="n">
        <f aca="false">IF(OR(R2="原油泵",R21&gt;10),0.92,1)</f>
        <v>1</v>
      </c>
      <c r="S24" s="477" t="n">
        <f aca="false">IF(OR(S2="原油泵",S21&gt;10),0.92,1)</f>
        <v>1</v>
      </c>
      <c r="T24" s="477" t="n">
        <f aca="false">IF(OR(T2="原油泵",T21&gt;10),0.92,1)</f>
        <v>1</v>
      </c>
      <c r="U24" s="477" t="n">
        <v>1</v>
      </c>
      <c r="V24" s="463" t="n">
        <v>1</v>
      </c>
      <c r="W24" s="477" t="n">
        <v>1</v>
      </c>
      <c r="X24" s="463" t="n">
        <v>1</v>
      </c>
      <c r="Y24" s="463"/>
      <c r="Z24" s="463"/>
      <c r="AA24" s="463"/>
    </row>
    <row r="25" customFormat="false" ht="15" hidden="false" customHeight="false" outlineLevel="0" collapsed="false">
      <c r="A25" s="476" t="s">
        <v>829</v>
      </c>
      <c r="B25" s="477" t="n">
        <v>1</v>
      </c>
      <c r="C25" s="477" t="n">
        <v>1</v>
      </c>
      <c r="D25" s="477" t="n">
        <v>1</v>
      </c>
      <c r="E25" s="477" t="n">
        <v>1</v>
      </c>
      <c r="F25" s="477" t="n">
        <v>1</v>
      </c>
      <c r="G25" s="477" t="n">
        <v>1</v>
      </c>
      <c r="H25" s="477" t="n">
        <v>1</v>
      </c>
      <c r="I25" s="477" t="n">
        <v>1</v>
      </c>
      <c r="J25" s="477" t="n">
        <v>1</v>
      </c>
      <c r="K25" s="477" t="n">
        <v>1</v>
      </c>
      <c r="L25" s="477" t="n">
        <v>1</v>
      </c>
      <c r="M25" s="477" t="n">
        <v>1</v>
      </c>
      <c r="N25" s="477" t="n">
        <v>1</v>
      </c>
      <c r="O25" s="477" t="n">
        <v>1</v>
      </c>
      <c r="P25" s="477" t="n">
        <v>1</v>
      </c>
      <c r="Q25" s="477" t="n">
        <v>1</v>
      </c>
      <c r="R25" s="477" t="n">
        <v>1</v>
      </c>
      <c r="S25" s="477" t="n">
        <v>1</v>
      </c>
      <c r="T25" s="477" t="n">
        <v>1</v>
      </c>
      <c r="U25" s="477" t="n">
        <v>1</v>
      </c>
      <c r="V25" s="477" t="n">
        <v>1</v>
      </c>
      <c r="W25" s="477" t="n">
        <v>1</v>
      </c>
      <c r="X25" s="477" t="n">
        <v>1</v>
      </c>
      <c r="Y25" s="477"/>
      <c r="Z25" s="477"/>
      <c r="AA25" s="477"/>
    </row>
    <row r="26" s="532" customFormat="true" ht="15" hidden="false" customHeight="false" outlineLevel="0" collapsed="false">
      <c r="A26" s="478" t="s">
        <v>1003</v>
      </c>
      <c r="B26" s="468" t="n">
        <v>0.6</v>
      </c>
      <c r="C26" s="468" t="n">
        <v>0</v>
      </c>
      <c r="D26" s="468" t="n">
        <v>13.83</v>
      </c>
      <c r="E26" s="468" t="n">
        <v>0.4</v>
      </c>
      <c r="F26" s="468" t="n">
        <v>0.15</v>
      </c>
      <c r="G26" s="468" t="n">
        <v>0.15</v>
      </c>
      <c r="H26" s="531" t="n">
        <v>0.2</v>
      </c>
      <c r="I26" s="468" t="n">
        <v>0.99</v>
      </c>
      <c r="J26" s="468" t="n">
        <v>0.2</v>
      </c>
      <c r="K26" s="468" t="n">
        <v>0.06</v>
      </c>
      <c r="L26" s="468" t="n">
        <v>0.04</v>
      </c>
      <c r="M26" s="468" t="n">
        <v>0.09</v>
      </c>
      <c r="N26" s="468" t="n">
        <v>0.11</v>
      </c>
      <c r="O26" s="468" t="n">
        <v>0.14</v>
      </c>
      <c r="P26" s="468" t="n">
        <v>0.7</v>
      </c>
      <c r="Q26" s="468" t="n">
        <v>0.05</v>
      </c>
      <c r="R26" s="468" t="n">
        <v>0.05</v>
      </c>
      <c r="S26" s="468" t="n">
        <v>0.05</v>
      </c>
      <c r="T26" s="468" t="n">
        <v>0.1</v>
      </c>
      <c r="U26" s="477" t="n">
        <v>0.6</v>
      </c>
      <c r="V26" s="458" t="n">
        <v>0.6</v>
      </c>
      <c r="W26" s="523" t="n">
        <v>0</v>
      </c>
      <c r="X26" s="468" t="n">
        <v>0</v>
      </c>
      <c r="Y26" s="458"/>
      <c r="Z26" s="458"/>
      <c r="AA26" s="458"/>
    </row>
    <row r="27" s="379" customFormat="true" ht="15" hidden="false" customHeight="false" outlineLevel="0" collapsed="false">
      <c r="A27" s="456" t="s">
        <v>1004</v>
      </c>
      <c r="B27" s="468" t="n">
        <v>0.42</v>
      </c>
      <c r="C27" s="468" t="n">
        <v>0.1</v>
      </c>
      <c r="D27" s="533" t="n">
        <f aca="false">D26+0.1</f>
        <v>13.93</v>
      </c>
      <c r="E27" s="470" t="n">
        <f aca="false">E26+0.1</f>
        <v>0.5</v>
      </c>
      <c r="F27" s="470" t="n">
        <v>0.1</v>
      </c>
      <c r="G27" s="470" t="n">
        <f aca="false">G26+0.1</f>
        <v>0.25</v>
      </c>
      <c r="H27" s="470" t="n">
        <f aca="false">H26+0.1</f>
        <v>0.3</v>
      </c>
      <c r="I27" s="470" t="n">
        <f aca="false">I26+0.1</f>
        <v>1.09</v>
      </c>
      <c r="J27" s="470" t="n">
        <f aca="false">J26+0.1</f>
        <v>0.3</v>
      </c>
      <c r="K27" s="528" t="n">
        <f aca="false">K26+0.1</f>
        <v>0.16</v>
      </c>
      <c r="L27" s="528" t="n">
        <f aca="false">L26+0.1</f>
        <v>0.14</v>
      </c>
      <c r="M27" s="528" t="n">
        <v>0.19</v>
      </c>
      <c r="N27" s="530" t="n">
        <v>0.2</v>
      </c>
      <c r="O27" s="530" t="n">
        <v>0.22</v>
      </c>
      <c r="P27" s="530" t="n">
        <v>0.5</v>
      </c>
      <c r="Q27" s="470" t="n">
        <v>0.1</v>
      </c>
      <c r="R27" s="470" t="n">
        <v>0.1</v>
      </c>
      <c r="S27" s="470" t="n">
        <v>0.1</v>
      </c>
      <c r="T27" s="470" t="n">
        <v>0.1</v>
      </c>
      <c r="U27" s="477" t="n">
        <v>0.6</v>
      </c>
      <c r="V27" s="458" t="n">
        <v>0.4</v>
      </c>
      <c r="W27" s="523" t="n">
        <v>0.1</v>
      </c>
      <c r="X27" s="468" t="n">
        <v>0.1</v>
      </c>
      <c r="Y27" s="468"/>
      <c r="Z27" s="482"/>
      <c r="AA27" s="482"/>
    </row>
    <row r="28" s="379" customFormat="true" ht="15" hidden="false" customHeight="false" outlineLevel="0" collapsed="false">
      <c r="A28" s="462" t="s">
        <v>1005</v>
      </c>
      <c r="B28" s="531" t="n">
        <v>14.21</v>
      </c>
      <c r="C28" s="468" t="n">
        <v>1.7</v>
      </c>
      <c r="D28" s="534" t="n">
        <v>14.31</v>
      </c>
      <c r="E28" s="524" t="n">
        <v>2.98</v>
      </c>
      <c r="F28" s="469" t="n">
        <v>1.1</v>
      </c>
      <c r="G28" s="468" t="n">
        <v>0.5</v>
      </c>
      <c r="H28" s="535" t="n">
        <v>0.9</v>
      </c>
      <c r="I28" s="468" t="n">
        <v>1.16</v>
      </c>
      <c r="J28" s="468" t="n">
        <v>0.65</v>
      </c>
      <c r="K28" s="531" t="n">
        <v>1.1</v>
      </c>
      <c r="L28" s="531" t="n">
        <v>0.5</v>
      </c>
      <c r="M28" s="531" t="n">
        <v>0.19</v>
      </c>
      <c r="N28" s="531" t="n">
        <v>1.1</v>
      </c>
      <c r="O28" s="531" t="n">
        <v>1.1</v>
      </c>
      <c r="P28" s="468" t="n">
        <v>3.08</v>
      </c>
      <c r="Q28" s="524" t="n">
        <v>0.7</v>
      </c>
      <c r="R28" s="524" t="n">
        <v>0.7</v>
      </c>
      <c r="S28" s="524" t="n">
        <v>0.8</v>
      </c>
      <c r="T28" s="452" t="n">
        <v>0.3</v>
      </c>
      <c r="U28" s="452" t="n">
        <v>1.3</v>
      </c>
      <c r="V28" s="468" t="n">
        <v>1.1</v>
      </c>
      <c r="W28" s="452" t="n">
        <v>1.2</v>
      </c>
      <c r="X28" s="468" t="n">
        <v>0.5</v>
      </c>
      <c r="Y28" s="468"/>
      <c r="Z28" s="468"/>
      <c r="AA28" s="468"/>
    </row>
    <row r="29" s="379" customFormat="true" ht="15" hidden="false" customHeight="false" outlineLevel="0" collapsed="false">
      <c r="A29" s="456" t="s">
        <v>1006</v>
      </c>
      <c r="B29" s="463" t="n">
        <f aca="false">B28-B27</f>
        <v>13.79</v>
      </c>
      <c r="C29" s="463" t="n">
        <f aca="false">C28-C27</f>
        <v>1.6</v>
      </c>
      <c r="D29" s="463" t="n">
        <f aca="false">D28-D27</f>
        <v>0.380000000000001</v>
      </c>
      <c r="E29" s="463" t="n">
        <f aca="false">E28-E27</f>
        <v>2.48</v>
      </c>
      <c r="F29" s="463" t="n">
        <f aca="false">F28-F27</f>
        <v>1</v>
      </c>
      <c r="G29" s="463" t="n">
        <f aca="false">G28-G27</f>
        <v>0.25</v>
      </c>
      <c r="H29" s="463" t="n">
        <f aca="false">H28-H27</f>
        <v>0.6</v>
      </c>
      <c r="I29" s="463" t="n">
        <f aca="false">I28-I27</f>
        <v>0.0699999999999998</v>
      </c>
      <c r="J29" s="463" t="n">
        <f aca="false">J28-J27</f>
        <v>0.35</v>
      </c>
      <c r="K29" s="463" t="n">
        <f aca="false">K28-K27</f>
        <v>0.94</v>
      </c>
      <c r="L29" s="463" t="n">
        <f aca="false">L28-L27</f>
        <v>0.36</v>
      </c>
      <c r="M29" s="463" t="n">
        <f aca="false">M28-M27</f>
        <v>0</v>
      </c>
      <c r="N29" s="463" t="n">
        <f aca="false">N28-N27</f>
        <v>0.9</v>
      </c>
      <c r="O29" s="463" t="n">
        <f aca="false">O28-O27</f>
        <v>0.88</v>
      </c>
      <c r="P29" s="463" t="n">
        <f aca="false">P28-P27</f>
        <v>2.58</v>
      </c>
      <c r="Q29" s="463" t="n">
        <f aca="false">Q28-Q27</f>
        <v>0.6</v>
      </c>
      <c r="R29" s="463" t="n">
        <f aca="false">R28-R27</f>
        <v>0.6</v>
      </c>
      <c r="S29" s="463" t="n">
        <f aca="false">S28-S27</f>
        <v>0.7</v>
      </c>
      <c r="T29" s="463" t="n">
        <f aca="false">T28-T27</f>
        <v>0.2</v>
      </c>
      <c r="U29" s="463" t="n">
        <f aca="false">U28-U27</f>
        <v>0.7</v>
      </c>
      <c r="V29" s="463" t="n">
        <f aca="false">V28-V27</f>
        <v>0.7</v>
      </c>
      <c r="W29" s="463" t="n">
        <f aca="false">W28-W27</f>
        <v>1.1</v>
      </c>
      <c r="X29" s="463" t="n">
        <f aca="false">X28-X27</f>
        <v>0.4</v>
      </c>
      <c r="Y29" s="463"/>
      <c r="Z29" s="463"/>
      <c r="AA29" s="463"/>
    </row>
    <row r="30" customFormat="false" ht="14.25" hidden="false" customHeight="false" outlineLevel="0" collapsed="false">
      <c r="A30" s="462" t="s">
        <v>834</v>
      </c>
      <c r="B30" s="531" t="n">
        <v>9</v>
      </c>
      <c r="C30" s="468" t="n">
        <v>14</v>
      </c>
      <c r="D30" s="531" t="n">
        <v>11</v>
      </c>
      <c r="E30" s="531" t="n">
        <v>2.64</v>
      </c>
      <c r="F30" s="468" t="n">
        <v>3.2</v>
      </c>
      <c r="G30" s="468" t="n">
        <v>5</v>
      </c>
      <c r="H30" s="468" t="n">
        <v>9</v>
      </c>
      <c r="I30" s="531" t="n">
        <v>7.5</v>
      </c>
      <c r="J30" s="531" t="n">
        <v>7.4</v>
      </c>
      <c r="K30" s="531" t="n">
        <v>7.5</v>
      </c>
      <c r="L30" s="468" t="n">
        <v>7.5</v>
      </c>
      <c r="M30" s="468" t="n">
        <v>30</v>
      </c>
      <c r="N30" s="531" t="n">
        <v>7.9</v>
      </c>
      <c r="O30" s="531" t="n">
        <v>7.9</v>
      </c>
      <c r="P30" s="531" t="n">
        <v>7.2</v>
      </c>
      <c r="Q30" s="468" t="n">
        <v>-4</v>
      </c>
      <c r="R30" s="468" t="n">
        <v>-4</v>
      </c>
      <c r="S30" s="468" t="n">
        <v>-4</v>
      </c>
      <c r="T30" s="531" t="n">
        <v>1</v>
      </c>
      <c r="U30" s="468" t="n">
        <v>4.8</v>
      </c>
      <c r="V30" s="468" t="n">
        <v>1.5</v>
      </c>
      <c r="W30" s="468" t="n">
        <v>1.5</v>
      </c>
      <c r="X30" s="468" t="n">
        <v>-4</v>
      </c>
      <c r="Y30" s="468"/>
      <c r="Z30" s="468"/>
      <c r="AA30" s="468"/>
      <c r="AB30" s="468"/>
      <c r="AC30" s="468"/>
      <c r="AD30" s="468"/>
      <c r="AE30" s="468"/>
      <c r="AF30" s="468"/>
      <c r="AG30" s="468"/>
      <c r="AH30" s="468"/>
      <c r="AI30" s="468"/>
      <c r="AJ30" s="468"/>
      <c r="AK30" s="468"/>
      <c r="AL30" s="468"/>
      <c r="AM30" s="468"/>
      <c r="AN30" s="468"/>
      <c r="AO30" s="468"/>
      <c r="AP30" s="468"/>
      <c r="AQ30" s="468"/>
    </row>
    <row r="31" customFormat="false" ht="14.25" hidden="false" customHeight="false" outlineLevel="0" collapsed="false">
      <c r="A31" s="462" t="s">
        <v>835</v>
      </c>
      <c r="B31" s="468" t="n">
        <v>30</v>
      </c>
      <c r="C31" s="468" t="n">
        <v>10</v>
      </c>
      <c r="D31" s="468" t="n">
        <v>30</v>
      </c>
      <c r="E31" s="531" t="n">
        <v>25</v>
      </c>
      <c r="F31" s="468" t="n">
        <v>12.5</v>
      </c>
      <c r="G31" s="468" t="n">
        <v>5</v>
      </c>
      <c r="H31" s="468" t="n">
        <v>15</v>
      </c>
      <c r="I31" s="468" t="n">
        <v>45</v>
      </c>
      <c r="J31" s="531" t="n">
        <v>20</v>
      </c>
      <c r="K31" s="531" t="n">
        <v>12.5</v>
      </c>
      <c r="L31" s="531" t="n">
        <v>11</v>
      </c>
      <c r="M31" s="468" t="n">
        <v>35</v>
      </c>
      <c r="N31" s="468" t="n">
        <v>12</v>
      </c>
      <c r="O31" s="468" t="n">
        <v>12</v>
      </c>
      <c r="P31" s="531" t="n">
        <v>23</v>
      </c>
      <c r="Q31" s="468" t="n">
        <v>12</v>
      </c>
      <c r="R31" s="468" t="n">
        <v>12</v>
      </c>
      <c r="S31" s="468" t="n">
        <v>12</v>
      </c>
      <c r="T31" s="468" t="n">
        <v>12</v>
      </c>
      <c r="U31" s="468" t="n">
        <v>8</v>
      </c>
      <c r="V31" s="468" t="n">
        <v>8</v>
      </c>
      <c r="W31" s="468" t="n">
        <v>40</v>
      </c>
      <c r="X31" s="468" t="n">
        <v>10</v>
      </c>
      <c r="Y31" s="468"/>
      <c r="Z31" s="468"/>
      <c r="AA31" s="468"/>
      <c r="AB31" s="468"/>
      <c r="AC31" s="468"/>
      <c r="AD31" s="468"/>
      <c r="AE31" s="468"/>
      <c r="AF31" s="468"/>
      <c r="AG31" s="468"/>
      <c r="AH31" s="468"/>
      <c r="AI31" s="468"/>
      <c r="AJ31" s="468"/>
      <c r="AK31" s="468"/>
      <c r="AL31" s="468"/>
      <c r="AM31" s="468"/>
      <c r="AN31" s="484"/>
      <c r="AO31" s="468"/>
      <c r="AP31" s="468"/>
      <c r="AQ31" s="468"/>
    </row>
    <row r="32" customFormat="false" ht="14.25" hidden="false" customHeight="false" outlineLevel="0" collapsed="false">
      <c r="A32" s="456" t="s">
        <v>836</v>
      </c>
      <c r="B32" s="463" t="n">
        <f aca="false">ABS(B31-B30)</f>
        <v>21</v>
      </c>
      <c r="C32" s="463" t="n">
        <f aca="false">ABS(C31-C30)</f>
        <v>4</v>
      </c>
      <c r="D32" s="463" t="n">
        <f aca="false">(D31-D30)</f>
        <v>19</v>
      </c>
      <c r="E32" s="463" t="n">
        <f aca="false">ABS(E31-E30)</f>
        <v>22.36</v>
      </c>
      <c r="F32" s="463" t="n">
        <f aca="false">ABS(F31-F30)</f>
        <v>9.3</v>
      </c>
      <c r="G32" s="463" t="n">
        <f aca="false">ABS(G31-G30)</f>
        <v>0</v>
      </c>
      <c r="H32" s="463" t="n">
        <f aca="false">ABS(H31-H30)</f>
        <v>6</v>
      </c>
      <c r="I32" s="463" t="n">
        <f aca="false">ABS(I31-I30)</f>
        <v>37.5</v>
      </c>
      <c r="J32" s="463" t="n">
        <f aca="false">ABS(J31-J30)</f>
        <v>12.6</v>
      </c>
      <c r="K32" s="463" t="n">
        <f aca="false">ABS(K31-K30)</f>
        <v>5</v>
      </c>
      <c r="L32" s="463" t="n">
        <f aca="false">ABS(L31-L30)</f>
        <v>3.5</v>
      </c>
      <c r="M32" s="463" t="n">
        <f aca="false">(M31-M30)</f>
        <v>5</v>
      </c>
      <c r="N32" s="463" t="n">
        <f aca="false">(N31-N30)</f>
        <v>4.1</v>
      </c>
      <c r="O32" s="463" t="n">
        <f aca="false">(O31-O30)</f>
        <v>4.1</v>
      </c>
      <c r="P32" s="463" t="n">
        <f aca="false">ABS(P31-P30)</f>
        <v>15.8</v>
      </c>
      <c r="Q32" s="463" t="n">
        <f aca="false">ABS(Q31-Q30)</f>
        <v>16</v>
      </c>
      <c r="R32" s="463" t="n">
        <f aca="false">ABS(R31-R30)</f>
        <v>16</v>
      </c>
      <c r="S32" s="463" t="n">
        <f aca="false">ABS(S31-S30)</f>
        <v>16</v>
      </c>
      <c r="T32" s="463" t="n">
        <f aca="false">ABS(T31-T30)</f>
        <v>11</v>
      </c>
      <c r="U32" s="463" t="n">
        <f aca="false">ABS(U31-U30)</f>
        <v>3.2</v>
      </c>
      <c r="V32" s="463" t="n">
        <f aca="false">ABS(V31-V30)</f>
        <v>6.5</v>
      </c>
      <c r="W32" s="463" t="n">
        <f aca="false">ABS(W31-W30)</f>
        <v>38.5</v>
      </c>
      <c r="X32" s="463" t="n">
        <f aca="false">ABS(X31-X30)</f>
        <v>14</v>
      </c>
      <c r="Y32" s="463"/>
      <c r="Z32" s="463"/>
      <c r="AA32" s="463"/>
      <c r="AB32" s="463"/>
      <c r="AC32" s="463"/>
      <c r="AD32" s="463"/>
      <c r="AE32" s="463"/>
      <c r="AF32" s="463"/>
      <c r="AG32" s="463"/>
      <c r="AH32" s="463"/>
      <c r="AI32" s="463"/>
      <c r="AJ32" s="463"/>
      <c r="AK32" s="463"/>
      <c r="AL32" s="463"/>
      <c r="AM32" s="463"/>
      <c r="AN32" s="463"/>
      <c r="AO32" s="463"/>
      <c r="AP32" s="463"/>
      <c r="AQ32" s="463"/>
    </row>
    <row r="33" customFormat="false" ht="14.25" hidden="false" customHeight="false" outlineLevel="0" collapsed="false">
      <c r="A33" s="462" t="s">
        <v>837</v>
      </c>
      <c r="B33" s="468" t="n">
        <v>65</v>
      </c>
      <c r="C33" s="468" t="n">
        <v>20</v>
      </c>
      <c r="D33" s="531" t="n">
        <v>20</v>
      </c>
      <c r="E33" s="468" t="n">
        <v>10</v>
      </c>
      <c r="F33" s="468" t="n">
        <v>35</v>
      </c>
      <c r="G33" s="468" t="n">
        <v>20</v>
      </c>
      <c r="H33" s="468" t="n">
        <v>15</v>
      </c>
      <c r="I33" s="531" t="n">
        <v>35</v>
      </c>
      <c r="J33" s="468" t="n">
        <v>40</v>
      </c>
      <c r="K33" s="468" t="n">
        <v>35</v>
      </c>
      <c r="L33" s="468" t="n">
        <v>40</v>
      </c>
      <c r="M33" s="468" t="n">
        <v>40</v>
      </c>
      <c r="N33" s="468" t="n">
        <v>40</v>
      </c>
      <c r="O33" s="468" t="n">
        <v>20</v>
      </c>
      <c r="P33" s="468" t="n">
        <v>20</v>
      </c>
      <c r="Q33" s="468" t="n">
        <v>8</v>
      </c>
      <c r="R33" s="468" t="n">
        <v>8</v>
      </c>
      <c r="S33" s="468" t="n">
        <v>8</v>
      </c>
      <c r="T33" s="468" t="n">
        <v>15</v>
      </c>
      <c r="U33" s="468" t="n">
        <v>15</v>
      </c>
      <c r="V33" s="468" t="n">
        <v>15</v>
      </c>
      <c r="W33" s="468" t="n">
        <v>15</v>
      </c>
      <c r="X33" s="468" t="n">
        <v>5</v>
      </c>
      <c r="Y33" s="468"/>
      <c r="Z33" s="468"/>
      <c r="AA33" s="468"/>
      <c r="AB33" s="468"/>
      <c r="AC33" s="484"/>
      <c r="AD33" s="468"/>
      <c r="AE33" s="468"/>
      <c r="AF33" s="468"/>
      <c r="AG33" s="468"/>
      <c r="AH33" s="468"/>
      <c r="AI33" s="468"/>
      <c r="AJ33" s="468"/>
      <c r="AK33" s="468"/>
      <c r="AL33" s="468"/>
      <c r="AM33" s="468"/>
      <c r="AN33" s="468"/>
      <c r="AO33" s="468"/>
      <c r="AP33" s="468"/>
      <c r="AQ33" s="468"/>
    </row>
    <row r="34" customFormat="false" ht="14.25" hidden="false" customHeight="false" outlineLevel="0" collapsed="false">
      <c r="A34" s="462" t="s">
        <v>838</v>
      </c>
      <c r="B34" s="468" t="n">
        <v>8</v>
      </c>
      <c r="C34" s="468" t="n">
        <v>6</v>
      </c>
      <c r="D34" s="468" t="n">
        <v>8</v>
      </c>
      <c r="E34" s="468" t="n">
        <v>5</v>
      </c>
      <c r="F34" s="468" t="n">
        <v>5</v>
      </c>
      <c r="G34" s="468" t="n">
        <v>6</v>
      </c>
      <c r="H34" s="468" t="n">
        <v>6</v>
      </c>
      <c r="I34" s="468" t="n">
        <v>6</v>
      </c>
      <c r="J34" s="468" t="n">
        <v>5</v>
      </c>
      <c r="K34" s="468" t="n">
        <v>5</v>
      </c>
      <c r="L34" s="468" t="n">
        <v>5</v>
      </c>
      <c r="M34" s="468" t="n">
        <v>5</v>
      </c>
      <c r="N34" s="468" t="n">
        <v>5</v>
      </c>
      <c r="O34" s="468" t="n">
        <v>5</v>
      </c>
      <c r="P34" s="468" t="n">
        <v>5</v>
      </c>
      <c r="Q34" s="468" t="n">
        <v>2</v>
      </c>
      <c r="R34" s="468" t="n">
        <v>2</v>
      </c>
      <c r="S34" s="468" t="n">
        <v>2</v>
      </c>
      <c r="T34" s="468" t="n">
        <v>3</v>
      </c>
      <c r="U34" s="468" t="n">
        <v>3</v>
      </c>
      <c r="V34" s="468" t="n">
        <v>3</v>
      </c>
      <c r="W34" s="468" t="n">
        <v>3</v>
      </c>
      <c r="X34" s="468" t="n">
        <v>3</v>
      </c>
      <c r="Y34" s="468"/>
      <c r="Z34" s="468"/>
      <c r="AA34" s="468"/>
      <c r="AB34" s="468"/>
      <c r="AC34" s="468"/>
      <c r="AD34" s="468"/>
      <c r="AE34" s="468"/>
      <c r="AF34" s="468"/>
      <c r="AG34" s="468"/>
      <c r="AH34" s="468"/>
      <c r="AI34" s="468"/>
      <c r="AJ34" s="468"/>
      <c r="AK34" s="468"/>
      <c r="AL34" s="468"/>
      <c r="AM34" s="468"/>
      <c r="AN34" s="468"/>
      <c r="AO34" s="468"/>
      <c r="AP34" s="468"/>
      <c r="AQ34" s="468"/>
    </row>
    <row r="35" customFormat="false" ht="14.25" hidden="false" customHeight="false" outlineLevel="0" collapsed="false">
      <c r="A35" s="462" t="s">
        <v>839</v>
      </c>
      <c r="B35" s="468" t="n">
        <v>2</v>
      </c>
      <c r="C35" s="468" t="n">
        <v>2</v>
      </c>
      <c r="D35" s="468" t="n">
        <v>2</v>
      </c>
      <c r="E35" s="468" t="n">
        <v>3</v>
      </c>
      <c r="F35" s="468" t="n">
        <v>2</v>
      </c>
      <c r="G35" s="468" t="n">
        <v>2</v>
      </c>
      <c r="H35" s="468" t="n">
        <v>2</v>
      </c>
      <c r="I35" s="468" t="n">
        <v>2</v>
      </c>
      <c r="J35" s="468" t="n">
        <v>2</v>
      </c>
      <c r="K35" s="468" t="n">
        <v>2</v>
      </c>
      <c r="L35" s="468" t="n">
        <v>2</v>
      </c>
      <c r="M35" s="531" t="n">
        <v>2</v>
      </c>
      <c r="N35" s="468" t="n">
        <v>2</v>
      </c>
      <c r="O35" s="468" t="n">
        <v>2</v>
      </c>
      <c r="P35" s="468" t="n">
        <v>2</v>
      </c>
      <c r="Q35" s="468" t="n">
        <v>1</v>
      </c>
      <c r="R35" s="468" t="n">
        <v>1</v>
      </c>
      <c r="S35" s="468" t="n">
        <v>1</v>
      </c>
      <c r="T35" s="468" t="n">
        <v>2</v>
      </c>
      <c r="U35" s="468" t="n">
        <v>2</v>
      </c>
      <c r="V35" s="468" t="n">
        <v>2</v>
      </c>
      <c r="W35" s="468" t="n">
        <v>2</v>
      </c>
      <c r="X35" s="468" t="n">
        <v>2</v>
      </c>
      <c r="Y35" s="468"/>
      <c r="Z35" s="468"/>
      <c r="AA35" s="468"/>
      <c r="AB35" s="468"/>
      <c r="AC35" s="468"/>
      <c r="AD35" s="468"/>
      <c r="AE35" s="468"/>
      <c r="AF35" s="468"/>
      <c r="AG35" s="468"/>
      <c r="AH35" s="468"/>
      <c r="AI35" s="468"/>
      <c r="AJ35" s="468"/>
      <c r="AK35" s="468"/>
      <c r="AL35" s="468"/>
      <c r="AM35" s="468"/>
      <c r="AN35" s="468"/>
      <c r="AO35" s="468"/>
      <c r="AP35" s="468"/>
      <c r="AQ35" s="468"/>
    </row>
    <row r="36" s="379" customFormat="true" ht="15" hidden="false" customHeight="false" outlineLevel="0" collapsed="false">
      <c r="A36" s="456" t="s">
        <v>840</v>
      </c>
      <c r="B36" s="536" t="n">
        <f aca="false">HLOOKUP(B106,单相流管径核算!$A$2:$FQ$30,MATCH("管径选型1",单相流管径核算!$A$2:$A$30,FALSE()),FALSE())</f>
        <v>0.33</v>
      </c>
      <c r="C36" s="536" t="n">
        <f aca="false">HLOOKUP(C106,单相流管径核算!$A$2:$FQ$30,MATCH("管径选型1",单相流管径核算!$A$2:$A$30,FALSE()),FALSE())</f>
        <v>0.257</v>
      </c>
      <c r="D36" s="536" t="n">
        <f aca="false">HLOOKUP(D106,单相流管径核算!$A$2:$FQ$30,MATCH("管径选型1",单相流管径核算!$A$2:$A$30,FALSE()),FALSE())</f>
        <v>0.408</v>
      </c>
      <c r="E36" s="212" t="n">
        <f aca="false">HLOOKUP(E106,单相流管径核算!$A$2:$FQ$30,MATCH("管径选型1",单相流管径核算!$A$2:$A$30,FALSE()),FALSE())</f>
        <v>0.08</v>
      </c>
      <c r="F36" s="212" t="n">
        <v>0.15</v>
      </c>
      <c r="G36" s="452" t="n">
        <v>0.04</v>
      </c>
      <c r="H36" s="212" t="n">
        <f aca="false">HLOOKUP(H106,单相流管径核算!$A$2:$FQ$30,MATCH("管径选型1",单相流管径核算!$A$2:$A$30,FALSE()),FALSE())</f>
        <v>0.35</v>
      </c>
      <c r="I36" s="212" t="n">
        <f aca="false">HLOOKUP(I106,单相流管径核算!$A$2:$FQ$30,MATCH("管径选型1",单相流管径核算!$A$2:$A$30,FALSE()),FALSE())</f>
        <v>0.1</v>
      </c>
      <c r="J36" s="212" t="n">
        <f aca="false">HLOOKUP(J106,单相流管径核算!$A$2:$FQ$30,MATCH("管径选型1",单相流管径核算!$A$2:$A$30,FALSE()),FALSE())</f>
        <v>0.288</v>
      </c>
      <c r="K36" s="212" t="n">
        <f aca="false">HLOOKUP(K106,单相流管径核算!$A$2:$FQ$30,MATCH("管径选型1",单相流管径核算!$A$2:$A$30,FALSE()),FALSE())</f>
        <v>0.2</v>
      </c>
      <c r="L36" s="212" t="n">
        <f aca="false">HLOOKUP(L106,单相流管径核算!$A$2:$FQ$30,MATCH("管径选型1",单相流管径核算!$A$2:$A$30,FALSE()),FALSE())</f>
        <v>0.08</v>
      </c>
      <c r="M36" s="212" t="n">
        <f aca="false">HLOOKUP(M106,单相流管径核算!$A$2:$FQ$30,MATCH("管径选型1",单相流管径核算!$A$2:$A$30,FALSE()),FALSE())</f>
        <v>0.25</v>
      </c>
      <c r="N36" s="212" t="n">
        <f aca="false">HLOOKUP(N106,单相流管径核算!$A$2:$FQ$30,MATCH("管径选型1",单相流管径核算!$A$2:$A$30,FALSE()),FALSE())</f>
        <v>0.15</v>
      </c>
      <c r="O36" s="212" t="n">
        <f aca="false">HLOOKUP(O106,单相流管径核算!$A$2:$FQ$30,MATCH("管径选型1",单相流管径核算!$A$2:$A$30,FALSE()),FALSE())</f>
        <v>0.35</v>
      </c>
      <c r="P36" s="212" t="n">
        <f aca="false">HLOOKUP(P106,单相流管径核算!$A$2:$FQ$30,MATCH("管径选型1",单相流管径核算!$A$2:$A$30,FALSE()),FALSE())</f>
        <v>0.25</v>
      </c>
      <c r="Q36" s="537" t="n">
        <v>0.1</v>
      </c>
      <c r="R36" s="537" t="n">
        <v>0.1</v>
      </c>
      <c r="S36" s="212" t="n">
        <v>0.1</v>
      </c>
      <c r="T36" s="212" t="n">
        <v>0.1</v>
      </c>
      <c r="U36" s="458" t="n">
        <v>0.05</v>
      </c>
      <c r="V36" s="458" t="n">
        <v>0.04</v>
      </c>
      <c r="W36" s="458" t="n">
        <v>0.04</v>
      </c>
      <c r="X36" s="458" t="n">
        <v>0.04</v>
      </c>
    </row>
    <row r="37" s="379" customFormat="true" ht="15" hidden="false" customHeight="false" outlineLevel="0" collapsed="false">
      <c r="A37" s="456" t="s">
        <v>841</v>
      </c>
      <c r="B37" s="485" t="n">
        <f aca="false">B33+(B34*35+B35*7+250+20)*B36</f>
        <v>251.12</v>
      </c>
      <c r="C37" s="485" t="n">
        <f aca="false">C33+(C34*35+C35*7+250+20)*C36</f>
        <v>146.958</v>
      </c>
      <c r="D37" s="485" t="n">
        <f aca="false">D33+(D34*35+D35*7+250+20)*D36</f>
        <v>250.112</v>
      </c>
      <c r="E37" s="485" t="n">
        <f aca="false">E33+(E34*35+E35*7+250+20)*E36</f>
        <v>47.28</v>
      </c>
      <c r="F37" s="485" t="n">
        <f aca="false">F33+(F34*35+F35*7+250+20)*F36</f>
        <v>103.85</v>
      </c>
      <c r="G37" s="485" t="n">
        <f aca="false">G33+(G34*35+G35*7+250+20)*G36</f>
        <v>39.76</v>
      </c>
      <c r="H37" s="485" t="n">
        <f aca="false">H33+(H34*35+H35*7+250+20)*H36</f>
        <v>187.9</v>
      </c>
      <c r="I37" s="485" t="n">
        <f aca="false">I33+(I34*35+I35*7+250+20)*I36</f>
        <v>84.4</v>
      </c>
      <c r="J37" s="485" t="n">
        <f aca="false">J33+(J34*35+J35*7+250+20)*J36</f>
        <v>172.192</v>
      </c>
      <c r="K37" s="485" t="n">
        <f aca="false">K33+(K34*35+K35*7+250+20)*K36</f>
        <v>126.8</v>
      </c>
      <c r="L37" s="485" t="n">
        <f aca="false">L33+(L34*35+L35*7+250+20)*L36</f>
        <v>76.72</v>
      </c>
      <c r="M37" s="485" t="n">
        <f aca="false">M33+(M34*35+M35*7+250+20)*M36</f>
        <v>154.75</v>
      </c>
      <c r="N37" s="485" t="n">
        <f aca="false">N33+(N34*35+N35*7+250+20)*N36</f>
        <v>108.85</v>
      </c>
      <c r="O37" s="485" t="n">
        <f aca="false">O33+(O34*35+O35*7+250+20)*O36</f>
        <v>180.65</v>
      </c>
      <c r="P37" s="485" t="n">
        <f aca="false">P33+(P34*35+P35*7+250+20)*P36</f>
        <v>134.75</v>
      </c>
      <c r="Q37" s="485" t="n">
        <f aca="false">Q33+(Q34*35+Q35*7+250+20)*Q36</f>
        <v>42.7</v>
      </c>
      <c r="R37" s="485" t="n">
        <f aca="false">R33+(R34*35+R35*7+250+20)*R36</f>
        <v>42.7</v>
      </c>
      <c r="S37" s="485" t="n">
        <f aca="false">S33+(S34*35+S35*7+250+20)*S36</f>
        <v>42.7</v>
      </c>
      <c r="T37" s="485" t="n">
        <f aca="false">T33+(T34*35+T35*7+250+20)*T36</f>
        <v>53.9</v>
      </c>
      <c r="U37" s="485" t="n">
        <f aca="false">U33+(U34*35+U35*7+250+20)*U36</f>
        <v>34.45</v>
      </c>
      <c r="V37" s="485" t="n">
        <f aca="false">V33+(V34*35+V35*7+250+20)*V36</f>
        <v>30.56</v>
      </c>
      <c r="W37" s="485" t="n">
        <f aca="false">W33+(W34*35+W35*7+250+20)*W36</f>
        <v>30.56</v>
      </c>
      <c r="X37" s="485" t="n">
        <f aca="false">X33+(X34*35+X35*7+250+20)*X36</f>
        <v>20.56</v>
      </c>
      <c r="Y37" s="485"/>
      <c r="Z37" s="485"/>
      <c r="AA37" s="485"/>
    </row>
    <row r="38" s="541" customFormat="true" ht="15" hidden="false" customHeight="false" outlineLevel="0" collapsed="false">
      <c r="A38" s="490" t="s">
        <v>1007</v>
      </c>
      <c r="B38" s="538" t="n">
        <f aca="false">HLOOKUP(B106,单相流管径核算!$A$2:$FQ$30,MATCH("管径选型1后100米管线压力降",单相流管径核算!$A$2:$A$30,FALSE()),FALSE())</f>
        <v>4.7217272466353</v>
      </c>
      <c r="C38" s="538" t="n">
        <f aca="false">HLOOKUP(C106,单相流管径核算!$A$2:$FQ$30,MATCH("管径选型1后100米管线压力降",单相流管径核算!$A$2:$A$30,FALSE()),FALSE())</f>
        <v>16.0341035050074</v>
      </c>
      <c r="D38" s="538" t="n">
        <f aca="false">HLOOKUP(D106,单相流管径核算!$A$2:$FQ$30,MATCH("管径选型1后100米管线压力降",单相流管径核算!$A$2:$A$30,FALSE()),FALSE())</f>
        <v>3.06269689288099</v>
      </c>
      <c r="E38" s="539" t="n">
        <f aca="false">HLOOKUP(E106,单相流管径核算!$A$2:$FQ$30,MATCH("管径选型1后100米管线压力降",单相流管径核算!$A$2:$A$30,FALSE()),FALSE())</f>
        <v>9.31880490425075</v>
      </c>
      <c r="F38" s="539" t="n">
        <f aca="false">HLOOKUP(F106,单相流管径核算!$A$2:$FQ$30,MATCH("管径选型1后100米管线压力降",单相流管径核算!$A$2:$A$30,FALSE()),FALSE())</f>
        <v>4.17512498264011</v>
      </c>
      <c r="G38" s="540" t="n">
        <v>1.46</v>
      </c>
      <c r="H38" s="539" t="n">
        <f aca="false">HLOOKUP(H106,单相流管径核算!$A$2:$FQ$30,MATCH("管径选型1后100米管线压力降",单相流管径核算!$A$2:$A$30,FALSE()),FALSE())</f>
        <v>4.06897763277365</v>
      </c>
      <c r="I38" s="539" t="n">
        <f aca="false">HLOOKUP(I106,单相流管径核算!$A$2:$FQ$30,MATCH("管径选型1后100米管线压力降",单相流管径核算!$A$2:$A$30,FALSE()),FALSE())</f>
        <v>5.77897157741898</v>
      </c>
      <c r="J38" s="539" t="n">
        <f aca="false">HLOOKUP(J106,单相流管径核算!$A$2:$FQ$30,MATCH("管径选型1后100米管线压力降",单相流管径核算!$A$2:$A$30,FALSE()),FALSE())</f>
        <v>7.41559986804986</v>
      </c>
      <c r="K38" s="539" t="n">
        <f aca="false">HLOOKUP(K106,单相流管径核算!$A$2:$FQ$30,MATCH("管径选型1后100米管线压力降",单相流管径核算!$A$2:$A$30,FALSE()),FALSE())</f>
        <v>2.96134142866196</v>
      </c>
      <c r="L38" s="539" t="n">
        <f aca="false">HLOOKUP(L106,单相流管径核算!$A$2:$FQ$30,MATCH("管径选型1后100米管线压力降",单相流管径核算!$A$2:$A$30,FALSE()),FALSE())</f>
        <v>5.59361465481049</v>
      </c>
      <c r="M38" s="539" t="n">
        <f aca="false">HLOOKUP(M106,单相流管径核算!$A$2:$FQ$30,MATCH("管径选型1后100米管线压力降",单相流管径核算!$A$2:$A$30,FALSE()),FALSE())</f>
        <v>4.58297638634997</v>
      </c>
      <c r="N38" s="539" t="n">
        <f aca="false">HLOOKUP(N106,单相流管径核算!$A$2:$FQ$30,MATCH("管径选型1后100米管线压力降",单相流管径核算!$A$2:$A$30,FALSE()),FALSE())</f>
        <v>2.3978705374834</v>
      </c>
      <c r="O38" s="539" t="n">
        <f aca="false">HLOOKUP(O106,单相流管径核算!$A$2:$FQ$30,MATCH("管径选型1后100米管线压力降",单相流管径核算!$A$2:$A$30,FALSE()),FALSE())</f>
        <v>2.43571893396029</v>
      </c>
      <c r="P38" s="539" t="n">
        <f aca="false">HLOOKUP(P106,单相流管径核算!$A$2:$FQ$30,MATCH("管径选型1后100米管线压力降",单相流管径核算!$A$2:$A$30,FALSE()),FALSE())</f>
        <v>4.71477999260718</v>
      </c>
      <c r="Q38" s="540" t="n">
        <v>3</v>
      </c>
      <c r="R38" s="540" t="n">
        <v>3</v>
      </c>
      <c r="S38" s="540" t="n">
        <v>3</v>
      </c>
      <c r="T38" s="540" t="n">
        <v>3</v>
      </c>
      <c r="U38" s="539" t="n">
        <v>3</v>
      </c>
      <c r="V38" s="539" t="n">
        <v>3</v>
      </c>
      <c r="W38" s="539" t="n">
        <v>3</v>
      </c>
      <c r="X38" s="539" t="n">
        <v>5</v>
      </c>
    </row>
    <row r="39" s="545" customFormat="true" ht="15" hidden="false" customHeight="false" outlineLevel="0" collapsed="false">
      <c r="A39" s="542" t="s">
        <v>1008</v>
      </c>
      <c r="B39" s="543" t="n">
        <f aca="false">B38/1000/100*B37</f>
        <v>0.0118572014617506</v>
      </c>
      <c r="C39" s="543" t="n">
        <f aca="false">C38/1000/100*C37</f>
        <v>0.0235633978288887</v>
      </c>
      <c r="D39" s="543" t="n">
        <f aca="false">D38/1000/100*D37</f>
        <v>0.00766017245272251</v>
      </c>
      <c r="E39" s="543" t="n">
        <f aca="false">E38/1000/100*E37</f>
        <v>0.00440593095872976</v>
      </c>
      <c r="F39" s="544" t="n">
        <f aca="false">F38/1000/100*F37</f>
        <v>0.00433586729447175</v>
      </c>
      <c r="G39" s="543" t="n">
        <f aca="false">G38/1000/100*G37</f>
        <v>0.000580496</v>
      </c>
      <c r="H39" s="543" t="n">
        <f aca="false">H38/1000/100*H37</f>
        <v>0.00764560897198169</v>
      </c>
      <c r="I39" s="543" t="n">
        <f aca="false">I38/1000/100*I37</f>
        <v>0.00487745201134162</v>
      </c>
      <c r="J39" s="543" t="n">
        <f aca="false">J38/1000/100*J37</f>
        <v>0.0127690697247924</v>
      </c>
      <c r="K39" s="543" t="n">
        <f aca="false">K38/1000/100*K37</f>
        <v>0.00375498093154337</v>
      </c>
      <c r="L39" s="543" t="n">
        <f aca="false">L38/1000/100*L37</f>
        <v>0.00429142116317061</v>
      </c>
      <c r="M39" s="543" t="n">
        <f aca="false">M38/1000/100*M37</f>
        <v>0.00709215595787657</v>
      </c>
      <c r="N39" s="543" t="n">
        <f aca="false">N38/1000/100*N37</f>
        <v>0.00261008208005068</v>
      </c>
      <c r="O39" s="543" t="n">
        <f aca="false">O38/1000/100*O37</f>
        <v>0.00440012625419926</v>
      </c>
      <c r="P39" s="543" t="n">
        <f aca="false">P38/1000/100*P37</f>
        <v>0.00635316604003818</v>
      </c>
      <c r="Q39" s="543" t="n">
        <f aca="false">Q38/1000/100*Q37</f>
        <v>0.001281</v>
      </c>
      <c r="R39" s="543" t="n">
        <f aca="false">R38/1000/100*R37</f>
        <v>0.001281</v>
      </c>
      <c r="S39" s="543" t="n">
        <f aca="false">S38/1000/100*S37</f>
        <v>0.001281</v>
      </c>
      <c r="T39" s="543" t="n">
        <f aca="false">T38/1000/100*T37</f>
        <v>0.001617</v>
      </c>
      <c r="U39" s="543" t="n">
        <f aca="false">U38/1000/100*U37</f>
        <v>0.0010335</v>
      </c>
      <c r="V39" s="543" t="n">
        <f aca="false">V38/1000/100*V37</f>
        <v>0.0009168</v>
      </c>
      <c r="W39" s="543" t="n">
        <f aca="false">W38/1000/100*W37</f>
        <v>0.0009168</v>
      </c>
      <c r="X39" s="543" t="n">
        <f aca="false">X38/1000/100*X37</f>
        <v>0.001028</v>
      </c>
      <c r="Y39" s="543"/>
      <c r="Z39" s="543"/>
      <c r="AA39" s="543"/>
    </row>
    <row r="40" s="379" customFormat="true" ht="15" hidden="false" customHeight="false" outlineLevel="0" collapsed="false">
      <c r="A40" s="462" t="s">
        <v>844</v>
      </c>
      <c r="B40" s="468" t="n">
        <v>100</v>
      </c>
      <c r="C40" s="468" t="n">
        <v>100</v>
      </c>
      <c r="D40" s="468" t="n">
        <v>65</v>
      </c>
      <c r="E40" s="468" t="n">
        <v>60</v>
      </c>
      <c r="F40" s="468" t="n">
        <v>130</v>
      </c>
      <c r="G40" s="468" t="n">
        <v>150</v>
      </c>
      <c r="H40" s="468" t="n">
        <v>40</v>
      </c>
      <c r="I40" s="531" t="n">
        <v>95</v>
      </c>
      <c r="J40" s="531" t="n">
        <v>120</v>
      </c>
      <c r="K40" s="468" t="n">
        <v>110</v>
      </c>
      <c r="L40" s="531" t="n">
        <v>25</v>
      </c>
      <c r="M40" s="468" t="n">
        <v>50</v>
      </c>
      <c r="N40" s="531" t="n">
        <v>200</v>
      </c>
      <c r="O40" s="468" t="n">
        <v>480</v>
      </c>
      <c r="P40" s="468" t="n">
        <v>50</v>
      </c>
      <c r="Q40" s="468" t="n">
        <v>70</v>
      </c>
      <c r="R40" s="468" t="n">
        <v>80</v>
      </c>
      <c r="S40" s="468" t="n">
        <v>100</v>
      </c>
      <c r="T40" s="468" t="n">
        <v>100</v>
      </c>
      <c r="U40" s="468" t="n">
        <v>140</v>
      </c>
      <c r="V40" s="468" t="n">
        <v>140</v>
      </c>
      <c r="W40" s="468" t="n">
        <v>120</v>
      </c>
      <c r="X40" s="468" t="n">
        <v>20</v>
      </c>
      <c r="Y40" s="468"/>
      <c r="Z40" s="468"/>
      <c r="AA40" s="468"/>
    </row>
    <row r="41" s="379" customFormat="true" ht="15" hidden="false" customHeight="false" outlineLevel="0" collapsed="false">
      <c r="A41" s="462" t="s">
        <v>845</v>
      </c>
      <c r="B41" s="468" t="n">
        <v>30</v>
      </c>
      <c r="C41" s="468" t="n">
        <v>15</v>
      </c>
      <c r="D41" s="468" t="n">
        <v>15</v>
      </c>
      <c r="E41" s="468" t="n">
        <v>10</v>
      </c>
      <c r="F41" s="468" t="n">
        <v>10</v>
      </c>
      <c r="G41" s="468" t="n">
        <v>10</v>
      </c>
      <c r="H41" s="468" t="n">
        <v>10</v>
      </c>
      <c r="I41" s="468" t="n">
        <v>15</v>
      </c>
      <c r="J41" s="468" t="n">
        <v>15</v>
      </c>
      <c r="K41" s="468" t="n">
        <v>10</v>
      </c>
      <c r="L41" s="468" t="n">
        <v>5</v>
      </c>
      <c r="M41" s="468" t="n">
        <v>10</v>
      </c>
      <c r="N41" s="468" t="n">
        <v>15</v>
      </c>
      <c r="O41" s="468" t="n">
        <v>35</v>
      </c>
      <c r="P41" s="468" t="n">
        <v>6</v>
      </c>
      <c r="Q41" s="468" t="n">
        <v>6</v>
      </c>
      <c r="R41" s="468" t="n">
        <v>6</v>
      </c>
      <c r="S41" s="468" t="n">
        <v>6</v>
      </c>
      <c r="T41" s="468" t="n">
        <v>6</v>
      </c>
      <c r="U41" s="468" t="n">
        <v>8</v>
      </c>
      <c r="V41" s="468" t="n">
        <v>8</v>
      </c>
      <c r="W41" s="468" t="n">
        <v>6</v>
      </c>
      <c r="X41" s="468" t="n">
        <v>4</v>
      </c>
      <c r="Y41" s="468"/>
      <c r="Z41" s="468"/>
      <c r="AA41" s="468"/>
    </row>
    <row r="42" s="379" customFormat="true" ht="15" hidden="false" customHeight="false" outlineLevel="0" collapsed="false">
      <c r="A42" s="462" t="s">
        <v>1009</v>
      </c>
      <c r="B42" s="468" t="n">
        <v>3</v>
      </c>
      <c r="C42" s="468"/>
      <c r="D42" s="468" t="n">
        <v>1</v>
      </c>
      <c r="E42" s="531" t="n">
        <v>2</v>
      </c>
      <c r="F42" s="468" t="n">
        <v>1</v>
      </c>
      <c r="G42" s="468" t="n">
        <v>1</v>
      </c>
      <c r="H42" s="468" t="n">
        <v>1</v>
      </c>
      <c r="I42" s="468" t="n">
        <v>1</v>
      </c>
      <c r="J42" s="468" t="n">
        <v>1</v>
      </c>
      <c r="K42" s="468" t="n">
        <v>1</v>
      </c>
      <c r="L42" s="468" t="n">
        <v>1</v>
      </c>
      <c r="M42" s="468" t="n">
        <v>1</v>
      </c>
      <c r="N42" s="468" t="n">
        <v>1</v>
      </c>
      <c r="O42" s="468" t="n">
        <v>1</v>
      </c>
      <c r="P42" s="468" t="n">
        <v>1</v>
      </c>
      <c r="Q42" s="468" t="n">
        <v>2</v>
      </c>
      <c r="R42" s="468" t="n">
        <v>2</v>
      </c>
      <c r="S42" s="468" t="n">
        <v>3</v>
      </c>
      <c r="T42" s="468" t="n">
        <v>2</v>
      </c>
      <c r="U42" s="468" t="n">
        <v>2</v>
      </c>
      <c r="V42" s="468" t="n">
        <v>2</v>
      </c>
      <c r="W42" s="468" t="n">
        <v>1</v>
      </c>
      <c r="X42" s="468" t="n">
        <v>0</v>
      </c>
      <c r="Y42" s="468"/>
      <c r="Z42" s="468"/>
      <c r="AA42" s="468"/>
    </row>
    <row r="43" s="379" customFormat="true" ht="15" hidden="false" customHeight="false" outlineLevel="0" collapsed="false">
      <c r="A43" s="462" t="s">
        <v>1010</v>
      </c>
      <c r="B43" s="468" t="n">
        <v>10</v>
      </c>
      <c r="C43" s="468" t="n">
        <v>8</v>
      </c>
      <c r="D43" s="468" t="n">
        <v>2</v>
      </c>
      <c r="E43" s="531" t="n">
        <v>4</v>
      </c>
      <c r="F43" s="468" t="n">
        <v>3</v>
      </c>
      <c r="G43" s="468" t="n">
        <v>5</v>
      </c>
      <c r="H43" s="468" t="n">
        <v>4</v>
      </c>
      <c r="I43" s="531" t="n">
        <v>3</v>
      </c>
      <c r="J43" s="468" t="n">
        <v>5</v>
      </c>
      <c r="K43" s="468" t="n">
        <v>5</v>
      </c>
      <c r="L43" s="468" t="n">
        <v>4</v>
      </c>
      <c r="M43" s="468" t="n">
        <v>4</v>
      </c>
      <c r="N43" s="531" t="n">
        <v>8</v>
      </c>
      <c r="O43" s="468" t="n">
        <v>7</v>
      </c>
      <c r="P43" s="468" t="n">
        <v>3</v>
      </c>
      <c r="Q43" s="468" t="n">
        <v>4</v>
      </c>
      <c r="R43" s="468" t="n">
        <v>4</v>
      </c>
      <c r="S43" s="468" t="n">
        <v>3</v>
      </c>
      <c r="T43" s="468" t="n">
        <v>2</v>
      </c>
      <c r="U43" s="468" t="n">
        <v>3</v>
      </c>
      <c r="V43" s="468" t="n">
        <v>3</v>
      </c>
      <c r="W43" s="468" t="n">
        <v>2</v>
      </c>
      <c r="X43" s="468" t="n">
        <v>2</v>
      </c>
      <c r="Y43" s="468"/>
      <c r="Z43" s="468"/>
      <c r="AA43" s="468"/>
    </row>
    <row r="44" s="379" customFormat="true" ht="15" hidden="false" customHeight="false" outlineLevel="0" collapsed="false">
      <c r="A44" s="456" t="s">
        <v>847</v>
      </c>
      <c r="B44" s="546" t="n">
        <f aca="false">HLOOKUP(B107,单相流管径核算!$A$2:$FQ$30,MATCH("管径选型1",单相流管径核算!$A$2:$A$30,FALSE()),FALSE())</f>
        <v>0.257</v>
      </c>
      <c r="C44" s="536" t="n">
        <f aca="false">HLOOKUP(C106,单相流管径核算!$A$2:$FQ$30,MATCH("管径选型1",单相流管径核算!$A$2:$A$30,FALSE()),FALSE())</f>
        <v>0.257</v>
      </c>
      <c r="D44" s="546" t="n">
        <f aca="false">HLOOKUP(D107,单相流管径核算!$A$2:$FQ$30,MATCH("管径选型1",单相流管径核算!$A$2:$A$30,FALSE()),FALSE())</f>
        <v>0.325</v>
      </c>
      <c r="E44" s="212" t="n">
        <f aca="false">HLOOKUP(E107,单相流管径核算!$A$2:$FQ$30,MATCH("管径选型1",单相流管径核算!$A$2:$A$30,FALSE()),FALSE())</f>
        <v>0.08</v>
      </c>
      <c r="F44" s="212" t="n">
        <v>0.1</v>
      </c>
      <c r="G44" s="471" t="n">
        <v>0.025</v>
      </c>
      <c r="H44" s="212" t="n">
        <v>0.25</v>
      </c>
      <c r="I44" s="212" t="n">
        <f aca="false">HLOOKUP(I106,单相流管径核算!$A$2:$FQ$30,MATCH("管径选型1",单相流管径核算!$A$2:$A$30,FALSE()),FALSE())</f>
        <v>0.1</v>
      </c>
      <c r="J44" s="212" t="n">
        <f aca="false">HLOOKUP(J107,单相流管径核算!$A$2:$FQ$30,MATCH("管径选型1",单相流管径核算!$A$2:$A$30,FALSE()),FALSE())</f>
        <v>0.25</v>
      </c>
      <c r="K44" s="212" t="n">
        <f aca="false">HLOOKUP(K107,单相流管径核算!$A$2:$FQ$30,MATCH("管径选型1",单相流管径核算!$A$2:$A$30,FALSE()),FALSE())</f>
        <v>0.15</v>
      </c>
      <c r="L44" s="212" t="n">
        <f aca="false">HLOOKUP(L107,单相流管径核算!$A$2:$FQ$30,MATCH("管径选型1",单相流管径核算!$A$2:$A$30,FALSE()),FALSE())</f>
        <v>0.08</v>
      </c>
      <c r="M44" s="212" t="n">
        <f aca="false">HLOOKUP(M107,单相流管径核算!$A$2:$FQ$30,MATCH("管径选型1",单相流管径核算!$A$2:$A$30,FALSE()),FALSE())</f>
        <v>0.2</v>
      </c>
      <c r="N44" s="212" t="n">
        <f aca="false">HLOOKUP(N107,单相流管径核算!$A$2:$FQ$30,MATCH("管径选型1",单相流管径核算!$A$2:$A$30,FALSE()),FALSE())</f>
        <v>0.1</v>
      </c>
      <c r="O44" s="212" t="n">
        <f aca="false">HLOOKUP(O107,单相流管径核算!$A$2:$FQ$30,MATCH("管径选型1",单相流管径核算!$A$2:$A$30,FALSE()),FALSE())</f>
        <v>0.25</v>
      </c>
      <c r="P44" s="212" t="n">
        <f aca="false">HLOOKUP(P107,单相流管径核算!$A$2:$FQ$30,MATCH("管径选型1",单相流管径核算!$A$2:$A$30,FALSE()),FALSE())</f>
        <v>0.2</v>
      </c>
      <c r="Q44" s="537" t="n">
        <v>0.1</v>
      </c>
      <c r="R44" s="537" t="n">
        <v>0.1</v>
      </c>
      <c r="S44" s="212" t="n">
        <v>0.08</v>
      </c>
      <c r="T44" s="468" t="n">
        <v>0.08</v>
      </c>
      <c r="U44" s="458" t="n">
        <v>0.04</v>
      </c>
      <c r="V44" s="458" t="n">
        <v>0.025</v>
      </c>
      <c r="W44" s="458" t="n">
        <v>0.025</v>
      </c>
      <c r="X44" s="458" t="n">
        <v>0.04</v>
      </c>
    </row>
    <row r="45" s="379" customFormat="true" ht="15" hidden="false" customHeight="false" outlineLevel="0" collapsed="false">
      <c r="A45" s="456" t="s">
        <v>848</v>
      </c>
      <c r="B45" s="485" t="n">
        <f aca="false">IF(B44&gt;0.04,B40+(B41*35+B42*135+B43*7)*B44,B40+(B41*35+B42*600+B43*7)*B44)</f>
        <v>491.925</v>
      </c>
      <c r="C45" s="485" t="n">
        <f aca="false">IF(C44&gt;0.04,C40+(C41*35+C42*135+C43*7)*C44,C40+(C41*35+C42*600+C43*7)*C44)</f>
        <v>249.317</v>
      </c>
      <c r="D45" s="485" t="n">
        <f aca="false">IF(D44&gt;0.04,D40+(D41*35+D42*135+D43*7)*D44,D40+(D41*35+D42*600+D43*7)*D44)</f>
        <v>284.05</v>
      </c>
      <c r="E45" s="485" t="n">
        <f aca="false">IF(E44&gt;0.04,E40+(E41*35+E42*135+E43*7)*E44,E40+(E41*35+E42*600+E43*7)*E44)</f>
        <v>111.84</v>
      </c>
      <c r="F45" s="485" t="n">
        <f aca="false">IF(F44&gt;0.04,F40+(F41*35+F42*135+F43*7)*F44,F40+(F41*35+F42*600+F43*7)*F44)</f>
        <v>180.6</v>
      </c>
      <c r="G45" s="485" t="n">
        <f aca="false">IF(G44&gt;0.04,G40+(G41*35+G42*135+G43*7)*G44,G40+(G41*35+G42*600+G43*7)*G44)</f>
        <v>174.625</v>
      </c>
      <c r="H45" s="485" t="n">
        <f aca="false">IF(H44&gt;0.04,H40+(H41*35+H42*135+H43*7)*H44,H40+(H41*35+H42*600+H43*7)*H44)</f>
        <v>168.25</v>
      </c>
      <c r="I45" s="485" t="n">
        <f aca="false">IF(I44&gt;0.04,I40+(I41*35+I42*135+I43*7)*I44,I40+(I41*35+I42*600+I43*7)*I44)</f>
        <v>163.1</v>
      </c>
      <c r="J45" s="485" t="n">
        <f aca="false">IF(J44&gt;0.04,J40+(J41*35+J42*135+J43*7)*J44,J40+(J41*35+J42*600+J43*7)*J44)</f>
        <v>293.75</v>
      </c>
      <c r="K45" s="485" t="n">
        <f aca="false">IF(K44&gt;0.04,K40+(K41*35+K42*135+K43*7)*K44,K40+(K41*35+K42*600+K43*7)*K44)</f>
        <v>188</v>
      </c>
      <c r="L45" s="485" t="n">
        <f aca="false">IF(L44&gt;0.04,L40+(L41*35+L42*135+L43*7)*L44,L40+(L41*35+L42*600+L43*7)*L44)</f>
        <v>52.04</v>
      </c>
      <c r="M45" s="485" t="n">
        <f aca="false">IF(M44&gt;0.04,M40+(M41*35+M42*135+M43*7)*M44,M40+(M41*35+M42*600+M43*7)*M44)</f>
        <v>152.6</v>
      </c>
      <c r="N45" s="485" t="n">
        <f aca="false">IF(N44&gt;0.04,N40+(N41*35+N42*135+N43*7)*N44,N40+(N41*35+N42*600+N43*7)*N44)</f>
        <v>271.6</v>
      </c>
      <c r="O45" s="485" t="n">
        <f aca="false">IF(O44&gt;0.04,O40+(O41*35+O42*135+O43*7)*O44,O40+(O41*35+O42*600+O43*7)*O44)</f>
        <v>832.25</v>
      </c>
      <c r="P45" s="485" t="n">
        <f aca="false">IF(P44&gt;0.04,P40+(P41*35+P42*135+P43*7)*P44,P40+(P41*35+P42*600+P43*7)*P44)</f>
        <v>123.2</v>
      </c>
      <c r="Q45" s="485" t="n">
        <f aca="false">IF(Q44&gt;0.04,Q40+(Q41*35+Q42*135+Q43*7)*Q44,Q40+(Q41*35+Q42*600+Q43*7)*Q44)</f>
        <v>120.8</v>
      </c>
      <c r="R45" s="485" t="n">
        <f aca="false">IF(R44&gt;0.04,R40+(R41*35+R42*135+R43*7)*R44,R40+(R41*35+R42*600+R43*7)*R44)</f>
        <v>130.8</v>
      </c>
      <c r="S45" s="485" t="n">
        <f aca="false">IF(S44&gt;0.04,S40+(S41*35+S42*135+S43*7)*S44,S40+(S41*35+S42*600+S43*7)*S44)</f>
        <v>150.88</v>
      </c>
      <c r="T45" s="485" t="n">
        <f aca="false">IF(T44&gt;0.04,T40+(T41*35+T42*135+T43*7)*T44,T40+(T41*35+T42*600+T43*7)*T44)</f>
        <v>139.52</v>
      </c>
      <c r="U45" s="485" t="n">
        <f aca="false">IF(U44&gt;0.04,U40+(U41*35+U42*135+U43*7)*U44,U40+(U41*35+U42*600+U43*7)*U44)</f>
        <v>200.04</v>
      </c>
      <c r="V45" s="485" t="n">
        <f aca="false">IF(V44&gt;0.04,V40+(V41*35+V42*135+V43*7)*V44,V40+(V41*35+V42*600+V43*7)*V44)</f>
        <v>177.525</v>
      </c>
      <c r="W45" s="485" t="n">
        <f aca="false">IF(W44&gt;0.04,W40+(W41*35+W42*135+W43*7)*W44,W40+(W41*35+W42*600+W43*7)*W44)</f>
        <v>140.6</v>
      </c>
      <c r="X45" s="485" t="n">
        <f aca="false">IF(X44&gt;0.04,X40+(X41*35+X42*135+X43*7)*X44,X40+(X41*35+X42*600+X43*7)*X44)</f>
        <v>26.16</v>
      </c>
      <c r="Y45" s="485"/>
      <c r="Z45" s="485"/>
      <c r="AA45" s="485"/>
    </row>
    <row r="46" s="548" customFormat="true" ht="14.25" hidden="false" customHeight="false" outlineLevel="0" collapsed="false">
      <c r="A46" s="547" t="s">
        <v>849</v>
      </c>
      <c r="B46" s="212" t="n">
        <f aca="false">HLOOKUP(B107,单相流管径核算!$A$2:$FQ$30,MATCH("管径选型1后100米管线压力降",单相流管径核算!$A$2:$A$30,FALSE()),FALSE())</f>
        <v>15.5676805389002</v>
      </c>
      <c r="C46" s="212" t="n">
        <f aca="false">HLOOKUP(C106,单相流管径核算!$A$2:$FQ$30,MATCH("管径选型1后100米管线压力降",单相流管径核算!$A$2:$A$30,FALSE()),FALSE())</f>
        <v>16.0341035050074</v>
      </c>
      <c r="D46" s="212" t="n">
        <f aca="false">HLOOKUP(D107,单相流管径核算!$A$2:$FQ$30,MATCH("管径选型1后100米管线压力降",单相流管径核算!$A$2:$A$30,FALSE()),FALSE())</f>
        <v>9.1517840262508</v>
      </c>
      <c r="E46" s="212" t="n">
        <f aca="false">HLOOKUP(E107,单相流管径核算!$A$2:$FQ$30,MATCH("管径选型1后100米管线压力降",单相流管径核算!$A$2:$A$30,FALSE()),FALSE())</f>
        <v>9.31322794528701</v>
      </c>
      <c r="F46" s="212" t="n">
        <f aca="false">HLOOKUP(F107,单相流管径核算!$A$2:$FQ$30,MATCH("管径选型1后100米管线压力降",单相流管径核算!$A$2:$A$30,FALSE()),FALSE())</f>
        <v>29.7133196120063</v>
      </c>
      <c r="G46" s="212" t="n">
        <f aca="false">HLOOKUP(G106,单相流管径核算!$A$2:$FQ$30,MATCH("管径选型1后100米管线压力降",单相流管径核算!$A$2:$A$30,FALSE()),FALSE())</f>
        <v>0.587455846223313</v>
      </c>
      <c r="H46" s="212" t="n">
        <f aca="false">HLOOKUP(H107,单相流管径核算!$A$2:$FQ$30,MATCH("管径选型1后100米管线压力降",单相流管径核算!$A$2:$A$30,FALSE()),FALSE())</f>
        <v>21.8839382636886</v>
      </c>
      <c r="I46" s="212" t="n">
        <f aca="false">HLOOKUP(I107,单相流管径核算!$A$2:$FQ$30,MATCH("管径选型1后100米管线压力降",单相流管径核算!$A$2:$A$30,FALSE()),FALSE())</f>
        <v>17.0110027431938</v>
      </c>
      <c r="J46" s="212" t="n">
        <f aca="false">HLOOKUP(J107,单相流管径核算!$A$2:$FQ$30,MATCH("管径选型1后100米管线压力降",单相流管径核算!$A$2:$A$30,FALSE()),FALSE())</f>
        <v>14.6983144567721</v>
      </c>
      <c r="K46" s="212" t="n">
        <f aca="false">HLOOKUP(K107,单相流管径核算!$A$2:$FQ$30,MATCH("管径选型1后100米管线压力降",单相流管径核算!$A$2:$A$30,FALSE()),FALSE())</f>
        <v>11.8918552109364</v>
      </c>
      <c r="L46" s="212" t="n">
        <f aca="false">HLOOKUP(L107,单相流管径核算!$A$2:$FQ$30,MATCH("管径选型1后100米管线压力降",单相流管径核算!$A$2:$A$30,FALSE()),FALSE())</f>
        <v>5.59361465481049</v>
      </c>
      <c r="M46" s="537" t="n">
        <f aca="false">HLOOKUP(M107,单相流管径核算!$A$2:$FQ$30,MATCH("管径选型1后100米管线压力降",单相流管径核算!$A$2:$A$30,FALSE()),FALSE())</f>
        <v>13.4838622161848</v>
      </c>
      <c r="N46" s="537" t="n">
        <f aca="false">HLOOKUP(N107,单相流管径核算!$A$2:$FQ$30,MATCH("管径选型1后100米管线压力降",单相流管径核算!$A$2:$A$30,FALSE()),FALSE())</f>
        <v>17.0197255620622</v>
      </c>
      <c r="O46" s="537" t="n">
        <f aca="false">HLOOKUP(O107,单相流管径核算!$A$2:$FQ$30,MATCH("管径选型1后100米管线压力降",单相流管径核算!$A$2:$A$30,FALSE()),FALSE())</f>
        <v>12.3833452401515</v>
      </c>
      <c r="P46" s="212" t="n">
        <f aca="false">HLOOKUP(P107,单相流管径核算!$A$2:$FQ$30,MATCH("管径选型1后100米管线压力降",单相流管径核算!$A$2:$A$30,FALSE()),FALSE())</f>
        <v>13.8575325989605</v>
      </c>
      <c r="Q46" s="212" t="n">
        <v>20</v>
      </c>
      <c r="R46" s="212" t="n">
        <v>20</v>
      </c>
      <c r="S46" s="212" t="n">
        <v>20</v>
      </c>
      <c r="T46" s="212" t="n">
        <v>20</v>
      </c>
      <c r="U46" s="212" t="n">
        <v>45</v>
      </c>
      <c r="V46" s="212" t="n">
        <v>45</v>
      </c>
      <c r="W46" s="212" t="n">
        <v>45</v>
      </c>
      <c r="X46" s="212" t="n">
        <v>45</v>
      </c>
      <c r="Y46" s="212"/>
      <c r="Z46" s="212"/>
      <c r="AA46" s="212"/>
      <c r="AB46" s="212"/>
      <c r="AC46" s="212"/>
      <c r="AD46" s="212"/>
      <c r="AE46" s="212"/>
      <c r="AF46" s="212"/>
      <c r="AG46" s="212"/>
      <c r="AH46" s="212"/>
      <c r="AI46" s="212"/>
      <c r="AJ46" s="212"/>
      <c r="AK46" s="212"/>
      <c r="AL46" s="212"/>
      <c r="AM46" s="212"/>
      <c r="AN46" s="212"/>
      <c r="AO46" s="212"/>
      <c r="AP46" s="212"/>
      <c r="AQ46" s="212"/>
    </row>
    <row r="47" s="545" customFormat="true" ht="15" hidden="false" customHeight="false" outlineLevel="0" collapsed="false">
      <c r="A47" s="542" t="s">
        <v>1011</v>
      </c>
      <c r="B47" s="549" t="n">
        <f aca="false">B46/1000/100*B45</f>
        <v>0.076581312490985</v>
      </c>
      <c r="C47" s="549" t="n">
        <f aca="false">C46/1000/100*C45</f>
        <v>0.0399757458355792</v>
      </c>
      <c r="D47" s="549" t="n">
        <f aca="false">D46/1000/100*D45</f>
        <v>0.0259956425265654</v>
      </c>
      <c r="E47" s="549" t="n">
        <f aca="false">E46/1000/100*E45</f>
        <v>0.010415914134009</v>
      </c>
      <c r="F47" s="549" t="n">
        <f aca="false">F46/1000/100*F45</f>
        <v>0.0536622552192834</v>
      </c>
      <c r="G47" s="549" t="n">
        <f aca="false">G46/1000/100*G45</f>
        <v>0.00102584477146746</v>
      </c>
      <c r="H47" s="549" t="n">
        <f aca="false">H46/1000/100*H45</f>
        <v>0.036819726128656</v>
      </c>
      <c r="I47" s="549" t="n">
        <f aca="false">I46/1000/100*I45</f>
        <v>0.0277449454741491</v>
      </c>
      <c r="J47" s="549" t="n">
        <f aca="false">J46/1000/100*J45</f>
        <v>0.0431762987167682</v>
      </c>
      <c r="K47" s="549" t="n">
        <f aca="false">K46/1000/100*K45</f>
        <v>0.0223566877965605</v>
      </c>
      <c r="L47" s="549" t="n">
        <f aca="false">L46/1000/100*L45</f>
        <v>0.00291091706636338</v>
      </c>
      <c r="M47" s="549" t="n">
        <f aca="false">M46/1000/100*M45</f>
        <v>0.020576373741898</v>
      </c>
      <c r="N47" s="549" t="n">
        <f aca="false">N46/1000/100*N45</f>
        <v>0.046225574626561</v>
      </c>
      <c r="O47" s="549" t="n">
        <f aca="false">O46/1000/100*O45</f>
        <v>0.103060390761161</v>
      </c>
      <c r="P47" s="549" t="n">
        <f aca="false">P46/1000/100*P45</f>
        <v>0.0170724801619194</v>
      </c>
      <c r="Q47" s="549" t="n">
        <f aca="false">Q46/1000/100*Q45</f>
        <v>0.02416</v>
      </c>
      <c r="R47" s="549" t="n">
        <f aca="false">R46/1000/100*R45</f>
        <v>0.02616</v>
      </c>
      <c r="S47" s="549" t="n">
        <f aca="false">S46/1000/100*S45</f>
        <v>0.030176</v>
      </c>
      <c r="T47" s="549" t="n">
        <f aca="false">T46/1000/100*T45</f>
        <v>0.027904</v>
      </c>
      <c r="U47" s="549" t="n">
        <f aca="false">U46/1000/100*U45</f>
        <v>0.090018</v>
      </c>
      <c r="V47" s="549" t="n">
        <f aca="false">V46/1000/100*V45</f>
        <v>0.07988625</v>
      </c>
      <c r="W47" s="549" t="n">
        <f aca="false">W46/1000/100*W45</f>
        <v>0.06327</v>
      </c>
      <c r="X47" s="549" t="n">
        <f aca="false">X46/1000/100*X45</f>
        <v>0.011772</v>
      </c>
      <c r="Y47" s="549"/>
      <c r="Z47" s="549"/>
      <c r="AA47" s="549"/>
    </row>
    <row r="48" s="379" customFormat="true" ht="15" hidden="false" customHeight="false" outlineLevel="0" collapsed="false">
      <c r="A48" s="462" t="s">
        <v>1012</v>
      </c>
      <c r="B48" s="468" t="n">
        <v>0.6</v>
      </c>
      <c r="C48" s="468" t="n">
        <v>0</v>
      </c>
      <c r="D48" s="468" t="n">
        <v>0</v>
      </c>
      <c r="E48" s="468" t="n">
        <v>0</v>
      </c>
      <c r="F48" s="468" t="n">
        <v>0</v>
      </c>
      <c r="G48" s="468" t="n">
        <v>0</v>
      </c>
      <c r="H48" s="468" t="n">
        <v>0</v>
      </c>
      <c r="I48" s="468" t="n">
        <v>0</v>
      </c>
      <c r="J48" s="531" t="n">
        <v>0</v>
      </c>
      <c r="K48" s="468" t="n">
        <v>0</v>
      </c>
      <c r="L48" s="468" t="n">
        <v>0</v>
      </c>
      <c r="M48" s="468" t="n">
        <v>0</v>
      </c>
      <c r="N48" s="468" t="n">
        <v>0</v>
      </c>
      <c r="O48" s="468" t="n">
        <v>0</v>
      </c>
      <c r="P48" s="468" t="n">
        <v>0</v>
      </c>
      <c r="Q48" s="468" t="n">
        <v>0</v>
      </c>
      <c r="R48" s="468" t="n">
        <v>0</v>
      </c>
      <c r="S48" s="468" t="n">
        <v>0</v>
      </c>
      <c r="T48" s="468" t="n">
        <v>0</v>
      </c>
      <c r="U48" s="468" t="n">
        <v>0</v>
      </c>
      <c r="V48" s="468" t="n">
        <v>0</v>
      </c>
      <c r="W48" s="468" t="n">
        <v>0</v>
      </c>
      <c r="X48" s="468" t="n">
        <v>0</v>
      </c>
      <c r="Y48" s="468"/>
      <c r="Z48" s="468"/>
      <c r="AA48" s="468"/>
    </row>
    <row r="49" s="379" customFormat="true" ht="15" hidden="false" customHeight="false" outlineLevel="0" collapsed="false">
      <c r="A49" s="462" t="s">
        <v>1013</v>
      </c>
      <c r="B49" s="468" t="n">
        <v>0</v>
      </c>
      <c r="C49" s="468" t="n">
        <v>0</v>
      </c>
      <c r="D49" s="468" t="n">
        <v>0</v>
      </c>
      <c r="E49" s="468" t="n">
        <v>0</v>
      </c>
      <c r="F49" s="468" t="n">
        <v>0</v>
      </c>
      <c r="G49" s="468" t="n">
        <v>0</v>
      </c>
      <c r="H49" s="468" t="n">
        <v>0</v>
      </c>
      <c r="I49" s="468" t="n">
        <v>0</v>
      </c>
      <c r="J49" s="468" t="n">
        <v>0</v>
      </c>
      <c r="K49" s="468" t="n">
        <v>0</v>
      </c>
      <c r="L49" s="468" t="n">
        <v>0</v>
      </c>
      <c r="M49" s="468" t="n">
        <v>0</v>
      </c>
      <c r="N49" s="468" t="n">
        <v>0</v>
      </c>
      <c r="O49" s="468" t="n">
        <v>0</v>
      </c>
      <c r="P49" s="468" t="n">
        <v>0</v>
      </c>
      <c r="Q49" s="468" t="n">
        <v>0</v>
      </c>
      <c r="R49" s="468" t="n">
        <v>0</v>
      </c>
      <c r="S49" s="468" t="n">
        <v>0</v>
      </c>
      <c r="T49" s="468" t="n">
        <v>0</v>
      </c>
      <c r="U49" s="468" t="n">
        <v>0</v>
      </c>
      <c r="V49" s="468" t="n">
        <v>0</v>
      </c>
      <c r="W49" s="468" t="n">
        <v>0</v>
      </c>
      <c r="X49" s="468" t="n">
        <v>0</v>
      </c>
      <c r="Y49" s="468"/>
      <c r="Z49" s="468"/>
      <c r="AA49" s="468"/>
    </row>
    <row r="50" s="379" customFormat="true" ht="15" hidden="false" customHeight="false" outlineLevel="0" collapsed="false">
      <c r="A50" s="462" t="s">
        <v>1014</v>
      </c>
      <c r="B50" s="550" t="n">
        <v>0.13</v>
      </c>
      <c r="C50" s="468" t="n">
        <v>0.05</v>
      </c>
      <c r="D50" s="468" t="n">
        <v>0</v>
      </c>
      <c r="E50" s="468" t="n">
        <v>0</v>
      </c>
      <c r="F50" s="468" t="n">
        <v>0</v>
      </c>
      <c r="G50" s="468" t="n">
        <v>0</v>
      </c>
      <c r="H50" s="468" t="n">
        <v>0.2</v>
      </c>
      <c r="I50" s="468" t="n">
        <v>0</v>
      </c>
      <c r="J50" s="468" t="n">
        <v>0</v>
      </c>
      <c r="K50" s="468" t="n">
        <v>0.05</v>
      </c>
      <c r="L50" s="468" t="n">
        <v>0</v>
      </c>
      <c r="M50" s="468" t="n">
        <v>0</v>
      </c>
      <c r="N50" s="531" t="n">
        <v>0.09</v>
      </c>
      <c r="O50" s="531" t="n">
        <f aca="false">0.12+0.04+0.06+0.11</f>
        <v>0.33</v>
      </c>
      <c r="P50" s="458" t="n">
        <v>0</v>
      </c>
      <c r="Q50" s="468" t="n">
        <v>0</v>
      </c>
      <c r="R50" s="468" t="n">
        <v>0</v>
      </c>
      <c r="S50" s="468" t="n">
        <v>0</v>
      </c>
      <c r="T50" s="468" t="n">
        <v>0</v>
      </c>
      <c r="U50" s="468" t="n">
        <v>0</v>
      </c>
      <c r="V50" s="468" t="n">
        <v>0</v>
      </c>
      <c r="W50" s="468" t="n">
        <v>0</v>
      </c>
      <c r="X50" s="468" t="n">
        <v>0</v>
      </c>
      <c r="Y50" s="468"/>
      <c r="Z50" s="468"/>
      <c r="AA50" s="468"/>
    </row>
    <row r="51" s="379" customFormat="true" ht="15" hidden="false" customHeight="false" outlineLevel="0" collapsed="false">
      <c r="A51" s="462" t="s">
        <v>1015</v>
      </c>
      <c r="B51" s="488" t="n">
        <v>0</v>
      </c>
      <c r="C51" s="488" t="n">
        <v>0</v>
      </c>
      <c r="D51" s="488" t="n">
        <v>0</v>
      </c>
      <c r="E51" s="488" t="n">
        <v>0</v>
      </c>
      <c r="F51" s="488" t="n">
        <v>0</v>
      </c>
      <c r="G51" s="488" t="n">
        <v>0</v>
      </c>
      <c r="H51" s="488" t="n">
        <v>0</v>
      </c>
      <c r="I51" s="488" t="n">
        <v>0</v>
      </c>
      <c r="J51" s="488" t="n">
        <v>0</v>
      </c>
      <c r="K51" s="488" t="n">
        <v>0</v>
      </c>
      <c r="L51" s="488" t="n">
        <v>0</v>
      </c>
      <c r="M51" s="488" t="n">
        <v>0</v>
      </c>
      <c r="N51" s="551" t="n">
        <v>0.05</v>
      </c>
      <c r="O51" s="551" t="n">
        <v>0.03</v>
      </c>
      <c r="P51" s="488" t="n">
        <v>0</v>
      </c>
      <c r="Q51" s="488" t="n">
        <v>0</v>
      </c>
      <c r="R51" s="488" t="n">
        <v>0</v>
      </c>
      <c r="S51" s="488" t="n">
        <v>0</v>
      </c>
      <c r="T51" s="488" t="n">
        <v>0</v>
      </c>
      <c r="U51" s="488" t="n">
        <v>0</v>
      </c>
      <c r="V51" s="488" t="n">
        <v>0</v>
      </c>
      <c r="W51" s="488" t="n">
        <v>0</v>
      </c>
      <c r="X51" s="488" t="n">
        <v>0</v>
      </c>
      <c r="Y51" s="488"/>
      <c r="Z51" s="488"/>
      <c r="AA51" s="488"/>
    </row>
    <row r="52" s="379" customFormat="true" ht="15" hidden="false" customHeight="false" outlineLevel="0" collapsed="false">
      <c r="A52" s="462" t="s">
        <v>1016</v>
      </c>
      <c r="B52" s="488" t="n">
        <v>0</v>
      </c>
      <c r="C52" s="488" t="n">
        <v>0</v>
      </c>
      <c r="D52" s="488" t="n">
        <v>0</v>
      </c>
      <c r="E52" s="488" t="n">
        <v>0</v>
      </c>
      <c r="F52" s="488" t="n">
        <v>0</v>
      </c>
      <c r="G52" s="488" t="n">
        <v>0</v>
      </c>
      <c r="H52" s="488" t="n">
        <v>0</v>
      </c>
      <c r="I52" s="468" t="n">
        <v>0</v>
      </c>
      <c r="J52" s="488" t="n">
        <v>0</v>
      </c>
      <c r="K52" s="488" t="n">
        <v>0</v>
      </c>
      <c r="L52" s="488" t="n">
        <v>0</v>
      </c>
      <c r="M52" s="551" t="n">
        <v>0.14</v>
      </c>
      <c r="N52" s="488" t="n">
        <v>0</v>
      </c>
      <c r="O52" s="488" t="n">
        <v>0</v>
      </c>
      <c r="P52" s="488" t="n">
        <v>0</v>
      </c>
      <c r="Q52" s="488" t="n">
        <v>0</v>
      </c>
      <c r="R52" s="488" t="n">
        <v>0</v>
      </c>
      <c r="S52" s="488" t="n">
        <v>0</v>
      </c>
      <c r="T52" s="488" t="n">
        <v>0</v>
      </c>
      <c r="U52" s="488" t="n">
        <v>0</v>
      </c>
      <c r="V52" s="488" t="n">
        <v>0</v>
      </c>
      <c r="W52" s="488" t="n">
        <v>0</v>
      </c>
      <c r="X52" s="488" t="n">
        <v>0</v>
      </c>
      <c r="Y52" s="488"/>
      <c r="Z52" s="488"/>
      <c r="AA52" s="488"/>
    </row>
    <row r="53" s="379" customFormat="true" ht="15" hidden="false" customHeight="false" outlineLevel="0" collapsed="false">
      <c r="A53" s="462" t="s">
        <v>1017</v>
      </c>
      <c r="B53" s="468" t="n">
        <v>0</v>
      </c>
      <c r="C53" s="458" t="n">
        <v>0</v>
      </c>
      <c r="D53" s="552" t="n">
        <v>0.03</v>
      </c>
      <c r="E53" s="458" t="n">
        <v>0.03</v>
      </c>
      <c r="F53" s="458" t="n">
        <v>0</v>
      </c>
      <c r="G53" s="458" t="n">
        <v>0</v>
      </c>
      <c r="H53" s="458" t="n">
        <v>0</v>
      </c>
      <c r="I53" s="458" t="n">
        <v>0</v>
      </c>
      <c r="J53" s="458" t="n">
        <v>0</v>
      </c>
      <c r="K53" s="458" t="n">
        <v>0</v>
      </c>
      <c r="L53" s="458" t="n">
        <v>0</v>
      </c>
      <c r="M53" s="458" t="n">
        <v>0</v>
      </c>
      <c r="N53" s="458" t="n">
        <v>0</v>
      </c>
      <c r="O53" s="458" t="n">
        <v>0</v>
      </c>
      <c r="P53" s="458" t="n">
        <v>0</v>
      </c>
      <c r="Q53" s="458" t="n">
        <v>0</v>
      </c>
      <c r="R53" s="458" t="n">
        <v>0</v>
      </c>
      <c r="S53" s="468" t="n">
        <v>0</v>
      </c>
      <c r="T53" s="468" t="n">
        <v>0</v>
      </c>
      <c r="U53" s="468" t="n">
        <v>0</v>
      </c>
      <c r="V53" s="468" t="n">
        <v>0</v>
      </c>
      <c r="W53" s="468" t="n">
        <v>0</v>
      </c>
      <c r="X53" s="468" t="n">
        <v>0</v>
      </c>
      <c r="Y53" s="458"/>
      <c r="Z53" s="458"/>
      <c r="AA53" s="458"/>
    </row>
    <row r="54" s="379" customFormat="true" ht="15" hidden="false" customHeight="false" outlineLevel="0" collapsed="false">
      <c r="A54" s="462" t="s">
        <v>1018</v>
      </c>
      <c r="B54" s="468" t="n">
        <v>0.02</v>
      </c>
      <c r="C54" s="468" t="n">
        <v>0</v>
      </c>
      <c r="D54" s="468" t="n">
        <v>0.02</v>
      </c>
      <c r="E54" s="468" t="n">
        <v>0.02</v>
      </c>
      <c r="F54" s="468" t="n">
        <v>0.02</v>
      </c>
      <c r="G54" s="468" t="n">
        <v>0</v>
      </c>
      <c r="H54" s="531" t="n">
        <v>0.15</v>
      </c>
      <c r="I54" s="468" t="n">
        <v>0.02</v>
      </c>
      <c r="J54" s="468" t="n">
        <v>0.02</v>
      </c>
      <c r="K54" s="531" t="n">
        <v>0.02</v>
      </c>
      <c r="L54" s="531" t="n">
        <v>0.02</v>
      </c>
      <c r="M54" s="531" t="n">
        <v>0.02</v>
      </c>
      <c r="N54" s="531" t="n">
        <v>0.02</v>
      </c>
      <c r="O54" s="531" t="n">
        <v>0.02</v>
      </c>
      <c r="P54" s="531"/>
      <c r="Q54" s="468" t="n">
        <v>0</v>
      </c>
      <c r="R54" s="468" t="n">
        <v>0</v>
      </c>
      <c r="S54" s="468" t="n">
        <v>0</v>
      </c>
      <c r="T54" s="468" t="n">
        <v>0</v>
      </c>
      <c r="U54" s="468" t="n">
        <v>0</v>
      </c>
      <c r="V54" s="468" t="n">
        <v>0</v>
      </c>
      <c r="W54" s="468" t="n">
        <v>0</v>
      </c>
      <c r="X54" s="468" t="n">
        <v>0</v>
      </c>
      <c r="Y54" s="468"/>
      <c r="Z54" s="468"/>
      <c r="AA54" s="468"/>
    </row>
    <row r="55" s="379" customFormat="true" ht="15" hidden="false" customHeight="false" outlineLevel="0" collapsed="false">
      <c r="A55" s="462" t="s">
        <v>1019</v>
      </c>
      <c r="B55" s="468" t="n">
        <v>0</v>
      </c>
      <c r="C55" s="468" t="n">
        <v>0.02</v>
      </c>
      <c r="D55" s="531" t="n">
        <v>0</v>
      </c>
      <c r="E55" s="468" t="n">
        <v>0</v>
      </c>
      <c r="F55" s="468" t="n">
        <v>0</v>
      </c>
      <c r="G55" s="468" t="n">
        <v>0.02</v>
      </c>
      <c r="H55" s="468" t="n">
        <v>0</v>
      </c>
      <c r="I55" s="468" t="n">
        <v>0</v>
      </c>
      <c r="J55" s="468" t="n">
        <v>0</v>
      </c>
      <c r="K55" s="468" t="n">
        <v>0</v>
      </c>
      <c r="L55" s="531" t="n">
        <v>0</v>
      </c>
      <c r="M55" s="468" t="n">
        <v>0</v>
      </c>
      <c r="N55" s="531" t="n">
        <v>0</v>
      </c>
      <c r="O55" s="468" t="n">
        <v>0</v>
      </c>
      <c r="P55" s="468" t="n">
        <v>0</v>
      </c>
      <c r="Q55" s="468" t="n">
        <v>0</v>
      </c>
      <c r="R55" s="468" t="n">
        <v>0</v>
      </c>
      <c r="S55" s="468" t="n">
        <v>0</v>
      </c>
      <c r="T55" s="468" t="n">
        <v>0</v>
      </c>
      <c r="U55" s="468" t="n">
        <v>0</v>
      </c>
      <c r="V55" s="468" t="n">
        <v>0</v>
      </c>
      <c r="W55" s="468" t="n">
        <v>0</v>
      </c>
      <c r="X55" s="468" t="n">
        <v>0</v>
      </c>
      <c r="Y55" s="468"/>
      <c r="Z55" s="468"/>
      <c r="AA55" s="468"/>
    </row>
    <row r="56" s="379" customFormat="true" ht="15" hidden="false" customHeight="false" outlineLevel="0" collapsed="false">
      <c r="A56" s="462" t="s">
        <v>1020</v>
      </c>
      <c r="B56" s="468" t="n">
        <v>0.03</v>
      </c>
      <c r="C56" s="468" t="n">
        <v>0.02</v>
      </c>
      <c r="D56" s="468" t="n">
        <v>0.03</v>
      </c>
      <c r="E56" s="468" t="n">
        <v>0.03</v>
      </c>
      <c r="F56" s="468" t="n">
        <v>0.03</v>
      </c>
      <c r="G56" s="468" t="n">
        <v>0.02</v>
      </c>
      <c r="H56" s="468" t="n">
        <v>0.03</v>
      </c>
      <c r="I56" s="468" t="n">
        <v>0.03</v>
      </c>
      <c r="J56" s="468" t="n">
        <v>0.03</v>
      </c>
      <c r="K56" s="531" t="n">
        <v>0.03</v>
      </c>
      <c r="L56" s="468" t="n">
        <v>0.03</v>
      </c>
      <c r="M56" s="468" t="n">
        <v>0.03</v>
      </c>
      <c r="N56" s="531" t="n">
        <v>0.09</v>
      </c>
      <c r="O56" s="468" t="n">
        <v>0.09</v>
      </c>
      <c r="P56" s="468" t="n">
        <v>0.03</v>
      </c>
      <c r="Q56" s="468" t="n">
        <v>0</v>
      </c>
      <c r="R56" s="468" t="n">
        <v>0</v>
      </c>
      <c r="S56" s="468" t="n">
        <v>0.03</v>
      </c>
      <c r="T56" s="468" t="n">
        <v>0</v>
      </c>
      <c r="U56" s="468" t="n">
        <v>0</v>
      </c>
      <c r="V56" s="468" t="n">
        <v>0</v>
      </c>
      <c r="W56" s="468" t="n">
        <v>0</v>
      </c>
      <c r="X56" s="468" t="n">
        <v>0</v>
      </c>
      <c r="Y56" s="468"/>
      <c r="Z56" s="468"/>
      <c r="AA56" s="468"/>
    </row>
    <row r="57" s="379" customFormat="true" ht="15" hidden="false" customHeight="false" outlineLevel="0" collapsed="false">
      <c r="A57" s="462" t="s">
        <v>1021</v>
      </c>
      <c r="B57" s="531" t="n">
        <v>0.2</v>
      </c>
      <c r="C57" s="468" t="n">
        <v>0.06</v>
      </c>
      <c r="D57" s="531" t="n">
        <v>0</v>
      </c>
      <c r="E57" s="468" t="n">
        <v>0.07</v>
      </c>
      <c r="F57" s="468" t="n">
        <v>0</v>
      </c>
      <c r="G57" s="468" t="n">
        <v>0.1</v>
      </c>
      <c r="H57" s="468" t="n">
        <v>0</v>
      </c>
      <c r="I57" s="531" t="n">
        <v>0.1</v>
      </c>
      <c r="J57" s="468" t="n">
        <v>0.07</v>
      </c>
      <c r="K57" s="531" t="n">
        <v>0.1</v>
      </c>
      <c r="L57" s="468" t="n">
        <v>0.1</v>
      </c>
      <c r="M57" s="531" t="n">
        <v>0.3</v>
      </c>
      <c r="N57" s="531" t="n">
        <v>0.12</v>
      </c>
      <c r="O57" s="468" t="n">
        <v>0.19</v>
      </c>
      <c r="P57" s="468" t="n">
        <v>0.05</v>
      </c>
      <c r="Q57" s="468" t="n">
        <v>0</v>
      </c>
      <c r="R57" s="468" t="n">
        <v>0</v>
      </c>
      <c r="S57" s="468" t="n">
        <v>0</v>
      </c>
      <c r="T57" s="468" t="n">
        <v>0</v>
      </c>
      <c r="U57" s="468" t="n">
        <v>0</v>
      </c>
      <c r="V57" s="468" t="n">
        <v>0</v>
      </c>
      <c r="W57" s="468" t="n">
        <v>0</v>
      </c>
      <c r="X57" s="468" t="n">
        <v>0</v>
      </c>
      <c r="Y57" s="468"/>
      <c r="Z57" s="468"/>
      <c r="AA57" s="468"/>
    </row>
    <row r="58" s="545" customFormat="true" ht="15" hidden="false" customHeight="false" outlineLevel="0" collapsed="false">
      <c r="A58" s="542" t="s">
        <v>1022</v>
      </c>
      <c r="B58" s="549" t="n">
        <f aca="false">SUM(B47:B57)</f>
        <v>1.05658131249098</v>
      </c>
      <c r="C58" s="549" t="n">
        <f aca="false">SUM(C47:C57)</f>
        <v>0.189975745835579</v>
      </c>
      <c r="D58" s="549" t="n">
        <f aca="false">SUM(D47:D57)</f>
        <v>0.105995642526565</v>
      </c>
      <c r="E58" s="549" t="n">
        <f aca="false">SUM(E47:E57)</f>
        <v>0.160415914134009</v>
      </c>
      <c r="F58" s="549" t="n">
        <f aca="false">SUM(F47:F57)</f>
        <v>0.103662255219283</v>
      </c>
      <c r="G58" s="549" t="n">
        <f aca="false">SUM(G47:G57)</f>
        <v>0.141025844771467</v>
      </c>
      <c r="H58" s="549" t="n">
        <f aca="false">SUM(H47:H57)</f>
        <v>0.416819726128656</v>
      </c>
      <c r="I58" s="549" t="n">
        <f aca="false">SUM(I47:I57)</f>
        <v>0.177744945474149</v>
      </c>
      <c r="J58" s="549" t="n">
        <f aca="false">SUM(J47:J57)</f>
        <v>0.163176298716768</v>
      </c>
      <c r="K58" s="549" t="n">
        <f aca="false">SUM(K47:K57)</f>
        <v>0.222356687796561</v>
      </c>
      <c r="L58" s="549" t="n">
        <f aca="false">SUM(L47:L57)</f>
        <v>0.152910917066363</v>
      </c>
      <c r="M58" s="549" t="n">
        <f aca="false">SUM(M47:M57)</f>
        <v>0.510576373741898</v>
      </c>
      <c r="N58" s="549" t="n">
        <f aca="false">SUM(N47:N57)</f>
        <v>0.416225574626561</v>
      </c>
      <c r="O58" s="549" t="n">
        <f aca="false">SUM(O47:O57)</f>
        <v>0.763060390761161</v>
      </c>
      <c r="P58" s="549" t="n">
        <f aca="false">SUM(P47:P57)</f>
        <v>0.0970724801619194</v>
      </c>
      <c r="Q58" s="549" t="n">
        <f aca="false">SUM(Q47:Q57)</f>
        <v>0.02416</v>
      </c>
      <c r="R58" s="549" t="n">
        <f aca="false">SUM(R47:R57)</f>
        <v>0.02616</v>
      </c>
      <c r="S58" s="549" t="n">
        <f aca="false">SUM(S47:S57)</f>
        <v>0.060176</v>
      </c>
      <c r="T58" s="549" t="n">
        <f aca="false">SUM(T47:T57)</f>
        <v>0.027904</v>
      </c>
      <c r="U58" s="549" t="n">
        <f aca="false">SUM(U47:U57)</f>
        <v>0.090018</v>
      </c>
      <c r="V58" s="549" t="n">
        <f aca="false">SUM(V47:V57)</f>
        <v>0.07988625</v>
      </c>
      <c r="W58" s="549" t="n">
        <f aca="false">SUM(W47:W57)</f>
        <v>0.06327</v>
      </c>
      <c r="X58" s="549" t="n">
        <f aca="false">SUM(X47:X57)</f>
        <v>0.011772</v>
      </c>
      <c r="Y58" s="549"/>
      <c r="Z58" s="549"/>
      <c r="AA58" s="549"/>
    </row>
    <row r="59" s="379" customFormat="true" ht="15" hidden="false" customHeight="false" outlineLevel="0" collapsed="false">
      <c r="A59" s="456" t="s">
        <v>862</v>
      </c>
      <c r="B59" s="553" t="n">
        <f aca="false">B57/B58</f>
        <v>0.189289738173092</v>
      </c>
      <c r="C59" s="553" t="n">
        <f aca="false">C57/C58</f>
        <v>0.315829790461404</v>
      </c>
      <c r="D59" s="553" t="n">
        <f aca="false">D57/D58</f>
        <v>0</v>
      </c>
      <c r="E59" s="553" t="n">
        <f aca="false">E57/E58</f>
        <v>0.436365683404223</v>
      </c>
      <c r="F59" s="553" t="n">
        <f aca="false">F57/F58</f>
        <v>0</v>
      </c>
      <c r="G59" s="553" t="n">
        <f aca="false">G57/G58</f>
        <v>0.709089884638168</v>
      </c>
      <c r="H59" s="553" t="n">
        <f aca="false">H57/H58</f>
        <v>0</v>
      </c>
      <c r="I59" s="553" t="n">
        <f aca="false">I57/I58</f>
        <v>0.562603902649619</v>
      </c>
      <c r="J59" s="553" t="n">
        <f aca="false">J57/J58</f>
        <v>0.428983869290367</v>
      </c>
      <c r="K59" s="553" t="n">
        <f aca="false">K57/K58</f>
        <v>0.449727871875356</v>
      </c>
      <c r="L59" s="553" t="n">
        <f aca="false">L57/L58</f>
        <v>0.653975542875071</v>
      </c>
      <c r="M59" s="553" t="n">
        <f aca="false">M57/M58</f>
        <v>0.587571253642953</v>
      </c>
      <c r="N59" s="553" t="n">
        <f aca="false">N57/N58</f>
        <v>0.288305205915481</v>
      </c>
      <c r="O59" s="553" t="n">
        <f aca="false">O57/O58</f>
        <v>0.248997330093982</v>
      </c>
      <c r="P59" s="553" t="n">
        <f aca="false">P57/P58</f>
        <v>0.5150790411103</v>
      </c>
      <c r="Q59" s="553" t="n">
        <f aca="false">Q57/Q58</f>
        <v>0</v>
      </c>
      <c r="R59" s="553" t="n">
        <f aca="false">R57/R58</f>
        <v>0</v>
      </c>
      <c r="S59" s="553" t="n">
        <f aca="false">S57/S58</f>
        <v>0</v>
      </c>
      <c r="T59" s="553" t="n">
        <f aca="false">T57/T58</f>
        <v>0</v>
      </c>
      <c r="U59" s="553" t="n">
        <f aca="false">U57/U58</f>
        <v>0</v>
      </c>
      <c r="V59" s="553" t="n">
        <f aca="false">V57/V58</f>
        <v>0</v>
      </c>
      <c r="W59" s="553" t="n">
        <f aca="false">W57/W58</f>
        <v>0</v>
      </c>
      <c r="X59" s="553" t="n">
        <f aca="false">X57/X58</f>
        <v>0</v>
      </c>
      <c r="Y59" s="553"/>
      <c r="Z59" s="553"/>
      <c r="AA59" s="553"/>
    </row>
    <row r="60" s="379" customFormat="true" ht="15" hidden="false" customHeight="false" outlineLevel="0" collapsed="false">
      <c r="A60" s="456" t="s">
        <v>1023</v>
      </c>
      <c r="B60" s="461" t="n">
        <f aca="false">B29+B32/100*B19/1000+B58+B39</f>
        <v>15.0256237139527</v>
      </c>
      <c r="C60" s="461" t="n">
        <f aca="false">C29+C32/100*C19/1000+C58+C39</f>
        <v>1.83371194366447</v>
      </c>
      <c r="D60" s="461" t="n">
        <f aca="false">D29+D32/100*D19/1000+D58+D39</f>
        <v>0.589495614979289</v>
      </c>
      <c r="E60" s="461" t="n">
        <f aca="false">E29+E32/100*E19/1000+E58+E39</f>
        <v>2.85765997709274</v>
      </c>
      <c r="F60" s="461" t="n">
        <f aca="false">F29+F32/100*F19/1000+F58+F39</f>
        <v>1.18202612251376</v>
      </c>
      <c r="G60" s="461" t="n">
        <f aca="false">G29+G32/100*G19/1000+G58+G39</f>
        <v>0.391606340771468</v>
      </c>
      <c r="H60" s="461" t="n">
        <f aca="false">H29+H32/100*H19/1000+H58+H39</f>
        <v>1.07512933510064</v>
      </c>
      <c r="I60" s="461" t="n">
        <f aca="false">I29+I32/100*I19/1000+I58+I39</f>
        <v>0.505972397485491</v>
      </c>
      <c r="J60" s="461" t="n">
        <f aca="false">J29+J32/100*J19/1000+J58+J39</f>
        <v>0.605671868441561</v>
      </c>
      <c r="K60" s="461" t="n">
        <f aca="false">K29+K32/100*K19/1000+K58+K39</f>
        <v>1.1991666687281</v>
      </c>
      <c r="L60" s="461" t="n">
        <f aca="false">L29+L32/100*L19/1000+L58+L39</f>
        <v>0.550601438229534</v>
      </c>
      <c r="M60" s="461" t="n">
        <f aca="false">M29+M32/100*M19/1000+M58+M39</f>
        <v>0.549843529699775</v>
      </c>
      <c r="N60" s="461" t="n">
        <f aca="false">N29+N32/100*N19/1000+N58+N39</f>
        <v>1.34578167670661</v>
      </c>
      <c r="O60" s="461" t="n">
        <f aca="false">O29+O32/100*O19/1000+O58+O39</f>
        <v>1.67395061701536</v>
      </c>
      <c r="P60" s="461" t="n">
        <f aca="false">P29+P32/100*P19/1000+P58+P39</f>
        <v>2.84297720620196</v>
      </c>
      <c r="Q60" s="461" t="n">
        <f aca="false">Q29+Q32/100*Q19/1000+Q58+Q39</f>
        <v>0.753441</v>
      </c>
      <c r="R60" s="461" t="n">
        <f aca="false">R29+R32/100*R19/1000+R58+R39</f>
        <v>0.763441</v>
      </c>
      <c r="S60" s="461" t="n">
        <f aca="false">S29+S32/100*S19/1000+S58+S39</f>
        <v>0.923057</v>
      </c>
      <c r="T60" s="461" t="n">
        <f aca="false">T29+T32/100*T19/1000+T58+T39</f>
        <v>0.338861</v>
      </c>
      <c r="U60" s="461" t="n">
        <f aca="false">U29+U32/100*U19/1000+U58+U39</f>
        <v>0.8249715</v>
      </c>
      <c r="V60" s="461" t="n">
        <f aca="false">V29+V32/100*V19/1000+V58+V39</f>
        <v>0.83930305</v>
      </c>
      <c r="W60" s="461" t="n">
        <f aca="false">W29+W32/100*W19/1000+W58+W39</f>
        <v>1.5106868</v>
      </c>
      <c r="X60" s="461" t="n">
        <f aca="false">X29+X32/100*X19/1000+X58+X39</f>
        <v>0.5612</v>
      </c>
      <c r="Y60" s="461"/>
      <c r="Z60" s="461"/>
      <c r="AA60" s="461"/>
    </row>
    <row r="61" customFormat="false" ht="15" hidden="false" customHeight="false" outlineLevel="0" collapsed="false">
      <c r="A61" s="456" t="s">
        <v>864</v>
      </c>
      <c r="B61" s="461" t="n">
        <f aca="false">B60*1000000/B19/9.81</f>
        <v>1923.91095205641</v>
      </c>
      <c r="C61" s="461" t="n">
        <f aca="false">C60*1000000/C19/9.81</f>
        <v>370.64309597786</v>
      </c>
      <c r="D61" s="461" t="n">
        <f aca="false">D60*1000000/D19/9.81</f>
        <v>119.129487578388</v>
      </c>
      <c r="E61" s="461" t="n">
        <f aca="false">E60*1000000/E19/9.81</f>
        <v>306.02993184206</v>
      </c>
      <c r="F61" s="461" t="n">
        <f aca="false">F60*1000000/F19/9.81</f>
        <v>151.371808393875</v>
      </c>
      <c r="G61" s="461" t="n">
        <f aca="false">G60*1000000/G19/9.81</f>
        <v>50.2474629222735</v>
      </c>
      <c r="H61" s="461" t="n">
        <f aca="false">H60*1000000/H19/9.81</f>
        <v>129.790671636102</v>
      </c>
      <c r="I61" s="461" t="n">
        <f aca="false">I60*1000000/I19/9.81</f>
        <v>76.3428162749871</v>
      </c>
      <c r="J61" s="461" t="n">
        <f aca="false">J60*1000000/J19/9.81</f>
        <v>97.5744790597103</v>
      </c>
      <c r="K61" s="461" t="n">
        <f aca="false">K60*1000000/K19/9.81</f>
        <v>184.902755859763</v>
      </c>
      <c r="L61" s="461" t="n">
        <f aca="false">L60*1000000/L19/9.81</f>
        <v>58.8168300457988</v>
      </c>
      <c r="M61" s="461" t="n">
        <f aca="false">M60*1000000/M19/9.81</f>
        <v>87.1006829369163</v>
      </c>
      <c r="N61" s="461" t="n">
        <f aca="false">N60*1000000/N19/9.81</f>
        <v>208.734786714691</v>
      </c>
      <c r="O61" s="461" t="n">
        <f aca="false">O60*1000000/O19/9.81</f>
        <v>264.103339872271</v>
      </c>
      <c r="P61" s="461" t="n">
        <f aca="false">P60*1000000/P19/9.81</f>
        <v>286.985796037646</v>
      </c>
      <c r="Q61" s="461" t="n">
        <f aca="false">Q60*1000000/Q19/9.81</f>
        <v>96.0042048929663</v>
      </c>
      <c r="R61" s="461" t="n">
        <f aca="false">R60*1000000/R19/9.81</f>
        <v>91.556155183786</v>
      </c>
      <c r="S61" s="461" t="n">
        <f aca="false">S60*1000000/S19/9.81</f>
        <v>93.1618574701507</v>
      </c>
      <c r="T61" s="461" t="n">
        <f aca="false">T60*1000000/T19/9.81</f>
        <v>34.7509111755138</v>
      </c>
      <c r="U61" s="461" t="n">
        <f aca="false">U60*1000000/U19/9.81</f>
        <v>79.3348623853211</v>
      </c>
      <c r="V61" s="461" t="n">
        <f aca="false">V60*1000000/V19/9.81</f>
        <v>95.0620738475479</v>
      </c>
      <c r="W61" s="461" t="n">
        <f aca="false">W60*1000000/W19/9.81</f>
        <v>171.105085513648</v>
      </c>
      <c r="X61" s="461" t="n">
        <f aca="false">X60*1000000/X19/9.81</f>
        <v>53.9688034927779</v>
      </c>
      <c r="Y61" s="461"/>
      <c r="Z61" s="461"/>
      <c r="AA61" s="461"/>
    </row>
    <row r="62" customFormat="false" ht="15" hidden="false" customHeight="false" outlineLevel="0" collapsed="false">
      <c r="A62" s="456" t="s">
        <v>865</v>
      </c>
      <c r="B62" s="461" t="n">
        <f aca="false">B61/B23</f>
        <v>1923.91095205641</v>
      </c>
      <c r="C62" s="461" t="n">
        <f aca="false">C61/C23</f>
        <v>370.64309597786</v>
      </c>
      <c r="D62" s="461" t="n">
        <f aca="false">D61/D23</f>
        <v>119.129487578388</v>
      </c>
      <c r="E62" s="461" t="n">
        <f aca="false">E61/E23</f>
        <v>306.02993184206</v>
      </c>
      <c r="F62" s="461" t="n">
        <f aca="false">F61/F23</f>
        <v>151.371808393875</v>
      </c>
      <c r="G62" s="461" t="n">
        <f aca="false">G61/G23</f>
        <v>50.2474629222735</v>
      </c>
      <c r="H62" s="461" t="n">
        <f aca="false">H61/H23</f>
        <v>129.790671636102</v>
      </c>
      <c r="I62" s="461" t="n">
        <f aca="false">I61/I23</f>
        <v>76.3428162749871</v>
      </c>
      <c r="J62" s="461" t="n">
        <f aca="false">J61/J23</f>
        <v>97.5744790597103</v>
      </c>
      <c r="K62" s="461" t="n">
        <f aca="false">K61/K23</f>
        <v>184.902755859763</v>
      </c>
      <c r="L62" s="461" t="n">
        <f aca="false">L61/L23</f>
        <v>58.8168300457988</v>
      </c>
      <c r="M62" s="461" t="n">
        <f aca="false">M61/M23</f>
        <v>87.1006829369163</v>
      </c>
      <c r="N62" s="461" t="n">
        <f aca="false">N61/N23</f>
        <v>208.734786714691</v>
      </c>
      <c r="O62" s="461" t="n">
        <f aca="false">O61/O23</f>
        <v>264.103339872271</v>
      </c>
      <c r="P62" s="461" t="n">
        <f aca="false">P61/P23</f>
        <v>286.985796037646</v>
      </c>
      <c r="Q62" s="461" t="n">
        <f aca="false">Q61/Q23</f>
        <v>96.0042048929663</v>
      </c>
      <c r="R62" s="461" t="n">
        <f aca="false">R61/R23</f>
        <v>91.556155183786</v>
      </c>
      <c r="S62" s="461" t="n">
        <f aca="false">S61/S23</f>
        <v>93.1618574701507</v>
      </c>
      <c r="T62" s="461" t="n">
        <f aca="false">T61/T23</f>
        <v>34.7509111755138</v>
      </c>
      <c r="U62" s="461" t="n">
        <f aca="false">U61/U23</f>
        <v>79.3348623853211</v>
      </c>
      <c r="V62" s="461" t="n">
        <f aca="false">V61/V23</f>
        <v>95.0620738475479</v>
      </c>
      <c r="W62" s="461" t="n">
        <f aca="false">W61/W23</f>
        <v>171.105085513648</v>
      </c>
      <c r="X62" s="461" t="n">
        <f aca="false">X61/X23</f>
        <v>53.9688034927779</v>
      </c>
      <c r="Y62" s="461"/>
      <c r="Z62" s="461"/>
      <c r="AA62" s="461"/>
    </row>
    <row r="63" customFormat="false" ht="15" hidden="false" customHeight="false" outlineLevel="0" collapsed="false">
      <c r="A63" s="462" t="s">
        <v>866</v>
      </c>
      <c r="B63" s="531" t="n">
        <v>1.037</v>
      </c>
      <c r="C63" s="468" t="n">
        <v>1.1</v>
      </c>
      <c r="D63" s="531" t="n">
        <v>1.2</v>
      </c>
      <c r="E63" s="468" t="n">
        <v>1.1</v>
      </c>
      <c r="F63" s="468" t="n">
        <v>1.1</v>
      </c>
      <c r="G63" s="468" t="n">
        <v>1.1</v>
      </c>
      <c r="H63" s="468" t="n">
        <v>1.1</v>
      </c>
      <c r="I63" s="468" t="n">
        <v>1.1</v>
      </c>
      <c r="J63" s="468" t="n">
        <v>1.1</v>
      </c>
      <c r="K63" s="468" t="n">
        <v>1.1</v>
      </c>
      <c r="L63" s="468" t="n">
        <v>1.1</v>
      </c>
      <c r="M63" s="468" t="n">
        <v>1.1</v>
      </c>
      <c r="N63" s="468" t="n">
        <v>1.1</v>
      </c>
      <c r="O63" s="531" t="n">
        <v>1</v>
      </c>
      <c r="P63" s="531" t="n">
        <v>1.05</v>
      </c>
      <c r="Q63" s="468" t="n">
        <v>1.1</v>
      </c>
      <c r="R63" s="468" t="n">
        <v>1.1</v>
      </c>
      <c r="S63" s="468" t="n">
        <v>1.1</v>
      </c>
      <c r="T63" s="531" t="n">
        <v>1.5</v>
      </c>
      <c r="U63" s="468" t="n">
        <v>1.1</v>
      </c>
      <c r="V63" s="468" t="n">
        <v>1.1</v>
      </c>
      <c r="W63" s="468" t="n">
        <v>1.1</v>
      </c>
      <c r="X63" s="468" t="n">
        <v>1.1</v>
      </c>
      <c r="Y63" s="468"/>
      <c r="Z63" s="468"/>
      <c r="AA63" s="468"/>
    </row>
    <row r="64" customFormat="false" ht="15" hidden="false" customHeight="false" outlineLevel="0" collapsed="false">
      <c r="A64" s="464" t="s">
        <v>867</v>
      </c>
      <c r="B64" s="465" t="n">
        <f aca="false">B62*B63</f>
        <v>1995.09565728249</v>
      </c>
      <c r="C64" s="465" t="n">
        <f aca="false">C62*C63</f>
        <v>407.707405575646</v>
      </c>
      <c r="D64" s="465" t="n">
        <f aca="false">D62*D63</f>
        <v>142.955385094065</v>
      </c>
      <c r="E64" s="465" t="n">
        <f aca="false">E62*E63</f>
        <v>336.632925026266</v>
      </c>
      <c r="F64" s="465" t="n">
        <f aca="false">F62*F63</f>
        <v>166.508989233262</v>
      </c>
      <c r="G64" s="465" t="n">
        <f aca="false">G62*G63</f>
        <v>55.2722092145008</v>
      </c>
      <c r="H64" s="465" t="n">
        <f aca="false">H62*H63</f>
        <v>142.769738799712</v>
      </c>
      <c r="I64" s="465" t="n">
        <f aca="false">I62*I63</f>
        <v>83.9770979024858</v>
      </c>
      <c r="J64" s="465" t="n">
        <f aca="false">J62*J63</f>
        <v>107.331926965681</v>
      </c>
      <c r="K64" s="465" t="n">
        <f aca="false">K62*K63</f>
        <v>203.393031445739</v>
      </c>
      <c r="L64" s="465" t="n">
        <f aca="false">L62*L63</f>
        <v>64.6985130503787</v>
      </c>
      <c r="M64" s="465" t="n">
        <f aca="false">M62*M63</f>
        <v>95.810751230608</v>
      </c>
      <c r="N64" s="465" t="n">
        <f aca="false">N62*N63</f>
        <v>229.60826538616</v>
      </c>
      <c r="O64" s="465" t="n">
        <f aca="false">O62*O63</f>
        <v>264.103339872271</v>
      </c>
      <c r="P64" s="465" t="n">
        <f aca="false">P62*P63</f>
        <v>301.335085839528</v>
      </c>
      <c r="Q64" s="465" t="n">
        <f aca="false">Q62*Q63</f>
        <v>105.604625382263</v>
      </c>
      <c r="R64" s="465" t="n">
        <f aca="false">R62*R63</f>
        <v>100.711770702165</v>
      </c>
      <c r="S64" s="465" t="n">
        <f aca="false">S62*S63</f>
        <v>102.478043217166</v>
      </c>
      <c r="T64" s="465" t="n">
        <f aca="false">T62*T63</f>
        <v>52.1263667632708</v>
      </c>
      <c r="U64" s="465" t="n">
        <f aca="false">U62*U63</f>
        <v>87.2683486238532</v>
      </c>
      <c r="V64" s="465" t="n">
        <f aca="false">V62*V63</f>
        <v>104.568281232303</v>
      </c>
      <c r="W64" s="465" t="n">
        <f aca="false">W62*W63</f>
        <v>188.215594065013</v>
      </c>
      <c r="X64" s="465" t="n">
        <f aca="false">X62*X63</f>
        <v>59.3656838420557</v>
      </c>
      <c r="Y64" s="465"/>
      <c r="Z64" s="465"/>
      <c r="AA64" s="465"/>
    </row>
    <row r="65" customFormat="false" ht="15" hidden="false" customHeight="false" outlineLevel="0" collapsed="false">
      <c r="A65" s="466" t="s">
        <v>868</v>
      </c>
      <c r="B65" s="467" t="n">
        <f aca="false">IF(B57&gt;0.2,(B29+B39+B19*9.81*B32/1000000+(B58-B57-B56-B55)*B6*B6+0.1+B55+B56)*1000000/B19/9.81/B23,(IF(B57&gt;=0.1,(B29+B39+B19*9.81*B32/1000000+(B58-B57-B56-B55)*B6*B6+0.05+B55+B56)*1000000/B19/9.81/B23,(B29+B39+B19*9.81*B32/1000000+(B58-B57-B56-B55)*B6*B6+B55+B56)*1000000/B19/9.81/B23)))</f>
        <v>1926.52372041812</v>
      </c>
      <c r="C65" s="467" t="n">
        <f aca="false">IF(C57&gt;0.2,(C29+C39+C19*9.81*C32/1000000+(C58-C57-C56-C55)*C6*C6+0.1+C55+C56)*1000000/C19/9.81/C23,(IF(C57&gt;=0.1,(C29+C39+C19*9.81*C32/1000000+(C58-C57-C56-C55)*C6*C6+0.05+C55+C56)*1000000/C19/9.81/C23,(C29+C39+C19*9.81*C32/1000000+(C58-C57-C56-C55)*C6*C6+C55+C56)*1000000/C19/9.81/C23)))</f>
        <v>362.257165791929</v>
      </c>
      <c r="D65" s="467" t="n">
        <f aca="false">IF(D57&gt;0.2,(D29+D39+D19*9.81*D32/1000000+(D58-D57-D56-D55)*D6*D6+0.1+D55+D56)*1000000/D19/9.81/D23,(IF(D57&gt;=0.1,(D29+D39+D19*9.81*D32/1000000+(D58-D57-D56-D55)*D6*D6+0.05+D55+D56)*1000000/D19/9.81/D23,(D29+D39+D19*9.81*D32/1000000+(D58-D57-D56-D55)*D6*D6+D55+D56)*1000000/D19/9.81/D23)))</f>
        <v>123.714367740268</v>
      </c>
      <c r="E65" s="467" t="n">
        <f aca="false">IF(E57&gt;0.2,(E29+E39+E19*9.81*E32/1000000+(E58-E57-E56-E55)*E6*E6+0.1+E55+E56)*1000000/E19/9.81/E23,(IF(E57&gt;=0.1,(E29+E39+E19*9.81*E32/1000000+(E58-E57-E56-E55)*E6*E6+0.05+E55+E56)*1000000/E19/9.81/E23,(E29+E39+E19*9.81*E32/1000000+(E58-E57-E56-E55)*E6*E6+E55+E56)*1000000/E19/9.81/E23)))</f>
        <v>302.564791352463</v>
      </c>
      <c r="F65" s="467" t="n">
        <f aca="false">IF(F57&gt;0.2,(F29+F39+F19*9.81*F32/1000000+(F58-F57-F56-F55)*F6*F6+0.1+F55+F56)*1000000/F19/9.81/F23,(IF(F57&gt;=0.1,(F29+F39+F19*9.81*F32/1000000+(F58-F57-F56-F55)*F6*F6+0.05+F55+F56)*1000000/F19/9.81/F23,(F29+F39+F19*9.81*F32/1000000+(F58-F57-F56-F55)*F6*F6+F55+F56)*1000000/F19/9.81/F23)))</f>
        <v>153.172675829428</v>
      </c>
      <c r="G65" s="467" t="n">
        <f aca="false">IF(G57&gt;0.2,(G29+G39+G19*9.81*G32/1000000+(G58-G57-G56-G55)*G6*G6+0.1+G55+G56)*1000000/G19/9.81/G23,(IF(G57&gt;=0.1,(G29+G39+G19*9.81*G32/1000000+(G58-G57-G56-G55)*G6*G6+0.05+G55+G56)*1000000/G19/9.81/G23,(G29+G39+G19*9.81*G32/1000000+(G58-G57-G56-G55)*G6*G6+G55+G56)*1000000/G19/9.81/G23)))</f>
        <v>43.859546779775</v>
      </c>
      <c r="H65" s="467" t="n">
        <f aca="false">IF(H57&gt;0.2,(H29+H39+H19*9.81*H32/1000000+(H58-H57-H56-H55)*H6*H6+0.1+H55+H56)*1000000/H19/9.81/H23,(IF(H57&gt;=0.1,(H29+H39+H19*9.81*H32/1000000+(H58-H57-H56-H55)*H6*H6+0.05+H55+H56)*1000000/H19/9.81/H23,(H29+H39+H19*9.81*H32/1000000+(H58-H57-H56-H55)*H6*H6+H55+H56)*1000000/H19/9.81/H23)))</f>
        <v>139.480887886863</v>
      </c>
      <c r="I65" s="467" t="n">
        <f aca="false">IF(I57&gt;0.2,(I29+I39+I19*9.81*I32/1000000+(I58-I57-I56-I55)*I6*I6+0.1+I55+I56)*1000000/I19/9.81/I23,(IF(I57&gt;=0.1,(I29+I39+I19*9.81*I32/1000000+(I58-I57-I56-I55)*I6*I6+0.05+I55+I56)*1000000/I19/9.81/I23,(I29+I39+I19*9.81*I32/1000000+(I58-I57-I56-I55)*I6*I6+I55+I56)*1000000/I19/9.81/I23)))</f>
        <v>77.0772458427374</v>
      </c>
      <c r="J65" s="467" t="n">
        <f aca="false">IF(J57&gt;0.2,(J29+J39+J19*9.81*J32/1000000+(J58-J57-J56-J55)*J6*J6+0.1+J55+J56)*1000000/J19/9.81/J23,(IF(J57&gt;=0.1,(J29+J39+J19*9.81*J32/1000000+(J58-J57-J56-J55)*J6*J6+0.05+J55+J56)*1000000/J19/9.81/J23,(J29+J39+J19*9.81*J32/1000000+(J58-J57-J56-J55)*J6*J6+J55+J56)*1000000/J19/9.81/J23)))</f>
        <v>88.1906903102176</v>
      </c>
      <c r="K65" s="467" t="n">
        <f aca="false">IF(K57&gt;0.2,(K29+K39+K19*9.81*K32/1000000+(K58-K57-K56-K55)*K6*K6+0.1+K55+K56)*1000000/K19/9.81/K23,(IF(K57&gt;=0.1,(K29+K39+K19*9.81*K32/1000000+(K58-K57-K56-K55)*K6*K6+0.05+K55+K56)*1000000/K19/9.81/K23,(K29+K39+K19*9.81*K32/1000000+(K58-K57-K56-K55)*K6*K6+K55+K56)*1000000/K19/9.81/K23)))</f>
        <v>194.897190234761</v>
      </c>
      <c r="L65" s="467" t="n">
        <f aca="false">IF(L57&gt;0.2,(L29+L39+L19*9.81*L32/1000000+(L58-L57-L56-L55)*L6*L6+0.1+L55+L56)*1000000/L19/9.81/L23,(IF(L57&gt;=0.1,(L29+L39+L19*9.81*L32/1000000+(L58-L57-L56-L55)*L6*L6+0.05+L55+L56)*1000000/L19/9.81/L23,(L29+L39+L19*9.81*L32/1000000+(L58-L57-L56-L55)*L6*L6+L55+L56)*1000000/L19/9.81/L23)))</f>
        <v>53.9218543128519</v>
      </c>
      <c r="M65" s="467" t="n">
        <f aca="false">IF(M57&gt;0.2,(M29+M39+M19*9.81*M32/1000000+(M58-M57-M56-M55)*M6*M6+0.1+M55+M56)*1000000/M19/9.81/M23,(IF(M57&gt;=0.1,(M29+M39+M19*9.81*M32/1000000+(M58-M57-M56-M55)*M6*M6+0.05+M55+M56)*1000000/M19/9.81/M23,(M29+M39+M19*9.81*M32/1000000+(M58-M57-M56-M55)*M6*M6+M55+M56)*1000000/M19/9.81/M23)))</f>
        <v>61.3289237051093</v>
      </c>
      <c r="N65" s="467" t="n">
        <f aca="false">IF(N57&gt;0.2,(N29+N39+N19*9.81*N32/1000000+(N58-N57-N56-N55)*N6*N6+0.1+N55+N56)*1000000/N19/9.81/N23,(IF(N57&gt;=0.1,(N29+N39+N19*9.81*N32/1000000+(N58-N57-N56-N55)*N6*N6+0.05+N55+N56)*1000000/N19/9.81/N23,(N29+N39+N19*9.81*N32/1000000+(N58-N57-N56-N55)*N6*N6+N55+N56)*1000000/N19/9.81/N23)))</f>
        <v>204.515270837025</v>
      </c>
      <c r="O65" s="467" t="n">
        <f aca="false">IF(O57&gt;0.2,(O29+O39+O19*9.81*O32/1000000+(O58-O57-O56-O55)*O6*O6+0.1+O55+O56)*1000000/O19/9.81/O23,(IF(O57&gt;=0.1,(O29+O39+O19*9.81*O32/1000000+(O58-O57-O56-O55)*O6*O6+0.05+O55+O56)*1000000/O19/9.81/O23,(O29+O39+O19*9.81*O32/1000000+(O58-O57-O56-O55)*O6*O6+O55+O56)*1000000/O19/9.81/O23)))</f>
        <v>257.940647440702</v>
      </c>
      <c r="P65" s="467" t="n">
        <f aca="false">IF(P57&gt;0.2,(P29+P39+P19*9.81*P32/1000000+(P58-P57-P56-P55)*P6*P6+0.1+P55+P56)*1000000/P19/9.81/P23,(IF(P57&gt;=0.1,(P29+P39+P19*9.81*P32/1000000+(P58-P57-P56-P55)*P6*P6+0.05+P55+P56)*1000000/P19/9.81/P23,(P29+P39+P19*9.81*P32/1000000+(P58-P57-P56-P55)*P6*P6+P55+P56)*1000000/P19/9.81/P23)))</f>
        <v>281.994418015492</v>
      </c>
      <c r="Q65" s="467" t="n">
        <f aca="false">IF(Q57&gt;0.2,(Q29+Q39+Q19*9.81*Q32/1000000+(Q58-Q57-Q56-Q55)*Q6*Q6+0.1+Q55+Q56)*1000000/Q19/9.81/Q23,(IF(Q57&gt;=0.1,(Q29+Q39+Q19*9.81*Q32/1000000+(Q58-Q57-Q56-Q55)*Q6*Q6+0.05+Q55+Q56)*1000000/Q19/9.81/Q23,(Q29+Q39+Q19*9.81*Q32/1000000+(Q58-Q57-Q56-Q55)*Q6*Q6+Q55+Q56)*1000000/Q19/9.81/Q23)))</f>
        <v>96.3408002038736</v>
      </c>
      <c r="R65" s="467" t="n">
        <f aca="false">IF(R57&gt;0.2,(R29+R39+R19*9.81*R32/1000000+(R58-R57-R56-R55)*R6*R6+0.1+R55+R56)*1000000/R19/9.81/R23,(IF(R57&gt;=0.1,(R29+R39+R19*9.81*R32/1000000+(R58-R57-R56-R55)*R6*R6+0.05+R55+R56)*1000000/R19/9.81/R23,(R29+R39+R19*9.81*R32/1000000+(R58-R57-R56-R55)*R6*R6+R55+R56)*1000000/R19/9.81/R23)))</f>
        <v>91.9050908436769</v>
      </c>
      <c r="S65" s="467" t="n">
        <f aca="false">IF(S57&gt;0.2,(S29+S39+S19*9.81*S32/1000000+(S58-S57-S56-S55)*S6*S6+0.1+S55+S56)*1000000/S19/9.81/S23,(IF(S57&gt;=0.1,(S29+S39+S19*9.81*S32/1000000+(S58-S57-S56-S55)*S6*S6+0.05+S55+S56)*1000000/S19/9.81/S23,(S29+S39+S19*9.81*S32/1000000+(S58-S57-S56-S55)*S6*S6+S55+S56)*1000000/S19/9.81/S23)))</f>
        <v>93.4915432827687</v>
      </c>
      <c r="T65" s="467" t="n">
        <f aca="false">IF(T57&gt;0.2,(T29+T39+T19*9.81*T32/1000000+(T58-T57-T56-T55)*T6*T6+0.1+T55+T56)*1000000/T19/9.81/T23,(IF(T57&gt;=0.1,(T29+T39+T19*9.81*T32/1000000+(T58-T57-T56-T55)*T6*T6+0.05+T55+T56)*1000000/T19/9.81/T23,(T29+T39+T19*9.81*T32/1000000+(T58-T57-T56-T55)*T6*T6+T55+T56)*1000000/T19/9.81/T23)))</f>
        <v>35.1388022323544</v>
      </c>
      <c r="U65" s="467" t="n">
        <f aca="false">IF(U57&gt;0.2,(U29+U39+U19*9.81*U32/1000000+(U58-U57-U56-U55)*U6*U6+0.1+U55+U56)*1000000/U19/9.81/U23,(IF(U57&gt;=0.1,(U29+U39+U19*9.81*U32/1000000+(U58-U57-U56-U55)*U6*U6+0.05+U55+U56)*1000000/U19/9.81/U23,(U29+U39+U19*9.81*U32/1000000+(U58-U57-U56-U55)*U6*U6+U55+U56)*1000000/U19/9.81/U23)))</f>
        <v>81.0908006847076</v>
      </c>
      <c r="V65" s="467" t="n">
        <f aca="false">IF(V57&gt;0.2,(V29+V39+V19*9.81*V32/1000000+(V58-V57-V56-V55)*V6*V6+0.1+V55+V56)*1000000/V19/9.81/V23,(IF(V57&gt;=0.1,(V29+V39+V19*9.81*V32/1000000+(V58-V57-V56-V55)*V6*V6+0.05+V55+V56)*1000000/V19/9.81/V23,(V29+V39+V19*9.81*V32/1000000+(V58-V57-V56-V55)*V6*V6+V55+V56)*1000000/V19/9.81/V23)))</f>
        <v>96.8362965794541</v>
      </c>
      <c r="W65" s="467" t="n">
        <f aca="false">IF(W57&gt;0.2,(W29+W39+W19*9.81*W32/1000000+(W58-W57-W56-W55)*W6*W6+0.1+W55+W56)*1000000/W19/9.81/W23,(IF(W57&gt;=0.1,(W29+W39+W19*9.81*W32/1000000+(W58-W57-W56-W55)*W6*W6+0.05+W55+W56)*1000000/W19/9.81/W23,(W29+W39+W19*9.81*W32/1000000+(W58-W57-W56-W55)*W6*W6+W55+W56)*1000000/W19/9.81/W23)))</f>
        <v>171.864310793974</v>
      </c>
      <c r="X65" s="467" t="n">
        <f aca="false">IF(X57&gt;0.2,(X29+X39+X19*9.81*X32/1000000+(X58-X57-X56-X55)*X6*X6+0.1+X55+X56)*1000000/X19/9.81/X23,(IF(X57&gt;=0.1,(X29+X39+X19*9.81*X32/1000000+(X58-X57-X56-X55)*X6*X6+0.05+X55+X56)*1000000/X19/9.81/X23,(X29+X39+X19*9.81*X32/1000000+(X58-X57-X56-X55)*X6*X6+X55+X56)*1000000/X19/9.81/X23)))</f>
        <v>53.9353874560037</v>
      </c>
      <c r="Y65" s="467"/>
      <c r="Z65" s="467"/>
      <c r="AA65" s="467"/>
    </row>
    <row r="66" s="379" customFormat="true" ht="15" hidden="false" customHeight="false" outlineLevel="0" collapsed="false">
      <c r="A66" s="490" t="s">
        <v>1024</v>
      </c>
      <c r="B66" s="491" t="n">
        <f aca="false">B19*9.81*B30/1000000+B27-B39</f>
        <v>0.478432233338249</v>
      </c>
      <c r="C66" s="491" t="n">
        <f aca="false">C19*9.81*C30/1000000+C27-C39</f>
        <v>0.145699910971111</v>
      </c>
      <c r="D66" s="491" t="n">
        <f aca="false">D19*9.81*D30/1000000+D27-D39</f>
        <v>13.9767717897473</v>
      </c>
      <c r="E66" s="491" t="n">
        <f aca="false">E19*9.81*E30/1000000+E27-E39</f>
        <v>0.52024597904927</v>
      </c>
      <c r="F66" s="491" t="n">
        <f aca="false">F19*9.81*F30/1000000+F27-F39</f>
        <v>0.120652164705528</v>
      </c>
      <c r="G66" s="491" t="n">
        <f aca="false">G19*9.81*G30/1000000+G27-G39</f>
        <v>0.2883872765</v>
      </c>
      <c r="H66" s="491" t="n">
        <f aca="false">H19*9.81*H30/1000000+H27-H39</f>
        <v>0.366906467028018</v>
      </c>
      <c r="I66" s="491" t="n">
        <f aca="false">I19*9.81*I30/1000000+I27-I39</f>
        <v>1.13482981798866</v>
      </c>
      <c r="J66" s="491" t="n">
        <f aca="false">J19*9.81*J30/1000000+J27-J39</f>
        <v>0.333164783775208</v>
      </c>
      <c r="K66" s="491" t="n">
        <f aca="false">K19*9.81*K30/1000000+K27-K39</f>
        <v>0.204885451568457</v>
      </c>
      <c r="L66" s="491" t="n">
        <f aca="false">L19*9.81*L30/1000000+L27-L39</f>
        <v>0.205918258336829</v>
      </c>
      <c r="M66" s="491" t="n">
        <f aca="false">M19*9.81*M30/1000000+M27-M39</f>
        <v>0.372289894042123</v>
      </c>
      <c r="N66" s="491" t="n">
        <f aca="false">N19*9.81*N30/1000000+N27-N39</f>
        <v>0.248323810699949</v>
      </c>
      <c r="O66" s="491" t="n">
        <f aca="false">O19*9.81*O30/1000000+O27-O39</f>
        <v>0.265671977645801</v>
      </c>
      <c r="P66" s="491" t="n">
        <f aca="false">P19*9.81*P30/1000000+P27-P39</f>
        <v>0.564972440199962</v>
      </c>
      <c r="Q66" s="491" t="n">
        <f aca="false">Q19*9.81*Q30/1000000+Q27-Q39</f>
        <v>0.067327</v>
      </c>
      <c r="R66" s="491" t="n">
        <f aca="false">R19*9.81*R30/1000000+R27-R39</f>
        <v>0.065365</v>
      </c>
      <c r="S66" s="491" t="n">
        <f aca="false">S19*9.81*S30/1000000+S27-S39</f>
        <v>0.0590866</v>
      </c>
      <c r="T66" s="491" t="n">
        <f aca="false">T19*9.81*T30/1000000+T27-T39</f>
        <v>0.10813414</v>
      </c>
      <c r="U66" s="491" t="n">
        <f aca="false">U19*9.81*U30/1000000+U27-U39</f>
        <v>0.64887978</v>
      </c>
      <c r="V66" s="491" t="n">
        <f aca="false">V19*9.81*V30/1000000+V27-V39</f>
        <v>0.4123267</v>
      </c>
      <c r="W66" s="491" t="n">
        <f aca="false">W19*9.81*W30/1000000+W27-W39</f>
        <v>0.1123267</v>
      </c>
      <c r="X66" s="491" t="n">
        <f aca="false">X19*9.81*X30/1000000+X27-X39</f>
        <v>0.0573776</v>
      </c>
      <c r="Y66" s="491"/>
      <c r="Z66" s="491"/>
      <c r="AA66" s="491"/>
    </row>
    <row r="67" s="379" customFormat="true" ht="15" hidden="false" customHeight="false" outlineLevel="0" collapsed="false">
      <c r="A67" s="490" t="s">
        <v>1025</v>
      </c>
      <c r="B67" s="491" t="n">
        <f aca="false">B26+0.1+B19*9.81*B30/1000000</f>
        <v>0.7702894348</v>
      </c>
      <c r="C67" s="491" t="n">
        <f aca="false">C26+0.1+C19*9.81*C30/1000000</f>
        <v>0.1692633088</v>
      </c>
      <c r="D67" s="491" t="n">
        <f aca="false">D26+0.1+D19*9.81*D30/1000000</f>
        <v>13.9844319622</v>
      </c>
      <c r="E67" s="491" t="n">
        <f aca="false">E26+0.1+E19*9.81*E30/1000000</f>
        <v>0.524651910008</v>
      </c>
      <c r="F67" s="491" t="n">
        <f aca="false">F26+0.1+F19*9.81*F30/1000000</f>
        <v>0.274988032</v>
      </c>
      <c r="G67" s="491" t="n">
        <f aca="false">G26+0.1+G19*9.81*G30/1000000</f>
        <v>0.2889677725</v>
      </c>
      <c r="H67" s="491" t="n">
        <f aca="false">H26+0.1+H19*9.81*H30/1000000</f>
        <v>0.374552076</v>
      </c>
      <c r="I67" s="491" t="n">
        <f aca="false">I26+0.1+I19*9.81*I30/1000000</f>
        <v>1.13970727</v>
      </c>
      <c r="J67" s="491" t="n">
        <f aca="false">J26+0.1+J19*9.81*J30/1000000</f>
        <v>0.3459338535</v>
      </c>
      <c r="K67" s="491" t="n">
        <f aca="false">K26+0.1+K19*9.81*K30/1000000</f>
        <v>0.2086404325</v>
      </c>
      <c r="L67" s="491" t="n">
        <f aca="false">L26+0.1+L19*9.81*L30/1000000</f>
        <v>0.2102096795</v>
      </c>
      <c r="M67" s="491" t="n">
        <f aca="false">M26+0.1+M19*9.81*M30/1000000</f>
        <v>0.37938205</v>
      </c>
      <c r="N67" s="491" t="n">
        <f aca="false">N26+0.1+N19*9.81*N30/1000000</f>
        <v>0.26093389278</v>
      </c>
      <c r="O67" s="491" t="n">
        <f aca="false">O26+0.1+O19*9.81*O30/1000000</f>
        <v>0.2900721039</v>
      </c>
      <c r="P67" s="491" t="n">
        <f aca="false">P26+0.1+P19*9.81*P30/1000000</f>
        <v>0.87132560624</v>
      </c>
      <c r="Q67" s="491" t="n">
        <f aca="false">Q26+0.1+Q19*9.81*Q30/1000000</f>
        <v>0.118608</v>
      </c>
      <c r="R67" s="491" t="n">
        <f aca="false">R26+0.1+R19*9.81*R30/1000000</f>
        <v>0.116646</v>
      </c>
      <c r="S67" s="491" t="n">
        <f aca="false">S26+0.1+S19*9.81*S30/1000000</f>
        <v>0.1103676</v>
      </c>
      <c r="T67" s="491" t="n">
        <f aca="false">T26+0.1+T19*9.81*T30/1000000</f>
        <v>0.20975114</v>
      </c>
      <c r="U67" s="491" t="n">
        <f aca="false">U26+0.1+U19*9.81*U30/1000000</f>
        <v>0.74991328</v>
      </c>
      <c r="V67" s="491" t="n">
        <f aca="false">V26+0.1+V19*9.81*V30/1000000</f>
        <v>0.7132435</v>
      </c>
      <c r="W67" s="491" t="n">
        <f aca="false">W26+0.1+W19*9.81*W30/1000000</f>
        <v>0.1132435</v>
      </c>
      <c r="X67" s="491" t="n">
        <f aca="false">X26+0.1+X19*9.81*X30/1000000</f>
        <v>0.0584056</v>
      </c>
      <c r="Y67" s="491"/>
      <c r="Z67" s="491"/>
      <c r="AA67" s="491"/>
    </row>
    <row r="68" s="379" customFormat="true" ht="15" hidden="false" customHeight="false" outlineLevel="0" collapsed="false">
      <c r="A68" s="490" t="s">
        <v>1026</v>
      </c>
      <c r="B68" s="491" t="n">
        <f aca="false">B19*9.81*B64/1000000+B66</f>
        <v>16.0600040247072</v>
      </c>
      <c r="C68" s="491" t="n">
        <f aca="false">C19*9.81*C64/1000000+C66</f>
        <v>2.16278304900203</v>
      </c>
      <c r="D68" s="491" t="n">
        <f aca="false">D19*9.81*D64/1000000+D66</f>
        <v>14.6841665277224</v>
      </c>
      <c r="E68" s="491" t="n">
        <f aca="false">E19*9.81*E64/1000000+E66</f>
        <v>3.66367195385128</v>
      </c>
      <c r="F68" s="491" t="n">
        <f aca="false">F19*9.81*F64/1000000+F66</f>
        <v>1.42088089947066</v>
      </c>
      <c r="G68" s="491" t="n">
        <f aca="false">G19*9.81*G64/1000000+G66</f>
        <v>0.719154251348614</v>
      </c>
      <c r="H68" s="491" t="n">
        <f aca="false">H19*9.81*H64/1000000+H66</f>
        <v>1.54954873563872</v>
      </c>
      <c r="I68" s="491" t="n">
        <f aca="false">I19*9.81*I64/1000000+I66</f>
        <v>1.6913994552227</v>
      </c>
      <c r="J68" s="491" t="n">
        <f aca="false">J19*9.81*J64/1000000+J66</f>
        <v>0.999403839060924</v>
      </c>
      <c r="K68" s="491" t="n">
        <f aca="false">K19*9.81*K64/1000000+K66</f>
        <v>1.52396878716937</v>
      </c>
      <c r="L68" s="491" t="n">
        <f aca="false">L19*9.81*L64/1000000+L66</f>
        <v>0.811579840389317</v>
      </c>
      <c r="M68" s="491" t="n">
        <f aca="false">M19*9.81*M64/1000000+M66</f>
        <v>0.977117776711876</v>
      </c>
      <c r="N68" s="491" t="n">
        <f aca="false">N19*9.81*N64/1000000+N66</f>
        <v>1.72868365507722</v>
      </c>
      <c r="O68" s="491" t="n">
        <f aca="false">O19*9.81*O64/1000000+O66</f>
        <v>1.93962259466116</v>
      </c>
      <c r="P68" s="491" t="n">
        <f aca="false">P19*9.81*P64/1000000+P66</f>
        <v>3.55009850671202</v>
      </c>
      <c r="Q68" s="491" t="n">
        <f aca="false">Q19*9.81*Q64/1000000+Q66</f>
        <v>0.8961121</v>
      </c>
      <c r="R68" s="491" t="n">
        <f aca="false">R19*9.81*R64/1000000+R66</f>
        <v>0.9051501</v>
      </c>
      <c r="S68" s="491" t="n">
        <f aca="false">S19*9.81*S64/1000000+S66</f>
        <v>1.0744493</v>
      </c>
      <c r="T68" s="491" t="n">
        <f aca="false">T19*9.81*T64/1000000+T66</f>
        <v>0.61642564</v>
      </c>
      <c r="U68" s="491" t="n">
        <f aca="false">U19*9.81*U64/1000000+U66</f>
        <v>1.55634843</v>
      </c>
      <c r="V68" s="491" t="n">
        <f aca="false">V19*9.81*V64/1000000+V66</f>
        <v>1.335560055</v>
      </c>
      <c r="W68" s="491" t="n">
        <f aca="false">W19*9.81*W64/1000000+W66</f>
        <v>1.77408218</v>
      </c>
      <c r="X68" s="491" t="n">
        <f aca="false">X19*9.81*X64/1000000+X66</f>
        <v>0.6746976</v>
      </c>
      <c r="Y68" s="491"/>
      <c r="Z68" s="491"/>
      <c r="AA68" s="491"/>
    </row>
    <row r="69" s="379" customFormat="true" ht="22.85" hidden="false" customHeight="false" outlineLevel="0" collapsed="false">
      <c r="A69" s="456" t="s">
        <v>1027</v>
      </c>
      <c r="B69" s="554"/>
      <c r="C69" s="554"/>
      <c r="D69" s="555"/>
      <c r="E69" s="556" t="s">
        <v>1028</v>
      </c>
      <c r="F69" s="556" t="s">
        <v>874</v>
      </c>
      <c r="G69" s="556"/>
      <c r="H69" s="556" t="s">
        <v>875</v>
      </c>
      <c r="I69" s="556" t="s">
        <v>1029</v>
      </c>
      <c r="J69" s="556" t="s">
        <v>877</v>
      </c>
      <c r="K69" s="556" t="s">
        <v>1030</v>
      </c>
      <c r="L69" s="556" t="s">
        <v>879</v>
      </c>
      <c r="M69" s="556" t="s">
        <v>880</v>
      </c>
      <c r="N69" s="556" t="s">
        <v>1031</v>
      </c>
      <c r="O69" s="556" t="s">
        <v>882</v>
      </c>
      <c r="P69" s="556" t="s">
        <v>883</v>
      </c>
      <c r="Q69" s="556" t="s">
        <v>884</v>
      </c>
      <c r="R69" s="556" t="s">
        <v>885</v>
      </c>
      <c r="S69" s="556" t="s">
        <v>885</v>
      </c>
      <c r="T69" s="556" t="s">
        <v>886</v>
      </c>
      <c r="U69" s="554"/>
      <c r="W69" s="554"/>
    </row>
    <row r="70" s="379" customFormat="true" ht="15" hidden="false" customHeight="false" outlineLevel="0" collapsed="false">
      <c r="A70" s="456" t="s">
        <v>887</v>
      </c>
      <c r="B70" s="554"/>
      <c r="C70" s="554"/>
      <c r="D70" s="554"/>
      <c r="E70" s="554"/>
      <c r="F70" s="554"/>
      <c r="G70" s="554"/>
      <c r="H70" s="554"/>
      <c r="I70" s="554"/>
      <c r="J70" s="554"/>
      <c r="K70" s="554"/>
      <c r="L70" s="554"/>
      <c r="M70" s="554"/>
      <c r="N70" s="554"/>
      <c r="O70" s="554"/>
      <c r="P70" s="554"/>
      <c r="Q70" s="554"/>
      <c r="R70" s="554"/>
      <c r="S70" s="554"/>
      <c r="T70" s="554"/>
      <c r="U70" s="554"/>
      <c r="W70" s="554"/>
    </row>
    <row r="71" s="496" customFormat="true" ht="14.25" hidden="false" customHeight="false" outlineLevel="0" collapsed="false">
      <c r="A71" s="493" t="s">
        <v>888</v>
      </c>
      <c r="B71" s="494" t="n">
        <v>2200</v>
      </c>
      <c r="C71" s="494" t="n">
        <v>400</v>
      </c>
      <c r="D71" s="494"/>
      <c r="E71" s="494" t="n">
        <v>358</v>
      </c>
      <c r="F71" s="494" t="n">
        <v>208</v>
      </c>
      <c r="G71" s="494" t="n">
        <v>90</v>
      </c>
      <c r="H71" s="494" t="n">
        <v>180</v>
      </c>
      <c r="I71" s="494" t="n">
        <v>92</v>
      </c>
      <c r="J71" s="494" t="n">
        <v>195</v>
      </c>
      <c r="K71" s="494" t="n">
        <v>270</v>
      </c>
      <c r="L71" s="494" t="n">
        <v>136</v>
      </c>
      <c r="M71" s="494" t="n">
        <v>100</v>
      </c>
      <c r="N71" s="494" t="n">
        <v>250</v>
      </c>
      <c r="O71" s="494" t="n">
        <v>306</v>
      </c>
      <c r="P71" s="494" t="n">
        <v>364</v>
      </c>
      <c r="Q71" s="494" t="n">
        <v>137</v>
      </c>
      <c r="R71" s="494" t="n">
        <v>101</v>
      </c>
      <c r="S71" s="494" t="n">
        <v>103</v>
      </c>
      <c r="T71" s="494" t="n">
        <v>59</v>
      </c>
      <c r="U71" s="495"/>
      <c r="V71" s="495"/>
      <c r="W71" s="494"/>
      <c r="X71" s="494"/>
      <c r="Y71" s="494"/>
      <c r="Z71" s="494"/>
      <c r="AA71" s="494"/>
      <c r="AB71" s="494"/>
      <c r="AC71" s="494"/>
      <c r="AD71" s="494"/>
      <c r="AE71" s="494"/>
      <c r="AF71" s="494"/>
      <c r="AG71" s="494"/>
      <c r="AH71" s="494"/>
      <c r="AI71" s="494"/>
      <c r="AJ71" s="494"/>
      <c r="AK71" s="494"/>
      <c r="AL71" s="494"/>
      <c r="AM71" s="494"/>
      <c r="AN71" s="494"/>
      <c r="AO71" s="494"/>
      <c r="AP71" s="494"/>
      <c r="AQ71" s="494"/>
    </row>
    <row r="72" s="496" customFormat="true" ht="14.25" hidden="false" customHeight="false" outlineLevel="0" collapsed="false">
      <c r="A72" s="493" t="s">
        <v>890</v>
      </c>
      <c r="B72" s="494"/>
      <c r="C72" s="494"/>
      <c r="D72" s="494"/>
      <c r="E72" s="494" t="n">
        <v>358</v>
      </c>
      <c r="F72" s="494" t="n">
        <v>180</v>
      </c>
      <c r="G72" s="494" t="n">
        <v>86</v>
      </c>
      <c r="H72" s="494" t="n">
        <v>86</v>
      </c>
      <c r="I72" s="494" t="n">
        <v>92</v>
      </c>
      <c r="J72" s="494" t="n">
        <v>175</v>
      </c>
      <c r="K72" s="494" t="n">
        <v>270</v>
      </c>
      <c r="L72" s="494" t="n">
        <v>134</v>
      </c>
      <c r="M72" s="494" t="n">
        <v>100</v>
      </c>
      <c r="N72" s="494" t="n">
        <v>250</v>
      </c>
      <c r="O72" s="494" t="n">
        <v>302</v>
      </c>
      <c r="P72" s="494" t="n">
        <v>372</v>
      </c>
      <c r="Q72" s="494" t="n">
        <v>137</v>
      </c>
      <c r="R72" s="494" t="n">
        <v>101</v>
      </c>
      <c r="S72" s="494" t="n">
        <v>103</v>
      </c>
      <c r="T72" s="494" t="n">
        <v>52.6</v>
      </c>
      <c r="U72" s="494"/>
      <c r="V72" s="494"/>
      <c r="W72" s="494"/>
      <c r="X72" s="494"/>
      <c r="Y72" s="494"/>
      <c r="Z72" s="494"/>
      <c r="AA72" s="494"/>
      <c r="AB72" s="494"/>
      <c r="AC72" s="494"/>
      <c r="AD72" s="494"/>
      <c r="AE72" s="494"/>
      <c r="AF72" s="494"/>
      <c r="AG72" s="494"/>
      <c r="AH72" s="494"/>
      <c r="AI72" s="494"/>
      <c r="AJ72" s="494"/>
      <c r="AK72" s="494"/>
      <c r="AL72" s="494"/>
      <c r="AM72" s="494"/>
      <c r="AN72" s="494"/>
      <c r="AO72" s="494"/>
      <c r="AP72" s="494"/>
      <c r="AQ72" s="494"/>
    </row>
    <row r="73" s="557" customFormat="true" ht="15" hidden="false" customHeight="false" outlineLevel="0" collapsed="false">
      <c r="A73" s="493" t="s">
        <v>1032</v>
      </c>
      <c r="B73" s="494"/>
      <c r="C73" s="494"/>
      <c r="D73" s="494"/>
      <c r="E73" s="494"/>
      <c r="F73" s="494"/>
      <c r="G73" s="494"/>
      <c r="H73" s="494"/>
      <c r="I73" s="494"/>
      <c r="J73" s="494"/>
      <c r="K73" s="494"/>
      <c r="L73" s="494"/>
      <c r="M73" s="494"/>
      <c r="N73" s="494"/>
      <c r="O73" s="494"/>
      <c r="P73" s="494"/>
      <c r="Q73" s="494"/>
      <c r="R73" s="494"/>
      <c r="S73" s="494"/>
      <c r="T73" s="494"/>
      <c r="U73" s="494"/>
      <c r="V73" s="494"/>
      <c r="W73" s="494"/>
      <c r="X73" s="494"/>
      <c r="Y73" s="494"/>
      <c r="Z73" s="494"/>
      <c r="AA73" s="494"/>
    </row>
    <row r="74" s="496" customFormat="true" ht="14.25" hidden="false" customHeight="false" outlineLevel="0" collapsed="false">
      <c r="A74" s="493" t="s">
        <v>889</v>
      </c>
      <c r="B74" s="494" t="n">
        <v>2100</v>
      </c>
      <c r="C74" s="494" t="n">
        <v>2000</v>
      </c>
      <c r="D74" s="494" t="n">
        <v>120</v>
      </c>
      <c r="E74" s="494" t="n">
        <v>344</v>
      </c>
      <c r="F74" s="494" t="n">
        <v>156</v>
      </c>
      <c r="G74" s="494" t="n">
        <v>78</v>
      </c>
      <c r="H74" s="494" t="n">
        <v>78</v>
      </c>
      <c r="I74" s="494" t="n">
        <v>90</v>
      </c>
      <c r="J74" s="494" t="n">
        <v>131</v>
      </c>
      <c r="K74" s="494" t="n">
        <v>200</v>
      </c>
      <c r="L74" s="494" t="n">
        <v>116</v>
      </c>
      <c r="M74" s="494" t="n">
        <v>73</v>
      </c>
      <c r="N74" s="494" t="n">
        <v>225</v>
      </c>
      <c r="O74" s="494" t="n">
        <v>263</v>
      </c>
      <c r="P74" s="494" t="n">
        <v>328</v>
      </c>
      <c r="Q74" s="494" t="n">
        <v>127</v>
      </c>
      <c r="R74" s="494" t="n">
        <v>88</v>
      </c>
      <c r="S74" s="494" t="n">
        <v>90</v>
      </c>
      <c r="T74" s="494" t="n">
        <v>59</v>
      </c>
      <c r="U74" s="452"/>
      <c r="V74" s="452"/>
      <c r="W74" s="452"/>
      <c r="X74" s="494"/>
      <c r="Y74" s="494"/>
      <c r="Z74" s="494"/>
      <c r="AA74" s="494"/>
      <c r="AB74" s="494"/>
      <c r="AC74" s="494"/>
      <c r="AD74" s="494"/>
      <c r="AE74" s="494"/>
      <c r="AF74" s="494"/>
      <c r="AG74" s="494"/>
      <c r="AH74" s="494"/>
      <c r="AI74" s="494"/>
      <c r="AJ74" s="494"/>
      <c r="AK74" s="494"/>
      <c r="AL74" s="494"/>
      <c r="AM74" s="494"/>
      <c r="AN74" s="494"/>
      <c r="AO74" s="494"/>
      <c r="AP74" s="494"/>
      <c r="AQ74" s="494"/>
    </row>
    <row r="75" s="496" customFormat="true" ht="14.25" hidden="false" customHeight="false" outlineLevel="0" collapsed="false">
      <c r="A75" s="493" t="s">
        <v>891</v>
      </c>
      <c r="B75" s="494" t="n">
        <v>2100</v>
      </c>
      <c r="C75" s="494"/>
      <c r="D75" s="494" t="n">
        <v>978</v>
      </c>
      <c r="E75" s="494" t="n">
        <v>312</v>
      </c>
      <c r="F75" s="494" t="n">
        <v>156</v>
      </c>
      <c r="G75" s="494" t="n">
        <v>78</v>
      </c>
      <c r="H75" s="494" t="n">
        <v>78</v>
      </c>
      <c r="I75" s="494" t="n">
        <v>90</v>
      </c>
      <c r="J75" s="494" t="n">
        <v>128</v>
      </c>
      <c r="K75" s="494" t="n">
        <v>197</v>
      </c>
      <c r="L75" s="494" t="n">
        <v>106</v>
      </c>
      <c r="M75" s="494" t="n">
        <v>70</v>
      </c>
      <c r="N75" s="494" t="n">
        <v>221</v>
      </c>
      <c r="O75" s="494" t="n">
        <v>250</v>
      </c>
      <c r="P75" s="494" t="n">
        <v>312</v>
      </c>
      <c r="Q75" s="494" t="n">
        <v>125</v>
      </c>
      <c r="R75" s="494" t="n">
        <v>88</v>
      </c>
      <c r="S75" s="494" t="n">
        <v>90</v>
      </c>
      <c r="T75" s="494" t="n">
        <v>45</v>
      </c>
      <c r="U75" s="452"/>
      <c r="V75" s="452"/>
      <c r="W75" s="452"/>
      <c r="X75" s="494"/>
      <c r="Y75" s="494"/>
      <c r="Z75" s="494"/>
      <c r="AA75" s="494"/>
      <c r="AB75" s="494"/>
      <c r="AC75" s="494"/>
      <c r="AD75" s="494"/>
      <c r="AE75" s="494"/>
      <c r="AF75" s="494"/>
      <c r="AG75" s="494"/>
      <c r="AH75" s="494"/>
      <c r="AI75" s="494"/>
      <c r="AJ75" s="494"/>
      <c r="AK75" s="494"/>
      <c r="AL75" s="494"/>
      <c r="AM75" s="494"/>
      <c r="AN75" s="494"/>
      <c r="AO75" s="494"/>
      <c r="AP75" s="494"/>
      <c r="AQ75" s="494"/>
    </row>
    <row r="76" customFormat="false" ht="14.25" hidden="false" customHeight="false" outlineLevel="0" collapsed="false">
      <c r="A76" s="462" t="s">
        <v>892</v>
      </c>
      <c r="B76" s="452" t="n">
        <v>0.8</v>
      </c>
      <c r="C76" s="452" t="n">
        <v>0.8</v>
      </c>
      <c r="D76" s="452" t="n">
        <v>0.6</v>
      </c>
      <c r="E76" s="452" t="n">
        <v>0.54</v>
      </c>
      <c r="F76" s="452" t="n">
        <v>0.42</v>
      </c>
      <c r="G76" s="452" t="n">
        <v>0.77</v>
      </c>
      <c r="H76" s="452" t="n">
        <v>0.77</v>
      </c>
      <c r="I76" s="452" t="n">
        <v>0.45</v>
      </c>
      <c r="J76" s="452" t="n">
        <v>0.75</v>
      </c>
      <c r="K76" s="452" t="n">
        <v>0.48</v>
      </c>
      <c r="L76" s="452" t="n">
        <v>0.39</v>
      </c>
      <c r="M76" s="452" t="n">
        <v>0.66</v>
      </c>
      <c r="N76" s="452" t="n">
        <v>0.34</v>
      </c>
      <c r="O76" s="452" t="n">
        <v>0.73</v>
      </c>
      <c r="P76" s="452" t="n">
        <v>0.73</v>
      </c>
      <c r="Q76" s="452" t="n">
        <v>0.33</v>
      </c>
      <c r="R76" s="452" t="n">
        <v>0.36</v>
      </c>
      <c r="S76" s="452" t="n">
        <v>0.5</v>
      </c>
      <c r="T76" s="452" t="n">
        <v>0.5</v>
      </c>
      <c r="U76" s="452"/>
      <c r="V76" s="452"/>
      <c r="W76" s="452"/>
      <c r="X76" s="452"/>
      <c r="Y76" s="452"/>
      <c r="Z76" s="452"/>
      <c r="AA76" s="452"/>
      <c r="AB76" s="452"/>
      <c r="AC76" s="452"/>
      <c r="AD76" s="452"/>
      <c r="AE76" s="452"/>
      <c r="AF76" s="452"/>
      <c r="AG76" s="452"/>
      <c r="AH76" s="452"/>
      <c r="AI76" s="452"/>
      <c r="AJ76" s="452"/>
      <c r="AK76" s="452"/>
      <c r="AL76" s="452"/>
      <c r="AM76" s="452"/>
      <c r="AN76" s="452"/>
      <c r="AO76" s="452"/>
      <c r="AP76" s="452"/>
      <c r="AQ76" s="452"/>
    </row>
    <row r="77" customFormat="false" ht="14.25" hidden="false" customHeight="false" outlineLevel="0" collapsed="false">
      <c r="A77" s="462" t="s">
        <v>893</v>
      </c>
      <c r="B77" s="452" t="n">
        <v>0.6</v>
      </c>
      <c r="C77" s="452"/>
      <c r="D77" s="452"/>
      <c r="E77" s="452" t="n">
        <v>0.39</v>
      </c>
      <c r="F77" s="452" t="n">
        <v>0.35</v>
      </c>
      <c r="G77" s="452" t="n">
        <v>0.6</v>
      </c>
      <c r="H77" s="452" t="n">
        <v>0.6</v>
      </c>
      <c r="I77" s="452" t="n">
        <v>0.31</v>
      </c>
      <c r="J77" s="452" t="n">
        <v>0.55</v>
      </c>
      <c r="K77" s="452" t="n">
        <v>0.37</v>
      </c>
      <c r="L77" s="452" t="n">
        <v>0.3</v>
      </c>
      <c r="M77" s="452" t="n">
        <v>0.5</v>
      </c>
      <c r="N77" s="452" t="n">
        <v>0.25</v>
      </c>
      <c r="O77" s="452" t="n">
        <v>0.57</v>
      </c>
      <c r="P77" s="452" t="n">
        <v>0.63</v>
      </c>
      <c r="Q77" s="452" t="n">
        <v>0.22</v>
      </c>
      <c r="R77" s="452" t="n">
        <v>0.23</v>
      </c>
      <c r="S77" s="452" t="n">
        <v>0.43</v>
      </c>
      <c r="T77" s="452" t="n">
        <v>0.43</v>
      </c>
      <c r="U77" s="452"/>
      <c r="V77" s="452"/>
      <c r="W77" s="452"/>
      <c r="X77" s="452"/>
      <c r="Y77" s="452"/>
      <c r="Z77" s="452"/>
      <c r="AA77" s="452"/>
      <c r="AB77" s="452"/>
      <c r="AC77" s="452"/>
      <c r="AD77" s="452"/>
      <c r="AE77" s="452"/>
      <c r="AF77" s="452"/>
      <c r="AG77" s="452"/>
      <c r="AH77" s="452"/>
      <c r="AI77" s="452"/>
      <c r="AJ77" s="452"/>
      <c r="AK77" s="452"/>
      <c r="AL77" s="452"/>
      <c r="AM77" s="452"/>
      <c r="AN77" s="452"/>
      <c r="AO77" s="452"/>
      <c r="AP77" s="452"/>
      <c r="AQ77" s="452"/>
    </row>
    <row r="78" customFormat="false" ht="14.25" hidden="false" customHeight="false" outlineLevel="0" collapsed="false">
      <c r="A78" s="462" t="s">
        <v>894</v>
      </c>
      <c r="B78" s="452" t="n">
        <v>0.6</v>
      </c>
      <c r="C78" s="452"/>
      <c r="D78" s="452"/>
      <c r="E78" s="452" t="n">
        <v>0.35</v>
      </c>
      <c r="F78" s="452" t="n">
        <v>0.27</v>
      </c>
      <c r="G78" s="452" t="n">
        <v>0.53</v>
      </c>
      <c r="H78" s="452" t="n">
        <v>0.53</v>
      </c>
      <c r="I78" s="452" t="n">
        <v>0.26</v>
      </c>
      <c r="J78" s="452" t="n">
        <v>0.5</v>
      </c>
      <c r="K78" s="452" t="n">
        <v>0.33</v>
      </c>
      <c r="L78" s="452" t="n">
        <v>0.26</v>
      </c>
      <c r="M78" s="452" t="n">
        <v>0.4</v>
      </c>
      <c r="N78" s="452" t="n">
        <v>0.2</v>
      </c>
      <c r="O78" s="452" t="n">
        <v>0.45</v>
      </c>
      <c r="P78" s="452" t="n">
        <v>0.5</v>
      </c>
      <c r="Q78" s="452" t="n">
        <v>0.15</v>
      </c>
      <c r="R78" s="452" t="n">
        <v>0.16</v>
      </c>
      <c r="S78" s="452" t="n">
        <v>0.37</v>
      </c>
      <c r="T78" s="452" t="n">
        <v>0.37</v>
      </c>
      <c r="U78" s="452"/>
      <c r="V78" s="452"/>
      <c r="W78" s="452"/>
      <c r="X78" s="452"/>
      <c r="Y78" s="452"/>
      <c r="Z78" s="452"/>
      <c r="AA78" s="452"/>
      <c r="AB78" s="452"/>
      <c r="AC78" s="452"/>
      <c r="AD78" s="452"/>
      <c r="AE78" s="452"/>
      <c r="AF78" s="452"/>
      <c r="AG78" s="452"/>
      <c r="AH78" s="452"/>
      <c r="AI78" s="452"/>
      <c r="AJ78" s="452"/>
      <c r="AK78" s="452"/>
      <c r="AL78" s="452"/>
      <c r="AM78" s="452"/>
      <c r="AN78" s="452"/>
      <c r="AO78" s="452"/>
      <c r="AP78" s="452"/>
      <c r="AQ78" s="452"/>
    </row>
    <row r="79" customFormat="false" ht="14.25" hidden="false" customHeight="false" outlineLevel="0" collapsed="false">
      <c r="A79" s="462" t="s">
        <v>895</v>
      </c>
      <c r="B79" s="452" t="n">
        <v>0.6</v>
      </c>
      <c r="C79" s="452"/>
      <c r="D79" s="452" t="n">
        <v>0.6</v>
      </c>
      <c r="E79" s="452" t="n">
        <v>0.53</v>
      </c>
      <c r="F79" s="452" t="n">
        <v>0.42</v>
      </c>
      <c r="G79" s="452" t="n">
        <v>0.8</v>
      </c>
      <c r="H79" s="452" t="n">
        <v>0.8</v>
      </c>
      <c r="I79" s="452" t="n">
        <v>0.48</v>
      </c>
      <c r="J79" s="452" t="n">
        <v>0.78</v>
      </c>
      <c r="K79" s="452" t="n">
        <v>0.5</v>
      </c>
      <c r="L79" s="452" t="n">
        <v>0.41</v>
      </c>
      <c r="M79" s="452" t="n">
        <v>0.73</v>
      </c>
      <c r="N79" s="452" t="n">
        <v>0.37</v>
      </c>
      <c r="O79" s="452" t="n">
        <v>0.75</v>
      </c>
      <c r="P79" s="452" t="n">
        <v>0.76</v>
      </c>
      <c r="Q79" s="452" t="n">
        <v>0.32</v>
      </c>
      <c r="R79" s="452" t="n">
        <v>0.4</v>
      </c>
      <c r="S79" s="452" t="n">
        <v>0.51</v>
      </c>
      <c r="T79" s="452" t="n">
        <v>0.51</v>
      </c>
      <c r="U79" s="452"/>
      <c r="V79" s="452"/>
      <c r="W79" s="452"/>
      <c r="X79" s="452"/>
      <c r="Y79" s="452"/>
      <c r="Z79" s="452"/>
      <c r="AA79" s="452"/>
      <c r="AB79" s="452"/>
      <c r="AC79" s="452"/>
      <c r="AD79" s="452"/>
      <c r="AE79" s="452"/>
      <c r="AF79" s="452"/>
      <c r="AG79" s="452"/>
      <c r="AH79" s="452"/>
      <c r="AI79" s="452"/>
      <c r="AJ79" s="452"/>
      <c r="AK79" s="452"/>
      <c r="AL79" s="452"/>
      <c r="AM79" s="452"/>
      <c r="AN79" s="452"/>
      <c r="AO79" s="452"/>
      <c r="AP79" s="452"/>
      <c r="AQ79" s="452"/>
    </row>
    <row r="80" customFormat="false" ht="14.25" hidden="false" customHeight="false" outlineLevel="0" collapsed="false">
      <c r="A80" s="462" t="s">
        <v>896</v>
      </c>
      <c r="B80" s="494" t="n">
        <v>2</v>
      </c>
      <c r="C80" s="494" t="n">
        <v>2</v>
      </c>
      <c r="D80" s="494" t="n">
        <v>2</v>
      </c>
      <c r="E80" s="494" t="n">
        <v>1.62</v>
      </c>
      <c r="F80" s="494" t="n">
        <v>3.5</v>
      </c>
      <c r="G80" s="494" t="n">
        <v>4.8</v>
      </c>
      <c r="H80" s="494" t="n">
        <v>4.8</v>
      </c>
      <c r="I80" s="494" t="n">
        <v>2.5</v>
      </c>
      <c r="J80" s="494" t="n">
        <v>6</v>
      </c>
      <c r="K80" s="494" t="n">
        <v>3</v>
      </c>
      <c r="L80" s="494" t="n">
        <v>3.6</v>
      </c>
      <c r="M80" s="494" t="n">
        <v>4</v>
      </c>
      <c r="N80" s="494" t="n">
        <v>1.25</v>
      </c>
      <c r="O80" s="494" t="n">
        <v>3.2</v>
      </c>
      <c r="P80" s="494" t="n">
        <v>4</v>
      </c>
      <c r="Q80" s="494"/>
      <c r="R80" s="494"/>
      <c r="S80" s="494"/>
      <c r="T80" s="494" t="n">
        <v>2.5</v>
      </c>
      <c r="U80" s="494"/>
      <c r="V80" s="494"/>
      <c r="W80" s="494"/>
      <c r="X80" s="494"/>
      <c r="Y80" s="494"/>
      <c r="Z80" s="494"/>
      <c r="AA80" s="494"/>
      <c r="AB80" s="494"/>
      <c r="AC80" s="494"/>
      <c r="AD80" s="494"/>
      <c r="AE80" s="494"/>
      <c r="AF80" s="494"/>
      <c r="AG80" s="494"/>
      <c r="AH80" s="494"/>
      <c r="AI80" s="494"/>
      <c r="AJ80" s="494"/>
      <c r="AK80" s="494"/>
      <c r="AL80" s="494"/>
      <c r="AM80" s="494"/>
      <c r="AN80" s="494"/>
      <c r="AO80" s="494"/>
      <c r="AP80" s="494"/>
      <c r="AQ80" s="494"/>
    </row>
    <row r="81" customFormat="false" ht="15" hidden="false" customHeight="false" outlineLevel="0" collapsed="false">
      <c r="A81" s="456" t="s">
        <v>897</v>
      </c>
      <c r="B81" s="497" t="n">
        <f aca="false">B80*B25</f>
        <v>2</v>
      </c>
      <c r="C81" s="497" t="n">
        <f aca="false">C80*C25</f>
        <v>2</v>
      </c>
      <c r="D81" s="497" t="n">
        <f aca="false">D80*D25</f>
        <v>2</v>
      </c>
      <c r="E81" s="497" t="n">
        <f aca="false">E80*E25</f>
        <v>1.62</v>
      </c>
      <c r="F81" s="497" t="n">
        <f aca="false">F80*F25</f>
        <v>3.5</v>
      </c>
      <c r="G81" s="497" t="n">
        <f aca="false">G80*G25</f>
        <v>4.8</v>
      </c>
      <c r="H81" s="497" t="n">
        <f aca="false">H80*H25</f>
        <v>4.8</v>
      </c>
      <c r="I81" s="497" t="n">
        <f aca="false">I80*I25</f>
        <v>2.5</v>
      </c>
      <c r="J81" s="497" t="n">
        <f aca="false">J80*J25</f>
        <v>6</v>
      </c>
      <c r="K81" s="497" t="n">
        <f aca="false">K80*K25</f>
        <v>3</v>
      </c>
      <c r="L81" s="497" t="n">
        <f aca="false">L80*L25</f>
        <v>3.6</v>
      </c>
      <c r="M81" s="497" t="n">
        <f aca="false">M80*M25</f>
        <v>4</v>
      </c>
      <c r="N81" s="497" t="n">
        <f aca="false">N80*N25</f>
        <v>1.25</v>
      </c>
      <c r="O81" s="497" t="n">
        <f aca="false">O80*O25</f>
        <v>3.2</v>
      </c>
      <c r="P81" s="497" t="n">
        <f aca="false">P80*P25</f>
        <v>4</v>
      </c>
      <c r="Q81" s="497" t="n">
        <f aca="false">Q80*Q25</f>
        <v>0</v>
      </c>
      <c r="R81" s="497" t="n">
        <f aca="false">R80*R25</f>
        <v>0</v>
      </c>
      <c r="S81" s="497" t="n">
        <f aca="false">S80*S25</f>
        <v>0</v>
      </c>
      <c r="T81" s="497" t="n">
        <f aca="false">T80*T25</f>
        <v>2.5</v>
      </c>
      <c r="U81" s="497"/>
      <c r="V81" s="497"/>
      <c r="W81" s="497"/>
      <c r="X81" s="497"/>
      <c r="Y81" s="497"/>
      <c r="Z81" s="497"/>
      <c r="AA81" s="497"/>
    </row>
    <row r="82" s="560" customFormat="true" ht="15" hidden="false" customHeight="false" outlineLevel="0" collapsed="false">
      <c r="A82" s="558" t="s">
        <v>898</v>
      </c>
      <c r="B82" s="559" t="n">
        <f aca="false">B30+(B27-B20-B39)*1000000/B19/9.81</f>
        <v>10.0426202323688</v>
      </c>
      <c r="C82" s="559" t="n">
        <f aca="false">C30+(C27-C20-C39)*1000000/C19/9.81</f>
        <v>-2790.22478993098</v>
      </c>
      <c r="D82" s="559" t="n">
        <f aca="false">D30+(D27-D20-D39)*1000000/D19/9.81</f>
        <v>593.483835260674</v>
      </c>
      <c r="E82" s="559" t="n">
        <f aca="false">E30+(E27-E20-E39)*1000000/E19/9.81</f>
        <v>47.1464233121451</v>
      </c>
      <c r="F82" s="559" t="n">
        <f aca="false">F30+(F27-F20-F39)*1000000/F19/9.81</f>
        <v>9.0478084491684</v>
      </c>
      <c r="G82" s="559" t="n">
        <f aca="false">G30+(G27-G20-G39)*1000000/G19/9.81</f>
        <v>-14.321157759274</v>
      </c>
      <c r="H82" s="559" t="n">
        <f aca="false">H30+(H27-H20-H39)*1000000/H19/9.81</f>
        <v>38.2572606462651</v>
      </c>
      <c r="I82" s="559" t="n">
        <f aca="false">I30+(I27-I20-I39)*1000000/I19/9.81</f>
        <v>6.76407364385407</v>
      </c>
      <c r="J82" s="559" t="n">
        <f aca="false">J30+(J27-J20-J39)*1000000/J19/9.81</f>
        <v>5.34288724407884</v>
      </c>
      <c r="K82" s="559" t="n">
        <f aca="false">K30+(K27-K20-K39)*1000000/K19/9.81</f>
        <v>6.92100932209895</v>
      </c>
      <c r="L82" s="559" t="n">
        <f aca="false">L30+(L27-L20-L39)*1000000/L19/9.81</f>
        <v>14.5191794747649</v>
      </c>
      <c r="M82" s="559" t="n">
        <f aca="false">M30+(M27-M20-M39)*1000000/M19/9.81</f>
        <v>28.8765319694433</v>
      </c>
      <c r="N82" s="559" t="n">
        <f aca="false">N30+(N27-N20-N39)*1000000/N19/9.81</f>
        <v>7.49516841719789</v>
      </c>
      <c r="O82" s="559" t="n">
        <f aca="false">O30+(O27-O20-O39)*1000000/O19/9.81</f>
        <v>7.20578116953911</v>
      </c>
      <c r="P82" s="559" t="n">
        <f aca="false">P30+(P27-P20-P39)*1000000/P19/9.81</f>
        <v>56.0219783620829</v>
      </c>
      <c r="Q82" s="559" t="n">
        <f aca="false">Q30+(Q27-Q20-Q39)*1000000/Q19/9.81</f>
        <v>6.03045361875637</v>
      </c>
      <c r="R82" s="559" t="n">
        <f aca="false">R30+(R27-R20-R39)*1000000/R19/9.81</f>
        <v>6.6396833962943</v>
      </c>
      <c r="S82" s="559" t="n">
        <f aca="false">S30+(S27-S20-S39)*1000000/S19/9.81</f>
        <v>3.94491375743079</v>
      </c>
      <c r="T82" s="559" t="n">
        <f aca="false">T30+(T27-T20-T39)*1000000/T19/9.81</f>
        <v>9.03834218358059</v>
      </c>
      <c r="U82" s="559"/>
      <c r="V82" s="559"/>
      <c r="W82" s="559"/>
      <c r="X82" s="559"/>
      <c r="Y82" s="559"/>
      <c r="Z82" s="559"/>
      <c r="AA82" s="559"/>
    </row>
    <row r="83" customFormat="false" ht="15" hidden="false" customHeight="true" outlineLevel="0" collapsed="false">
      <c r="A83" s="466" t="s">
        <v>899</v>
      </c>
      <c r="B83" s="498" t="n">
        <f aca="false">B82-B84</f>
        <v>8.04262023236876</v>
      </c>
      <c r="C83" s="498" t="n">
        <f aca="false">C82-C84</f>
        <v>-2792.22478993098</v>
      </c>
      <c r="D83" s="498" t="n">
        <f aca="false">D82-D84</f>
        <v>591.483835260674</v>
      </c>
      <c r="E83" s="498" t="n">
        <f aca="false">E82-E84</f>
        <v>45.1464233121451</v>
      </c>
      <c r="F83" s="498" t="n">
        <f aca="false">F82-F84</f>
        <v>7.0478084491684</v>
      </c>
      <c r="G83" s="498" t="n">
        <f aca="false">G82-G84</f>
        <v>-16.321157759274</v>
      </c>
      <c r="H83" s="498" t="n">
        <f aca="false">H82-H84</f>
        <v>36.2572606462651</v>
      </c>
      <c r="I83" s="498" t="n">
        <f aca="false">I82-I84</f>
        <v>4.76407364385407</v>
      </c>
      <c r="J83" s="498" t="n">
        <f aca="false">J82-J84</f>
        <v>3.34288724407884</v>
      </c>
      <c r="K83" s="498" t="n">
        <f aca="false">K82-K84</f>
        <v>4.92100932209895</v>
      </c>
      <c r="L83" s="498" t="n">
        <f aca="false">L82-L84</f>
        <v>12.5191794747649</v>
      </c>
      <c r="M83" s="498" t="n">
        <f aca="false">M82-M84</f>
        <v>26.8765319694433</v>
      </c>
      <c r="N83" s="498" t="n">
        <f aca="false">N82-N84</f>
        <v>5.49516841719789</v>
      </c>
      <c r="O83" s="498" t="n">
        <f aca="false">O82-O84</f>
        <v>5.20578116953911</v>
      </c>
      <c r="P83" s="498" t="n">
        <f aca="false">P82-P84</f>
        <v>54.0219783620829</v>
      </c>
      <c r="Q83" s="498" t="n">
        <f aca="false">Q82-Q84</f>
        <v>4.03045361875637</v>
      </c>
      <c r="R83" s="498" t="n">
        <f aca="false">R82-R84</f>
        <v>4.6396833962943</v>
      </c>
      <c r="S83" s="498" t="n">
        <f aca="false">S82-S84</f>
        <v>1.94491375743079</v>
      </c>
      <c r="T83" s="498" t="n">
        <f aca="false">T82-T84</f>
        <v>7.03834218358059</v>
      </c>
      <c r="U83" s="498"/>
      <c r="V83" s="498"/>
      <c r="W83" s="498"/>
      <c r="X83" s="498"/>
      <c r="Y83" s="498"/>
      <c r="Z83" s="498"/>
      <c r="AA83" s="498"/>
    </row>
    <row r="84" customFormat="false" ht="15" hidden="false" customHeight="false" outlineLevel="0" collapsed="false">
      <c r="A84" s="462" t="s">
        <v>900</v>
      </c>
      <c r="B84" s="452" t="n">
        <v>2</v>
      </c>
      <c r="C84" s="452" t="n">
        <v>2</v>
      </c>
      <c r="D84" s="452" t="n">
        <v>2</v>
      </c>
      <c r="E84" s="452" t="n">
        <v>2</v>
      </c>
      <c r="F84" s="452" t="n">
        <v>2</v>
      </c>
      <c r="G84" s="452" t="n">
        <v>2</v>
      </c>
      <c r="H84" s="452" t="n">
        <v>2</v>
      </c>
      <c r="I84" s="452" t="n">
        <v>2</v>
      </c>
      <c r="J84" s="452" t="n">
        <v>2</v>
      </c>
      <c r="K84" s="452" t="n">
        <v>2</v>
      </c>
      <c r="L84" s="452" t="n">
        <v>2</v>
      </c>
      <c r="M84" s="452" t="n">
        <v>2</v>
      </c>
      <c r="N84" s="452" t="n">
        <v>2</v>
      </c>
      <c r="O84" s="452" t="n">
        <v>2</v>
      </c>
      <c r="P84" s="452" t="n">
        <v>2</v>
      </c>
      <c r="Q84" s="452" t="n">
        <v>2</v>
      </c>
      <c r="R84" s="452" t="n">
        <v>2</v>
      </c>
      <c r="S84" s="452" t="n">
        <v>2</v>
      </c>
      <c r="T84" s="452" t="n">
        <v>2</v>
      </c>
      <c r="U84" s="214"/>
      <c r="V84" s="452"/>
      <c r="W84" s="452"/>
      <c r="X84" s="452"/>
      <c r="Y84" s="452"/>
      <c r="Z84" s="452"/>
      <c r="AA84" s="452"/>
    </row>
    <row r="85" customFormat="false" ht="15" hidden="false" customHeight="true" outlineLevel="0" collapsed="false">
      <c r="A85" s="466" t="s">
        <v>1033</v>
      </c>
      <c r="B85" s="498" t="n">
        <f aca="false">B19*9.81*B74/1000000+B66</f>
        <v>16.8793003533383</v>
      </c>
      <c r="C85" s="498" t="n">
        <f aca="false">C19*9.81*C74/1000000+C66</f>
        <v>10.0404583109711</v>
      </c>
      <c r="D85" s="498" t="n">
        <f aca="false">D19*9.81*D74/1000000+D66</f>
        <v>14.5705750137473</v>
      </c>
      <c r="E85" s="498" t="n">
        <f aca="false">E19*9.81*E74/1000000+E66</f>
        <v>3.73246455584927</v>
      </c>
      <c r="F85" s="498" t="n">
        <f aca="false">F19*9.81*F74/1000000+F66</f>
        <v>1.33881872470553</v>
      </c>
      <c r="G85" s="498" t="n">
        <f aca="false">G19*9.81*G74/1000000+G66</f>
        <v>0.8962845275</v>
      </c>
      <c r="H85" s="498" t="n">
        <f aca="false">H19*9.81*H74/1000000+H66</f>
        <v>1.01302445902802</v>
      </c>
      <c r="I85" s="498" t="n">
        <f aca="false">I19*9.81*I74/1000000+I66</f>
        <v>1.73131705798866</v>
      </c>
      <c r="J85" s="498" t="n">
        <f aca="false">J19*9.81*J74/1000000+J66</f>
        <v>1.14631813627521</v>
      </c>
      <c r="K85" s="498" t="n">
        <f aca="false">K19*9.81*K74/1000000+K66</f>
        <v>1.50196365156846</v>
      </c>
      <c r="L85" s="498" t="n">
        <f aca="false">L19*9.81*L74/1000000+L66</f>
        <v>1.29182796793683</v>
      </c>
      <c r="M85" s="498" t="n">
        <f aca="false">M19*9.81*M74/1000000+M66</f>
        <v>0.833119549042124</v>
      </c>
      <c r="N85" s="498" t="n">
        <f aca="false">N19*9.81*N74/1000000+N66</f>
        <v>1.69897265569995</v>
      </c>
      <c r="O85" s="498" t="n">
        <f aca="false">O19*9.81*O74/1000000+O66</f>
        <v>1.9326293606458</v>
      </c>
      <c r="P85" s="498" t="n">
        <f aca="false">P19*9.81*P74/1000000+P66</f>
        <v>3.81425005779996</v>
      </c>
      <c r="Q85" s="498" t="n">
        <f aca="false">Q19*9.81*Q74/1000000+Q66</f>
        <v>1.064023</v>
      </c>
      <c r="R85" s="498" t="n">
        <f aca="false">R19*9.81*R74/1000000+R66</f>
        <v>0.799153</v>
      </c>
      <c r="S85" s="498" t="n">
        <f aca="false">S19*9.81*S74/1000000+S66</f>
        <v>0.9508156</v>
      </c>
      <c r="T85" s="498" t="n">
        <f aca="false">T19*9.81*T74/1000000+T66</f>
        <v>0.6834514</v>
      </c>
      <c r="U85" s="498"/>
      <c r="V85" s="498"/>
      <c r="W85" s="498"/>
      <c r="X85" s="498"/>
      <c r="Y85" s="498"/>
      <c r="Z85" s="498"/>
      <c r="AA85" s="498"/>
    </row>
    <row r="86" customFormat="false" ht="15" hidden="false" customHeight="false" outlineLevel="0" collapsed="false">
      <c r="A86" s="456" t="s">
        <v>1034</v>
      </c>
      <c r="B86" s="497" t="n">
        <f aca="false">B19*9.81*B71/1000000+B66</f>
        <v>17.6602940733383</v>
      </c>
      <c r="C86" s="497" t="n">
        <f aca="false">C19*9.81*C71/1000000+C66</f>
        <v>2.12465159097111</v>
      </c>
      <c r="D86" s="497" t="n">
        <f aca="false">D19*9.81*D71/1000000+D66</f>
        <v>13.9767717897473</v>
      </c>
      <c r="E86" s="497" t="n">
        <f aca="false">E19*9.81*E71/1000000+E66</f>
        <v>3.86319438164927</v>
      </c>
      <c r="F86" s="497" t="n">
        <f aca="false">F19*9.81*F71/1000000+F66</f>
        <v>1.74487424470553</v>
      </c>
      <c r="G86" s="497" t="n">
        <f aca="false">G19*9.81*G71/1000000+G66</f>
        <v>0.9898071815</v>
      </c>
      <c r="H86" s="497" t="n">
        <f aca="false">H19*9.81*H71/1000000+H66</f>
        <v>1.85794798702802</v>
      </c>
      <c r="I86" s="497" t="n">
        <f aca="false">I19*9.81*I71/1000000+I66</f>
        <v>1.74457232998866</v>
      </c>
      <c r="J86" s="497" t="n">
        <f aca="false">J19*9.81*J71/1000000+J66</f>
        <v>1.54358389627521</v>
      </c>
      <c r="K86" s="497" t="n">
        <f aca="false">K19*9.81*K71/1000000+K66</f>
        <v>1.95594102156846</v>
      </c>
      <c r="L86" s="497" t="n">
        <f aca="false">L19*9.81*L71/1000000+L66</f>
        <v>1.47905377993683</v>
      </c>
      <c r="M86" s="497" t="n">
        <f aca="false">M19*9.81*M71/1000000+M66</f>
        <v>1.00356339404212</v>
      </c>
      <c r="N86" s="497" t="n">
        <f aca="false">N19*9.81*N71/1000000+N66</f>
        <v>1.86015586069995</v>
      </c>
      <c r="O86" s="497" t="n">
        <f aca="false">O19*9.81*O71/1000000+O66</f>
        <v>2.2051737236458</v>
      </c>
      <c r="P86" s="497" t="n">
        <f aca="false">P19*9.81*P71/1000000+P66</f>
        <v>4.17087808899996</v>
      </c>
      <c r="Q86" s="497" t="n">
        <f aca="false">Q19*9.81*Q71/1000000+Q66</f>
        <v>1.142503</v>
      </c>
      <c r="R86" s="497" t="n">
        <f aca="false">R19*9.81*R71/1000000+R66</f>
        <v>0.9075535</v>
      </c>
      <c r="S86" s="497" t="n">
        <f aca="false">S19*9.81*S71/1000000+S66</f>
        <v>1.0796209</v>
      </c>
      <c r="T86" s="497" t="n">
        <f aca="false">T19*9.81*T71/1000000+T66</f>
        <v>0.6834514</v>
      </c>
      <c r="U86" s="497"/>
      <c r="V86" s="497"/>
      <c r="W86" s="497"/>
      <c r="X86" s="497"/>
      <c r="Y86" s="497"/>
      <c r="Z86" s="497"/>
      <c r="AA86" s="497"/>
    </row>
    <row r="87" customFormat="false" ht="15" hidden="false" customHeight="false" outlineLevel="0" collapsed="false">
      <c r="A87" s="456" t="s">
        <v>1035</v>
      </c>
      <c r="B87" s="497" t="n">
        <f aca="false">B67+B19*9.81*B71/1000000</f>
        <v>17.9521512748</v>
      </c>
      <c r="C87" s="497" t="n">
        <f aca="false">C67+C19*9.81*C71/1000000</f>
        <v>2.1482149888</v>
      </c>
      <c r="D87" s="497" t="n">
        <f aca="false">D67+D19*9.81*D71/1000000</f>
        <v>13.9844319622</v>
      </c>
      <c r="E87" s="497" t="n">
        <f aca="false">E67+E19*9.81*E71/1000000</f>
        <v>3.867600312608</v>
      </c>
      <c r="F87" s="497" t="n">
        <f aca="false">F67+F19*9.81*F71/1000000</f>
        <v>1.899210112</v>
      </c>
      <c r="G87" s="497" t="n">
        <f aca="false">G67+G19*9.81*G71/1000000</f>
        <v>0.9903876775</v>
      </c>
      <c r="H87" s="497" t="n">
        <f aca="false">H67+H19*9.81*H71/1000000</f>
        <v>1.865593596</v>
      </c>
      <c r="I87" s="497" t="n">
        <f aca="false">I67+I19*9.81*I71/1000000</f>
        <v>1.749449782</v>
      </c>
      <c r="J87" s="497" t="n">
        <f aca="false">J67+J19*9.81*J71/1000000</f>
        <v>1.556352966</v>
      </c>
      <c r="K87" s="497" t="n">
        <f aca="false">K67+K19*9.81*K71/1000000</f>
        <v>1.9596960025</v>
      </c>
      <c r="L87" s="497" t="n">
        <f aca="false">L67+L19*9.81*L71/1000000</f>
        <v>1.4833452011</v>
      </c>
      <c r="M87" s="497" t="n">
        <f aca="false">M67+M19*9.81*M71/1000000</f>
        <v>1.01065555</v>
      </c>
      <c r="N87" s="497" t="n">
        <f aca="false">N67+N19*9.81*N71/1000000</f>
        <v>1.87276594278</v>
      </c>
      <c r="O87" s="497" t="n">
        <f aca="false">O67+O19*9.81*O71/1000000</f>
        <v>2.2295738499</v>
      </c>
      <c r="P87" s="497" t="n">
        <f aca="false">P67+P19*9.81*P71/1000000</f>
        <v>4.47723125504</v>
      </c>
      <c r="Q87" s="497" t="n">
        <f aca="false">Q67+Q19*9.81*Q71/1000000</f>
        <v>1.193784</v>
      </c>
      <c r="R87" s="497" t="n">
        <f aca="false">R67+R19*9.81*R71/1000000</f>
        <v>0.9588345</v>
      </c>
      <c r="S87" s="497" t="n">
        <f aca="false">S67+S19*9.81*S71/1000000</f>
        <v>1.1309019</v>
      </c>
      <c r="T87" s="497" t="n">
        <f aca="false">T67+T19*9.81*T71/1000000</f>
        <v>0.7850684</v>
      </c>
      <c r="U87" s="497"/>
      <c r="V87" s="497"/>
      <c r="W87" s="497"/>
      <c r="X87" s="497"/>
      <c r="Y87" s="497"/>
      <c r="Z87" s="497"/>
      <c r="AA87" s="497"/>
    </row>
    <row r="88" s="563" customFormat="true" ht="15" hidden="false" customHeight="true" outlineLevel="0" collapsed="false">
      <c r="A88" s="561" t="s">
        <v>1036</v>
      </c>
      <c r="B88" s="562" t="str">
        <f aca="false">IF(B73&lt;&gt;"",B19*9.81*B16/3600*B73/B77/B24/1000,"")</f>
        <v/>
      </c>
      <c r="C88" s="562" t="str">
        <f aca="false">IF(C73&lt;&gt;"",C19*9.81*C16/3600*C73/C77/C24/1000,"")</f>
        <v/>
      </c>
      <c r="D88" s="562" t="str">
        <f aca="false">IF(D73&lt;&gt;"",D19*9.81*D16/3600*D73/D77/D24/1000,"")</f>
        <v/>
      </c>
      <c r="E88" s="562" t="str">
        <f aca="false">IF(E73&lt;&gt;"",E19*9.81*E16/3600*E73/E77/E24/1000,"")</f>
        <v/>
      </c>
      <c r="F88" s="562" t="str">
        <f aca="false">IF(F73&lt;&gt;"",F19*9.81*F16/3600*F73/F77/F24/1000,"")</f>
        <v/>
      </c>
      <c r="G88" s="562" t="str">
        <f aca="false">IF(G73&lt;&gt;"",G19*9.81*G16/3600*G73/G77/G24/1000,"")</f>
        <v/>
      </c>
      <c r="H88" s="562" t="str">
        <f aca="false">IF(H73&lt;&gt;"",H19*9.81*H16/3600*H73/H77/H24/1000,"")</f>
        <v/>
      </c>
      <c r="I88" s="562" t="str">
        <f aca="false">IF(I73&lt;&gt;"",I19*9.81*I16/3600*I73/I77/I24/1000,"")</f>
        <v/>
      </c>
      <c r="J88" s="562" t="str">
        <f aca="false">IF(J73&lt;&gt;"",J19*9.81*J16/3600*J73/J77/J24/1000,"")</f>
        <v/>
      </c>
      <c r="K88" s="562" t="str">
        <f aca="false">IF(K73&lt;&gt;"",K19*9.81*K16/3600*K73/K77/K24/1000,"")</f>
        <v/>
      </c>
      <c r="L88" s="562" t="str">
        <f aca="false">IF(L73&lt;&gt;"",L19*9.81*L16/3600*L73/L77/L24/1000,"")</f>
        <v/>
      </c>
      <c r="M88" s="562" t="str">
        <f aca="false">IF(M73&lt;&gt;"",M19*9.81*M16/3600*M73/M77/M24/1000,"")</f>
        <v/>
      </c>
      <c r="N88" s="562" t="str">
        <f aca="false">IF(N73&lt;&gt;"",N19*9.81*N16/3600*N73/N77/N24/1000,"")</f>
        <v/>
      </c>
      <c r="O88" s="562" t="str">
        <f aca="false">IF(O73&lt;&gt;"",O19*9.81*O16/3600*O73/O77/O24/1000,"")</f>
        <v/>
      </c>
      <c r="P88" s="562" t="str">
        <f aca="false">IF(P73&lt;&gt;"",P19*9.81*P16/3600*P73/P77/P24/1000,"")</f>
        <v/>
      </c>
      <c r="Q88" s="562" t="str">
        <f aca="false">IF(Q73&lt;&gt;"",Q19*9.81*Q16/3600*Q73/Q77/Q24/1000,"")</f>
        <v/>
      </c>
      <c r="R88" s="562" t="str">
        <f aca="false">IF(R73&lt;&gt;"",R19*9.81*R16/3600*R73/R77/R24/1000,"")</f>
        <v/>
      </c>
      <c r="S88" s="562" t="str">
        <f aca="false">IF(S73&lt;&gt;"",S19*9.81*S16/3600*S73/S77/S24/1000,"")</f>
        <v/>
      </c>
      <c r="T88" s="562" t="str">
        <f aca="false">IF(T73&lt;&gt;"",T19*9.81*T16/3600*T73/T77/T24/1000,"")</f>
        <v/>
      </c>
      <c r="U88" s="562"/>
      <c r="V88" s="562"/>
      <c r="W88" s="562"/>
      <c r="X88" s="562"/>
      <c r="Y88" s="562"/>
      <c r="Z88" s="562"/>
      <c r="AA88" s="562"/>
    </row>
    <row r="89" customFormat="false" ht="15" hidden="false" customHeight="false" outlineLevel="0" collapsed="false">
      <c r="A89" s="464" t="s">
        <v>1037</v>
      </c>
      <c r="B89" s="465" t="n">
        <f aca="false">B19*9.81*B14/3600*B74/B76/B24/1000</f>
        <v>2214.0638625</v>
      </c>
      <c r="C89" s="465" t="n">
        <f aca="false">C19*9.81*C14/3600*C74/C76/C24/1000</f>
        <v>2129.80536375</v>
      </c>
      <c r="D89" s="465" t="n">
        <f aca="false">D19*9.81*D14/3600*D74/D76/D24/1000</f>
        <v>233.7477641</v>
      </c>
      <c r="E89" s="465" t="n">
        <f aca="false">E19*9.81*E14/3600*E74/E76/E24/1000</f>
        <v>22.7406296296296</v>
      </c>
      <c r="F89" s="465" t="n">
        <f aca="false">F19*9.81*F14/3600*F74/F76/F24/1000</f>
        <v>31.2246071428571</v>
      </c>
      <c r="G89" s="465" t="n">
        <f aca="false">G19*9.81*G14/3600*G74/G76/G24/1000</f>
        <v>0.165623376623377</v>
      </c>
      <c r="H89" s="465" t="n">
        <f aca="false">H19*9.81*H14/3600*H74/H76/H24/1000</f>
        <v>85.4406833766234</v>
      </c>
      <c r="I89" s="465" t="n">
        <f aca="false">I19*9.81*I14/3600*I74/I76/I24/1000</f>
        <v>8.89876</v>
      </c>
      <c r="J89" s="465" t="n">
        <f aca="false">J19*9.81*J14/3600*J74/J76/J24/1000</f>
        <v>139.466662703</v>
      </c>
      <c r="K89" s="465" t="n">
        <f aca="false">K19*9.81*K14/3600*K74/K76/K24/1000</f>
        <v>73.1367291666667</v>
      </c>
      <c r="L89" s="465" t="n">
        <f aca="false">L19*9.81*L14/3600*L74/L76/L24/1000</f>
        <v>8.03287909230769</v>
      </c>
      <c r="M89" s="465" t="n">
        <f aca="false">M19*9.81*M14/3600*M74/M76/M24/1000</f>
        <v>37.6751893939394</v>
      </c>
      <c r="N89" s="465" t="n">
        <f aca="false">N19*9.81*N14/3600*N74/N76/N24/1000</f>
        <v>48.8913088235294</v>
      </c>
      <c r="O89" s="465" t="n">
        <f aca="false">O19*9.81*O14/3600*O74/O76/O24/1000</f>
        <v>264.580702054795</v>
      </c>
      <c r="P89" s="465" t="n">
        <f aca="false">P19*9.81*P14/3600*P74/P76/P24/1000</f>
        <v>200.798904109589</v>
      </c>
      <c r="Q89" s="465" t="n">
        <f aca="false">Q19*9.81*Q14/3600*Q74/Q76/Q24/1000</f>
        <v>25.1690909090909</v>
      </c>
      <c r="R89" s="465" t="n">
        <f aca="false">R19*9.81*R14/3600*R74/R76/R24/1000</f>
        <v>17.3188888888889</v>
      </c>
      <c r="S89" s="465" t="n">
        <f aca="false">S19*9.81*S14/3600*S74/S76/S24/1000</f>
        <v>15.2055</v>
      </c>
      <c r="T89" s="465" t="n">
        <f aca="false">T19*9.81*T14/3600*T74/T76/T24/1000</f>
        <v>5.691435</v>
      </c>
      <c r="U89" s="465"/>
      <c r="V89" s="465"/>
      <c r="W89" s="465"/>
      <c r="X89" s="465"/>
      <c r="Y89" s="465"/>
      <c r="Z89" s="465"/>
      <c r="AA89" s="465"/>
    </row>
    <row r="90" customFormat="false" ht="15" hidden="false" customHeight="false" outlineLevel="0" collapsed="false">
      <c r="A90" s="466" t="s">
        <v>1038</v>
      </c>
      <c r="B90" s="467" t="n">
        <f aca="false">B19*9.81*B15/3600*B75/B79/B24/1000</f>
        <v>3247.293665</v>
      </c>
      <c r="C90" s="467" t="e">
        <f aca="false">C19*9.81*C15/3600*C75/C79/C24/1000</f>
        <v>#DIV/0!</v>
      </c>
      <c r="D90" s="467" t="n">
        <f aca="false">D19*9.81*D15/3600*D75/D79/D24/1000</f>
        <v>2190.80091902725</v>
      </c>
      <c r="E90" s="467" t="n">
        <f aca="false">E19*9.81*E15/3600*E75/E79/E24/1000</f>
        <v>27.3186905660377</v>
      </c>
      <c r="F90" s="467" t="n">
        <f aca="false">F19*9.81*F15/3600*F75/F79/F24/1000</f>
        <v>34.3470678571429</v>
      </c>
      <c r="G90" s="467" t="n">
        <f aca="false">G19*9.81*G15/3600*G75/G79/G24/1000</f>
        <v>0.17535375</v>
      </c>
      <c r="H90" s="467" t="n">
        <f aca="false">H19*9.81*H15/3600*H75/H79/H24/1000</f>
        <v>90.460323525</v>
      </c>
      <c r="I90" s="467" t="n">
        <f aca="false">I19*9.81*I15/3600*I75/I79/I24/1000</f>
        <v>12.51388125</v>
      </c>
      <c r="J90" s="467" t="n">
        <f aca="false">J19*9.81*J15/3600*J75/J79/J24/1000</f>
        <v>144.134660221538</v>
      </c>
      <c r="K90" s="467" t="n">
        <f aca="false">K19*9.81*K15/3600*K75/K79/K24/1000</f>
        <v>103.73713665</v>
      </c>
      <c r="L90" s="467" t="n">
        <f aca="false">L19*9.81*L15/3600*L75/L79/L24/1000</f>
        <v>7.68055390756098</v>
      </c>
      <c r="M90" s="467" t="n">
        <f aca="false">M19*9.81*M15/3600*M75/M79/M24/1000</f>
        <v>35.9289383561644</v>
      </c>
      <c r="N90" s="467" t="n">
        <f aca="false">N19*9.81*N15/3600*N75/N79/N24/1000</f>
        <v>48.5412881621622</v>
      </c>
      <c r="O90" s="467" t="n">
        <f aca="false">O19*9.81*O15/3600*O75/O79/O24/1000</f>
        <v>269.275416666667</v>
      </c>
      <c r="P90" s="467" t="n">
        <f aca="false">P19*9.81*P15/3600*P75/P79/P24/1000</f>
        <v>201.810631578947</v>
      </c>
      <c r="Q90" s="467" t="n">
        <f aca="false">Q19*9.81*Q15/3600*Q75/Q79/Q24/1000</f>
        <v>28.1015625</v>
      </c>
      <c r="R90" s="467" t="n">
        <f aca="false">R19*9.81*R15/3600*R75/R79/R24/1000</f>
        <v>17.1457</v>
      </c>
      <c r="S90" s="467" t="n">
        <f aca="false">S19*9.81*S15/3600*S75/S79/S24/1000</f>
        <v>16.3980882352941</v>
      </c>
      <c r="T90" s="467" t="n">
        <f aca="false">T19*9.81*T15/3600*T75/T79/T24/1000</f>
        <v>4.68138970588235</v>
      </c>
      <c r="U90" s="467"/>
      <c r="V90" s="467"/>
      <c r="W90" s="467"/>
      <c r="X90" s="467"/>
      <c r="Y90" s="467"/>
      <c r="Z90" s="467"/>
      <c r="AA90" s="467"/>
    </row>
    <row r="91" s="379" customFormat="true" ht="15" hidden="false" customHeight="false" outlineLevel="0" collapsed="false">
      <c r="A91" s="456" t="s">
        <v>1039</v>
      </c>
      <c r="B91" s="461" t="n">
        <f aca="false">IF(B17&lt;&gt;"",992*9.81*B17/3600*B72/B78/B24/1000,"")</f>
        <v>0</v>
      </c>
      <c r="C91" s="461" t="e">
        <f aca="false">IF(C17&lt;&gt;"",992*9.81*C17/3600*C72/C78/C24/1000,"")</f>
        <v>#DIV/0!</v>
      </c>
      <c r="D91" s="461" t="e">
        <f aca="false">IF(D17&lt;&gt;"",992*9.81*D17/3600*D72/D78/D24/1000,"")</f>
        <v>#DIV/0!</v>
      </c>
      <c r="E91" s="461" t="n">
        <f aca="false">IF(E17&lt;&gt;"",992*9.81*E17/3600*E72/E78/E24/1000,"")</f>
        <v>19.7874650566029</v>
      </c>
      <c r="F91" s="461" t="n">
        <f aca="false">IF(F17&lt;&gt;"",992*9.81*F17/3600*F72/F78/F24/1000,"")</f>
        <v>30.7313541038526</v>
      </c>
      <c r="G91" s="461" t="n">
        <f aca="false">IF(G17&lt;&gt;"",992*9.81*G17/3600*G72/G78/G24/1000,"")</f>
        <v>0.145759918871131</v>
      </c>
      <c r="H91" s="461" t="n">
        <f aca="false">IF(H17&lt;&gt;"",992*9.81*H17/3600*H72/H78/H24/1000,"")</f>
        <v>70.7456174622418</v>
      </c>
      <c r="I91" s="461" t="n">
        <f aca="false">IF(I17&lt;&gt;"",992*9.81*I17/3600*I72/I78/I24/1000,"")</f>
        <v>13.8703448667851</v>
      </c>
      <c r="J91" s="461" t="n">
        <f aca="false">IF(J17&lt;&gt;"",992*9.81*J17/3600*J72/J78/J24/1000,"")</f>
        <v>192.779396199902</v>
      </c>
      <c r="K91" s="461" t="n">
        <f aca="false">IF(K17&lt;&gt;"",992*9.81*K17/3600*K72/K78/K24/1000,"")</f>
        <v>129.298166130829</v>
      </c>
      <c r="L91" s="461" t="n">
        <f aca="false">IF(L17&lt;&gt;"",992*9.81*L17/3600*L72/L78/L24/1000,"")</f>
        <v>6.36659065219252</v>
      </c>
      <c r="M91" s="461" t="n">
        <f aca="false">IF(M17&lt;&gt;"",992*9.81*M17/3600*M72/M78/M24/1000,"")</f>
        <v>57.7606837606838</v>
      </c>
      <c r="N91" s="461" t="n">
        <f aca="false">IF(N17&lt;&gt;"",992*9.81*N17/3600*N72/N78/N24/1000,"")</f>
        <v>61.3326391771401</v>
      </c>
      <c r="O91" s="461" t="n">
        <f aca="false">IF(O17&lt;&gt;"",992*9.81*O17/3600*O72/O78/O24/1000,"")</f>
        <v>332.954058408571</v>
      </c>
      <c r="P91" s="461" t="n">
        <f aca="false">IF(P17&lt;&gt;"",992*9.81*P17/3600*P72/P78/P24/1000,"")</f>
        <v>143.715520120418</v>
      </c>
      <c r="Q91" s="461" t="n">
        <f aca="false">IF(Q17&lt;&gt;"",992*9.81*Q17/3600*Q72/Q78/Q24/1000,"")</f>
        <v>32.5897792</v>
      </c>
      <c r="R91" s="461" t="n">
        <f aca="false">IF(R17&lt;&gt;"",992*9.81*R17/3600*R72/R78/R24/1000,"")</f>
        <v>22.9660691764706</v>
      </c>
      <c r="S91" s="461" t="n">
        <f aca="false">IF(S17&lt;&gt;"",992*9.81*S17/3600*S72/S78/S24/1000,"")</f>
        <v>10.1626431469093</v>
      </c>
      <c r="T91" s="461" t="n">
        <f aca="false">IF(T17&lt;&gt;"",992*9.81*T17/3600*T72/T78/T24/1000,"")</f>
        <v>3.0109376153135</v>
      </c>
      <c r="U91" s="461"/>
      <c r="V91" s="461"/>
      <c r="W91" s="461"/>
      <c r="X91" s="461"/>
      <c r="Y91" s="461"/>
      <c r="Z91" s="461"/>
      <c r="AA91" s="461"/>
    </row>
    <row r="92" customFormat="false" ht="15" hidden="false" customHeight="false" outlineLevel="0" collapsed="false">
      <c r="A92" s="456" t="s">
        <v>1040</v>
      </c>
      <c r="B92" s="461" t="n">
        <f aca="false">MAX(B89:B91)</f>
        <v>3247.293665</v>
      </c>
      <c r="C92" s="461" t="e">
        <f aca="false">MAX(C89:C91)</f>
        <v>#DIV/0!</v>
      </c>
      <c r="D92" s="461" t="e">
        <f aca="false">MAX(D89:D91)</f>
        <v>#DIV/0!</v>
      </c>
      <c r="E92" s="461" t="n">
        <f aca="false">MAX(E89:E91)</f>
        <v>27.3186905660377</v>
      </c>
      <c r="F92" s="461" t="n">
        <f aca="false">MAX(F89:F91)</f>
        <v>34.3470678571429</v>
      </c>
      <c r="G92" s="461" t="n">
        <f aca="false">MAX(G89:G91)</f>
        <v>0.17535375</v>
      </c>
      <c r="H92" s="461" t="n">
        <f aca="false">MAX(H89:H91)</f>
        <v>90.460323525</v>
      </c>
      <c r="I92" s="461" t="n">
        <f aca="false">MAX(I89:I91)</f>
        <v>13.8703448667851</v>
      </c>
      <c r="J92" s="461" t="n">
        <f aca="false">MAX(J89:J91)</f>
        <v>192.779396199902</v>
      </c>
      <c r="K92" s="461" t="n">
        <f aca="false">MAX(K89:K91)</f>
        <v>129.298166130829</v>
      </c>
      <c r="L92" s="461" t="n">
        <f aca="false">MAX(L89:L91)</f>
        <v>8.03287909230769</v>
      </c>
      <c r="M92" s="461" t="n">
        <f aca="false">MAX(M89:M91)</f>
        <v>57.7606837606838</v>
      </c>
      <c r="N92" s="461" t="n">
        <f aca="false">MAX(N89:N91)</f>
        <v>61.3326391771401</v>
      </c>
      <c r="O92" s="461" t="n">
        <f aca="false">MAX(O89:O91)</f>
        <v>332.954058408571</v>
      </c>
      <c r="P92" s="461" t="n">
        <f aca="false">MAX(P89:P91)</f>
        <v>201.810631578947</v>
      </c>
      <c r="Q92" s="461" t="n">
        <f aca="false">MAX(Q89:Q91)</f>
        <v>32.5897792</v>
      </c>
      <c r="R92" s="461" t="n">
        <f aca="false">MAX(R89:R91)</f>
        <v>22.9660691764706</v>
      </c>
      <c r="S92" s="461" t="n">
        <f aca="false">MAX(S89:S91)</f>
        <v>16.3980882352941</v>
      </c>
      <c r="T92" s="461" t="n">
        <f aca="false">MAX(T89:T91)</f>
        <v>5.691435</v>
      </c>
      <c r="U92" s="461"/>
      <c r="V92" s="461"/>
      <c r="W92" s="461"/>
      <c r="X92" s="461"/>
      <c r="Y92" s="461"/>
      <c r="Z92" s="461"/>
      <c r="AA92" s="461"/>
    </row>
    <row r="93" customFormat="false" ht="15" hidden="false" customHeight="false" outlineLevel="0" collapsed="false">
      <c r="A93" s="456" t="s">
        <v>909</v>
      </c>
      <c r="B93" s="485" t="n">
        <f aca="false">IF(B92&gt;55,1.1,(IF(B92&gt;15,1.15,1.25)))</f>
        <v>1.1</v>
      </c>
      <c r="C93" s="485" t="e">
        <f aca="false">IF(C92&gt;55,1.1,(IF(C92&gt;15,1.15,1.25)))</f>
        <v>#DIV/0!</v>
      </c>
      <c r="D93" s="485" t="e">
        <f aca="false">IF(D92&gt;55,1.1,(IF(D92&gt;15,1.15,1.25)))</f>
        <v>#DIV/0!</v>
      </c>
      <c r="E93" s="485" t="n">
        <f aca="false">IF(E92&gt;55,1.1,(IF(E92&gt;15,1.15,1.25)))</f>
        <v>1.15</v>
      </c>
      <c r="F93" s="485" t="n">
        <f aca="false">IF(F92&gt;55,1.1,(IF(F92&gt;15,1.15,1.25)))</f>
        <v>1.15</v>
      </c>
      <c r="G93" s="485" t="n">
        <f aca="false">IF(G92&gt;55,1.1,(IF(G92&gt;15,1.15,1.25)))</f>
        <v>1.25</v>
      </c>
      <c r="H93" s="485" t="n">
        <f aca="false">IF(H92&gt;55,1.1,(IF(H92&gt;15,1.15,1.25)))</f>
        <v>1.1</v>
      </c>
      <c r="I93" s="485" t="n">
        <f aca="false">IF(I92&gt;55,1.1,(IF(I92&gt;15,1.15,1.25)))</f>
        <v>1.25</v>
      </c>
      <c r="J93" s="485" t="n">
        <f aca="false">IF(J92&gt;55,1.1,(IF(J92&gt;15,1.15,1.25)))</f>
        <v>1.1</v>
      </c>
      <c r="K93" s="485" t="n">
        <f aca="false">IF(K92&gt;55,1.1,(IF(K92&gt;15,1.15,1.25)))</f>
        <v>1.1</v>
      </c>
      <c r="L93" s="485" t="n">
        <f aca="false">IF(L92&gt;55,1.1,(IF(L92&gt;15,1.15,1.25)))</f>
        <v>1.25</v>
      </c>
      <c r="M93" s="485" t="n">
        <f aca="false">IF(M92&gt;55,1.1,(IF(M92&gt;15,1.15,1.25)))</f>
        <v>1.1</v>
      </c>
      <c r="N93" s="485" t="n">
        <f aca="false">IF(N92&gt;55,1.1,(IF(N92&gt;15,1.15,1.25)))</f>
        <v>1.1</v>
      </c>
      <c r="O93" s="485" t="n">
        <f aca="false">IF(O92&gt;55,1.1,(IF(O92&gt;15,1.15,1.25)))</f>
        <v>1.1</v>
      </c>
      <c r="P93" s="485" t="n">
        <f aca="false">IF(P92&gt;55,1.1,(IF(P92&gt;15,1.15,1.25)))</f>
        <v>1.1</v>
      </c>
      <c r="Q93" s="485" t="n">
        <f aca="false">IF(Q92&gt;55,1.1,(IF(Q92&gt;15,1.15,1.25)))</f>
        <v>1.15</v>
      </c>
      <c r="R93" s="485" t="n">
        <f aca="false">IF(R92&gt;55,1.1,(IF(R92&gt;15,1.15,1.25)))</f>
        <v>1.15</v>
      </c>
      <c r="S93" s="485" t="n">
        <f aca="false">IF(S92&gt;55,1.1,(IF(S92&gt;15,1.15,1.25)))</f>
        <v>1.15</v>
      </c>
      <c r="T93" s="485" t="n">
        <f aca="false">IF(T92&gt;55,1.1,(IF(T92&gt;15,1.15,1.25)))</f>
        <v>1.25</v>
      </c>
      <c r="U93" s="485"/>
      <c r="V93" s="485"/>
      <c r="W93" s="485"/>
      <c r="X93" s="485"/>
      <c r="Y93" s="485"/>
      <c r="Z93" s="485"/>
      <c r="AA93" s="485"/>
    </row>
    <row r="94" customFormat="false" ht="15" hidden="false" customHeight="false" outlineLevel="0" collapsed="false">
      <c r="A94" s="466" t="s">
        <v>910</v>
      </c>
      <c r="B94" s="498" t="n">
        <f aca="false">B92*B93</f>
        <v>3572.0230315</v>
      </c>
      <c r="C94" s="498" t="e">
        <f aca="false">C92*C93</f>
        <v>#DIV/0!</v>
      </c>
      <c r="D94" s="498" t="e">
        <f aca="false">D92*D93</f>
        <v>#DIV/0!</v>
      </c>
      <c r="E94" s="498" t="n">
        <f aca="false">E92*E93</f>
        <v>31.4164941509434</v>
      </c>
      <c r="F94" s="498" t="n">
        <f aca="false">F92*F93</f>
        <v>39.4991280357143</v>
      </c>
      <c r="G94" s="498" t="n">
        <f aca="false">G92*G93</f>
        <v>0.2191921875</v>
      </c>
      <c r="H94" s="498" t="n">
        <f aca="false">H92*H93</f>
        <v>99.5063558775</v>
      </c>
      <c r="I94" s="498" t="n">
        <f aca="false">I92*I93</f>
        <v>17.3379310834814</v>
      </c>
      <c r="J94" s="498" t="n">
        <f aca="false">J92*J93</f>
        <v>212.057335819892</v>
      </c>
      <c r="K94" s="498" t="n">
        <f aca="false">K92*K93</f>
        <v>142.227982743912</v>
      </c>
      <c r="L94" s="498" t="n">
        <f aca="false">L92*L93</f>
        <v>10.0410988653846</v>
      </c>
      <c r="M94" s="498" t="n">
        <f aca="false">M92*M93</f>
        <v>63.5367521367522</v>
      </c>
      <c r="N94" s="498" t="n">
        <f aca="false">N92*N93</f>
        <v>67.4659030948541</v>
      </c>
      <c r="O94" s="498" t="n">
        <f aca="false">O92*O93</f>
        <v>366.249464249428</v>
      </c>
      <c r="P94" s="498" t="n">
        <f aca="false">P92*P93</f>
        <v>221.991694736842</v>
      </c>
      <c r="Q94" s="498" t="n">
        <f aca="false">Q92*Q93</f>
        <v>37.47824608</v>
      </c>
      <c r="R94" s="498" t="n">
        <f aca="false">R92*R93</f>
        <v>26.4109795529412</v>
      </c>
      <c r="S94" s="498" t="n">
        <f aca="false">S92*S93</f>
        <v>18.8578014705882</v>
      </c>
      <c r="T94" s="498" t="n">
        <f aca="false">T92*T93</f>
        <v>7.11429375</v>
      </c>
      <c r="U94" s="498"/>
      <c r="V94" s="498"/>
      <c r="W94" s="498"/>
      <c r="X94" s="498"/>
      <c r="Y94" s="498"/>
      <c r="Z94" s="498"/>
      <c r="AA94" s="498"/>
    </row>
    <row r="95" s="379" customFormat="true" ht="15" hidden="false" customHeight="false" outlineLevel="0" collapsed="false">
      <c r="A95" s="456" t="s">
        <v>1041</v>
      </c>
      <c r="B95" s="468" t="n">
        <v>1400</v>
      </c>
      <c r="C95" s="468" t="n">
        <v>55</v>
      </c>
      <c r="D95" s="468" t="n">
        <v>18.5</v>
      </c>
      <c r="E95" s="468" t="n">
        <v>45</v>
      </c>
      <c r="F95" s="468" t="n">
        <v>45</v>
      </c>
      <c r="G95" s="468" t="n">
        <v>0.37</v>
      </c>
      <c r="H95" s="468" t="n">
        <v>110</v>
      </c>
      <c r="I95" s="468" t="n">
        <v>22</v>
      </c>
      <c r="J95" s="468" t="n">
        <v>250</v>
      </c>
      <c r="K95" s="468" t="n">
        <v>160</v>
      </c>
      <c r="L95" s="468" t="n">
        <v>18.5</v>
      </c>
      <c r="M95" s="468" t="n">
        <v>75</v>
      </c>
      <c r="N95" s="468" t="n">
        <v>75</v>
      </c>
      <c r="O95" s="468" t="n">
        <v>400</v>
      </c>
      <c r="P95" s="468" t="n">
        <v>250</v>
      </c>
      <c r="Q95" s="468" t="n">
        <v>45</v>
      </c>
      <c r="R95" s="468" t="n">
        <v>37</v>
      </c>
      <c r="S95" s="468" t="n">
        <v>30</v>
      </c>
      <c r="T95" s="468" t="n">
        <v>11</v>
      </c>
      <c r="U95" s="468"/>
      <c r="V95" s="468"/>
      <c r="W95" s="468"/>
      <c r="X95" s="468"/>
      <c r="Y95" s="468"/>
      <c r="Z95" s="468"/>
      <c r="AA95" s="468"/>
    </row>
    <row r="96" customFormat="false" ht="15" hidden="false" customHeight="false" outlineLevel="0" collapsed="false">
      <c r="A96" s="456" t="s">
        <v>912</v>
      </c>
      <c r="B96" s="450" t="str">
        <f aca="false">IF(B95="","",VLOOKUP(B95,[1]电机型号!$B$3:$F$47,2)&amp;B99)</f>
        <v>YB3-5602-2WTH</v>
      </c>
      <c r="C96" s="450" t="str">
        <f aca="false">IF(C95="","",VLOOKUP(C95,[1]电机型号!$B$3:$F$47,2)&amp;C99)</f>
        <v>YB3-250M-2WTH</v>
      </c>
      <c r="D96" s="450" t="str">
        <f aca="false">IF(D95="","",VLOOKUP(D95,[1]电机型号!$B$3:$F$47,2)&amp;D99)</f>
        <v>YB3-160L-2WTH</v>
      </c>
      <c r="E96" s="450" t="str">
        <f aca="false">IF(E95="","",VLOOKUP(E95,[1]电机型号!$B$3:$F$47,2)&amp;E99)</f>
        <v>YB3-225M-2WTH</v>
      </c>
      <c r="F96" s="450" t="str">
        <f aca="false">IF(F95="","",VLOOKUP(F95,[1]电机型号!$B$3:$F$47,2)&amp;F99)</f>
        <v>YB3-225M-2WTH</v>
      </c>
      <c r="G96" s="450" t="str">
        <f aca="false">IF(G95="","",VLOOKUP(G95,[1]电机型号!$B$3:$F$47,2)&amp;G99)</f>
        <v>YB3-71 1-2WTH</v>
      </c>
      <c r="H96" s="450" t="str">
        <f aca="false">IF(H95="","",VLOOKUP(H95,[1]电机型号!$B$3:$F$47,2)&amp;H99)</f>
        <v>YB3-315S-2WTH</v>
      </c>
      <c r="I96" s="450" t="str">
        <f aca="false">IF(I95="","",VLOOKUP(I95,[1]电机型号!$B$3:$F$47,2)&amp;I99)</f>
        <v>YB3-180M-2WTH</v>
      </c>
      <c r="J96" s="450" t="str">
        <f aca="false">IF(J95="","",VLOOKUP(J95,[1]电机型号!$B$3:$F$47,2)&amp;J99)</f>
        <v>YB3-3554-2WTH</v>
      </c>
      <c r="K96" s="450" t="str">
        <f aca="false">IF(K95="","",VLOOKUP(K95,[1]电机型号!$B$3:$F$47,2)&amp;K99)</f>
        <v>YB3-315L1-2WTH</v>
      </c>
      <c r="L96" s="450" t="str">
        <f aca="false">IF(L95="","",VLOOKUP(L95,[1]电机型号!$B$3:$F$47,2)&amp;L99)</f>
        <v>YB3-160L-2WTH</v>
      </c>
      <c r="M96" s="450" t="str">
        <f aca="false">IF(M95="","",VLOOKUP(M95,[1]电机型号!$B$3:$F$47,2)&amp;M99)</f>
        <v>YB3-280S-2WTH</v>
      </c>
      <c r="N96" s="450" t="str">
        <f aca="false">IF(N95="","",VLOOKUP(N95,[1]电机型号!$B$3:$F$47,2)&amp;N99)</f>
        <v>YB3-280S-2WTH</v>
      </c>
      <c r="O96" s="450" t="str">
        <f aca="false">IF(O95="","",VLOOKUP(O95,[1]电机型号!$B$3:$F$47,2)&amp;O99)</f>
        <v>YB3-4003-2WTH</v>
      </c>
      <c r="P96" s="450" t="str">
        <f aca="false">IF(P95="","",VLOOKUP(P95,[1]电机型号!$B$3:$F$47,2)&amp;P99)</f>
        <v>YB3-3554-2WTH</v>
      </c>
      <c r="Q96" s="450" t="str">
        <f aca="false">IF(Q95="","",VLOOKUP(Q95,[1]电机型号!$B$3:$F$47,2)&amp;Q99)</f>
        <v>YB3-225M-2WTH</v>
      </c>
      <c r="R96" s="450" t="str">
        <f aca="false">IF(R95="","",VLOOKUP(R95,[1]电机型号!$B$3:$F$47,2)&amp;R99)</f>
        <v>YB3-200L2-2WTH</v>
      </c>
      <c r="S96" s="450" t="str">
        <f aca="false">IF(S95="","",VLOOKUP(S95,[1]电机型号!$B$3:$F$47,2)&amp;S99)</f>
        <v>YB3-200L1-2WTH</v>
      </c>
      <c r="T96" s="450" t="str">
        <f aca="false">IF(T95="","",VLOOKUP(T95,[1]电机型号!$B$3:$F$47,2)&amp;T99)</f>
        <v>YB3-160M1-2WTH</v>
      </c>
      <c r="U96" s="450"/>
      <c r="V96" s="450"/>
      <c r="W96" s="450"/>
      <c r="X96" s="450"/>
      <c r="Y96" s="450"/>
      <c r="Z96" s="450"/>
      <c r="AA96" s="450"/>
    </row>
    <row r="97" customFormat="false" ht="15" hidden="false" customHeight="false" outlineLevel="0" collapsed="false">
      <c r="A97" s="510" t="s">
        <v>913</v>
      </c>
      <c r="B97" s="450" t="n">
        <f aca="false">IF(B95="","",VLOOKUP(B95,[1]电机型号!$B$2:$E$51,4))</f>
        <v>8.75</v>
      </c>
      <c r="C97" s="450" t="n">
        <f aca="false">IF(C95="","",VLOOKUP(C95,[1]电机型号!$B$2:$E$51,4))</f>
        <v>0.46</v>
      </c>
      <c r="D97" s="450" t="n">
        <f aca="false">IF(D95="","",VLOOKUP(D95,[1]电机型号!$B$2:$E$51,4))</f>
        <v>0.168</v>
      </c>
      <c r="E97" s="450" t="n">
        <f aca="false">IF(E95="","",VLOOKUP(E95,[1]电机型号!$B$2:$E$51,4))</f>
        <v>0.4</v>
      </c>
      <c r="F97" s="450" t="n">
        <f aca="false">IF(F95="","",VLOOKUP(F95,[1]电机型号!$B$2:$E$51,4))</f>
        <v>0.4</v>
      </c>
      <c r="G97" s="450" t="n">
        <f aca="false">IF(G95="","",VLOOKUP(G95,[1]电机型号!$B$2:$E$51,4))</f>
        <v>0</v>
      </c>
      <c r="H97" s="450" t="n">
        <f aca="false">IF(H95="","",VLOOKUP(H95,[1]电机型号!$B$2:$E$51,4))</f>
        <v>1.1</v>
      </c>
      <c r="I97" s="450" t="n">
        <f aca="false">IF(I95="","",VLOOKUP(I95,[1]电机型号!$B$2:$E$51,4))</f>
        <v>0.22</v>
      </c>
      <c r="J97" s="450" t="n">
        <f aca="false">IF(J95="","",VLOOKUP(J95,[1]电机型号!$B$2:$E$51,4))</f>
        <v>2.63</v>
      </c>
      <c r="K97" s="450" t="n">
        <f aca="false">IF(K95="","",VLOOKUP(K95,[1]电机型号!$B$2:$E$51,4))</f>
        <v>1.35</v>
      </c>
      <c r="L97" s="450" t="n">
        <f aca="false">IF(L95="","",VLOOKUP(L95,[1]电机型号!$B$2:$E$51,4))</f>
        <v>0.168</v>
      </c>
      <c r="M97" s="450" t="n">
        <f aca="false">IF(M95="","",VLOOKUP(M95,[1]电机型号!$B$2:$E$51,4))</f>
        <v>0.625</v>
      </c>
      <c r="N97" s="450" t="n">
        <f aca="false">IF(N95="","",VLOOKUP(N95,[1]电机型号!$B$2:$E$51,4))</f>
        <v>0.625</v>
      </c>
      <c r="O97" s="450" t="n">
        <f aca="false">IF(O95="","",VLOOKUP(O95,[1]电机型号!$B$2:$E$51,4))</f>
        <v>3.85</v>
      </c>
      <c r="P97" s="450" t="n">
        <f aca="false">IF(P95="","",VLOOKUP(P95,[1]电机型号!$B$2:$E$51,4))</f>
        <v>2.63</v>
      </c>
      <c r="Q97" s="450" t="n">
        <f aca="false">IF(Q95="","",VLOOKUP(Q95,[1]电机型号!$B$2:$E$51,4))</f>
        <v>0.4</v>
      </c>
      <c r="R97" s="450" t="n">
        <f aca="false">IF(R95="","",VLOOKUP(R95,[1]电机型号!$B$2:$E$51,4))</f>
        <v>0.305</v>
      </c>
      <c r="S97" s="450" t="n">
        <f aca="false">IF(S95="","",VLOOKUP(S95,[1]电机型号!$B$2:$E$51,4))</f>
        <v>0.29</v>
      </c>
      <c r="T97" s="450" t="n">
        <f aca="false">IF(T95="","",VLOOKUP(T95,[1]电机型号!$B$2:$E$51,4))</f>
        <v>0.14</v>
      </c>
      <c r="U97" s="450"/>
      <c r="V97" s="450"/>
      <c r="W97" s="450"/>
      <c r="X97" s="450"/>
      <c r="Y97" s="450"/>
      <c r="Z97" s="450"/>
      <c r="AA97" s="450"/>
    </row>
    <row r="98" customFormat="false" ht="15" hidden="false" customHeight="false" outlineLevel="0" collapsed="false">
      <c r="A98" s="510" t="s">
        <v>914</v>
      </c>
      <c r="B98" s="450" t="n">
        <f aca="false">IF(B95="","",VLOOKUP(B95,[1]电机型号!$B$3:$F$35,3))</f>
        <v>2980</v>
      </c>
      <c r="C98" s="450" t="n">
        <f aca="false">IF(C95="","",VLOOKUP(C95,[1]电机型号!$B$3:$F$35,3))</f>
        <v>2970</v>
      </c>
      <c r="D98" s="450" t="n">
        <f aca="false">IF(D95="","",VLOOKUP(D95,[1]电机型号!$B$3:$F$35,3))</f>
        <v>2930</v>
      </c>
      <c r="E98" s="450" t="n">
        <f aca="false">IF(E95="","",VLOOKUP(E95,[1]电机型号!$B$3:$F$35,3))</f>
        <v>2970</v>
      </c>
      <c r="F98" s="450" t="n">
        <f aca="false">IF(F95="","",VLOOKUP(F95,[1]电机型号!$B$3:$F$35,3))</f>
        <v>2970</v>
      </c>
      <c r="G98" s="450" t="n">
        <f aca="false">IF(G95="","",VLOOKUP(G95,[1]电机型号!$B$3:$F$35,3))</f>
        <v>2800</v>
      </c>
      <c r="H98" s="450" t="n">
        <f aca="false">IF(H95="","",VLOOKUP(H95,[1]电机型号!$B$3:$F$35,3))</f>
        <v>2980</v>
      </c>
      <c r="I98" s="450" t="n">
        <f aca="false">IF(I95="","",VLOOKUP(I95,[1]电机型号!$B$3:$F$35,3))</f>
        <v>2940</v>
      </c>
      <c r="J98" s="450" t="n">
        <f aca="false">IF(J95="","",VLOOKUP(J95,[1]电机型号!$B$3:$F$35,3))</f>
        <v>2976</v>
      </c>
      <c r="K98" s="450" t="n">
        <f aca="false">IF(K95="","",VLOOKUP(K95,[1]电机型号!$B$3:$F$35,3))</f>
        <v>2980</v>
      </c>
      <c r="L98" s="450" t="n">
        <f aca="false">IF(L95="","",VLOOKUP(L95,[1]电机型号!$B$3:$F$35,3))</f>
        <v>2930</v>
      </c>
      <c r="M98" s="450" t="n">
        <f aca="false">IF(M95="","",VLOOKUP(M95,[1]电机型号!$B$3:$F$35,3))</f>
        <v>2970</v>
      </c>
      <c r="N98" s="450" t="n">
        <f aca="false">IF(N95="","",VLOOKUP(N95,[1]电机型号!$B$3:$F$35,3))</f>
        <v>2970</v>
      </c>
      <c r="O98" s="450" t="n">
        <f aca="false">IF(O95="","",VLOOKUP(O95,[1]电机型号!$B$3:$F$35,3))</f>
        <v>2980</v>
      </c>
      <c r="P98" s="450" t="n">
        <f aca="false">IF(P95="","",VLOOKUP(P95,[1]电机型号!$B$3:$F$35,3))</f>
        <v>2976</v>
      </c>
      <c r="Q98" s="450" t="n">
        <f aca="false">IF(Q95="","",VLOOKUP(Q95,[1]电机型号!$B$3:$F$35,3))</f>
        <v>2970</v>
      </c>
      <c r="R98" s="450" t="n">
        <f aca="false">IF(R95="","",VLOOKUP(R95,[1]电机型号!$B$3:$F$35,3))</f>
        <v>2950</v>
      </c>
      <c r="S98" s="450" t="n">
        <f aca="false">IF(S95="","",VLOOKUP(S95,[1]电机型号!$B$3:$F$35,3))</f>
        <v>2950</v>
      </c>
      <c r="T98" s="450" t="n">
        <f aca="false">IF(T95="","",VLOOKUP(T95,[1]电机型号!$B$3:$F$35,3))</f>
        <v>2930</v>
      </c>
      <c r="U98" s="450"/>
      <c r="V98" s="450"/>
      <c r="W98" s="450"/>
      <c r="X98" s="450"/>
      <c r="Y98" s="450"/>
      <c r="Z98" s="450"/>
      <c r="AA98" s="450"/>
    </row>
    <row r="99" s="379" customFormat="true" ht="15" hidden="false" customHeight="false" outlineLevel="0" collapsed="false">
      <c r="A99" s="462" t="s">
        <v>1042</v>
      </c>
      <c r="B99" s="452" t="s">
        <v>1043</v>
      </c>
      <c r="C99" s="452" t="s">
        <v>1043</v>
      </c>
      <c r="D99" s="452" t="s">
        <v>1043</v>
      </c>
      <c r="E99" s="452" t="s">
        <v>1043</v>
      </c>
      <c r="F99" s="452" t="s">
        <v>1043</v>
      </c>
      <c r="G99" s="452" t="s">
        <v>1043</v>
      </c>
      <c r="H99" s="452" t="s">
        <v>1043</v>
      </c>
      <c r="I99" s="452" t="s">
        <v>1043</v>
      </c>
      <c r="J99" s="452" t="s">
        <v>1043</v>
      </c>
      <c r="K99" s="452" t="s">
        <v>1043</v>
      </c>
      <c r="L99" s="452" t="s">
        <v>1043</v>
      </c>
      <c r="M99" s="452" t="s">
        <v>1043</v>
      </c>
      <c r="N99" s="452" t="s">
        <v>1043</v>
      </c>
      <c r="O99" s="452" t="s">
        <v>1043</v>
      </c>
      <c r="P99" s="452" t="s">
        <v>1043</v>
      </c>
      <c r="Q99" s="452" t="s">
        <v>1043</v>
      </c>
      <c r="R99" s="452" t="s">
        <v>1043</v>
      </c>
      <c r="S99" s="452" t="s">
        <v>1043</v>
      </c>
      <c r="T99" s="452" t="s">
        <v>1043</v>
      </c>
      <c r="U99" s="452"/>
      <c r="V99" s="452"/>
      <c r="W99" s="452"/>
      <c r="X99" s="452"/>
      <c r="Y99" s="452"/>
      <c r="Z99" s="452"/>
      <c r="AA99" s="452"/>
    </row>
    <row r="100" s="548" customFormat="true" ht="15" hidden="false" customHeight="false" outlineLevel="0" collapsed="false">
      <c r="A100" s="548" t="s">
        <v>915</v>
      </c>
      <c r="B100" s="564" t="n">
        <f aca="false">(B27-B20-B39)*1000000/9.81/B19-B81-B84</f>
        <v>-2.95737976763124</v>
      </c>
      <c r="C100" s="564" t="n">
        <f aca="false">(C27-C20-C39)*1000000/9.81/C19-C81-C84</f>
        <v>-2808.22478993098</v>
      </c>
      <c r="D100" s="564" t="n">
        <f aca="false">(D27-D20-D39)*1000000/9.81/D19-D81-D84</f>
        <v>578.483835260674</v>
      </c>
      <c r="E100" s="564" t="n">
        <f aca="false">(E27-E20-E39)*1000000/9.81/E19-E81-E84</f>
        <v>40.8864233121451</v>
      </c>
      <c r="F100" s="564" t="n">
        <f aca="false">(F27-F20-F39)*1000000/9.81/F19-F81-F84</f>
        <v>0.347808449168404</v>
      </c>
      <c r="G100" s="564" t="n">
        <f aca="false">(G27-G20-G39)*1000000/9.81/G19-G81-G84</f>
        <v>-26.121157759274</v>
      </c>
      <c r="H100" s="564" t="n">
        <f aca="false">(H27-H20-H39)*1000000/9.81/H19-H81-H84</f>
        <v>22.4572606462651</v>
      </c>
      <c r="I100" s="564" t="n">
        <f aca="false">(I27-I20-I39)*1000000/9.81/I19-I81-I84</f>
        <v>-5.23592635614594</v>
      </c>
      <c r="J100" s="564" t="n">
        <f aca="false">(J27-J20-J39)*1000000/9.81/J19-J81-J84</f>
        <v>-10.0571127559212</v>
      </c>
      <c r="K100" s="564" t="n">
        <f aca="false">(K27-K20-K39)*1000000/9.81/K19-K81-K84</f>
        <v>-5.57899067790105</v>
      </c>
      <c r="L100" s="564" t="n">
        <f aca="false">(L27-L20-L39)*1000000/9.81/L19-L81-L84</f>
        <v>1.41917947476488</v>
      </c>
      <c r="M100" s="564" t="n">
        <f aca="false">(M27-M20-M39)*1000000/9.81/M19-M81-M84</f>
        <v>-7.12346803055674</v>
      </c>
      <c r="N100" s="564" t="n">
        <f aca="false">(N27-N20-N39)*1000000/9.81/N19-N81-N84</f>
        <v>-3.65483158280211</v>
      </c>
      <c r="O100" s="564" t="n">
        <f aca="false">(O27-O20-O39)*1000000/9.81/O19-O81-O84</f>
        <v>-5.89421883046089</v>
      </c>
      <c r="P100" s="564" t="n">
        <f aca="false">(P27-P20-P39)*1000000/9.81/P19-P81-P84</f>
        <v>42.8219783620829</v>
      </c>
      <c r="Q100" s="564" t="n">
        <f aca="false">(Q27-Q20-Q39)*1000000/9.81/Q19-Q81-Q84</f>
        <v>8.03045361875637</v>
      </c>
      <c r="R100" s="564" t="n">
        <f aca="false">(R27-R20-R39)*1000000/9.81/R19-R81-R84</f>
        <v>8.6396833962943</v>
      </c>
      <c r="S100" s="564" t="n">
        <f aca="false">(S27-S20-S39)*1000000/9.81/S19-S81-S84</f>
        <v>5.94491375743079</v>
      </c>
      <c r="T100" s="564" t="n">
        <f aca="false">(T27-T20-T39)*1000000/9.81/T19-T81-T84</f>
        <v>3.53834218358059</v>
      </c>
      <c r="U100" s="564"/>
      <c r="V100" s="564"/>
      <c r="W100" s="564"/>
      <c r="X100" s="564"/>
      <c r="Y100" s="564"/>
      <c r="Z100" s="564"/>
      <c r="AA100" s="564"/>
    </row>
    <row r="101" customFormat="false" ht="15" hidden="false" customHeight="false" outlineLevel="0" collapsed="false">
      <c r="A101" s="380" t="s">
        <v>1044</v>
      </c>
      <c r="B101" s="449" t="n">
        <f aca="false">IF(B95&lt;=185,项目信息!$B$39,项目信息!$B$38)</f>
        <v>10000</v>
      </c>
      <c r="C101" s="449" t="n">
        <f aca="false">IF(C95&lt;=185,项目信息!$B$39,项目信息!$B$38)</f>
        <v>380</v>
      </c>
      <c r="D101" s="449" t="n">
        <f aca="false">IF(D95&lt;=185,项目信息!$B$39,项目信息!$B$38)</f>
        <v>380</v>
      </c>
      <c r="E101" s="449" t="n">
        <f aca="false">IF(E95&lt;=185,项目信息!$B$39,项目信息!$B$38)</f>
        <v>380</v>
      </c>
      <c r="F101" s="449" t="n">
        <f aca="false">IF(F95&lt;=185,项目信息!$B$39,项目信息!$B$38)</f>
        <v>380</v>
      </c>
      <c r="G101" s="449" t="n">
        <f aca="false">IF(G95&lt;=185,项目信息!$B$39,项目信息!$B$38)</f>
        <v>380</v>
      </c>
      <c r="H101" s="449" t="n">
        <f aca="false">IF(H95&lt;=185,项目信息!$B$39,项目信息!$B$38)</f>
        <v>380</v>
      </c>
      <c r="I101" s="449" t="n">
        <f aca="false">IF(I95&lt;=185,项目信息!$B$39,项目信息!$B$38)</f>
        <v>380</v>
      </c>
      <c r="J101" s="449" t="n">
        <f aca="false">IF(J95&lt;=185,项目信息!$B$39,项目信息!$B$38)</f>
        <v>10000</v>
      </c>
      <c r="K101" s="449" t="n">
        <f aca="false">IF(K95&lt;=185,项目信息!$B$39,项目信息!$B$38)</f>
        <v>380</v>
      </c>
      <c r="L101" s="449" t="n">
        <f aca="false">IF(L95&lt;=185,项目信息!$B$39,项目信息!$B$38)</f>
        <v>380</v>
      </c>
      <c r="M101" s="449" t="n">
        <f aca="false">IF(M95&lt;=185,项目信息!$B$39,项目信息!$B$38)</f>
        <v>380</v>
      </c>
      <c r="N101" s="449" t="n">
        <f aca="false">IF(N95&lt;=185,项目信息!$B$39,项目信息!$B$38)</f>
        <v>380</v>
      </c>
      <c r="O101" s="449" t="n">
        <f aca="false">IF(O95&lt;=185,项目信息!$B$39,项目信息!$B$38)</f>
        <v>10000</v>
      </c>
      <c r="P101" s="449" t="n">
        <f aca="false">IF(P95&lt;=185,项目信息!$B$39,项目信息!$B$38)</f>
        <v>10000</v>
      </c>
      <c r="Q101" s="449" t="n">
        <f aca="false">IF(Q95&lt;=185,项目信息!$B$39,项目信息!$B$38)</f>
        <v>380</v>
      </c>
      <c r="R101" s="449" t="n">
        <f aca="false">IF(R95&lt;=185,项目信息!$B$39,项目信息!$B$38)</f>
        <v>380</v>
      </c>
      <c r="S101" s="449" t="n">
        <f aca="false">IF(S95&lt;=185,项目信息!$B$39,项目信息!$B$38)</f>
        <v>380</v>
      </c>
      <c r="T101" s="449" t="n">
        <f aca="false">IF(T95&lt;=185,项目信息!$B$39,项目信息!$B$38)</f>
        <v>380</v>
      </c>
      <c r="U101" s="449"/>
    </row>
    <row r="102" customFormat="false" ht="15" hidden="false" customHeight="false" outlineLevel="0" collapsed="false">
      <c r="A102" s="380" t="s">
        <v>1045</v>
      </c>
      <c r="B102" s="565" t="n">
        <f aca="false">IF(B104*1&lt;&gt;0,项目信息!$B$3,0)</f>
        <v>8400</v>
      </c>
      <c r="C102" s="565" t="n">
        <f aca="false">IF(C104*1&lt;&gt;0,项目信息!$B$3,0)</f>
        <v>8400</v>
      </c>
      <c r="D102" s="565" t="n">
        <f aca="false">IF(D104*1&lt;&gt;0,项目信息!$B$3,0)</f>
        <v>8400</v>
      </c>
      <c r="E102" s="565" t="n">
        <f aca="false">IF(E104*1&lt;&gt;0,项目信息!$B$3,0)</f>
        <v>8400</v>
      </c>
      <c r="F102" s="565" t="n">
        <f aca="false">IF(F104*1&lt;&gt;0,项目信息!$B$3,0)</f>
        <v>8400</v>
      </c>
      <c r="G102" s="565" t="n">
        <f aca="false">IF(G104*1&lt;&gt;0,项目信息!$B$3,0)</f>
        <v>8400</v>
      </c>
      <c r="H102" s="565" t="n">
        <f aca="false">IF(H104*1&lt;&gt;0,项目信息!$B$3,0)</f>
        <v>8400</v>
      </c>
      <c r="I102" s="565" t="n">
        <f aca="false">IF(I104*1&lt;&gt;0,项目信息!$B$3,0)</f>
        <v>8400</v>
      </c>
      <c r="J102" s="565" t="n">
        <f aca="false">IF(J104*1&lt;&gt;0,项目信息!$B$3,0)</f>
        <v>8400</v>
      </c>
      <c r="K102" s="565" t="n">
        <f aca="false">IF(K104*1&lt;&gt;0,项目信息!$B$3,0)</f>
        <v>8400</v>
      </c>
      <c r="L102" s="565" t="n">
        <f aca="false">IF(L104*1&lt;&gt;0,项目信息!$B$3,0)</f>
        <v>8400</v>
      </c>
      <c r="M102" s="565" t="n">
        <f aca="false">IF(M104*1&lt;&gt;0,项目信息!$B$3,0)</f>
        <v>8400</v>
      </c>
      <c r="N102" s="565" t="n">
        <f aca="false">IF(N104*1&lt;&gt;0,项目信息!$B$3,0)</f>
        <v>8400</v>
      </c>
      <c r="O102" s="565" t="n">
        <f aca="false">IF(O104*1&lt;&gt;0,项目信息!$B$3,0)</f>
        <v>8400</v>
      </c>
      <c r="P102" s="565" t="n">
        <f aca="false">IF(P104*1&lt;&gt;0,项目信息!$B$3,0)</f>
        <v>8400</v>
      </c>
      <c r="Q102" s="565" t="n">
        <f aca="false">IF(Q104*1&lt;&gt;0,项目信息!$B$3,0)</f>
        <v>8400</v>
      </c>
      <c r="R102" s="565" t="n">
        <f aca="false">IF(R104*1&lt;&gt;0,项目信息!$B$3,0)</f>
        <v>8400</v>
      </c>
      <c r="S102" s="565" t="n">
        <f aca="false">IF(S104*1&lt;&gt;0,项目信息!$B$3,0)</f>
        <v>8400</v>
      </c>
      <c r="T102" s="565" t="n">
        <f aca="false">IF(T104*1&lt;&gt;0,项目信息!$B$3,0)</f>
        <v>8400</v>
      </c>
      <c r="U102" s="449"/>
    </row>
    <row r="103" s="379" customFormat="true" ht="15" hidden="false" customHeight="false" outlineLevel="0" collapsed="false">
      <c r="A103" s="379" t="s">
        <v>1046</v>
      </c>
      <c r="B103" s="457" t="n">
        <v>1</v>
      </c>
      <c r="C103" s="457" t="n">
        <v>1</v>
      </c>
      <c r="D103" s="457" t="n">
        <v>1</v>
      </c>
      <c r="E103" s="457" t="n">
        <v>1</v>
      </c>
      <c r="F103" s="457" t="n">
        <v>1</v>
      </c>
      <c r="G103" s="457" t="n">
        <v>1</v>
      </c>
      <c r="H103" s="457" t="n">
        <v>1</v>
      </c>
      <c r="I103" s="457" t="n">
        <v>1</v>
      </c>
      <c r="J103" s="457" t="n">
        <v>1</v>
      </c>
      <c r="K103" s="457" t="n">
        <v>1</v>
      </c>
      <c r="L103" s="457" t="n">
        <v>1</v>
      </c>
      <c r="M103" s="457" t="n">
        <v>1</v>
      </c>
      <c r="N103" s="457" t="n">
        <v>1</v>
      </c>
      <c r="O103" s="457" t="n">
        <v>1</v>
      </c>
      <c r="P103" s="457" t="n">
        <v>1</v>
      </c>
      <c r="Q103" s="457" t="n">
        <v>1</v>
      </c>
      <c r="R103" s="457" t="n">
        <v>1</v>
      </c>
      <c r="S103" s="457" t="n">
        <v>1</v>
      </c>
      <c r="T103" s="457" t="n">
        <v>1</v>
      </c>
      <c r="U103" s="457"/>
    </row>
    <row r="104" s="379" customFormat="true" ht="15" hidden="false" customHeight="false" outlineLevel="0" collapsed="false">
      <c r="A104" s="379" t="s">
        <v>1047</v>
      </c>
      <c r="B104" s="457" t="n">
        <v>1</v>
      </c>
      <c r="C104" s="457" t="n">
        <v>1</v>
      </c>
      <c r="D104" s="457" t="n">
        <v>1</v>
      </c>
      <c r="E104" s="457" t="n">
        <v>1</v>
      </c>
      <c r="F104" s="457" t="n">
        <v>1</v>
      </c>
      <c r="G104" s="457" t="n">
        <v>1</v>
      </c>
      <c r="H104" s="457" t="n">
        <v>1</v>
      </c>
      <c r="I104" s="457" t="n">
        <v>1</v>
      </c>
      <c r="J104" s="457" t="n">
        <v>1</v>
      </c>
      <c r="K104" s="457" t="n">
        <v>1</v>
      </c>
      <c r="L104" s="457" t="n">
        <v>1</v>
      </c>
      <c r="M104" s="457" t="n">
        <v>1</v>
      </c>
      <c r="N104" s="457" t="n">
        <v>1</v>
      </c>
      <c r="O104" s="457" t="n">
        <v>1</v>
      </c>
      <c r="P104" s="457" t="n">
        <v>1</v>
      </c>
      <c r="Q104" s="457" t="n">
        <v>1</v>
      </c>
      <c r="R104" s="457" t="n">
        <v>1</v>
      </c>
      <c r="S104" s="457" t="n">
        <v>1</v>
      </c>
      <c r="T104" s="457" t="n">
        <v>1</v>
      </c>
      <c r="U104" s="457"/>
    </row>
    <row r="105" customFormat="false" ht="15" hidden="false" customHeight="false" outlineLevel="0" collapsed="false">
      <c r="A105" s="380" t="s">
        <v>277</v>
      </c>
    </row>
    <row r="106" customFormat="false" ht="15" hidden="false" customHeight="false" outlineLevel="0" collapsed="false">
      <c r="A106" s="447" t="s">
        <v>757</v>
      </c>
      <c r="B106" s="379" t="n">
        <v>108</v>
      </c>
      <c r="C106" s="379" t="n">
        <v>218</v>
      </c>
      <c r="D106" s="379" t="n">
        <v>203</v>
      </c>
      <c r="E106" s="379" t="n">
        <v>318</v>
      </c>
      <c r="F106" s="380" t="n">
        <v>730</v>
      </c>
      <c r="G106" s="380" t="n">
        <v>523</v>
      </c>
      <c r="H106" s="566" t="n">
        <v>120</v>
      </c>
      <c r="I106" s="380" t="n">
        <v>416</v>
      </c>
      <c r="J106" s="380" t="n">
        <v>407</v>
      </c>
      <c r="K106" s="380" t="n">
        <v>504</v>
      </c>
      <c r="L106" s="380" t="n">
        <v>510</v>
      </c>
      <c r="M106" s="380" t="n">
        <v>511</v>
      </c>
      <c r="N106" s="380" t="n">
        <v>519</v>
      </c>
      <c r="O106" s="380" t="n">
        <v>500</v>
      </c>
      <c r="P106" s="380" t="n">
        <v>702</v>
      </c>
      <c r="Q106" s="380" t="n">
        <v>523</v>
      </c>
      <c r="R106" s="567" t="n">
        <v>118</v>
      </c>
      <c r="S106" s="380" t="n">
        <v>710</v>
      </c>
      <c r="AD106" s="450"/>
    </row>
    <row r="107" customFormat="false" ht="15" hidden="false" customHeight="false" outlineLevel="0" collapsed="false">
      <c r="A107" s="514" t="s">
        <v>918</v>
      </c>
      <c r="B107" s="379" t="n">
        <v>109</v>
      </c>
      <c r="C107" s="379" t="n">
        <v>221</v>
      </c>
      <c r="D107" s="379" t="n">
        <v>204</v>
      </c>
      <c r="E107" s="379" t="n">
        <v>319</v>
      </c>
      <c r="F107" s="380" t="n">
        <v>731</v>
      </c>
      <c r="H107" s="566" t="n">
        <v>121</v>
      </c>
      <c r="I107" s="380" t="n">
        <v>417</v>
      </c>
      <c r="J107" s="380" t="n">
        <v>408</v>
      </c>
      <c r="K107" s="380" t="n">
        <v>505</v>
      </c>
      <c r="L107" s="380" t="n">
        <v>510</v>
      </c>
      <c r="M107" s="380" t="n">
        <v>512</v>
      </c>
      <c r="N107" s="380" t="n">
        <v>520</v>
      </c>
      <c r="O107" s="380" t="n">
        <v>501</v>
      </c>
      <c r="P107" s="380" t="n">
        <v>703</v>
      </c>
      <c r="Q107" s="380" t="n">
        <v>523</v>
      </c>
      <c r="R107" s="567" t="n">
        <v>118</v>
      </c>
      <c r="S107" s="380" t="n">
        <v>710</v>
      </c>
      <c r="AD107" s="450"/>
    </row>
    <row r="108" s="384" customFormat="true" ht="15" hidden="false" customHeight="false" outlineLevel="0" collapsed="false">
      <c r="K108" s="515"/>
      <c r="L108" s="515"/>
      <c r="M108" s="515"/>
      <c r="N108" s="515"/>
    </row>
    <row r="109" s="384" customFormat="true" ht="15" hidden="false" customHeight="false" outlineLevel="0" collapsed="false">
      <c r="K109" s="515"/>
      <c r="L109" s="515"/>
      <c r="M109" s="515"/>
      <c r="N109" s="515"/>
    </row>
    <row r="110" s="384" customFormat="true" ht="15" hidden="false" customHeight="false" outlineLevel="0" collapsed="false">
      <c r="K110" s="515"/>
      <c r="L110" s="515"/>
      <c r="M110" s="515"/>
      <c r="N110" s="515"/>
    </row>
    <row r="111" s="384" customFormat="true" ht="15" hidden="false" customHeight="false" outlineLevel="0" collapsed="false">
      <c r="B111" s="568" t="s">
        <v>919</v>
      </c>
      <c r="C111" s="568"/>
      <c r="D111" s="568"/>
      <c r="E111" s="568"/>
      <c r="K111" s="515"/>
      <c r="L111" s="515"/>
      <c r="M111" s="515"/>
      <c r="N111" s="515"/>
    </row>
    <row r="112" s="384" customFormat="true" ht="15" hidden="false" customHeight="false" outlineLevel="0" collapsed="false">
      <c r="B112" s="569" t="s">
        <v>920</v>
      </c>
      <c r="C112" s="569" t="s">
        <v>921</v>
      </c>
      <c r="D112" s="569" t="s">
        <v>922</v>
      </c>
      <c r="E112" s="570" t="s">
        <v>923</v>
      </c>
      <c r="K112" s="515"/>
      <c r="L112" s="515"/>
      <c r="M112" s="515"/>
      <c r="N112" s="515"/>
    </row>
    <row r="113" s="384" customFormat="true" ht="15" hidden="false" customHeight="false" outlineLevel="0" collapsed="false">
      <c r="B113" s="571" t="n">
        <v>0.18</v>
      </c>
      <c r="C113" s="571" t="s">
        <v>1048</v>
      </c>
      <c r="D113" s="571" t="n">
        <v>2800</v>
      </c>
      <c r="E113" s="572"/>
      <c r="K113" s="515"/>
      <c r="L113" s="515"/>
      <c r="M113" s="515"/>
      <c r="N113" s="515"/>
    </row>
    <row r="114" s="384" customFormat="true" ht="15" hidden="false" customHeight="false" outlineLevel="0" collapsed="false">
      <c r="B114" s="571" t="n">
        <v>0.25</v>
      </c>
      <c r="C114" s="571" t="s">
        <v>1049</v>
      </c>
      <c r="D114" s="571" t="n">
        <v>2800</v>
      </c>
      <c r="E114" s="572"/>
      <c r="K114" s="515"/>
      <c r="L114" s="515"/>
      <c r="M114" s="515"/>
      <c r="N114" s="515"/>
    </row>
    <row r="115" s="384" customFormat="true" ht="15" hidden="false" customHeight="false" outlineLevel="0" collapsed="false">
      <c r="B115" s="571" t="n">
        <v>0.37</v>
      </c>
      <c r="C115" s="571" t="s">
        <v>1050</v>
      </c>
      <c r="D115" s="571" t="n">
        <v>2800</v>
      </c>
      <c r="E115" s="572"/>
      <c r="K115" s="515"/>
      <c r="L115" s="515"/>
      <c r="M115" s="515"/>
      <c r="N115" s="515"/>
    </row>
    <row r="116" s="384" customFormat="true" ht="15" hidden="false" customHeight="false" outlineLevel="0" collapsed="false">
      <c r="B116" s="571" t="n">
        <v>0.55</v>
      </c>
      <c r="C116" s="571" t="s">
        <v>1051</v>
      </c>
      <c r="D116" s="571" t="n">
        <v>2800</v>
      </c>
      <c r="E116" s="572"/>
      <c r="K116" s="515"/>
      <c r="L116" s="515"/>
      <c r="M116" s="515"/>
      <c r="N116" s="515"/>
    </row>
    <row r="117" s="384" customFormat="true" ht="15" hidden="false" customHeight="false" outlineLevel="0" collapsed="false">
      <c r="B117" s="571" t="n">
        <v>0.75</v>
      </c>
      <c r="C117" s="571" t="s">
        <v>1052</v>
      </c>
      <c r="D117" s="571" t="n">
        <v>2825</v>
      </c>
      <c r="E117" s="572" t="n">
        <v>0.022</v>
      </c>
      <c r="K117" s="515"/>
      <c r="L117" s="515"/>
      <c r="M117" s="515"/>
      <c r="N117" s="515"/>
    </row>
    <row r="118" s="384" customFormat="true" ht="15" hidden="false" customHeight="false" outlineLevel="0" collapsed="false">
      <c r="B118" s="571" t="n">
        <v>1.1</v>
      </c>
      <c r="C118" s="571" t="s">
        <v>1053</v>
      </c>
      <c r="D118" s="571" t="n">
        <v>2825</v>
      </c>
      <c r="E118" s="572" t="n">
        <v>0.024</v>
      </c>
      <c r="K118" s="515"/>
      <c r="L118" s="515"/>
      <c r="M118" s="515"/>
      <c r="N118" s="515"/>
    </row>
    <row r="119" s="384" customFormat="true" ht="15" hidden="false" customHeight="false" outlineLevel="0" collapsed="false">
      <c r="B119" s="571" t="n">
        <v>1.5</v>
      </c>
      <c r="C119" s="571" t="s">
        <v>1054</v>
      </c>
      <c r="D119" s="571" t="n">
        <v>2840</v>
      </c>
      <c r="E119" s="572" t="n">
        <v>0.033</v>
      </c>
      <c r="K119" s="515"/>
      <c r="L119" s="515"/>
      <c r="M119" s="515"/>
      <c r="N119" s="515"/>
    </row>
    <row r="120" s="384" customFormat="true" ht="15" hidden="false" customHeight="false" outlineLevel="0" collapsed="false">
      <c r="B120" s="571" t="n">
        <v>2.2</v>
      </c>
      <c r="C120" s="571" t="s">
        <v>1055</v>
      </c>
      <c r="D120" s="571" t="n">
        <v>2840</v>
      </c>
      <c r="E120" s="572" t="n">
        <v>0.037</v>
      </c>
      <c r="K120" s="515"/>
      <c r="L120" s="515"/>
      <c r="M120" s="515"/>
      <c r="N120" s="515"/>
    </row>
    <row r="121" s="384" customFormat="true" ht="15" hidden="false" customHeight="false" outlineLevel="0" collapsed="false">
      <c r="B121" s="571" t="n">
        <v>3</v>
      </c>
      <c r="C121" s="571" t="s">
        <v>1056</v>
      </c>
      <c r="D121" s="571" t="n">
        <v>2880</v>
      </c>
      <c r="E121" s="572" t="n">
        <v>0.043</v>
      </c>
      <c r="K121" s="515"/>
      <c r="L121" s="515"/>
      <c r="M121" s="515"/>
      <c r="N121" s="515"/>
    </row>
    <row r="122" s="384" customFormat="true" ht="15" hidden="false" customHeight="false" outlineLevel="0" collapsed="false">
      <c r="B122" s="571" t="n">
        <v>4</v>
      </c>
      <c r="C122" s="571" t="s">
        <v>1057</v>
      </c>
      <c r="D122" s="571" t="n">
        <v>2890</v>
      </c>
      <c r="E122" s="572" t="n">
        <v>0.054</v>
      </c>
      <c r="K122" s="515"/>
      <c r="L122" s="515"/>
      <c r="M122" s="515"/>
      <c r="N122" s="515"/>
    </row>
    <row r="123" s="384" customFormat="true" ht="15" hidden="false" customHeight="false" outlineLevel="0" collapsed="false">
      <c r="B123" s="571" t="n">
        <v>5.5</v>
      </c>
      <c r="C123" s="571" t="s">
        <v>1058</v>
      </c>
      <c r="D123" s="571" t="n">
        <v>2900</v>
      </c>
      <c r="E123" s="572" t="n">
        <v>0.079</v>
      </c>
      <c r="K123" s="515"/>
      <c r="L123" s="515"/>
      <c r="M123" s="515"/>
      <c r="N123" s="515"/>
    </row>
    <row r="124" s="384" customFormat="true" ht="15" hidden="false" customHeight="false" outlineLevel="0" collapsed="false">
      <c r="B124" s="571" t="n">
        <v>7.5</v>
      </c>
      <c r="C124" s="571" t="s">
        <v>1059</v>
      </c>
      <c r="D124" s="571" t="n">
        <v>2900</v>
      </c>
      <c r="E124" s="572" t="n">
        <v>0.087</v>
      </c>
      <c r="K124" s="515"/>
      <c r="L124" s="515"/>
      <c r="M124" s="515"/>
      <c r="N124" s="515"/>
    </row>
    <row r="125" s="384" customFormat="true" ht="15" hidden="false" customHeight="false" outlineLevel="0" collapsed="false">
      <c r="B125" s="571" t="n">
        <v>11</v>
      </c>
      <c r="C125" s="571" t="s">
        <v>1060</v>
      </c>
      <c r="D125" s="571" t="n">
        <v>2930</v>
      </c>
      <c r="E125" s="572" t="n">
        <v>0.14</v>
      </c>
      <c r="K125" s="515"/>
      <c r="L125" s="515"/>
      <c r="M125" s="515"/>
      <c r="N125" s="515"/>
    </row>
    <row r="126" s="384" customFormat="true" ht="15" hidden="false" customHeight="false" outlineLevel="0" collapsed="false">
      <c r="B126" s="571" t="n">
        <v>15</v>
      </c>
      <c r="C126" s="571" t="s">
        <v>1061</v>
      </c>
      <c r="D126" s="571" t="n">
        <v>2930</v>
      </c>
      <c r="E126" s="572" t="n">
        <v>0.152</v>
      </c>
      <c r="K126" s="515"/>
      <c r="L126" s="515"/>
      <c r="M126" s="515"/>
      <c r="N126" s="515"/>
    </row>
    <row r="127" s="384" customFormat="true" ht="15" hidden="false" customHeight="false" outlineLevel="0" collapsed="false">
      <c r="B127" s="571" t="n">
        <v>18.5</v>
      </c>
      <c r="C127" s="571" t="s">
        <v>1062</v>
      </c>
      <c r="D127" s="571" t="n">
        <v>2930</v>
      </c>
      <c r="E127" s="572" t="n">
        <v>0.168</v>
      </c>
      <c r="K127" s="515"/>
      <c r="L127" s="515"/>
      <c r="M127" s="515"/>
      <c r="N127" s="515"/>
    </row>
    <row r="128" s="384" customFormat="true" ht="15" hidden="false" customHeight="false" outlineLevel="0" collapsed="false">
      <c r="B128" s="571" t="n">
        <v>22</v>
      </c>
      <c r="C128" s="571" t="s">
        <v>1063</v>
      </c>
      <c r="D128" s="571" t="n">
        <v>2940</v>
      </c>
      <c r="E128" s="572" t="n">
        <v>0.22</v>
      </c>
      <c r="K128" s="515"/>
      <c r="L128" s="515"/>
      <c r="M128" s="515"/>
      <c r="N128" s="515"/>
    </row>
    <row r="129" s="384" customFormat="true" ht="15" hidden="false" customHeight="false" outlineLevel="0" collapsed="false">
      <c r="B129" s="571" t="n">
        <v>30</v>
      </c>
      <c r="C129" s="571" t="s">
        <v>1064</v>
      </c>
      <c r="D129" s="571" t="n">
        <v>2950</v>
      </c>
      <c r="E129" s="572" t="n">
        <v>0.29</v>
      </c>
      <c r="K129" s="515"/>
      <c r="L129" s="515"/>
      <c r="M129" s="515"/>
      <c r="N129" s="515"/>
    </row>
    <row r="130" s="384" customFormat="true" ht="15" hidden="false" customHeight="false" outlineLevel="0" collapsed="false">
      <c r="B130" s="571" t="n">
        <v>37</v>
      </c>
      <c r="C130" s="571" t="s">
        <v>1065</v>
      </c>
      <c r="D130" s="571" t="n">
        <v>2950</v>
      </c>
      <c r="E130" s="572" t="n">
        <v>0.305</v>
      </c>
      <c r="K130" s="515"/>
      <c r="L130" s="515"/>
      <c r="M130" s="515"/>
      <c r="N130" s="515"/>
    </row>
    <row r="131" s="384" customFormat="true" ht="15" hidden="false" customHeight="false" outlineLevel="0" collapsed="false">
      <c r="B131" s="571" t="n">
        <v>45</v>
      </c>
      <c r="C131" s="571" t="s">
        <v>1066</v>
      </c>
      <c r="D131" s="571" t="n">
        <v>2970</v>
      </c>
      <c r="E131" s="572" t="n">
        <v>0.4</v>
      </c>
      <c r="K131" s="515"/>
      <c r="L131" s="515"/>
      <c r="M131" s="515"/>
      <c r="N131" s="515"/>
    </row>
    <row r="132" s="384" customFormat="true" ht="15" hidden="false" customHeight="false" outlineLevel="0" collapsed="false">
      <c r="B132" s="571" t="n">
        <v>55</v>
      </c>
      <c r="C132" s="571" t="s">
        <v>1067</v>
      </c>
      <c r="D132" s="571" t="n">
        <v>2970</v>
      </c>
      <c r="E132" s="572" t="n">
        <v>0.46</v>
      </c>
      <c r="K132" s="515"/>
      <c r="L132" s="515"/>
      <c r="M132" s="515"/>
      <c r="N132" s="515"/>
    </row>
    <row r="133" s="384" customFormat="true" ht="15" hidden="false" customHeight="false" outlineLevel="0" collapsed="false">
      <c r="B133" s="571" t="n">
        <v>75</v>
      </c>
      <c r="C133" s="571" t="s">
        <v>1068</v>
      </c>
      <c r="D133" s="571" t="n">
        <v>2970</v>
      </c>
      <c r="E133" s="572" t="n">
        <v>0.625</v>
      </c>
      <c r="K133" s="515"/>
      <c r="L133" s="515"/>
      <c r="M133" s="515"/>
      <c r="N133" s="515"/>
    </row>
    <row r="134" s="384" customFormat="true" ht="15" hidden="false" customHeight="false" outlineLevel="0" collapsed="false">
      <c r="B134" s="571" t="n">
        <v>90</v>
      </c>
      <c r="C134" s="571" t="s">
        <v>1069</v>
      </c>
      <c r="D134" s="571" t="n">
        <v>2970</v>
      </c>
      <c r="E134" s="572" t="n">
        <v>0.728</v>
      </c>
      <c r="K134" s="515"/>
      <c r="L134" s="515"/>
      <c r="M134" s="515"/>
      <c r="N134" s="515"/>
    </row>
    <row r="135" s="384" customFormat="true" ht="15" hidden="false" customHeight="false" outlineLevel="0" collapsed="false">
      <c r="B135" s="571" t="n">
        <v>110</v>
      </c>
      <c r="C135" s="571" t="s">
        <v>1070</v>
      </c>
      <c r="D135" s="571" t="n">
        <v>2980</v>
      </c>
      <c r="E135" s="572" t="n">
        <v>1.1</v>
      </c>
      <c r="K135" s="515"/>
      <c r="L135" s="515"/>
      <c r="M135" s="515"/>
      <c r="N135" s="515"/>
    </row>
    <row r="136" s="384" customFormat="true" ht="15" hidden="false" customHeight="false" outlineLevel="0" collapsed="false">
      <c r="B136" s="571" t="n">
        <v>132</v>
      </c>
      <c r="C136" s="571" t="s">
        <v>1071</v>
      </c>
      <c r="D136" s="571" t="n">
        <v>2980</v>
      </c>
      <c r="E136" s="572" t="n">
        <v>1.16</v>
      </c>
      <c r="G136" s="443"/>
      <c r="H136" s="443"/>
      <c r="I136" s="443"/>
      <c r="J136" s="443"/>
      <c r="K136" s="516"/>
      <c r="L136" s="516"/>
      <c r="M136" s="516"/>
      <c r="N136" s="516"/>
      <c r="O136" s="443"/>
      <c r="P136" s="443"/>
      <c r="Q136" s="443"/>
      <c r="R136" s="443"/>
      <c r="S136" s="443"/>
      <c r="T136" s="443"/>
      <c r="U136" s="443"/>
      <c r="W136" s="443"/>
    </row>
    <row r="137" s="384" customFormat="true" ht="15" hidden="false" customHeight="false" outlineLevel="0" collapsed="false">
      <c r="B137" s="571" t="n">
        <v>160</v>
      </c>
      <c r="C137" s="571" t="s">
        <v>1072</v>
      </c>
      <c r="D137" s="571" t="n">
        <v>2980</v>
      </c>
      <c r="E137" s="572" t="n">
        <v>1.35</v>
      </c>
      <c r="G137" s="443"/>
      <c r="H137" s="443"/>
      <c r="I137" s="443"/>
      <c r="J137" s="443"/>
      <c r="K137" s="516"/>
      <c r="L137" s="516"/>
      <c r="M137" s="516"/>
      <c r="N137" s="516"/>
      <c r="O137" s="443"/>
      <c r="P137" s="443"/>
      <c r="Q137" s="443"/>
      <c r="R137" s="443"/>
      <c r="S137" s="443"/>
      <c r="T137" s="443"/>
      <c r="U137" s="443"/>
      <c r="W137" s="443"/>
    </row>
    <row r="138" s="384" customFormat="true" ht="15" hidden="false" customHeight="false" outlineLevel="0" collapsed="false">
      <c r="B138" s="571" t="n">
        <v>185</v>
      </c>
      <c r="C138" s="571" t="s">
        <v>1073</v>
      </c>
      <c r="D138" s="571" t="n">
        <v>2976</v>
      </c>
      <c r="E138" s="572" t="n">
        <v>2.33</v>
      </c>
      <c r="G138" s="443"/>
      <c r="H138" s="443"/>
      <c r="I138" s="443"/>
      <c r="J138" s="443"/>
      <c r="K138" s="516"/>
      <c r="L138" s="516"/>
      <c r="M138" s="516"/>
      <c r="N138" s="516"/>
      <c r="O138" s="443"/>
      <c r="P138" s="443"/>
      <c r="Q138" s="443"/>
      <c r="R138" s="443"/>
      <c r="S138" s="443"/>
      <c r="T138" s="443"/>
      <c r="U138" s="443"/>
      <c r="W138" s="443"/>
    </row>
    <row r="139" s="384" customFormat="true" ht="15" hidden="false" customHeight="false" outlineLevel="0" collapsed="false">
      <c r="B139" s="571" t="n">
        <v>200</v>
      </c>
      <c r="C139" s="571" t="s">
        <v>1074</v>
      </c>
      <c r="D139" s="571" t="n">
        <v>2976</v>
      </c>
      <c r="E139" s="573" t="n">
        <v>2.42</v>
      </c>
      <c r="G139" s="443"/>
      <c r="H139" s="443"/>
      <c r="I139" s="443"/>
      <c r="J139" s="443"/>
      <c r="K139" s="516"/>
      <c r="L139" s="516"/>
      <c r="M139" s="516"/>
      <c r="N139" s="516"/>
      <c r="O139" s="443"/>
      <c r="P139" s="443"/>
      <c r="Q139" s="443"/>
      <c r="R139" s="443"/>
      <c r="S139" s="443"/>
      <c r="T139" s="443"/>
      <c r="U139" s="443"/>
      <c r="W139" s="443"/>
    </row>
    <row r="140" s="384" customFormat="true" ht="15" hidden="false" customHeight="false" outlineLevel="0" collapsed="false">
      <c r="B140" s="571" t="n">
        <v>220</v>
      </c>
      <c r="C140" s="571" t="s">
        <v>1075</v>
      </c>
      <c r="D140" s="571" t="n">
        <v>2976</v>
      </c>
      <c r="E140" s="573" t="n">
        <v>2.51</v>
      </c>
      <c r="G140" s="443"/>
      <c r="H140" s="443"/>
      <c r="I140" s="443"/>
      <c r="J140" s="443"/>
      <c r="K140" s="516"/>
      <c r="L140" s="516"/>
      <c r="M140" s="516"/>
      <c r="N140" s="516"/>
      <c r="O140" s="443"/>
      <c r="P140" s="443"/>
      <c r="Q140" s="443"/>
      <c r="R140" s="443"/>
      <c r="S140" s="443"/>
      <c r="T140" s="443"/>
      <c r="U140" s="443"/>
      <c r="W140" s="443"/>
    </row>
    <row r="141" s="384" customFormat="true" ht="15" hidden="false" customHeight="false" outlineLevel="0" collapsed="false">
      <c r="B141" s="571" t="n">
        <v>250</v>
      </c>
      <c r="C141" s="571" t="s">
        <v>1076</v>
      </c>
      <c r="D141" s="571" t="n">
        <v>2976</v>
      </c>
      <c r="E141" s="573" t="n">
        <v>2.63</v>
      </c>
      <c r="G141" s="443"/>
      <c r="H141" s="443"/>
      <c r="I141" s="443"/>
      <c r="J141" s="443"/>
      <c r="K141" s="516"/>
      <c r="L141" s="516"/>
      <c r="M141" s="516"/>
      <c r="N141" s="516"/>
      <c r="O141" s="443"/>
      <c r="P141" s="443"/>
      <c r="Q141" s="443"/>
      <c r="R141" s="443"/>
      <c r="S141" s="443"/>
      <c r="T141" s="443"/>
      <c r="U141" s="443"/>
      <c r="W141" s="443"/>
    </row>
    <row r="142" customFormat="false" ht="15" hidden="false" customHeight="false" outlineLevel="0" collapsed="false">
      <c r="B142" s="571" t="n">
        <v>280</v>
      </c>
      <c r="C142" s="571" t="s">
        <v>1077</v>
      </c>
      <c r="D142" s="571" t="n">
        <v>2976</v>
      </c>
      <c r="E142" s="573" t="n">
        <v>2.76</v>
      </c>
      <c r="G142" s="379"/>
      <c r="H142" s="379"/>
      <c r="I142" s="379"/>
      <c r="J142" s="379"/>
      <c r="K142" s="379"/>
      <c r="L142" s="379"/>
      <c r="M142" s="379"/>
      <c r="N142" s="379"/>
      <c r="O142" s="379"/>
      <c r="P142" s="379"/>
      <c r="Q142" s="379"/>
      <c r="R142" s="379"/>
      <c r="S142" s="379"/>
      <c r="T142" s="379"/>
      <c r="U142" s="379"/>
      <c r="W142" s="379"/>
    </row>
    <row r="143" customFormat="false" ht="15" hidden="false" customHeight="false" outlineLevel="0" collapsed="false">
      <c r="B143" s="571" t="n">
        <v>315</v>
      </c>
      <c r="C143" s="571" t="s">
        <v>1078</v>
      </c>
      <c r="D143" s="571" t="n">
        <v>2980</v>
      </c>
      <c r="E143" s="572" t="n">
        <v>3.55</v>
      </c>
      <c r="G143" s="379"/>
      <c r="H143" s="379"/>
      <c r="I143" s="379"/>
      <c r="J143" s="379"/>
      <c r="K143" s="379"/>
      <c r="L143" s="379"/>
      <c r="M143" s="379"/>
      <c r="N143" s="379"/>
      <c r="O143" s="379"/>
      <c r="P143" s="379"/>
      <c r="Q143" s="379"/>
      <c r="R143" s="379"/>
      <c r="S143" s="379"/>
      <c r="T143" s="379"/>
      <c r="U143" s="379"/>
      <c r="W143" s="379"/>
    </row>
    <row r="144" customFormat="false" ht="15" hidden="false" customHeight="false" outlineLevel="0" collapsed="false">
      <c r="B144" s="571" t="n">
        <v>355</v>
      </c>
      <c r="C144" s="571" t="s">
        <v>1079</v>
      </c>
      <c r="D144" s="571" t="n">
        <v>2980</v>
      </c>
      <c r="E144" s="573" t="n">
        <v>3.7</v>
      </c>
      <c r="G144" s="379"/>
      <c r="H144" s="379"/>
      <c r="I144" s="379"/>
      <c r="J144" s="379"/>
      <c r="K144" s="379"/>
      <c r="L144" s="379"/>
      <c r="M144" s="379"/>
      <c r="N144" s="379"/>
      <c r="O144" s="379"/>
      <c r="P144" s="379"/>
      <c r="Q144" s="379"/>
      <c r="R144" s="379"/>
      <c r="S144" s="379"/>
      <c r="T144" s="379"/>
      <c r="U144" s="379"/>
      <c r="W144" s="379"/>
    </row>
    <row r="145" customFormat="false" ht="15" hidden="false" customHeight="false" outlineLevel="0" collapsed="false">
      <c r="B145" s="571" t="n">
        <v>400</v>
      </c>
      <c r="C145" s="571" t="s">
        <v>1080</v>
      </c>
      <c r="D145" s="571" t="n">
        <v>2980</v>
      </c>
      <c r="E145" s="573" t="n">
        <v>3.85</v>
      </c>
      <c r="G145" s="379"/>
      <c r="H145" s="379"/>
      <c r="I145" s="379"/>
      <c r="J145" s="379"/>
      <c r="K145" s="379"/>
      <c r="L145" s="379"/>
      <c r="M145" s="379"/>
      <c r="N145" s="379"/>
      <c r="O145" s="379"/>
      <c r="P145" s="379"/>
      <c r="Q145" s="379"/>
      <c r="R145" s="379"/>
      <c r="S145" s="379"/>
      <c r="T145" s="379"/>
      <c r="U145" s="379"/>
      <c r="W145" s="379"/>
    </row>
    <row r="146" customFormat="false" ht="15" hidden="false" customHeight="false" outlineLevel="0" collapsed="false">
      <c r="B146" s="571" t="n">
        <v>450</v>
      </c>
      <c r="C146" s="571" t="s">
        <v>1081</v>
      </c>
      <c r="D146" s="571" t="n">
        <v>2980</v>
      </c>
      <c r="E146" s="573" t="n">
        <v>4.05</v>
      </c>
      <c r="G146" s="379"/>
      <c r="H146" s="379"/>
      <c r="I146" s="379"/>
      <c r="J146" s="379"/>
      <c r="K146" s="379"/>
      <c r="L146" s="379"/>
      <c r="M146" s="379"/>
      <c r="N146" s="379"/>
      <c r="O146" s="379"/>
      <c r="P146" s="379"/>
      <c r="Q146" s="379"/>
      <c r="R146" s="379"/>
      <c r="S146" s="379"/>
      <c r="T146" s="379"/>
      <c r="U146" s="379"/>
      <c r="W146" s="379"/>
    </row>
    <row r="147" customFormat="false" ht="15" hidden="false" customHeight="false" outlineLevel="0" collapsed="false">
      <c r="B147" s="571" t="n">
        <v>500</v>
      </c>
      <c r="C147" s="571" t="s">
        <v>1082</v>
      </c>
      <c r="D147" s="571" t="n">
        <v>2980</v>
      </c>
      <c r="E147" s="573" t="n">
        <v>4.6</v>
      </c>
      <c r="G147" s="379"/>
      <c r="H147" s="379"/>
      <c r="I147" s="379"/>
      <c r="J147" s="379"/>
      <c r="K147" s="379"/>
      <c r="L147" s="379"/>
      <c r="M147" s="379"/>
      <c r="N147" s="379"/>
      <c r="O147" s="379"/>
      <c r="P147" s="379"/>
      <c r="Q147" s="379"/>
      <c r="R147" s="379"/>
      <c r="S147" s="379"/>
      <c r="T147" s="379"/>
      <c r="U147" s="379"/>
      <c r="W147" s="379"/>
    </row>
    <row r="148" customFormat="false" ht="15" hidden="false" customHeight="false" outlineLevel="0" collapsed="false">
      <c r="B148" s="571" t="n">
        <v>560</v>
      </c>
      <c r="C148" s="571" t="s">
        <v>1083</v>
      </c>
      <c r="D148" s="571" t="n">
        <v>2980</v>
      </c>
      <c r="E148" s="573" t="n">
        <v>4.74</v>
      </c>
      <c r="G148" s="379"/>
      <c r="H148" s="379"/>
      <c r="I148" s="379"/>
      <c r="J148" s="379"/>
      <c r="K148" s="379"/>
      <c r="L148" s="379"/>
      <c r="M148" s="379"/>
      <c r="N148" s="379"/>
      <c r="O148" s="379"/>
      <c r="P148" s="379"/>
      <c r="Q148" s="379"/>
      <c r="R148" s="379"/>
      <c r="S148" s="379"/>
      <c r="T148" s="379"/>
      <c r="U148" s="379"/>
      <c r="W148" s="379"/>
    </row>
    <row r="149" customFormat="false" ht="15" hidden="false" customHeight="false" outlineLevel="0" collapsed="false">
      <c r="B149" s="571" t="n">
        <v>630</v>
      </c>
      <c r="C149" s="571" t="s">
        <v>1084</v>
      </c>
      <c r="D149" s="571" t="n">
        <v>2980</v>
      </c>
      <c r="E149" s="573" t="n">
        <v>4.99</v>
      </c>
      <c r="G149" s="379"/>
      <c r="H149" s="379"/>
      <c r="I149" s="379"/>
      <c r="J149" s="379"/>
      <c r="K149" s="379"/>
      <c r="L149" s="379"/>
      <c r="M149" s="379"/>
      <c r="N149" s="379"/>
      <c r="O149" s="379"/>
      <c r="P149" s="379"/>
      <c r="Q149" s="379"/>
      <c r="R149" s="379"/>
      <c r="S149" s="379"/>
      <c r="T149" s="379"/>
      <c r="U149" s="379"/>
      <c r="W149" s="379"/>
    </row>
    <row r="150" customFormat="false" ht="15" hidden="false" customHeight="false" outlineLevel="0" collapsed="false">
      <c r="B150" s="571" t="n">
        <v>710</v>
      </c>
      <c r="C150" s="571" t="s">
        <v>1085</v>
      </c>
      <c r="D150" s="571" t="n">
        <v>2980</v>
      </c>
      <c r="E150" s="573" t="n">
        <v>5.13</v>
      </c>
      <c r="G150" s="379"/>
      <c r="H150" s="379"/>
      <c r="I150" s="379"/>
      <c r="J150" s="379"/>
      <c r="K150" s="379"/>
      <c r="L150" s="379"/>
      <c r="M150" s="379"/>
      <c r="N150" s="379"/>
      <c r="O150" s="379"/>
      <c r="P150" s="379"/>
      <c r="Q150" s="379"/>
      <c r="R150" s="379"/>
      <c r="S150" s="379"/>
      <c r="T150" s="379"/>
      <c r="U150" s="379"/>
      <c r="W150" s="379"/>
    </row>
    <row r="151" customFormat="false" ht="15" hidden="false" customHeight="false" outlineLevel="0" collapsed="false">
      <c r="B151" s="571" t="n">
        <v>800</v>
      </c>
      <c r="C151" s="571" t="s">
        <v>1086</v>
      </c>
      <c r="D151" s="571" t="n">
        <v>2985</v>
      </c>
      <c r="E151" s="573" t="n">
        <v>5.9</v>
      </c>
      <c r="G151" s="379"/>
      <c r="H151" s="379"/>
      <c r="I151" s="379"/>
      <c r="J151" s="379"/>
      <c r="K151" s="379"/>
      <c r="L151" s="379"/>
      <c r="M151" s="379"/>
      <c r="N151" s="379"/>
      <c r="O151" s="379"/>
      <c r="P151" s="379"/>
      <c r="Q151" s="379"/>
      <c r="R151" s="379"/>
      <c r="S151" s="379"/>
      <c r="T151" s="379"/>
      <c r="U151" s="379"/>
      <c r="W151" s="379"/>
    </row>
    <row r="152" customFormat="false" ht="15" hidden="false" customHeight="false" outlineLevel="0" collapsed="false">
      <c r="B152" s="571" t="n">
        <v>900</v>
      </c>
      <c r="C152" s="571" t="s">
        <v>1087</v>
      </c>
      <c r="D152" s="571" t="n">
        <v>2985</v>
      </c>
      <c r="E152" s="573" t="n">
        <v>6.1</v>
      </c>
      <c r="G152" s="379"/>
      <c r="H152" s="379"/>
      <c r="I152" s="379"/>
      <c r="J152" s="379"/>
      <c r="K152" s="379"/>
      <c r="L152" s="379"/>
      <c r="M152" s="379"/>
      <c r="N152" s="379"/>
      <c r="O152" s="379"/>
      <c r="P152" s="379"/>
      <c r="Q152" s="379"/>
      <c r="R152" s="379"/>
      <c r="S152" s="379"/>
      <c r="T152" s="379"/>
      <c r="U152" s="379"/>
      <c r="W152" s="379"/>
    </row>
    <row r="153" customFormat="false" ht="15" hidden="false" customHeight="false" outlineLevel="0" collapsed="false">
      <c r="B153" s="571" t="n">
        <v>1000</v>
      </c>
      <c r="C153" s="571" t="s">
        <v>1088</v>
      </c>
      <c r="D153" s="571" t="n">
        <v>2985</v>
      </c>
      <c r="E153" s="573" t="n">
        <v>6.35</v>
      </c>
      <c r="G153" s="379"/>
      <c r="H153" s="379"/>
      <c r="I153" s="379"/>
      <c r="J153" s="379"/>
      <c r="K153" s="379"/>
      <c r="L153" s="379"/>
      <c r="M153" s="379"/>
      <c r="N153" s="379"/>
      <c r="O153" s="379"/>
      <c r="P153" s="379"/>
      <c r="Q153" s="379"/>
      <c r="R153" s="379"/>
      <c r="S153" s="379"/>
      <c r="T153" s="379"/>
      <c r="U153" s="379"/>
      <c r="W153" s="379"/>
    </row>
    <row r="154" customFormat="false" ht="15" hidden="false" customHeight="false" outlineLevel="0" collapsed="false">
      <c r="B154" s="571" t="n">
        <v>1120</v>
      </c>
      <c r="C154" s="571" t="s">
        <v>1089</v>
      </c>
      <c r="D154" s="571" t="n">
        <v>2985</v>
      </c>
      <c r="E154" s="573" t="n">
        <v>6.65</v>
      </c>
      <c r="G154" s="379"/>
      <c r="H154" s="379"/>
      <c r="I154" s="379"/>
      <c r="J154" s="379"/>
      <c r="K154" s="379"/>
      <c r="L154" s="379"/>
      <c r="M154" s="379"/>
      <c r="N154" s="379"/>
      <c r="O154" s="379"/>
      <c r="P154" s="379"/>
      <c r="Q154" s="379"/>
      <c r="R154" s="379"/>
      <c r="S154" s="379"/>
      <c r="T154" s="379"/>
      <c r="U154" s="379"/>
      <c r="W154" s="379"/>
    </row>
    <row r="155" customFormat="false" ht="15" hidden="false" customHeight="false" outlineLevel="0" collapsed="false">
      <c r="A155" s="379"/>
      <c r="B155" s="571" t="n">
        <v>1250</v>
      </c>
      <c r="C155" s="571" t="s">
        <v>1090</v>
      </c>
      <c r="D155" s="571" t="n">
        <v>2988</v>
      </c>
      <c r="E155" s="573" t="n">
        <v>8.5</v>
      </c>
      <c r="F155" s="379"/>
      <c r="G155" s="379"/>
      <c r="H155" s="379"/>
      <c r="I155" s="379"/>
      <c r="J155" s="379"/>
      <c r="K155" s="379"/>
      <c r="L155" s="379"/>
      <c r="M155" s="379"/>
      <c r="N155" s="379"/>
      <c r="O155" s="379"/>
      <c r="P155" s="379"/>
      <c r="Q155" s="379"/>
      <c r="R155" s="379"/>
      <c r="S155" s="379"/>
      <c r="T155" s="379"/>
      <c r="U155" s="379"/>
      <c r="W155" s="379"/>
    </row>
    <row r="156" customFormat="false" ht="15" hidden="false" customHeight="false" outlineLevel="0" collapsed="false">
      <c r="A156" s="379"/>
      <c r="B156" s="571" t="n">
        <v>1400</v>
      </c>
      <c r="C156" s="571" t="s">
        <v>1091</v>
      </c>
      <c r="D156" s="571" t="n">
        <v>2988</v>
      </c>
      <c r="E156" s="573" t="n">
        <v>8.75</v>
      </c>
      <c r="F156" s="379"/>
      <c r="G156" s="379"/>
      <c r="H156" s="379"/>
      <c r="I156" s="379"/>
      <c r="J156" s="379"/>
      <c r="K156" s="379"/>
      <c r="L156" s="379"/>
      <c r="M156" s="379"/>
      <c r="N156" s="379"/>
      <c r="O156" s="379"/>
      <c r="P156" s="379"/>
      <c r="Q156" s="379"/>
      <c r="R156" s="379"/>
      <c r="S156" s="379"/>
      <c r="T156" s="379"/>
      <c r="U156" s="379"/>
      <c r="W156" s="379"/>
    </row>
    <row r="157" customFormat="false" ht="15" hidden="false" customHeight="false" outlineLevel="0" collapsed="false">
      <c r="A157" s="379"/>
      <c r="B157" s="571" t="n">
        <v>1600</v>
      </c>
      <c r="C157" s="571" t="s">
        <v>1092</v>
      </c>
      <c r="D157" s="571" t="n">
        <v>2988</v>
      </c>
      <c r="E157" s="573" t="n">
        <v>9</v>
      </c>
      <c r="F157" s="379"/>
      <c r="G157" s="379"/>
      <c r="H157" s="379"/>
      <c r="I157" s="379"/>
      <c r="J157" s="379"/>
      <c r="K157" s="379"/>
      <c r="L157" s="379"/>
      <c r="M157" s="379"/>
      <c r="N157" s="379"/>
      <c r="O157" s="379"/>
      <c r="P157" s="379"/>
      <c r="Q157" s="379"/>
      <c r="R157" s="379"/>
      <c r="S157" s="379"/>
      <c r="T157" s="379"/>
      <c r="U157" s="379"/>
      <c r="W157" s="379"/>
    </row>
    <row r="158" customFormat="false" ht="15" hidden="false" customHeight="false" outlineLevel="0" collapsed="false">
      <c r="A158" s="379"/>
      <c r="B158" s="571" t="n">
        <v>1800</v>
      </c>
      <c r="C158" s="571" t="s">
        <v>1093</v>
      </c>
      <c r="D158" s="571" t="n">
        <v>2988</v>
      </c>
      <c r="E158" s="573" t="n">
        <v>9.5</v>
      </c>
      <c r="F158" s="379"/>
      <c r="G158" s="379"/>
      <c r="H158" s="379"/>
      <c r="I158" s="379"/>
      <c r="J158" s="379"/>
      <c r="K158" s="379"/>
      <c r="L158" s="379"/>
      <c r="M158" s="379"/>
      <c r="N158" s="379"/>
      <c r="O158" s="379"/>
      <c r="P158" s="379"/>
      <c r="Q158" s="379"/>
      <c r="R158" s="379"/>
      <c r="S158" s="379"/>
      <c r="T158" s="379"/>
      <c r="U158" s="379"/>
      <c r="W158" s="379"/>
    </row>
    <row r="159" customFormat="false" ht="14.25" hidden="false" customHeight="false" outlineLevel="0" collapsed="false">
      <c r="A159" s="379"/>
      <c r="B159" s="379"/>
      <c r="C159" s="379"/>
      <c r="D159" s="379"/>
      <c r="E159" s="379"/>
      <c r="F159" s="379"/>
      <c r="G159" s="379"/>
      <c r="H159" s="379"/>
      <c r="I159" s="379"/>
      <c r="J159" s="379"/>
      <c r="K159" s="379"/>
      <c r="L159" s="379"/>
      <c r="M159" s="379"/>
      <c r="N159" s="379"/>
      <c r="O159" s="379"/>
      <c r="P159" s="379"/>
      <c r="Q159" s="379"/>
      <c r="R159" s="379"/>
      <c r="S159" s="379"/>
      <c r="T159" s="379"/>
      <c r="U159" s="379"/>
      <c r="W159" s="379"/>
    </row>
    <row r="160" customFormat="false" ht="14.25" hidden="false" customHeight="false" outlineLevel="0" collapsed="false">
      <c r="A160" s="379"/>
      <c r="B160" s="379"/>
      <c r="C160" s="379"/>
      <c r="D160" s="379"/>
      <c r="E160" s="379"/>
      <c r="F160" s="379"/>
      <c r="G160" s="379"/>
      <c r="H160" s="379"/>
      <c r="I160" s="379"/>
      <c r="J160" s="379"/>
      <c r="K160" s="379"/>
      <c r="L160" s="379"/>
      <c r="M160" s="379"/>
      <c r="N160" s="379"/>
      <c r="O160" s="379"/>
      <c r="P160" s="379"/>
      <c r="Q160" s="379"/>
      <c r="R160" s="379"/>
      <c r="S160" s="379"/>
      <c r="T160" s="379"/>
      <c r="U160" s="379"/>
      <c r="W160" s="379"/>
    </row>
    <row r="161" customFormat="false" ht="14.25" hidden="false" customHeight="false" outlineLevel="0" collapsed="false">
      <c r="A161" s="379"/>
      <c r="B161" s="379"/>
      <c r="C161" s="379"/>
      <c r="D161" s="379"/>
      <c r="E161" s="379"/>
      <c r="F161" s="379"/>
      <c r="G161" s="379"/>
      <c r="H161" s="379"/>
      <c r="I161" s="379"/>
      <c r="J161" s="379"/>
      <c r="K161" s="379"/>
      <c r="L161" s="379"/>
      <c r="M161" s="379"/>
      <c r="N161" s="379"/>
      <c r="O161" s="379"/>
      <c r="P161" s="379"/>
      <c r="Q161" s="379"/>
      <c r="R161" s="379"/>
      <c r="S161" s="379"/>
      <c r="T161" s="379"/>
      <c r="U161" s="379"/>
      <c r="W161" s="379"/>
    </row>
    <row r="162" customFormat="false" ht="14.25" hidden="false" customHeight="false" outlineLevel="0" collapsed="false">
      <c r="A162" s="379"/>
      <c r="B162" s="379"/>
      <c r="C162" s="379"/>
      <c r="D162" s="379"/>
      <c r="E162" s="379"/>
      <c r="F162" s="379"/>
      <c r="G162" s="379"/>
      <c r="H162" s="379"/>
      <c r="I162" s="379"/>
      <c r="J162" s="379"/>
      <c r="K162" s="379"/>
      <c r="L162" s="379"/>
      <c r="M162" s="379"/>
      <c r="N162" s="379"/>
      <c r="O162" s="379"/>
      <c r="P162" s="379"/>
      <c r="Q162" s="379"/>
      <c r="R162" s="379"/>
      <c r="S162" s="379"/>
      <c r="T162" s="379"/>
      <c r="U162" s="379"/>
      <c r="W162" s="379"/>
    </row>
    <row r="163" customFormat="false" ht="14.25" hidden="false" customHeight="false" outlineLevel="0" collapsed="false">
      <c r="A163" s="379"/>
      <c r="B163" s="379"/>
      <c r="C163" s="379"/>
      <c r="D163" s="379"/>
      <c r="E163" s="379"/>
      <c r="F163" s="379"/>
      <c r="G163" s="379"/>
      <c r="H163" s="379"/>
      <c r="I163" s="379"/>
      <c r="J163" s="379"/>
      <c r="K163" s="379"/>
      <c r="L163" s="379"/>
      <c r="M163" s="379"/>
      <c r="N163" s="379"/>
      <c r="O163" s="379"/>
      <c r="P163" s="379"/>
      <c r="Q163" s="379"/>
      <c r="R163" s="379"/>
      <c r="S163" s="379"/>
      <c r="T163" s="379"/>
      <c r="U163" s="379"/>
      <c r="W163" s="379"/>
    </row>
    <row r="164" customFormat="false" ht="14.25" hidden="false" customHeight="false" outlineLevel="0" collapsed="false">
      <c r="A164" s="379"/>
      <c r="B164" s="379"/>
      <c r="C164" s="379"/>
      <c r="D164" s="379"/>
      <c r="E164" s="379"/>
      <c r="F164" s="379"/>
      <c r="G164" s="379"/>
      <c r="H164" s="379"/>
      <c r="I164" s="379"/>
      <c r="J164" s="379"/>
      <c r="K164" s="379"/>
      <c r="L164" s="379"/>
      <c r="M164" s="379"/>
      <c r="N164" s="379"/>
      <c r="O164" s="379"/>
      <c r="P164" s="379"/>
      <c r="Q164" s="379"/>
      <c r="R164" s="379"/>
      <c r="S164" s="379"/>
      <c r="T164" s="379"/>
      <c r="U164" s="379"/>
      <c r="W164" s="379"/>
    </row>
    <row r="165" customFormat="false" ht="14.25" hidden="false" customHeight="false" outlineLevel="0" collapsed="false">
      <c r="A165" s="379"/>
      <c r="B165" s="379"/>
      <c r="C165" s="379"/>
      <c r="D165" s="379"/>
      <c r="E165" s="379"/>
      <c r="F165" s="379"/>
      <c r="G165" s="379"/>
      <c r="H165" s="379"/>
      <c r="I165" s="379"/>
      <c r="J165" s="379"/>
      <c r="K165" s="379"/>
      <c r="L165" s="379"/>
      <c r="M165" s="379"/>
      <c r="N165" s="379"/>
      <c r="O165" s="379"/>
      <c r="P165" s="379"/>
      <c r="Q165" s="379"/>
      <c r="R165" s="379"/>
      <c r="S165" s="379"/>
      <c r="T165" s="379"/>
      <c r="U165" s="379"/>
      <c r="W165" s="379"/>
    </row>
    <row r="166" customFormat="false" ht="14.25" hidden="false" customHeight="false" outlineLevel="0" collapsed="false">
      <c r="A166" s="379"/>
      <c r="B166" s="379"/>
      <c r="C166" s="379"/>
      <c r="D166" s="379"/>
      <c r="E166" s="379"/>
      <c r="F166" s="379"/>
      <c r="G166" s="379"/>
      <c r="H166" s="379"/>
      <c r="I166" s="379"/>
      <c r="J166" s="379"/>
      <c r="K166" s="379"/>
      <c r="L166" s="379"/>
      <c r="M166" s="379"/>
      <c r="N166" s="379"/>
      <c r="O166" s="379"/>
      <c r="P166" s="379"/>
      <c r="Q166" s="379"/>
      <c r="R166" s="379"/>
      <c r="S166" s="379"/>
      <c r="T166" s="379"/>
      <c r="U166" s="379"/>
      <c r="W166" s="379"/>
    </row>
    <row r="167" customFormat="false" ht="14.25" hidden="false" customHeight="false" outlineLevel="0" collapsed="false">
      <c r="A167" s="379"/>
      <c r="B167" s="379"/>
      <c r="C167" s="379"/>
      <c r="D167" s="379"/>
      <c r="E167" s="379"/>
      <c r="F167" s="379"/>
      <c r="G167" s="379"/>
      <c r="H167" s="379"/>
      <c r="I167" s="379"/>
      <c r="J167" s="379"/>
      <c r="K167" s="379"/>
      <c r="L167" s="379"/>
      <c r="M167" s="379"/>
      <c r="N167" s="379"/>
      <c r="O167" s="379"/>
      <c r="P167" s="379"/>
      <c r="Q167" s="379"/>
      <c r="R167" s="379"/>
      <c r="S167" s="379"/>
      <c r="T167" s="379"/>
      <c r="U167" s="379"/>
      <c r="W167" s="379"/>
    </row>
    <row r="168" customFormat="false" ht="14.25" hidden="false" customHeight="false" outlineLevel="0" collapsed="false">
      <c r="A168" s="379"/>
      <c r="B168" s="379"/>
      <c r="C168" s="379"/>
      <c r="D168" s="379"/>
      <c r="E168" s="379"/>
      <c r="F168" s="379"/>
      <c r="G168" s="379"/>
      <c r="H168" s="379"/>
      <c r="I168" s="379"/>
      <c r="J168" s="379"/>
      <c r="K168" s="379"/>
      <c r="L168" s="379"/>
      <c r="M168" s="379"/>
      <c r="N168" s="379"/>
      <c r="O168" s="379"/>
      <c r="P168" s="379"/>
      <c r="Q168" s="379"/>
      <c r="R168" s="379"/>
      <c r="S168" s="379"/>
      <c r="T168" s="379"/>
      <c r="U168" s="379"/>
      <c r="W168" s="379"/>
    </row>
    <row r="169" customFormat="false" ht="14.25" hidden="false" customHeight="false" outlineLevel="0" collapsed="false">
      <c r="A169" s="379"/>
      <c r="B169" s="379"/>
      <c r="C169" s="379"/>
      <c r="D169" s="379"/>
      <c r="E169" s="379"/>
      <c r="F169" s="379"/>
      <c r="G169" s="379"/>
      <c r="H169" s="379"/>
      <c r="I169" s="379"/>
      <c r="J169" s="379"/>
      <c r="K169" s="379"/>
      <c r="L169" s="379"/>
      <c r="M169" s="379"/>
      <c r="N169" s="379"/>
      <c r="O169" s="379"/>
      <c r="P169" s="379"/>
      <c r="Q169" s="379"/>
      <c r="R169" s="379"/>
      <c r="S169" s="379"/>
      <c r="T169" s="379"/>
      <c r="U169" s="379"/>
      <c r="W169" s="379"/>
    </row>
    <row r="170" customFormat="false" ht="14.25" hidden="false" customHeight="false" outlineLevel="0" collapsed="false">
      <c r="A170" s="379"/>
      <c r="B170" s="379"/>
      <c r="C170" s="379"/>
      <c r="D170" s="379"/>
      <c r="E170" s="379"/>
      <c r="F170" s="379"/>
      <c r="G170" s="379"/>
      <c r="H170" s="379"/>
      <c r="I170" s="379"/>
      <c r="J170" s="379"/>
      <c r="K170" s="379"/>
      <c r="L170" s="379"/>
      <c r="M170" s="379"/>
      <c r="N170" s="379"/>
      <c r="O170" s="379"/>
      <c r="P170" s="379"/>
      <c r="Q170" s="379"/>
      <c r="R170" s="379"/>
      <c r="S170" s="379"/>
      <c r="T170" s="379"/>
      <c r="U170" s="379"/>
      <c r="W170" s="379"/>
    </row>
    <row r="171" customFormat="false" ht="14.25" hidden="false" customHeight="false" outlineLevel="0" collapsed="false">
      <c r="A171" s="379"/>
      <c r="B171" s="379"/>
      <c r="C171" s="379"/>
      <c r="D171" s="379"/>
      <c r="E171" s="379"/>
      <c r="F171" s="379"/>
      <c r="G171" s="379"/>
      <c r="H171" s="379"/>
      <c r="I171" s="379"/>
      <c r="J171" s="379"/>
      <c r="K171" s="379"/>
      <c r="L171" s="379"/>
      <c r="M171" s="379"/>
      <c r="N171" s="379"/>
      <c r="O171" s="379"/>
      <c r="P171" s="379"/>
      <c r="Q171" s="379"/>
      <c r="R171" s="379"/>
      <c r="S171" s="379"/>
      <c r="T171" s="379"/>
      <c r="U171" s="379"/>
      <c r="W171" s="379"/>
    </row>
    <row r="172" customFormat="false" ht="14.25" hidden="false" customHeight="false" outlineLevel="0" collapsed="false">
      <c r="A172" s="379"/>
      <c r="B172" s="379"/>
      <c r="C172" s="379"/>
      <c r="D172" s="379"/>
      <c r="E172" s="379"/>
      <c r="F172" s="379"/>
      <c r="G172" s="379"/>
      <c r="H172" s="379"/>
      <c r="I172" s="379"/>
      <c r="J172" s="379"/>
      <c r="K172" s="379"/>
      <c r="L172" s="379"/>
      <c r="M172" s="379"/>
      <c r="N172" s="379"/>
      <c r="O172" s="379"/>
      <c r="P172" s="379"/>
      <c r="Q172" s="379"/>
      <c r="R172" s="379"/>
      <c r="S172" s="379"/>
      <c r="T172" s="379"/>
      <c r="U172" s="379"/>
      <c r="W172" s="379"/>
    </row>
    <row r="173" customFormat="false" ht="14.25" hidden="false" customHeight="false" outlineLevel="0" collapsed="false">
      <c r="A173" s="379"/>
      <c r="B173" s="379"/>
      <c r="C173" s="379"/>
      <c r="D173" s="379"/>
      <c r="E173" s="379"/>
      <c r="F173" s="379"/>
      <c r="G173" s="379"/>
      <c r="H173" s="379"/>
      <c r="I173" s="379"/>
      <c r="J173" s="379"/>
      <c r="K173" s="379"/>
      <c r="L173" s="379"/>
      <c r="M173" s="379"/>
      <c r="N173" s="379"/>
      <c r="O173" s="379"/>
      <c r="P173" s="379"/>
      <c r="Q173" s="379"/>
      <c r="R173" s="379"/>
      <c r="S173" s="379"/>
      <c r="T173" s="379"/>
      <c r="U173" s="379"/>
      <c r="W173" s="379"/>
    </row>
    <row r="174" customFormat="false" ht="14.25" hidden="false" customHeight="false" outlineLevel="0" collapsed="false">
      <c r="A174" s="379"/>
      <c r="B174" s="379"/>
      <c r="C174" s="379"/>
      <c r="D174" s="379"/>
      <c r="E174" s="379"/>
      <c r="F174" s="379"/>
      <c r="G174" s="379"/>
      <c r="H174" s="379"/>
      <c r="I174" s="379"/>
      <c r="J174" s="379"/>
      <c r="K174" s="379"/>
      <c r="L174" s="379"/>
      <c r="M174" s="379"/>
      <c r="N174" s="379"/>
      <c r="O174" s="379"/>
      <c r="P174" s="379"/>
      <c r="Q174" s="379"/>
      <c r="R174" s="379"/>
      <c r="S174" s="379"/>
      <c r="T174" s="379"/>
      <c r="U174" s="379"/>
      <c r="W174" s="379"/>
    </row>
    <row r="175" customFormat="false" ht="14.25" hidden="false" customHeight="false" outlineLevel="0" collapsed="false">
      <c r="A175" s="379"/>
      <c r="B175" s="379"/>
      <c r="C175" s="379"/>
      <c r="D175" s="379"/>
      <c r="E175" s="379"/>
      <c r="F175" s="379"/>
      <c r="G175" s="379"/>
      <c r="H175" s="379"/>
      <c r="I175" s="379"/>
      <c r="J175" s="379"/>
      <c r="K175" s="379"/>
      <c r="L175" s="379"/>
      <c r="M175" s="379"/>
      <c r="N175" s="379"/>
      <c r="O175" s="379"/>
      <c r="P175" s="379"/>
      <c r="Q175" s="379"/>
      <c r="R175" s="379"/>
      <c r="S175" s="379"/>
      <c r="T175" s="379"/>
      <c r="U175" s="379"/>
      <c r="W175" s="379"/>
    </row>
    <row r="176" customFormat="false" ht="14.25" hidden="false" customHeight="false" outlineLevel="0" collapsed="false">
      <c r="A176" s="379"/>
      <c r="B176" s="379"/>
      <c r="C176" s="379"/>
      <c r="D176" s="379"/>
      <c r="E176" s="379"/>
      <c r="F176" s="379"/>
      <c r="G176" s="379"/>
      <c r="H176" s="379"/>
      <c r="I176" s="379"/>
      <c r="J176" s="379"/>
      <c r="K176" s="379"/>
      <c r="L176" s="379"/>
      <c r="M176" s="379"/>
      <c r="N176" s="379"/>
      <c r="O176" s="379"/>
      <c r="P176" s="379"/>
      <c r="Q176" s="379"/>
      <c r="R176" s="379"/>
      <c r="S176" s="379"/>
      <c r="T176" s="379"/>
      <c r="U176" s="379"/>
      <c r="W176" s="379"/>
    </row>
    <row r="177" customFormat="false" ht="14.25" hidden="false" customHeight="false" outlineLevel="0" collapsed="false">
      <c r="A177" s="379"/>
      <c r="B177" s="379"/>
      <c r="C177" s="379"/>
      <c r="D177" s="379"/>
      <c r="E177" s="379"/>
      <c r="F177" s="379"/>
      <c r="G177" s="379"/>
      <c r="H177" s="379"/>
      <c r="I177" s="379"/>
      <c r="J177" s="379"/>
      <c r="K177" s="379"/>
      <c r="L177" s="379"/>
      <c r="M177" s="379"/>
      <c r="N177" s="379"/>
      <c r="O177" s="379"/>
      <c r="P177" s="379"/>
      <c r="Q177" s="379"/>
      <c r="R177" s="379"/>
      <c r="S177" s="379"/>
      <c r="T177" s="379"/>
      <c r="U177" s="379"/>
      <c r="W177" s="379"/>
    </row>
    <row r="178" customFormat="false" ht="14.25" hidden="false" customHeight="false" outlineLevel="0" collapsed="false">
      <c r="A178" s="379"/>
      <c r="B178" s="379"/>
      <c r="C178" s="379"/>
      <c r="D178" s="379"/>
      <c r="E178" s="379"/>
      <c r="F178" s="379"/>
      <c r="G178" s="379"/>
      <c r="H178" s="379"/>
      <c r="I178" s="379"/>
      <c r="J178" s="379"/>
      <c r="K178" s="379"/>
      <c r="L178" s="379"/>
      <c r="M178" s="379"/>
      <c r="N178" s="379"/>
      <c r="O178" s="379"/>
      <c r="P178" s="379"/>
      <c r="Q178" s="379"/>
      <c r="R178" s="379"/>
      <c r="S178" s="379"/>
      <c r="T178" s="379"/>
      <c r="U178" s="379"/>
      <c r="W178" s="379"/>
    </row>
    <row r="179" customFormat="false" ht="14.25" hidden="false" customHeight="false" outlineLevel="0" collapsed="false">
      <c r="A179" s="379"/>
      <c r="B179" s="379"/>
      <c r="C179" s="379"/>
      <c r="D179" s="379"/>
      <c r="E179" s="379"/>
      <c r="F179" s="379"/>
      <c r="G179" s="379"/>
      <c r="H179" s="379"/>
      <c r="I179" s="379"/>
      <c r="J179" s="379"/>
      <c r="K179" s="379"/>
      <c r="L179" s="379"/>
      <c r="M179" s="379"/>
      <c r="N179" s="379"/>
      <c r="O179" s="379"/>
      <c r="P179" s="379"/>
      <c r="Q179" s="379"/>
      <c r="R179" s="379"/>
      <c r="S179" s="379"/>
      <c r="T179" s="379"/>
      <c r="U179" s="379"/>
      <c r="W179" s="379"/>
    </row>
    <row r="180" customFormat="false" ht="14.25" hidden="false" customHeight="false" outlineLevel="0" collapsed="false">
      <c r="A180" s="379"/>
      <c r="B180" s="379"/>
      <c r="C180" s="379"/>
      <c r="D180" s="379"/>
      <c r="E180" s="379"/>
      <c r="F180" s="379"/>
      <c r="G180" s="379"/>
      <c r="H180" s="379"/>
      <c r="I180" s="379"/>
      <c r="J180" s="379"/>
      <c r="K180" s="379"/>
      <c r="L180" s="379"/>
      <c r="M180" s="379"/>
      <c r="N180" s="379"/>
      <c r="O180" s="379"/>
      <c r="P180" s="379"/>
      <c r="Q180" s="379"/>
      <c r="R180" s="379"/>
      <c r="S180" s="379"/>
      <c r="T180" s="379"/>
      <c r="U180" s="379"/>
      <c r="W180" s="379"/>
    </row>
    <row r="181" customFormat="false" ht="14.25" hidden="false" customHeight="false" outlineLevel="0" collapsed="false">
      <c r="A181" s="379"/>
      <c r="B181" s="379"/>
      <c r="C181" s="379"/>
      <c r="D181" s="379"/>
      <c r="E181" s="379"/>
      <c r="F181" s="379"/>
      <c r="G181" s="379"/>
      <c r="H181" s="379"/>
      <c r="I181" s="379"/>
      <c r="J181" s="379"/>
      <c r="K181" s="379"/>
      <c r="L181" s="379"/>
      <c r="M181" s="379"/>
      <c r="N181" s="379"/>
      <c r="O181" s="379"/>
      <c r="P181" s="379"/>
      <c r="Q181" s="379"/>
      <c r="R181" s="379"/>
      <c r="S181" s="379"/>
      <c r="T181" s="379"/>
      <c r="U181" s="379"/>
      <c r="W181" s="379"/>
    </row>
    <row r="182" customFormat="false" ht="14.25" hidden="false" customHeight="false" outlineLevel="0" collapsed="false">
      <c r="A182" s="379"/>
      <c r="B182" s="379"/>
      <c r="C182" s="379"/>
      <c r="D182" s="379"/>
      <c r="E182" s="379"/>
      <c r="F182" s="379"/>
      <c r="G182" s="379"/>
      <c r="H182" s="379"/>
      <c r="I182" s="379"/>
      <c r="J182" s="379"/>
      <c r="K182" s="379"/>
      <c r="L182" s="379"/>
      <c r="M182" s="379"/>
      <c r="N182" s="379"/>
      <c r="O182" s="379"/>
      <c r="P182" s="379"/>
      <c r="Q182" s="379"/>
      <c r="R182" s="379"/>
      <c r="S182" s="379"/>
      <c r="T182" s="379"/>
      <c r="U182" s="379"/>
      <c r="W182" s="379"/>
    </row>
    <row r="183" customFormat="false" ht="14.25" hidden="false" customHeight="false" outlineLevel="0" collapsed="false">
      <c r="A183" s="379"/>
      <c r="B183" s="379"/>
      <c r="C183" s="379"/>
      <c r="D183" s="379"/>
      <c r="E183" s="379"/>
      <c r="F183" s="379"/>
      <c r="G183" s="379"/>
      <c r="H183" s="379"/>
      <c r="I183" s="379"/>
      <c r="J183" s="379"/>
      <c r="K183" s="379"/>
      <c r="L183" s="379"/>
      <c r="M183" s="379"/>
      <c r="N183" s="379"/>
      <c r="O183" s="379"/>
      <c r="P183" s="379"/>
      <c r="Q183" s="379"/>
      <c r="R183" s="379"/>
      <c r="S183" s="379"/>
      <c r="T183" s="379"/>
      <c r="U183" s="379"/>
      <c r="W183" s="379"/>
    </row>
    <row r="184" customFormat="false" ht="14.25" hidden="false" customHeight="false" outlineLevel="0" collapsed="false">
      <c r="A184" s="379"/>
      <c r="B184" s="379"/>
      <c r="C184" s="379"/>
      <c r="D184" s="379"/>
      <c r="E184" s="379"/>
      <c r="F184" s="379"/>
      <c r="G184" s="379"/>
      <c r="H184" s="379"/>
      <c r="I184" s="379"/>
      <c r="J184" s="379"/>
      <c r="K184" s="379"/>
      <c r="L184" s="379"/>
      <c r="M184" s="379"/>
      <c r="N184" s="379"/>
      <c r="O184" s="379"/>
      <c r="P184" s="379"/>
      <c r="Q184" s="379"/>
      <c r="R184" s="379"/>
      <c r="S184" s="379"/>
      <c r="T184" s="379"/>
      <c r="U184" s="379"/>
      <c r="W184" s="379"/>
    </row>
    <row r="185" customFormat="false" ht="14.25" hidden="false" customHeight="false" outlineLevel="0" collapsed="false">
      <c r="A185" s="379"/>
      <c r="B185" s="379"/>
      <c r="C185" s="379"/>
      <c r="D185" s="379"/>
      <c r="E185" s="379"/>
      <c r="F185" s="379"/>
      <c r="G185" s="379"/>
      <c r="H185" s="379"/>
      <c r="I185" s="379"/>
      <c r="J185" s="379"/>
      <c r="K185" s="379"/>
      <c r="L185" s="379"/>
      <c r="M185" s="379"/>
      <c r="N185" s="379"/>
      <c r="O185" s="379"/>
      <c r="P185" s="379"/>
      <c r="Q185" s="379"/>
      <c r="R185" s="379"/>
      <c r="S185" s="379"/>
      <c r="T185" s="379"/>
      <c r="U185" s="379"/>
      <c r="W185" s="379"/>
    </row>
    <row r="186" customFormat="false" ht="14.25" hidden="false" customHeight="false" outlineLevel="0" collapsed="false">
      <c r="A186" s="379"/>
      <c r="B186" s="379"/>
      <c r="C186" s="379"/>
      <c r="D186" s="379"/>
      <c r="E186" s="379"/>
      <c r="F186" s="379"/>
      <c r="G186" s="379"/>
      <c r="H186" s="379"/>
      <c r="I186" s="379"/>
      <c r="J186" s="379"/>
      <c r="K186" s="379"/>
      <c r="L186" s="379"/>
      <c r="M186" s="379"/>
      <c r="N186" s="379"/>
      <c r="O186" s="379"/>
      <c r="P186" s="379"/>
      <c r="Q186" s="379"/>
      <c r="R186" s="379"/>
      <c r="S186" s="379"/>
      <c r="T186" s="379"/>
      <c r="U186" s="379"/>
      <c r="W186" s="379"/>
    </row>
    <row r="187" customFormat="false" ht="14.25" hidden="false" customHeight="false" outlineLevel="0" collapsed="false">
      <c r="A187" s="379"/>
      <c r="B187" s="379"/>
      <c r="C187" s="379"/>
      <c r="D187" s="379"/>
      <c r="E187" s="379"/>
      <c r="F187" s="379"/>
      <c r="G187" s="379"/>
      <c r="H187" s="379"/>
      <c r="I187" s="379"/>
      <c r="J187" s="379"/>
      <c r="K187" s="379"/>
      <c r="L187" s="379"/>
      <c r="M187" s="379"/>
      <c r="N187" s="379"/>
      <c r="O187" s="379"/>
      <c r="P187" s="379"/>
      <c r="Q187" s="379"/>
      <c r="R187" s="379"/>
      <c r="S187" s="379"/>
      <c r="T187" s="379"/>
      <c r="U187" s="379"/>
      <c r="W187" s="379"/>
    </row>
    <row r="188" customFormat="false" ht="14.25" hidden="false" customHeight="false" outlineLevel="0" collapsed="false">
      <c r="A188" s="379"/>
      <c r="B188" s="379"/>
      <c r="C188" s="379"/>
      <c r="D188" s="379"/>
      <c r="E188" s="379"/>
      <c r="F188" s="379"/>
      <c r="G188" s="379"/>
      <c r="H188" s="379"/>
      <c r="I188" s="379"/>
      <c r="J188" s="379"/>
      <c r="K188" s="379"/>
      <c r="L188" s="379"/>
      <c r="M188" s="379"/>
      <c r="N188" s="379"/>
      <c r="O188" s="379"/>
      <c r="P188" s="379"/>
      <c r="Q188" s="379"/>
      <c r="R188" s="379"/>
      <c r="S188" s="379"/>
      <c r="T188" s="379"/>
      <c r="U188" s="379"/>
      <c r="W188" s="379"/>
    </row>
    <row r="189" customFormat="false" ht="14.25" hidden="false" customHeight="false" outlineLevel="0" collapsed="false">
      <c r="A189" s="379"/>
      <c r="B189" s="379"/>
      <c r="C189" s="379"/>
      <c r="D189" s="379"/>
      <c r="E189" s="379"/>
      <c r="F189" s="379"/>
      <c r="G189" s="379"/>
      <c r="H189" s="379"/>
      <c r="I189" s="379"/>
      <c r="J189" s="379"/>
      <c r="K189" s="379"/>
      <c r="L189" s="379"/>
      <c r="M189" s="379"/>
      <c r="N189" s="379"/>
      <c r="O189" s="379"/>
      <c r="P189" s="379"/>
      <c r="Q189" s="379"/>
      <c r="R189" s="379"/>
      <c r="S189" s="379"/>
      <c r="T189" s="379"/>
      <c r="U189" s="379"/>
      <c r="W189" s="379"/>
    </row>
    <row r="190" customFormat="false" ht="14.25" hidden="false" customHeight="false" outlineLevel="0" collapsed="false">
      <c r="A190" s="379"/>
      <c r="B190" s="379"/>
      <c r="C190" s="379"/>
      <c r="D190" s="379"/>
      <c r="E190" s="379"/>
      <c r="F190" s="379"/>
      <c r="G190" s="379"/>
      <c r="H190" s="379"/>
      <c r="I190" s="379"/>
      <c r="J190" s="379"/>
      <c r="K190" s="379"/>
      <c r="L190" s="379"/>
      <c r="M190" s="379"/>
      <c r="N190" s="379"/>
      <c r="O190" s="379"/>
      <c r="P190" s="379"/>
      <c r="Q190" s="379"/>
      <c r="R190" s="379"/>
      <c r="S190" s="379"/>
      <c r="T190" s="379"/>
      <c r="U190" s="379"/>
      <c r="W190" s="379"/>
    </row>
    <row r="191" customFormat="false" ht="14.25" hidden="false" customHeight="false" outlineLevel="0" collapsed="false">
      <c r="A191" s="379"/>
      <c r="B191" s="379"/>
      <c r="C191" s="379"/>
      <c r="D191" s="379"/>
      <c r="E191" s="379"/>
      <c r="F191" s="379"/>
      <c r="G191" s="379"/>
      <c r="H191" s="379"/>
      <c r="I191" s="379"/>
      <c r="J191" s="379"/>
      <c r="K191" s="379"/>
      <c r="L191" s="379"/>
      <c r="M191" s="379"/>
      <c r="N191" s="379"/>
      <c r="O191" s="379"/>
      <c r="P191" s="379"/>
      <c r="Q191" s="379"/>
      <c r="R191" s="379"/>
      <c r="S191" s="379"/>
      <c r="T191" s="379"/>
      <c r="U191" s="379"/>
      <c r="W191" s="379"/>
    </row>
    <row r="192" customFormat="false" ht="14.25" hidden="false" customHeight="false" outlineLevel="0" collapsed="false">
      <c r="A192" s="379"/>
      <c r="B192" s="379"/>
      <c r="C192" s="379"/>
      <c r="D192" s="379"/>
      <c r="E192" s="379"/>
      <c r="F192" s="379"/>
      <c r="G192" s="379"/>
      <c r="H192" s="379"/>
      <c r="I192" s="379"/>
      <c r="J192" s="379"/>
      <c r="K192" s="379"/>
      <c r="L192" s="379"/>
      <c r="M192" s="379"/>
      <c r="N192" s="379"/>
      <c r="O192" s="379"/>
      <c r="P192" s="379"/>
      <c r="Q192" s="379"/>
      <c r="R192" s="379"/>
      <c r="S192" s="379"/>
      <c r="T192" s="379"/>
      <c r="U192" s="379"/>
      <c r="W192" s="379"/>
    </row>
    <row r="193" customFormat="false" ht="14.25" hidden="false" customHeight="false" outlineLevel="0" collapsed="false">
      <c r="A193" s="379"/>
      <c r="B193" s="379"/>
      <c r="C193" s="379"/>
      <c r="D193" s="379"/>
      <c r="E193" s="379"/>
      <c r="F193" s="379"/>
      <c r="G193" s="379"/>
      <c r="H193" s="379"/>
      <c r="I193" s="379"/>
      <c r="J193" s="379"/>
      <c r="K193" s="379"/>
      <c r="L193" s="379"/>
      <c r="M193" s="379"/>
      <c r="N193" s="379"/>
      <c r="O193" s="379"/>
      <c r="P193" s="379"/>
      <c r="Q193" s="379"/>
      <c r="R193" s="379"/>
      <c r="S193" s="379"/>
      <c r="T193" s="379"/>
      <c r="U193" s="379"/>
      <c r="W193" s="379"/>
    </row>
    <row r="194" customFormat="false" ht="14.25" hidden="false" customHeight="false" outlineLevel="0" collapsed="false">
      <c r="A194" s="379"/>
      <c r="B194" s="379"/>
      <c r="C194" s="379"/>
      <c r="D194" s="379"/>
      <c r="E194" s="379"/>
      <c r="F194" s="379"/>
      <c r="G194" s="379"/>
      <c r="H194" s="379"/>
      <c r="I194" s="379"/>
      <c r="J194" s="379"/>
      <c r="K194" s="379"/>
      <c r="L194" s="379"/>
      <c r="M194" s="379"/>
      <c r="N194" s="379"/>
      <c r="O194" s="379"/>
      <c r="P194" s="379"/>
      <c r="Q194" s="379"/>
      <c r="R194" s="379"/>
      <c r="S194" s="379"/>
      <c r="T194" s="379"/>
      <c r="U194" s="379"/>
      <c r="W194" s="379"/>
    </row>
    <row r="195" customFormat="false" ht="14.25" hidden="false" customHeight="false" outlineLevel="0" collapsed="false">
      <c r="A195" s="379"/>
      <c r="B195" s="379"/>
      <c r="C195" s="379"/>
      <c r="D195" s="379"/>
      <c r="E195" s="379"/>
      <c r="F195" s="379"/>
      <c r="G195" s="379"/>
      <c r="H195" s="379"/>
      <c r="I195" s="379"/>
      <c r="J195" s="379"/>
      <c r="K195" s="379"/>
      <c r="L195" s="379"/>
      <c r="M195" s="379"/>
      <c r="N195" s="379"/>
      <c r="O195" s="379"/>
      <c r="P195" s="379"/>
      <c r="Q195" s="379"/>
      <c r="R195" s="379"/>
      <c r="S195" s="379"/>
      <c r="T195" s="379"/>
      <c r="U195" s="379"/>
      <c r="W195" s="379"/>
    </row>
    <row r="196" customFormat="false" ht="14.25" hidden="false" customHeight="false" outlineLevel="0" collapsed="false">
      <c r="A196" s="379"/>
      <c r="B196" s="379"/>
      <c r="C196" s="379"/>
      <c r="D196" s="379"/>
      <c r="E196" s="379"/>
      <c r="F196" s="379"/>
      <c r="G196" s="379"/>
      <c r="H196" s="379"/>
      <c r="I196" s="379"/>
      <c r="J196" s="379"/>
      <c r="K196" s="379"/>
      <c r="L196" s="379"/>
      <c r="M196" s="379"/>
      <c r="N196" s="379"/>
      <c r="O196" s="379"/>
      <c r="P196" s="379"/>
      <c r="Q196" s="379"/>
      <c r="R196" s="379"/>
      <c r="S196" s="379"/>
      <c r="T196" s="379"/>
      <c r="U196" s="379"/>
      <c r="W196" s="379"/>
    </row>
    <row r="197" customFormat="false" ht="14.25" hidden="false" customHeight="false" outlineLevel="0" collapsed="false">
      <c r="A197" s="379"/>
      <c r="B197" s="379"/>
      <c r="C197" s="379"/>
      <c r="D197" s="379"/>
      <c r="E197" s="379"/>
      <c r="F197" s="379"/>
      <c r="G197" s="379"/>
      <c r="H197" s="379"/>
      <c r="I197" s="379"/>
      <c r="J197" s="379"/>
      <c r="K197" s="379"/>
      <c r="L197" s="379"/>
      <c r="M197" s="379"/>
      <c r="N197" s="379"/>
      <c r="O197" s="379"/>
      <c r="P197" s="379"/>
      <c r="Q197" s="379"/>
      <c r="R197" s="379"/>
      <c r="S197" s="379"/>
      <c r="T197" s="379"/>
      <c r="U197" s="379"/>
      <c r="W197" s="379"/>
    </row>
    <row r="198" customFormat="false" ht="14.25" hidden="false" customHeight="false" outlineLevel="0" collapsed="false">
      <c r="A198" s="379"/>
      <c r="B198" s="379"/>
      <c r="C198" s="379"/>
      <c r="D198" s="379"/>
      <c r="E198" s="379"/>
      <c r="F198" s="379"/>
      <c r="G198" s="379"/>
      <c r="H198" s="379"/>
      <c r="I198" s="379"/>
      <c r="J198" s="379"/>
      <c r="K198" s="379"/>
      <c r="L198" s="379"/>
      <c r="M198" s="379"/>
      <c r="N198" s="379"/>
      <c r="O198" s="379"/>
      <c r="P198" s="379"/>
      <c r="Q198" s="379"/>
      <c r="R198" s="379"/>
      <c r="S198" s="379"/>
      <c r="T198" s="379"/>
      <c r="U198" s="379"/>
      <c r="W198" s="379"/>
    </row>
    <row r="199" customFormat="false" ht="14.25" hidden="false" customHeight="false" outlineLevel="0" collapsed="false">
      <c r="A199" s="379"/>
      <c r="B199" s="379"/>
      <c r="C199" s="379"/>
      <c r="D199" s="379"/>
      <c r="E199" s="379"/>
      <c r="F199" s="379"/>
      <c r="G199" s="379"/>
      <c r="H199" s="379"/>
      <c r="I199" s="379"/>
      <c r="J199" s="379"/>
      <c r="K199" s="379"/>
      <c r="L199" s="379"/>
      <c r="M199" s="379"/>
      <c r="N199" s="379"/>
      <c r="O199" s="379"/>
      <c r="P199" s="379"/>
      <c r="Q199" s="379"/>
      <c r="R199" s="379"/>
      <c r="S199" s="379"/>
      <c r="T199" s="379"/>
      <c r="U199" s="379"/>
      <c r="W199" s="379"/>
    </row>
    <row r="200" customFormat="false" ht="14.25" hidden="false" customHeight="false" outlineLevel="0" collapsed="false">
      <c r="A200" s="379"/>
      <c r="B200" s="379"/>
      <c r="C200" s="379"/>
      <c r="D200" s="379"/>
      <c r="E200" s="379"/>
      <c r="F200" s="379"/>
      <c r="G200" s="379"/>
      <c r="H200" s="379"/>
      <c r="I200" s="379"/>
      <c r="J200" s="379"/>
      <c r="K200" s="379"/>
      <c r="L200" s="379"/>
      <c r="M200" s="379"/>
      <c r="N200" s="379"/>
      <c r="O200" s="379"/>
      <c r="P200" s="379"/>
      <c r="Q200" s="379"/>
      <c r="R200" s="379"/>
      <c r="S200" s="379"/>
      <c r="T200" s="379"/>
      <c r="U200" s="379"/>
      <c r="W200" s="379"/>
    </row>
    <row r="201" customFormat="false" ht="14.25" hidden="false" customHeight="false" outlineLevel="0" collapsed="false">
      <c r="A201" s="379"/>
      <c r="B201" s="379"/>
      <c r="C201" s="379"/>
      <c r="D201" s="379"/>
      <c r="E201" s="379"/>
      <c r="F201" s="379"/>
      <c r="G201" s="379"/>
      <c r="H201" s="379"/>
      <c r="I201" s="379"/>
      <c r="J201" s="379"/>
      <c r="K201" s="379"/>
      <c r="L201" s="379"/>
      <c r="M201" s="379"/>
      <c r="N201" s="379"/>
      <c r="O201" s="379"/>
      <c r="P201" s="379"/>
      <c r="Q201" s="379"/>
      <c r="R201" s="379"/>
      <c r="S201" s="379"/>
      <c r="T201" s="379"/>
      <c r="U201" s="379"/>
      <c r="W201" s="379"/>
    </row>
    <row r="202" customFormat="false" ht="14.25" hidden="false" customHeight="false" outlineLevel="0" collapsed="false">
      <c r="A202" s="379"/>
      <c r="B202" s="379"/>
      <c r="C202" s="379"/>
      <c r="D202" s="379"/>
      <c r="E202" s="379"/>
      <c r="F202" s="379"/>
      <c r="G202" s="379"/>
      <c r="H202" s="379"/>
      <c r="I202" s="379"/>
      <c r="J202" s="379"/>
      <c r="K202" s="379"/>
      <c r="L202" s="379"/>
      <c r="M202" s="379"/>
      <c r="N202" s="379"/>
      <c r="O202" s="379"/>
      <c r="P202" s="379"/>
      <c r="Q202" s="379"/>
      <c r="R202" s="379"/>
      <c r="S202" s="379"/>
      <c r="T202" s="379"/>
      <c r="U202" s="379"/>
      <c r="W202" s="379"/>
    </row>
    <row r="203" customFormat="false" ht="14.25" hidden="false" customHeight="false" outlineLevel="0" collapsed="false">
      <c r="A203" s="379"/>
      <c r="B203" s="379"/>
      <c r="C203" s="379"/>
      <c r="D203" s="379"/>
      <c r="E203" s="379"/>
      <c r="F203" s="379"/>
      <c r="G203" s="379"/>
      <c r="H203" s="379"/>
      <c r="I203" s="379"/>
      <c r="J203" s="379"/>
      <c r="K203" s="379"/>
      <c r="L203" s="379"/>
      <c r="M203" s="379"/>
      <c r="N203" s="379"/>
      <c r="O203" s="379"/>
      <c r="P203" s="379"/>
      <c r="Q203" s="379"/>
      <c r="R203" s="379"/>
      <c r="S203" s="379"/>
      <c r="T203" s="379"/>
      <c r="U203" s="379"/>
      <c r="W203" s="379"/>
    </row>
    <row r="204" customFormat="false" ht="14.25" hidden="false" customHeight="false" outlineLevel="0" collapsed="false">
      <c r="A204" s="379"/>
      <c r="B204" s="379"/>
      <c r="C204" s="379"/>
      <c r="D204" s="379"/>
      <c r="E204" s="379"/>
      <c r="F204" s="379"/>
      <c r="G204" s="379"/>
      <c r="H204" s="379"/>
      <c r="I204" s="379"/>
      <c r="J204" s="379"/>
      <c r="K204" s="379"/>
      <c r="L204" s="379"/>
      <c r="M204" s="379"/>
      <c r="N204" s="379"/>
      <c r="O204" s="379"/>
      <c r="P204" s="379"/>
      <c r="Q204" s="379"/>
      <c r="R204" s="379"/>
      <c r="S204" s="379"/>
      <c r="T204" s="379"/>
      <c r="U204" s="379"/>
      <c r="W204" s="379"/>
    </row>
    <row r="205" customFormat="false" ht="14.25" hidden="false" customHeight="false" outlineLevel="0" collapsed="false">
      <c r="A205" s="379"/>
      <c r="B205" s="379"/>
      <c r="C205" s="379"/>
      <c r="D205" s="379"/>
      <c r="E205" s="379"/>
      <c r="F205" s="379"/>
      <c r="G205" s="379"/>
      <c r="H205" s="379"/>
      <c r="I205" s="379"/>
      <c r="J205" s="379"/>
      <c r="K205" s="379"/>
      <c r="L205" s="379"/>
      <c r="M205" s="379"/>
      <c r="N205" s="379"/>
      <c r="O205" s="379"/>
      <c r="P205" s="379"/>
      <c r="Q205" s="379"/>
      <c r="R205" s="379"/>
      <c r="S205" s="379"/>
      <c r="T205" s="379"/>
      <c r="U205" s="379"/>
      <c r="W205" s="379"/>
    </row>
    <row r="206" customFormat="false" ht="14.25" hidden="false" customHeight="false" outlineLevel="0" collapsed="false">
      <c r="A206" s="379"/>
      <c r="B206" s="379"/>
      <c r="C206" s="379"/>
      <c r="D206" s="379"/>
      <c r="E206" s="379"/>
      <c r="F206" s="379"/>
      <c r="G206" s="379"/>
      <c r="H206" s="379"/>
      <c r="I206" s="379"/>
      <c r="J206" s="379"/>
      <c r="K206" s="379"/>
      <c r="L206" s="379"/>
      <c r="M206" s="379"/>
      <c r="N206" s="379"/>
      <c r="O206" s="379"/>
      <c r="P206" s="379"/>
      <c r="Q206" s="379"/>
      <c r="R206" s="379"/>
      <c r="S206" s="379"/>
      <c r="T206" s="379"/>
      <c r="U206" s="379"/>
      <c r="W206" s="379"/>
    </row>
    <row r="207" customFormat="false" ht="14.25" hidden="false" customHeight="false" outlineLevel="0" collapsed="false">
      <c r="A207" s="379"/>
      <c r="B207" s="379"/>
      <c r="C207" s="379"/>
      <c r="D207" s="379"/>
      <c r="E207" s="379"/>
      <c r="F207" s="379"/>
      <c r="G207" s="379"/>
      <c r="H207" s="379"/>
      <c r="I207" s="379"/>
      <c r="J207" s="379"/>
      <c r="K207" s="379"/>
      <c r="L207" s="379"/>
      <c r="M207" s="379"/>
      <c r="N207" s="379"/>
      <c r="O207" s="379"/>
      <c r="P207" s="379"/>
      <c r="Q207" s="379"/>
      <c r="R207" s="379"/>
      <c r="S207" s="379"/>
      <c r="T207" s="379"/>
      <c r="U207" s="379"/>
      <c r="W207" s="379"/>
    </row>
    <row r="208" customFormat="false" ht="14.25" hidden="false" customHeight="false" outlineLevel="0" collapsed="false">
      <c r="A208" s="379"/>
      <c r="B208" s="379"/>
      <c r="C208" s="379"/>
      <c r="D208" s="379"/>
      <c r="E208" s="379"/>
      <c r="F208" s="379"/>
      <c r="G208" s="379"/>
      <c r="H208" s="379"/>
      <c r="I208" s="379"/>
      <c r="J208" s="379"/>
      <c r="K208" s="379"/>
      <c r="L208" s="379"/>
      <c r="M208" s="379"/>
      <c r="N208" s="379"/>
      <c r="O208" s="379"/>
      <c r="P208" s="379"/>
      <c r="Q208" s="379"/>
      <c r="R208" s="379"/>
      <c r="S208" s="379"/>
      <c r="T208" s="379"/>
      <c r="U208" s="379"/>
      <c r="W208" s="379"/>
    </row>
    <row r="209" customFormat="false" ht="14.25" hidden="false" customHeight="false" outlineLevel="0" collapsed="false">
      <c r="A209" s="379"/>
      <c r="B209" s="379"/>
      <c r="C209" s="379"/>
      <c r="D209" s="379"/>
      <c r="E209" s="379"/>
      <c r="F209" s="379"/>
      <c r="G209" s="379"/>
      <c r="H209" s="379"/>
      <c r="I209" s="379"/>
      <c r="J209" s="379"/>
      <c r="K209" s="379"/>
      <c r="L209" s="379"/>
      <c r="M209" s="379"/>
      <c r="N209" s="379"/>
      <c r="O209" s="379"/>
      <c r="P209" s="379"/>
      <c r="Q209" s="379"/>
      <c r="R209" s="379"/>
      <c r="S209" s="379"/>
      <c r="T209" s="379"/>
      <c r="U209" s="379"/>
      <c r="W209" s="379"/>
    </row>
    <row r="210" customFormat="false" ht="14.25" hidden="false" customHeight="false" outlineLevel="0" collapsed="false">
      <c r="A210" s="379"/>
      <c r="B210" s="379"/>
      <c r="C210" s="379"/>
      <c r="D210" s="379"/>
      <c r="E210" s="379"/>
      <c r="F210" s="379"/>
      <c r="G210" s="379"/>
      <c r="H210" s="379"/>
      <c r="I210" s="379"/>
      <c r="J210" s="379"/>
      <c r="K210" s="379"/>
      <c r="L210" s="379"/>
      <c r="M210" s="379"/>
      <c r="N210" s="379"/>
      <c r="O210" s="379"/>
      <c r="P210" s="379"/>
      <c r="Q210" s="379"/>
      <c r="R210" s="379"/>
      <c r="S210" s="379"/>
      <c r="T210" s="379"/>
      <c r="U210" s="379"/>
      <c r="W210" s="379"/>
    </row>
    <row r="211" customFormat="false" ht="14.25" hidden="false" customHeight="false" outlineLevel="0" collapsed="false">
      <c r="A211" s="379"/>
      <c r="B211" s="379"/>
      <c r="C211" s="379"/>
      <c r="D211" s="379"/>
      <c r="E211" s="379"/>
      <c r="F211" s="379"/>
      <c r="G211" s="379"/>
      <c r="H211" s="379"/>
      <c r="I211" s="379"/>
      <c r="J211" s="379"/>
      <c r="K211" s="379"/>
      <c r="L211" s="379"/>
      <c r="M211" s="379"/>
      <c r="N211" s="379"/>
      <c r="O211" s="379"/>
      <c r="P211" s="379"/>
      <c r="Q211" s="379"/>
      <c r="R211" s="379"/>
      <c r="S211" s="379"/>
      <c r="T211" s="379"/>
      <c r="U211" s="379"/>
      <c r="W211" s="379"/>
    </row>
    <row r="212" customFormat="false" ht="14.25" hidden="false" customHeight="false" outlineLevel="0" collapsed="false">
      <c r="A212" s="379"/>
      <c r="B212" s="379"/>
      <c r="C212" s="379"/>
      <c r="D212" s="379"/>
      <c r="E212" s="379"/>
      <c r="F212" s="379"/>
      <c r="G212" s="379"/>
      <c r="H212" s="379"/>
      <c r="I212" s="379"/>
      <c r="J212" s="379"/>
      <c r="K212" s="379"/>
      <c r="L212" s="379"/>
      <c r="M212" s="379"/>
      <c r="N212" s="379"/>
      <c r="O212" s="379"/>
      <c r="P212" s="379"/>
      <c r="Q212" s="379"/>
      <c r="R212" s="379"/>
      <c r="S212" s="379"/>
      <c r="T212" s="379"/>
      <c r="U212" s="379"/>
      <c r="W212" s="379"/>
    </row>
    <row r="213" customFormat="false" ht="14.25" hidden="false" customHeight="false" outlineLevel="0" collapsed="false">
      <c r="A213" s="379"/>
      <c r="B213" s="379"/>
      <c r="C213" s="379"/>
      <c r="D213" s="379"/>
      <c r="E213" s="379"/>
      <c r="F213" s="379"/>
      <c r="G213" s="379"/>
      <c r="H213" s="379"/>
      <c r="I213" s="379"/>
      <c r="J213" s="379"/>
      <c r="K213" s="379"/>
      <c r="L213" s="379"/>
      <c r="M213" s="379"/>
      <c r="N213" s="379"/>
      <c r="O213" s="379"/>
      <c r="P213" s="379"/>
      <c r="Q213" s="379"/>
      <c r="R213" s="379"/>
      <c r="S213" s="379"/>
      <c r="T213" s="379"/>
      <c r="U213" s="379"/>
      <c r="W213" s="379"/>
    </row>
    <row r="214" customFormat="false" ht="14.25" hidden="false" customHeight="false" outlineLevel="0" collapsed="false">
      <c r="A214" s="379"/>
      <c r="B214" s="379"/>
      <c r="C214" s="379"/>
      <c r="D214" s="379"/>
      <c r="E214" s="379"/>
      <c r="F214" s="379"/>
      <c r="G214" s="379"/>
      <c r="H214" s="379"/>
      <c r="I214" s="379"/>
      <c r="J214" s="379"/>
      <c r="K214" s="379"/>
      <c r="L214" s="379"/>
      <c r="M214" s="379"/>
      <c r="N214" s="379"/>
      <c r="O214" s="379"/>
      <c r="P214" s="379"/>
      <c r="Q214" s="379"/>
      <c r="R214" s="379"/>
      <c r="S214" s="379"/>
      <c r="T214" s="379"/>
      <c r="U214" s="379"/>
      <c r="W214" s="379"/>
    </row>
    <row r="215" customFormat="false" ht="14.25" hidden="false" customHeight="false" outlineLevel="0" collapsed="false">
      <c r="A215" s="379"/>
      <c r="B215" s="379"/>
      <c r="C215" s="379"/>
      <c r="D215" s="379"/>
      <c r="E215" s="379"/>
      <c r="F215" s="379"/>
      <c r="G215" s="379"/>
      <c r="H215" s="379"/>
      <c r="I215" s="379"/>
      <c r="J215" s="379"/>
      <c r="K215" s="379"/>
      <c r="L215" s="379"/>
      <c r="M215" s="379"/>
      <c r="N215" s="379"/>
      <c r="O215" s="379"/>
      <c r="P215" s="379"/>
      <c r="Q215" s="379"/>
      <c r="R215" s="379"/>
      <c r="S215" s="379"/>
      <c r="T215" s="379"/>
      <c r="U215" s="379"/>
      <c r="W215" s="379"/>
    </row>
    <row r="216" customFormat="false" ht="14.25" hidden="false" customHeight="false" outlineLevel="0" collapsed="false">
      <c r="A216" s="379"/>
      <c r="B216" s="379"/>
      <c r="C216" s="379"/>
      <c r="D216" s="379"/>
      <c r="E216" s="379"/>
      <c r="F216" s="379"/>
      <c r="G216" s="379"/>
      <c r="H216" s="379"/>
      <c r="I216" s="379"/>
      <c r="J216" s="379"/>
      <c r="K216" s="379"/>
      <c r="L216" s="379"/>
      <c r="M216" s="379"/>
      <c r="N216" s="379"/>
      <c r="O216" s="379"/>
      <c r="P216" s="379"/>
      <c r="Q216" s="379"/>
      <c r="R216" s="379"/>
      <c r="S216" s="379"/>
      <c r="T216" s="379"/>
      <c r="U216" s="379"/>
      <c r="W216" s="379"/>
    </row>
    <row r="217" customFormat="false" ht="14.25" hidden="false" customHeight="false" outlineLevel="0" collapsed="false">
      <c r="A217" s="379"/>
      <c r="B217" s="379"/>
      <c r="C217" s="379"/>
      <c r="D217" s="379"/>
      <c r="E217" s="379"/>
      <c r="F217" s="379"/>
      <c r="G217" s="379"/>
      <c r="H217" s="379"/>
      <c r="I217" s="379"/>
      <c r="J217" s="379"/>
      <c r="K217" s="379"/>
      <c r="L217" s="379"/>
      <c r="M217" s="379"/>
      <c r="N217" s="379"/>
      <c r="O217" s="379"/>
      <c r="P217" s="379"/>
      <c r="Q217" s="379"/>
      <c r="R217" s="379"/>
      <c r="S217" s="379"/>
      <c r="T217" s="379"/>
      <c r="U217" s="379"/>
      <c r="W217" s="379"/>
    </row>
    <row r="218" customFormat="false" ht="14.25" hidden="false" customHeight="false" outlineLevel="0" collapsed="false">
      <c r="A218" s="379"/>
      <c r="B218" s="379"/>
      <c r="C218" s="379"/>
      <c r="D218" s="379"/>
      <c r="E218" s="379"/>
      <c r="F218" s="379"/>
      <c r="G218" s="379"/>
      <c r="H218" s="379"/>
      <c r="I218" s="379"/>
      <c r="J218" s="379"/>
      <c r="K218" s="379"/>
      <c r="L218" s="379"/>
      <c r="M218" s="379"/>
      <c r="N218" s="379"/>
      <c r="O218" s="379"/>
      <c r="P218" s="379"/>
      <c r="Q218" s="379"/>
      <c r="R218" s="379"/>
      <c r="S218" s="379"/>
      <c r="T218" s="379"/>
      <c r="U218" s="379"/>
      <c r="W218" s="379"/>
    </row>
    <row r="219" customFormat="false" ht="14.25" hidden="false" customHeight="false" outlineLevel="0" collapsed="false">
      <c r="A219" s="379"/>
      <c r="B219" s="379"/>
      <c r="C219" s="379"/>
      <c r="D219" s="379"/>
      <c r="E219" s="379"/>
      <c r="F219" s="379"/>
      <c r="G219" s="379"/>
      <c r="H219" s="379"/>
      <c r="I219" s="379"/>
      <c r="J219" s="379"/>
      <c r="K219" s="379"/>
      <c r="L219" s="379"/>
      <c r="M219" s="379"/>
      <c r="N219" s="379"/>
      <c r="O219" s="379"/>
      <c r="P219" s="379"/>
      <c r="Q219" s="379"/>
      <c r="R219" s="379"/>
      <c r="S219" s="379"/>
      <c r="T219" s="379"/>
      <c r="U219" s="379"/>
      <c r="W219" s="379"/>
    </row>
    <row r="220" customFormat="false" ht="14.25" hidden="false" customHeight="false" outlineLevel="0" collapsed="false">
      <c r="A220" s="379"/>
      <c r="B220" s="379"/>
      <c r="C220" s="379"/>
      <c r="D220" s="379"/>
      <c r="E220" s="379"/>
      <c r="F220" s="379"/>
      <c r="G220" s="379"/>
      <c r="H220" s="379"/>
      <c r="I220" s="379"/>
      <c r="J220" s="379"/>
      <c r="K220" s="379"/>
      <c r="L220" s="379"/>
      <c r="M220" s="379"/>
      <c r="N220" s="379"/>
      <c r="O220" s="379"/>
      <c r="P220" s="379"/>
      <c r="Q220" s="379"/>
      <c r="R220" s="379"/>
      <c r="S220" s="379"/>
      <c r="T220" s="379"/>
      <c r="U220" s="379"/>
      <c r="W220" s="379"/>
    </row>
    <row r="221" customFormat="false" ht="14.25" hidden="false" customHeight="false" outlineLevel="0" collapsed="false">
      <c r="A221" s="379"/>
      <c r="B221" s="379"/>
      <c r="C221" s="379"/>
      <c r="D221" s="379"/>
      <c r="E221" s="379"/>
      <c r="F221" s="379"/>
      <c r="G221" s="379"/>
      <c r="H221" s="379"/>
      <c r="I221" s="379"/>
      <c r="J221" s="379"/>
      <c r="K221" s="379"/>
      <c r="L221" s="379"/>
      <c r="M221" s="379"/>
      <c r="N221" s="379"/>
      <c r="O221" s="379"/>
      <c r="P221" s="379"/>
      <c r="Q221" s="379"/>
      <c r="R221" s="379"/>
      <c r="S221" s="379"/>
      <c r="T221" s="379"/>
      <c r="U221" s="379"/>
      <c r="W221" s="379"/>
    </row>
    <row r="222" customFormat="false" ht="14.25" hidden="false" customHeight="false" outlineLevel="0" collapsed="false">
      <c r="A222" s="379"/>
      <c r="B222" s="379"/>
      <c r="C222" s="379"/>
      <c r="D222" s="379"/>
      <c r="E222" s="379"/>
      <c r="F222" s="379"/>
      <c r="G222" s="379"/>
      <c r="H222" s="379"/>
      <c r="I222" s="379"/>
      <c r="J222" s="379"/>
      <c r="K222" s="379"/>
      <c r="L222" s="379"/>
      <c r="M222" s="379"/>
      <c r="N222" s="379"/>
      <c r="O222" s="379"/>
      <c r="P222" s="379"/>
      <c r="Q222" s="379"/>
      <c r="R222" s="379"/>
      <c r="S222" s="379"/>
      <c r="T222" s="379"/>
      <c r="U222" s="379"/>
      <c r="W222" s="379"/>
    </row>
    <row r="223" customFormat="false" ht="14.25" hidden="false" customHeight="false" outlineLevel="0" collapsed="false">
      <c r="A223" s="379"/>
      <c r="B223" s="379"/>
      <c r="C223" s="379"/>
      <c r="D223" s="379"/>
      <c r="E223" s="379"/>
      <c r="F223" s="379"/>
      <c r="G223" s="379"/>
      <c r="H223" s="379"/>
      <c r="I223" s="379"/>
      <c r="J223" s="379"/>
      <c r="K223" s="379"/>
      <c r="L223" s="379"/>
      <c r="M223" s="379"/>
      <c r="N223" s="379"/>
      <c r="O223" s="379"/>
      <c r="P223" s="379"/>
      <c r="Q223" s="379"/>
      <c r="R223" s="379"/>
      <c r="S223" s="379"/>
      <c r="T223" s="379"/>
      <c r="U223" s="379"/>
      <c r="W223" s="379"/>
    </row>
    <row r="224" customFormat="false" ht="14.25" hidden="false" customHeight="false" outlineLevel="0" collapsed="false">
      <c r="A224" s="379"/>
      <c r="B224" s="379"/>
      <c r="C224" s="379"/>
      <c r="D224" s="379"/>
      <c r="E224" s="379"/>
      <c r="F224" s="379"/>
      <c r="G224" s="379"/>
      <c r="H224" s="379"/>
      <c r="I224" s="379"/>
      <c r="J224" s="379"/>
      <c r="K224" s="379"/>
      <c r="L224" s="379"/>
      <c r="M224" s="379"/>
      <c r="N224" s="379"/>
      <c r="O224" s="379"/>
      <c r="P224" s="379"/>
      <c r="Q224" s="379"/>
      <c r="R224" s="379"/>
      <c r="S224" s="379"/>
      <c r="T224" s="379"/>
      <c r="U224" s="379"/>
      <c r="W224" s="379"/>
    </row>
    <row r="225" customFormat="false" ht="14.25" hidden="false" customHeight="false" outlineLevel="0" collapsed="false">
      <c r="A225" s="379"/>
      <c r="B225" s="379"/>
      <c r="C225" s="379"/>
      <c r="D225" s="379"/>
      <c r="E225" s="379"/>
      <c r="F225" s="379"/>
      <c r="G225" s="379"/>
      <c r="H225" s="379"/>
      <c r="I225" s="379"/>
      <c r="J225" s="379"/>
      <c r="K225" s="379"/>
      <c r="L225" s="379"/>
      <c r="M225" s="379"/>
      <c r="N225" s="379"/>
      <c r="O225" s="379"/>
      <c r="P225" s="379"/>
      <c r="Q225" s="379"/>
      <c r="R225" s="379"/>
      <c r="S225" s="379"/>
      <c r="T225" s="379"/>
      <c r="U225" s="379"/>
      <c r="W225" s="379"/>
    </row>
    <row r="226" customFormat="false" ht="14.25" hidden="false" customHeight="false" outlineLevel="0" collapsed="false">
      <c r="A226" s="379"/>
      <c r="B226" s="379"/>
      <c r="C226" s="379"/>
      <c r="D226" s="379"/>
      <c r="E226" s="379"/>
      <c r="F226" s="379"/>
      <c r="G226" s="379"/>
      <c r="H226" s="379"/>
      <c r="I226" s="379"/>
      <c r="J226" s="379"/>
      <c r="K226" s="379"/>
      <c r="L226" s="379"/>
      <c r="M226" s="379"/>
      <c r="N226" s="379"/>
      <c r="O226" s="379"/>
      <c r="P226" s="379"/>
      <c r="Q226" s="379"/>
      <c r="R226" s="379"/>
      <c r="S226" s="379"/>
      <c r="T226" s="379"/>
      <c r="U226" s="379"/>
      <c r="W226" s="379"/>
    </row>
    <row r="227" customFormat="false" ht="14.25" hidden="false" customHeight="false" outlineLevel="0" collapsed="false">
      <c r="A227" s="379"/>
      <c r="B227" s="379"/>
      <c r="C227" s="379"/>
      <c r="D227" s="379"/>
      <c r="E227" s="379"/>
      <c r="F227" s="379"/>
      <c r="G227" s="379"/>
      <c r="H227" s="379"/>
      <c r="I227" s="379"/>
      <c r="J227" s="379"/>
      <c r="K227" s="379"/>
      <c r="L227" s="379"/>
      <c r="M227" s="379"/>
      <c r="N227" s="379"/>
      <c r="O227" s="379"/>
      <c r="P227" s="379"/>
      <c r="Q227" s="379"/>
      <c r="R227" s="379"/>
      <c r="S227" s="379"/>
      <c r="T227" s="379"/>
      <c r="U227" s="379"/>
      <c r="W227" s="379"/>
    </row>
    <row r="228" customFormat="false" ht="14.25" hidden="false" customHeight="false" outlineLevel="0" collapsed="false">
      <c r="A228" s="379"/>
      <c r="B228" s="379"/>
      <c r="C228" s="379"/>
      <c r="D228" s="379"/>
      <c r="E228" s="379"/>
      <c r="F228" s="379"/>
      <c r="G228" s="379"/>
      <c r="H228" s="379"/>
      <c r="I228" s="379"/>
      <c r="J228" s="379"/>
      <c r="K228" s="379"/>
      <c r="L228" s="379"/>
      <c r="M228" s="379"/>
      <c r="N228" s="379"/>
      <c r="O228" s="379"/>
      <c r="P228" s="379"/>
      <c r="Q228" s="379"/>
      <c r="R228" s="379"/>
      <c r="S228" s="379"/>
      <c r="T228" s="379"/>
      <c r="U228" s="379"/>
      <c r="W228" s="379"/>
    </row>
    <row r="229" customFormat="false" ht="14.25" hidden="false" customHeight="false" outlineLevel="0" collapsed="false">
      <c r="A229" s="379"/>
      <c r="B229" s="379"/>
      <c r="C229" s="379"/>
      <c r="D229" s="379"/>
      <c r="E229" s="379"/>
      <c r="F229" s="379"/>
      <c r="G229" s="379"/>
      <c r="H229" s="379"/>
      <c r="I229" s="379"/>
      <c r="J229" s="379"/>
      <c r="K229" s="379"/>
      <c r="L229" s="379"/>
      <c r="M229" s="379"/>
      <c r="N229" s="379"/>
      <c r="O229" s="379"/>
      <c r="P229" s="379"/>
      <c r="Q229" s="379"/>
      <c r="R229" s="379"/>
      <c r="S229" s="379"/>
      <c r="T229" s="379"/>
      <c r="U229" s="379"/>
      <c r="W229" s="379"/>
    </row>
    <row r="230" customFormat="false" ht="14.25" hidden="false" customHeight="false" outlineLevel="0" collapsed="false">
      <c r="A230" s="379"/>
      <c r="B230" s="379"/>
      <c r="C230" s="379"/>
      <c r="D230" s="379"/>
      <c r="E230" s="379"/>
      <c r="F230" s="379"/>
      <c r="G230" s="379"/>
      <c r="H230" s="379"/>
      <c r="I230" s="379"/>
      <c r="J230" s="379"/>
      <c r="K230" s="379"/>
      <c r="L230" s="379"/>
      <c r="M230" s="379"/>
      <c r="N230" s="379"/>
      <c r="O230" s="379"/>
      <c r="P230" s="379"/>
      <c r="Q230" s="379"/>
      <c r="R230" s="379"/>
      <c r="S230" s="379"/>
      <c r="T230" s="379"/>
      <c r="U230" s="379"/>
      <c r="W230" s="379"/>
    </row>
    <row r="231" customFormat="false" ht="14.25" hidden="false" customHeight="false" outlineLevel="0" collapsed="false">
      <c r="A231" s="379"/>
      <c r="B231" s="379"/>
      <c r="C231" s="379"/>
      <c r="D231" s="379"/>
      <c r="E231" s="379"/>
      <c r="F231" s="379"/>
      <c r="G231" s="379"/>
      <c r="H231" s="379"/>
      <c r="I231" s="379"/>
      <c r="J231" s="379"/>
      <c r="K231" s="379"/>
      <c r="L231" s="379"/>
      <c r="M231" s="379"/>
      <c r="N231" s="379"/>
      <c r="O231" s="379"/>
      <c r="P231" s="379"/>
      <c r="Q231" s="379"/>
      <c r="R231" s="379"/>
      <c r="S231" s="379"/>
      <c r="T231" s="379"/>
      <c r="U231" s="379"/>
      <c r="W231" s="379"/>
    </row>
    <row r="232" customFormat="false" ht="14.25" hidden="false" customHeight="false" outlineLevel="0" collapsed="false">
      <c r="A232" s="379"/>
      <c r="B232" s="379"/>
      <c r="C232" s="379"/>
      <c r="D232" s="379"/>
      <c r="E232" s="379"/>
      <c r="F232" s="379"/>
      <c r="G232" s="379"/>
      <c r="H232" s="379"/>
      <c r="I232" s="379"/>
      <c r="J232" s="379"/>
      <c r="K232" s="379"/>
      <c r="L232" s="379"/>
      <c r="M232" s="379"/>
      <c r="N232" s="379"/>
      <c r="O232" s="379"/>
      <c r="P232" s="379"/>
      <c r="Q232" s="379"/>
      <c r="R232" s="379"/>
      <c r="S232" s="379"/>
      <c r="T232" s="379"/>
      <c r="U232" s="379"/>
      <c r="W232" s="379"/>
    </row>
    <row r="233" customFormat="false" ht="14.25" hidden="false" customHeight="false" outlineLevel="0" collapsed="false">
      <c r="A233" s="379"/>
      <c r="B233" s="379"/>
      <c r="C233" s="379"/>
      <c r="D233" s="379"/>
      <c r="E233" s="379"/>
      <c r="F233" s="379"/>
      <c r="G233" s="379"/>
      <c r="H233" s="379"/>
      <c r="I233" s="379"/>
      <c r="J233" s="379"/>
      <c r="K233" s="379"/>
      <c r="L233" s="379"/>
      <c r="M233" s="379"/>
      <c r="N233" s="379"/>
      <c r="O233" s="379"/>
      <c r="P233" s="379"/>
      <c r="Q233" s="379"/>
      <c r="R233" s="379"/>
      <c r="S233" s="379"/>
      <c r="T233" s="379"/>
      <c r="U233" s="379"/>
      <c r="W233" s="379"/>
    </row>
    <row r="234" customFormat="false" ht="14.25" hidden="false" customHeight="false" outlineLevel="0" collapsed="false">
      <c r="A234" s="379"/>
      <c r="B234" s="379"/>
      <c r="C234" s="379"/>
      <c r="D234" s="379"/>
      <c r="E234" s="379"/>
      <c r="F234" s="379"/>
      <c r="G234" s="379"/>
      <c r="H234" s="379"/>
      <c r="I234" s="379"/>
      <c r="J234" s="379"/>
      <c r="K234" s="379"/>
      <c r="L234" s="379"/>
      <c r="M234" s="379"/>
      <c r="N234" s="379"/>
      <c r="O234" s="379"/>
      <c r="P234" s="379"/>
      <c r="Q234" s="379"/>
      <c r="R234" s="379"/>
      <c r="S234" s="379"/>
      <c r="T234" s="379"/>
      <c r="U234" s="379"/>
      <c r="W234" s="379"/>
    </row>
    <row r="235" customFormat="false" ht="14.25" hidden="false" customHeight="false" outlineLevel="0" collapsed="false">
      <c r="A235" s="379"/>
      <c r="B235" s="379"/>
      <c r="C235" s="379"/>
      <c r="D235" s="379"/>
      <c r="E235" s="379"/>
      <c r="F235" s="379"/>
      <c r="G235" s="379"/>
      <c r="H235" s="379"/>
      <c r="I235" s="379"/>
      <c r="J235" s="379"/>
      <c r="K235" s="379"/>
      <c r="L235" s="379"/>
      <c r="M235" s="379"/>
      <c r="N235" s="379"/>
      <c r="O235" s="379"/>
      <c r="P235" s="379"/>
      <c r="Q235" s="379"/>
      <c r="R235" s="379"/>
      <c r="S235" s="379"/>
      <c r="T235" s="379"/>
      <c r="U235" s="379"/>
      <c r="W235" s="379"/>
    </row>
    <row r="236" customFormat="false" ht="14.25" hidden="false" customHeight="false" outlineLevel="0" collapsed="false">
      <c r="A236" s="379"/>
      <c r="B236" s="379"/>
      <c r="C236" s="379"/>
      <c r="D236" s="379"/>
      <c r="E236" s="379"/>
      <c r="F236" s="379"/>
      <c r="G236" s="379"/>
      <c r="H236" s="379"/>
      <c r="I236" s="379"/>
      <c r="J236" s="379"/>
      <c r="K236" s="379"/>
      <c r="L236" s="379"/>
      <c r="M236" s="379"/>
      <c r="N236" s="379"/>
      <c r="O236" s="379"/>
      <c r="P236" s="379"/>
      <c r="Q236" s="379"/>
      <c r="R236" s="379"/>
      <c r="S236" s="379"/>
      <c r="T236" s="379"/>
      <c r="U236" s="379"/>
      <c r="W236" s="379"/>
    </row>
    <row r="237" customFormat="false" ht="14.25" hidden="false" customHeight="false" outlineLevel="0" collapsed="false">
      <c r="A237" s="379"/>
      <c r="B237" s="379"/>
      <c r="C237" s="379"/>
      <c r="D237" s="379"/>
      <c r="E237" s="379"/>
      <c r="F237" s="379"/>
      <c r="G237" s="379"/>
      <c r="H237" s="379"/>
      <c r="I237" s="379"/>
      <c r="J237" s="379"/>
      <c r="K237" s="379"/>
      <c r="L237" s="379"/>
      <c r="M237" s="379"/>
      <c r="N237" s="379"/>
      <c r="O237" s="379"/>
      <c r="P237" s="379"/>
      <c r="Q237" s="379"/>
      <c r="R237" s="379"/>
      <c r="S237" s="379"/>
      <c r="T237" s="379"/>
      <c r="U237" s="379"/>
      <c r="W237" s="379"/>
    </row>
    <row r="238" customFormat="false" ht="14.25" hidden="false" customHeight="false" outlineLevel="0" collapsed="false">
      <c r="A238" s="379"/>
      <c r="B238" s="379"/>
      <c r="C238" s="379"/>
      <c r="D238" s="379"/>
      <c r="E238" s="379"/>
      <c r="F238" s="379"/>
      <c r="G238" s="379"/>
      <c r="H238" s="379"/>
      <c r="I238" s="379"/>
      <c r="J238" s="379"/>
      <c r="K238" s="379"/>
      <c r="L238" s="379"/>
      <c r="M238" s="379"/>
      <c r="N238" s="379"/>
      <c r="O238" s="379"/>
      <c r="P238" s="379"/>
      <c r="Q238" s="379"/>
      <c r="R238" s="379"/>
      <c r="S238" s="379"/>
      <c r="T238" s="379"/>
      <c r="U238" s="379"/>
      <c r="W238" s="379"/>
    </row>
    <row r="239" customFormat="false" ht="14.25" hidden="false" customHeight="false" outlineLevel="0" collapsed="false">
      <c r="A239" s="379"/>
      <c r="B239" s="379"/>
      <c r="C239" s="379"/>
      <c r="D239" s="379"/>
      <c r="E239" s="379"/>
      <c r="F239" s="379"/>
      <c r="G239" s="379"/>
      <c r="H239" s="379"/>
      <c r="I239" s="379"/>
      <c r="J239" s="379"/>
      <c r="K239" s="379"/>
      <c r="L239" s="379"/>
      <c r="M239" s="379"/>
      <c r="N239" s="379"/>
      <c r="O239" s="379"/>
      <c r="P239" s="379"/>
      <c r="Q239" s="379"/>
      <c r="R239" s="379"/>
      <c r="S239" s="379"/>
      <c r="T239" s="379"/>
      <c r="U239" s="379"/>
      <c r="W239" s="379"/>
    </row>
    <row r="240" customFormat="false" ht="14.25" hidden="false" customHeight="false" outlineLevel="0" collapsed="false">
      <c r="A240" s="379"/>
      <c r="B240" s="379"/>
      <c r="C240" s="379"/>
      <c r="D240" s="379"/>
      <c r="E240" s="379"/>
      <c r="F240" s="379"/>
      <c r="G240" s="379"/>
      <c r="H240" s="379"/>
      <c r="I240" s="379"/>
      <c r="J240" s="379"/>
      <c r="K240" s="379"/>
      <c r="L240" s="379"/>
      <c r="M240" s="379"/>
      <c r="N240" s="379"/>
      <c r="O240" s="379"/>
      <c r="P240" s="379"/>
      <c r="Q240" s="379"/>
      <c r="R240" s="379"/>
      <c r="S240" s="379"/>
      <c r="T240" s="379"/>
      <c r="U240" s="379"/>
      <c r="W240" s="379"/>
    </row>
    <row r="241" customFormat="false" ht="14.25" hidden="false" customHeight="false" outlineLevel="0" collapsed="false">
      <c r="A241" s="379"/>
      <c r="B241" s="379"/>
      <c r="C241" s="379"/>
      <c r="D241" s="379"/>
      <c r="E241" s="379"/>
      <c r="F241" s="379"/>
      <c r="G241" s="379"/>
      <c r="H241" s="379"/>
      <c r="I241" s="379"/>
      <c r="J241" s="379"/>
      <c r="K241" s="379"/>
      <c r="L241" s="379"/>
      <c r="M241" s="379"/>
      <c r="N241" s="379"/>
      <c r="O241" s="379"/>
      <c r="P241" s="379"/>
      <c r="Q241" s="379"/>
      <c r="R241" s="379"/>
      <c r="S241" s="379"/>
      <c r="T241" s="379"/>
      <c r="U241" s="379"/>
      <c r="W241" s="379"/>
    </row>
    <row r="242" customFormat="false" ht="14.25" hidden="false" customHeight="false" outlineLevel="0" collapsed="false">
      <c r="A242" s="379"/>
      <c r="B242" s="379"/>
      <c r="C242" s="379"/>
      <c r="D242" s="379"/>
      <c r="E242" s="379"/>
      <c r="F242" s="379"/>
      <c r="G242" s="379"/>
      <c r="H242" s="379"/>
      <c r="I242" s="379"/>
      <c r="J242" s="379"/>
      <c r="K242" s="379"/>
      <c r="L242" s="379"/>
      <c r="M242" s="379"/>
      <c r="N242" s="379"/>
      <c r="O242" s="379"/>
      <c r="P242" s="379"/>
      <c r="Q242" s="379"/>
      <c r="R242" s="379"/>
      <c r="S242" s="379"/>
      <c r="T242" s="379"/>
      <c r="U242" s="379"/>
      <c r="W242" s="379"/>
    </row>
    <row r="243" customFormat="false" ht="14.25" hidden="false" customHeight="false" outlineLevel="0" collapsed="false">
      <c r="A243" s="379"/>
      <c r="B243" s="379"/>
      <c r="C243" s="379"/>
      <c r="D243" s="379"/>
      <c r="E243" s="379"/>
      <c r="F243" s="379"/>
      <c r="G243" s="379"/>
      <c r="H243" s="379"/>
      <c r="I243" s="379"/>
      <c r="J243" s="379"/>
      <c r="K243" s="379"/>
      <c r="L243" s="379"/>
      <c r="M243" s="379"/>
      <c r="N243" s="379"/>
      <c r="O243" s="379"/>
      <c r="P243" s="379"/>
      <c r="Q243" s="379"/>
      <c r="R243" s="379"/>
      <c r="S243" s="379"/>
      <c r="T243" s="379"/>
      <c r="U243" s="379"/>
      <c r="W243" s="379"/>
    </row>
    <row r="244" customFormat="false" ht="14.25" hidden="false" customHeight="false" outlineLevel="0" collapsed="false">
      <c r="A244" s="379"/>
      <c r="B244" s="379"/>
      <c r="C244" s="379"/>
      <c r="D244" s="379"/>
      <c r="E244" s="379"/>
      <c r="F244" s="379"/>
      <c r="G244" s="379"/>
      <c r="H244" s="379"/>
      <c r="I244" s="379"/>
      <c r="J244" s="379"/>
      <c r="K244" s="379"/>
      <c r="L244" s="379"/>
      <c r="M244" s="379"/>
      <c r="N244" s="379"/>
      <c r="O244" s="379"/>
      <c r="P244" s="379"/>
      <c r="Q244" s="379"/>
      <c r="R244" s="379"/>
      <c r="S244" s="379"/>
      <c r="T244" s="379"/>
      <c r="U244" s="379"/>
      <c r="W244" s="379"/>
    </row>
    <row r="245" customFormat="false" ht="14.25" hidden="false" customHeight="false" outlineLevel="0" collapsed="false">
      <c r="A245" s="379"/>
      <c r="B245" s="379"/>
      <c r="C245" s="379"/>
      <c r="D245" s="379"/>
      <c r="E245" s="379"/>
      <c r="F245" s="379"/>
      <c r="G245" s="379"/>
      <c r="H245" s="379"/>
      <c r="I245" s="379"/>
      <c r="J245" s="379"/>
      <c r="K245" s="379"/>
      <c r="L245" s="379"/>
      <c r="M245" s="379"/>
      <c r="N245" s="379"/>
      <c r="O245" s="379"/>
      <c r="P245" s="379"/>
      <c r="Q245" s="379"/>
      <c r="R245" s="379"/>
      <c r="S245" s="379"/>
      <c r="T245" s="379"/>
      <c r="U245" s="379"/>
      <c r="W245" s="379"/>
    </row>
    <row r="246" customFormat="false" ht="14.25" hidden="false" customHeight="false" outlineLevel="0" collapsed="false">
      <c r="A246" s="379"/>
      <c r="B246" s="379"/>
      <c r="C246" s="379"/>
      <c r="D246" s="379"/>
      <c r="E246" s="379"/>
      <c r="F246" s="379"/>
      <c r="G246" s="379"/>
      <c r="H246" s="379"/>
      <c r="I246" s="379"/>
      <c r="J246" s="379"/>
      <c r="K246" s="379"/>
      <c r="L246" s="379"/>
      <c r="M246" s="379"/>
      <c r="N246" s="379"/>
      <c r="O246" s="379"/>
      <c r="P246" s="379"/>
      <c r="Q246" s="379"/>
      <c r="R246" s="379"/>
      <c r="S246" s="379"/>
      <c r="T246" s="379"/>
      <c r="U246" s="379"/>
      <c r="W246" s="379"/>
    </row>
    <row r="247" customFormat="false" ht="14.25" hidden="false" customHeight="false" outlineLevel="0" collapsed="false">
      <c r="A247" s="379"/>
      <c r="B247" s="379"/>
      <c r="C247" s="379"/>
      <c r="D247" s="379"/>
      <c r="E247" s="379"/>
      <c r="F247" s="379"/>
      <c r="G247" s="379"/>
      <c r="H247" s="379"/>
      <c r="I247" s="379"/>
      <c r="J247" s="379"/>
      <c r="K247" s="379"/>
      <c r="L247" s="379"/>
      <c r="M247" s="379"/>
      <c r="N247" s="379"/>
      <c r="O247" s="379"/>
      <c r="P247" s="379"/>
      <c r="Q247" s="379"/>
      <c r="R247" s="379"/>
      <c r="S247" s="379"/>
      <c r="T247" s="379"/>
      <c r="U247" s="379"/>
      <c r="W247" s="379"/>
    </row>
    <row r="248" customFormat="false" ht="14.25" hidden="false" customHeight="false" outlineLevel="0" collapsed="false">
      <c r="A248" s="379"/>
      <c r="B248" s="379"/>
      <c r="C248" s="379"/>
      <c r="D248" s="379"/>
      <c r="E248" s="379"/>
      <c r="F248" s="379"/>
      <c r="G248" s="379"/>
      <c r="H248" s="379"/>
      <c r="I248" s="379"/>
      <c r="J248" s="379"/>
      <c r="K248" s="379"/>
      <c r="L248" s="379"/>
      <c r="M248" s="379"/>
      <c r="N248" s="379"/>
      <c r="O248" s="379"/>
      <c r="P248" s="379"/>
      <c r="Q248" s="379"/>
      <c r="R248" s="379"/>
      <c r="S248" s="379"/>
      <c r="T248" s="379"/>
      <c r="U248" s="379"/>
      <c r="W248" s="379"/>
    </row>
    <row r="249" customFormat="false" ht="14.25" hidden="false" customHeight="false" outlineLevel="0" collapsed="false">
      <c r="A249" s="379"/>
      <c r="B249" s="379"/>
      <c r="C249" s="379"/>
      <c r="D249" s="379"/>
      <c r="E249" s="379"/>
      <c r="F249" s="379"/>
      <c r="G249" s="379"/>
      <c r="H249" s="379"/>
      <c r="I249" s="379"/>
      <c r="J249" s="379"/>
      <c r="K249" s="379"/>
      <c r="L249" s="379"/>
      <c r="M249" s="379"/>
      <c r="N249" s="379"/>
      <c r="O249" s="379"/>
      <c r="P249" s="379"/>
      <c r="Q249" s="379"/>
      <c r="R249" s="379"/>
      <c r="S249" s="379"/>
      <c r="T249" s="379"/>
      <c r="U249" s="379"/>
      <c r="W249" s="379"/>
    </row>
    <row r="250" customFormat="false" ht="14.25" hidden="false" customHeight="false" outlineLevel="0" collapsed="false">
      <c r="A250" s="379"/>
      <c r="B250" s="379"/>
      <c r="C250" s="379"/>
      <c r="D250" s="379"/>
      <c r="E250" s="379"/>
      <c r="F250" s="379"/>
      <c r="G250" s="379"/>
      <c r="H250" s="379"/>
      <c r="I250" s="379"/>
      <c r="J250" s="379"/>
      <c r="K250" s="379"/>
      <c r="L250" s="379"/>
      <c r="M250" s="379"/>
      <c r="N250" s="379"/>
      <c r="O250" s="379"/>
      <c r="P250" s="379"/>
      <c r="Q250" s="379"/>
      <c r="R250" s="379"/>
      <c r="S250" s="379"/>
      <c r="T250" s="379"/>
      <c r="U250" s="379"/>
      <c r="W250" s="379"/>
    </row>
    <row r="251" customFormat="false" ht="14.25" hidden="false" customHeight="false" outlineLevel="0" collapsed="false">
      <c r="A251" s="379"/>
      <c r="B251" s="379"/>
      <c r="C251" s="379"/>
      <c r="D251" s="379"/>
      <c r="E251" s="379"/>
      <c r="F251" s="379"/>
      <c r="G251" s="379"/>
      <c r="H251" s="379"/>
      <c r="I251" s="379"/>
      <c r="J251" s="379"/>
      <c r="K251" s="379"/>
      <c r="L251" s="379"/>
      <c r="M251" s="379"/>
      <c r="N251" s="379"/>
      <c r="O251" s="379"/>
      <c r="P251" s="379"/>
      <c r="Q251" s="379"/>
      <c r="R251" s="379"/>
      <c r="S251" s="379"/>
      <c r="T251" s="379"/>
      <c r="U251" s="379"/>
      <c r="W251" s="379"/>
    </row>
    <row r="252" customFormat="false" ht="14.25" hidden="false" customHeight="false" outlineLevel="0" collapsed="false">
      <c r="A252" s="379"/>
      <c r="B252" s="379"/>
      <c r="C252" s="379"/>
      <c r="D252" s="379"/>
      <c r="E252" s="379"/>
      <c r="F252" s="379"/>
      <c r="G252" s="379"/>
      <c r="H252" s="379"/>
      <c r="I252" s="379"/>
      <c r="J252" s="379"/>
      <c r="K252" s="379"/>
      <c r="L252" s="379"/>
      <c r="M252" s="379"/>
      <c r="N252" s="379"/>
      <c r="O252" s="379"/>
      <c r="P252" s="379"/>
      <c r="Q252" s="379"/>
      <c r="R252" s="379"/>
      <c r="S252" s="379"/>
      <c r="T252" s="379"/>
      <c r="U252" s="379"/>
      <c r="W252" s="379"/>
    </row>
    <row r="253" customFormat="false" ht="14.25" hidden="false" customHeight="false" outlineLevel="0" collapsed="false">
      <c r="A253" s="379"/>
      <c r="B253" s="379"/>
      <c r="C253" s="379"/>
      <c r="D253" s="379"/>
      <c r="E253" s="379"/>
      <c r="F253" s="379"/>
      <c r="G253" s="379"/>
      <c r="H253" s="379"/>
      <c r="I253" s="379"/>
      <c r="J253" s="379"/>
      <c r="K253" s="379"/>
      <c r="L253" s="379"/>
      <c r="M253" s="379"/>
      <c r="N253" s="379"/>
      <c r="O253" s="379"/>
      <c r="P253" s="379"/>
      <c r="Q253" s="379"/>
      <c r="R253" s="379"/>
      <c r="S253" s="379"/>
      <c r="T253" s="379"/>
      <c r="U253" s="379"/>
      <c r="W253" s="379"/>
    </row>
    <row r="254" customFormat="false" ht="14.25" hidden="false" customHeight="false" outlineLevel="0" collapsed="false">
      <c r="A254" s="379"/>
      <c r="B254" s="379"/>
      <c r="C254" s="379"/>
      <c r="D254" s="379"/>
      <c r="E254" s="379"/>
      <c r="F254" s="379"/>
      <c r="G254" s="379"/>
      <c r="H254" s="379"/>
      <c r="I254" s="379"/>
      <c r="J254" s="379"/>
      <c r="K254" s="379"/>
      <c r="L254" s="379"/>
      <c r="M254" s="379"/>
      <c r="N254" s="379"/>
      <c r="O254" s="379"/>
      <c r="P254" s="379"/>
      <c r="Q254" s="379"/>
      <c r="R254" s="379"/>
      <c r="S254" s="379"/>
      <c r="T254" s="379"/>
      <c r="U254" s="379"/>
      <c r="W254" s="379"/>
    </row>
    <row r="255" customFormat="false" ht="14.25" hidden="false" customHeight="false" outlineLevel="0" collapsed="false">
      <c r="A255" s="379"/>
      <c r="B255" s="379"/>
      <c r="C255" s="379"/>
      <c r="D255" s="379"/>
      <c r="E255" s="379"/>
      <c r="F255" s="379"/>
      <c r="G255" s="379"/>
      <c r="H255" s="379"/>
      <c r="I255" s="379"/>
      <c r="J255" s="379"/>
      <c r="K255" s="379"/>
      <c r="L255" s="379"/>
      <c r="M255" s="379"/>
      <c r="N255" s="379"/>
      <c r="O255" s="379"/>
      <c r="P255" s="379"/>
      <c r="Q255" s="379"/>
      <c r="R255" s="379"/>
      <c r="S255" s="379"/>
      <c r="T255" s="379"/>
      <c r="U255" s="379"/>
      <c r="W255" s="379"/>
    </row>
    <row r="256" customFormat="false" ht="14.25" hidden="false" customHeight="false" outlineLevel="0" collapsed="false">
      <c r="A256" s="379"/>
      <c r="B256" s="379"/>
      <c r="C256" s="379"/>
      <c r="D256" s="379"/>
      <c r="E256" s="379"/>
      <c r="F256" s="379"/>
      <c r="G256" s="379"/>
      <c r="H256" s="379"/>
      <c r="I256" s="379"/>
      <c r="J256" s="379"/>
      <c r="K256" s="379"/>
      <c r="L256" s="379"/>
      <c r="M256" s="379"/>
      <c r="N256" s="379"/>
      <c r="O256" s="379"/>
      <c r="P256" s="379"/>
      <c r="Q256" s="379"/>
      <c r="R256" s="379"/>
      <c r="S256" s="379"/>
      <c r="T256" s="379"/>
      <c r="U256" s="379"/>
      <c r="W256" s="379"/>
    </row>
    <row r="257" customFormat="false" ht="14.25" hidden="false" customHeight="false" outlineLevel="0" collapsed="false">
      <c r="A257" s="379"/>
      <c r="B257" s="379"/>
      <c r="C257" s="379"/>
      <c r="D257" s="379"/>
      <c r="E257" s="379"/>
      <c r="F257" s="379"/>
      <c r="G257" s="379"/>
      <c r="H257" s="379"/>
      <c r="I257" s="379"/>
      <c r="J257" s="379"/>
      <c r="K257" s="379"/>
      <c r="L257" s="379"/>
      <c r="M257" s="379"/>
      <c r="N257" s="379"/>
      <c r="O257" s="379"/>
      <c r="P257" s="379"/>
      <c r="Q257" s="379"/>
      <c r="R257" s="379"/>
      <c r="S257" s="379"/>
      <c r="T257" s="379"/>
      <c r="U257" s="379"/>
      <c r="W257" s="379"/>
    </row>
    <row r="258" customFormat="false" ht="14.25" hidden="false" customHeight="false" outlineLevel="0" collapsed="false">
      <c r="A258" s="379"/>
      <c r="B258" s="379"/>
      <c r="C258" s="379"/>
      <c r="D258" s="379"/>
      <c r="E258" s="379"/>
      <c r="F258" s="379"/>
      <c r="G258" s="379"/>
      <c r="H258" s="379"/>
      <c r="I258" s="379"/>
      <c r="J258" s="379"/>
      <c r="K258" s="379"/>
      <c r="L258" s="379"/>
      <c r="M258" s="379"/>
      <c r="N258" s="379"/>
      <c r="O258" s="379"/>
      <c r="P258" s="379"/>
      <c r="Q258" s="379"/>
      <c r="R258" s="379"/>
      <c r="S258" s="379"/>
      <c r="T258" s="379"/>
      <c r="U258" s="379"/>
      <c r="W258" s="379"/>
    </row>
    <row r="259" customFormat="false" ht="14.25" hidden="false" customHeight="false" outlineLevel="0" collapsed="false">
      <c r="A259" s="379"/>
      <c r="B259" s="379"/>
      <c r="C259" s="379"/>
      <c r="D259" s="379"/>
      <c r="E259" s="379"/>
      <c r="F259" s="379"/>
      <c r="G259" s="379"/>
      <c r="H259" s="379"/>
      <c r="I259" s="379"/>
      <c r="J259" s="379"/>
      <c r="K259" s="379"/>
      <c r="L259" s="379"/>
      <c r="M259" s="379"/>
      <c r="N259" s="379"/>
      <c r="O259" s="379"/>
      <c r="P259" s="379"/>
      <c r="Q259" s="379"/>
      <c r="R259" s="379"/>
      <c r="S259" s="379"/>
      <c r="T259" s="379"/>
      <c r="U259" s="379"/>
      <c r="W259" s="379"/>
    </row>
    <row r="260" customFormat="false" ht="14.25" hidden="false" customHeight="false" outlineLevel="0" collapsed="false">
      <c r="A260" s="379"/>
      <c r="B260" s="379"/>
      <c r="C260" s="379"/>
      <c r="D260" s="379"/>
      <c r="E260" s="379"/>
      <c r="F260" s="379"/>
      <c r="G260" s="379"/>
      <c r="H260" s="379"/>
      <c r="I260" s="379"/>
      <c r="J260" s="379"/>
      <c r="K260" s="379"/>
      <c r="L260" s="379"/>
      <c r="M260" s="379"/>
      <c r="N260" s="379"/>
      <c r="O260" s="379"/>
      <c r="P260" s="379"/>
      <c r="Q260" s="379"/>
      <c r="R260" s="379"/>
      <c r="S260" s="379"/>
      <c r="T260" s="379"/>
      <c r="U260" s="379"/>
      <c r="W260" s="379"/>
    </row>
    <row r="261" customFormat="false" ht="14.25" hidden="false" customHeight="false" outlineLevel="0" collapsed="false">
      <c r="A261" s="379"/>
      <c r="B261" s="379"/>
      <c r="C261" s="379"/>
      <c r="D261" s="379"/>
      <c r="E261" s="379"/>
      <c r="F261" s="379"/>
      <c r="G261" s="379"/>
      <c r="H261" s="379"/>
      <c r="I261" s="379"/>
      <c r="J261" s="379"/>
      <c r="K261" s="379"/>
      <c r="L261" s="379"/>
      <c r="M261" s="379"/>
      <c r="N261" s="379"/>
      <c r="O261" s="379"/>
      <c r="P261" s="379"/>
      <c r="Q261" s="379"/>
      <c r="R261" s="379"/>
      <c r="S261" s="379"/>
      <c r="T261" s="379"/>
      <c r="U261" s="379"/>
      <c r="W261" s="379"/>
    </row>
    <row r="262" customFormat="false" ht="14.25" hidden="false" customHeight="false" outlineLevel="0" collapsed="false">
      <c r="A262" s="379"/>
      <c r="B262" s="379"/>
      <c r="C262" s="379"/>
      <c r="D262" s="379"/>
      <c r="E262" s="379"/>
      <c r="F262" s="379"/>
      <c r="G262" s="379"/>
      <c r="H262" s="379"/>
      <c r="I262" s="379"/>
      <c r="J262" s="379"/>
      <c r="K262" s="379"/>
      <c r="L262" s="379"/>
      <c r="M262" s="379"/>
      <c r="N262" s="379"/>
      <c r="O262" s="379"/>
      <c r="P262" s="379"/>
      <c r="Q262" s="379"/>
      <c r="R262" s="379"/>
      <c r="S262" s="379"/>
      <c r="T262" s="379"/>
      <c r="U262" s="379"/>
      <c r="W262" s="379"/>
    </row>
    <row r="263" customFormat="false" ht="14.25" hidden="false" customHeight="false" outlineLevel="0" collapsed="false">
      <c r="A263" s="379"/>
      <c r="B263" s="379"/>
      <c r="C263" s="379"/>
      <c r="D263" s="379"/>
      <c r="E263" s="379"/>
      <c r="F263" s="379"/>
      <c r="G263" s="379"/>
      <c r="H263" s="379"/>
      <c r="I263" s="379"/>
      <c r="J263" s="379"/>
      <c r="K263" s="379"/>
      <c r="L263" s="379"/>
      <c r="M263" s="379"/>
      <c r="N263" s="379"/>
      <c r="O263" s="379"/>
      <c r="P263" s="379"/>
      <c r="Q263" s="379"/>
      <c r="R263" s="379"/>
      <c r="S263" s="379"/>
      <c r="T263" s="379"/>
      <c r="U263" s="379"/>
      <c r="W263" s="379"/>
    </row>
    <row r="264" customFormat="false" ht="14.25" hidden="false" customHeight="false" outlineLevel="0" collapsed="false">
      <c r="A264" s="379"/>
      <c r="B264" s="379"/>
      <c r="C264" s="379"/>
      <c r="D264" s="379"/>
      <c r="E264" s="379"/>
      <c r="F264" s="379"/>
      <c r="G264" s="379"/>
      <c r="H264" s="379"/>
      <c r="I264" s="379"/>
      <c r="J264" s="379"/>
      <c r="K264" s="379"/>
      <c r="L264" s="379"/>
      <c r="M264" s="379"/>
      <c r="N264" s="379"/>
      <c r="O264" s="379"/>
      <c r="P264" s="379"/>
      <c r="Q264" s="379"/>
      <c r="R264" s="379"/>
      <c r="S264" s="379"/>
      <c r="T264" s="379"/>
      <c r="U264" s="379"/>
      <c r="W264" s="379"/>
    </row>
    <row r="265" customFormat="false" ht="14.25" hidden="false" customHeight="false" outlineLevel="0" collapsed="false">
      <c r="A265" s="379"/>
      <c r="B265" s="379"/>
      <c r="C265" s="379"/>
      <c r="D265" s="379"/>
      <c r="E265" s="379"/>
      <c r="F265" s="379"/>
      <c r="G265" s="379"/>
      <c r="H265" s="379"/>
      <c r="I265" s="379"/>
      <c r="J265" s="379"/>
      <c r="K265" s="379"/>
      <c r="L265" s="379"/>
      <c r="M265" s="379"/>
      <c r="N265" s="379"/>
      <c r="O265" s="379"/>
      <c r="P265" s="379"/>
      <c r="Q265" s="379"/>
      <c r="R265" s="379"/>
      <c r="S265" s="379"/>
      <c r="T265" s="379"/>
      <c r="U265" s="379"/>
      <c r="W265" s="379"/>
    </row>
    <row r="266" customFormat="false" ht="14.25" hidden="false" customHeight="false" outlineLevel="0" collapsed="false">
      <c r="A266" s="379"/>
      <c r="B266" s="379"/>
      <c r="C266" s="379"/>
      <c r="D266" s="379"/>
      <c r="E266" s="379"/>
      <c r="F266" s="379"/>
      <c r="G266" s="379"/>
      <c r="H266" s="379"/>
      <c r="I266" s="379"/>
      <c r="J266" s="379"/>
      <c r="K266" s="379"/>
      <c r="L266" s="379"/>
      <c r="M266" s="379"/>
      <c r="N266" s="379"/>
      <c r="O266" s="379"/>
      <c r="P266" s="379"/>
      <c r="Q266" s="379"/>
      <c r="R266" s="379"/>
      <c r="S266" s="379"/>
      <c r="T266" s="379"/>
      <c r="U266" s="379"/>
      <c r="W266" s="379"/>
    </row>
    <row r="267" customFormat="false" ht="14.25" hidden="false" customHeight="false" outlineLevel="0" collapsed="false">
      <c r="A267" s="379"/>
      <c r="B267" s="379"/>
      <c r="C267" s="379"/>
      <c r="D267" s="379"/>
      <c r="E267" s="379"/>
      <c r="F267" s="379"/>
      <c r="G267" s="379"/>
      <c r="H267" s="379"/>
      <c r="I267" s="379"/>
      <c r="J267" s="379"/>
      <c r="K267" s="379"/>
      <c r="L267" s="379"/>
      <c r="M267" s="379"/>
      <c r="N267" s="379"/>
      <c r="O267" s="379"/>
      <c r="P267" s="379"/>
      <c r="Q267" s="379"/>
      <c r="R267" s="379"/>
      <c r="S267" s="379"/>
      <c r="T267" s="379"/>
      <c r="U267" s="379"/>
      <c r="W267" s="379"/>
    </row>
    <row r="268" customFormat="false" ht="14.25" hidden="false" customHeight="false" outlineLevel="0" collapsed="false">
      <c r="A268" s="379"/>
      <c r="B268" s="379"/>
      <c r="C268" s="379"/>
      <c r="D268" s="379"/>
      <c r="E268" s="379"/>
      <c r="F268" s="379"/>
      <c r="G268" s="379"/>
      <c r="H268" s="379"/>
      <c r="I268" s="379"/>
      <c r="J268" s="379"/>
      <c r="K268" s="379"/>
      <c r="L268" s="379"/>
      <c r="M268" s="379"/>
      <c r="N268" s="379"/>
      <c r="O268" s="379"/>
      <c r="P268" s="379"/>
      <c r="Q268" s="379"/>
      <c r="R268" s="379"/>
      <c r="S268" s="379"/>
      <c r="T268" s="379"/>
      <c r="U268" s="379"/>
      <c r="W268" s="379"/>
    </row>
    <row r="269" customFormat="false" ht="14.25" hidden="false" customHeight="false" outlineLevel="0" collapsed="false">
      <c r="A269" s="379"/>
      <c r="B269" s="379"/>
      <c r="C269" s="379"/>
      <c r="D269" s="379"/>
      <c r="E269" s="379"/>
      <c r="F269" s="379"/>
      <c r="G269" s="379"/>
      <c r="H269" s="379"/>
      <c r="I269" s="379"/>
      <c r="J269" s="379"/>
      <c r="K269" s="379"/>
      <c r="L269" s="379"/>
      <c r="M269" s="379"/>
      <c r="N269" s="379"/>
      <c r="O269" s="379"/>
      <c r="P269" s="379"/>
      <c r="Q269" s="379"/>
      <c r="R269" s="379"/>
      <c r="S269" s="379"/>
      <c r="T269" s="379"/>
      <c r="U269" s="379"/>
      <c r="W269" s="379"/>
    </row>
    <row r="270" customFormat="false" ht="14.25" hidden="false" customHeight="false" outlineLevel="0" collapsed="false">
      <c r="A270" s="379"/>
      <c r="B270" s="379"/>
      <c r="C270" s="379"/>
      <c r="D270" s="379"/>
      <c r="E270" s="379"/>
      <c r="F270" s="379"/>
      <c r="G270" s="379"/>
      <c r="H270" s="379"/>
      <c r="I270" s="379"/>
      <c r="J270" s="379"/>
      <c r="K270" s="379"/>
      <c r="L270" s="379"/>
      <c r="M270" s="379"/>
      <c r="N270" s="379"/>
      <c r="O270" s="379"/>
      <c r="P270" s="379"/>
      <c r="Q270" s="379"/>
      <c r="R270" s="379"/>
      <c r="S270" s="379"/>
      <c r="T270" s="379"/>
      <c r="U270" s="379"/>
      <c r="W270" s="379"/>
    </row>
    <row r="271" customFormat="false" ht="14.25" hidden="false" customHeight="false" outlineLevel="0" collapsed="false">
      <c r="A271" s="379"/>
      <c r="B271" s="379"/>
      <c r="C271" s="379"/>
      <c r="D271" s="379"/>
      <c r="E271" s="379"/>
      <c r="F271" s="379"/>
      <c r="G271" s="379"/>
      <c r="H271" s="379"/>
      <c r="I271" s="379"/>
      <c r="J271" s="379"/>
      <c r="K271" s="379"/>
      <c r="L271" s="379"/>
      <c r="M271" s="379"/>
      <c r="N271" s="379"/>
      <c r="O271" s="379"/>
      <c r="P271" s="379"/>
      <c r="Q271" s="379"/>
      <c r="R271" s="379"/>
      <c r="S271" s="379"/>
      <c r="T271" s="379"/>
      <c r="U271" s="379"/>
      <c r="W271" s="379"/>
    </row>
    <row r="272" customFormat="false" ht="14.25" hidden="false" customHeight="false" outlineLevel="0" collapsed="false">
      <c r="A272" s="379"/>
      <c r="B272" s="379"/>
      <c r="C272" s="379"/>
      <c r="D272" s="379"/>
      <c r="E272" s="379"/>
      <c r="F272" s="379"/>
      <c r="G272" s="379"/>
      <c r="H272" s="379"/>
      <c r="I272" s="379"/>
      <c r="J272" s="379"/>
      <c r="K272" s="379"/>
      <c r="L272" s="379"/>
      <c r="M272" s="379"/>
      <c r="N272" s="379"/>
      <c r="O272" s="379"/>
      <c r="P272" s="379"/>
      <c r="Q272" s="379"/>
      <c r="R272" s="379"/>
      <c r="S272" s="379"/>
      <c r="T272" s="379"/>
      <c r="U272" s="379"/>
      <c r="W272" s="379"/>
    </row>
    <row r="273" customFormat="false" ht="14.25" hidden="false" customHeight="false" outlineLevel="0" collapsed="false">
      <c r="A273" s="379"/>
      <c r="B273" s="379"/>
      <c r="C273" s="379"/>
      <c r="D273" s="379"/>
      <c r="E273" s="379"/>
      <c r="F273" s="379"/>
      <c r="G273" s="379"/>
      <c r="H273" s="379"/>
      <c r="I273" s="379"/>
      <c r="J273" s="379"/>
      <c r="K273" s="379"/>
      <c r="L273" s="379"/>
      <c r="M273" s="379"/>
      <c r="N273" s="379"/>
      <c r="O273" s="379"/>
      <c r="P273" s="379"/>
      <c r="Q273" s="379"/>
      <c r="R273" s="379"/>
      <c r="S273" s="379"/>
      <c r="T273" s="379"/>
      <c r="U273" s="379"/>
      <c r="W273" s="379"/>
    </row>
    <row r="274" customFormat="false" ht="14.25" hidden="false" customHeight="false" outlineLevel="0" collapsed="false">
      <c r="A274" s="379"/>
      <c r="B274" s="379"/>
      <c r="C274" s="379"/>
      <c r="D274" s="379"/>
      <c r="E274" s="379"/>
      <c r="F274" s="379"/>
      <c r="G274" s="379"/>
      <c r="H274" s="379"/>
      <c r="I274" s="379"/>
      <c r="J274" s="379"/>
      <c r="K274" s="379"/>
      <c r="L274" s="379"/>
      <c r="M274" s="379"/>
      <c r="N274" s="379"/>
      <c r="O274" s="379"/>
      <c r="P274" s="379"/>
      <c r="Q274" s="379"/>
      <c r="R274" s="379"/>
      <c r="S274" s="379"/>
      <c r="T274" s="379"/>
      <c r="U274" s="379"/>
      <c r="W274" s="379"/>
    </row>
    <row r="275" customFormat="false" ht="14.25" hidden="false" customHeight="false" outlineLevel="0" collapsed="false">
      <c r="A275" s="379"/>
      <c r="B275" s="379"/>
      <c r="C275" s="379"/>
      <c r="D275" s="379"/>
      <c r="E275" s="379"/>
      <c r="F275" s="379"/>
      <c r="G275" s="379"/>
      <c r="H275" s="379"/>
      <c r="I275" s="379"/>
      <c r="J275" s="379"/>
      <c r="K275" s="379"/>
      <c r="L275" s="379"/>
      <c r="M275" s="379"/>
      <c r="N275" s="379"/>
      <c r="O275" s="379"/>
      <c r="P275" s="379"/>
      <c r="Q275" s="379"/>
      <c r="R275" s="379"/>
      <c r="S275" s="379"/>
      <c r="T275" s="379"/>
      <c r="U275" s="379"/>
      <c r="W275" s="379"/>
    </row>
    <row r="276" customFormat="false" ht="14.25" hidden="false" customHeight="false" outlineLevel="0" collapsed="false">
      <c r="A276" s="379"/>
      <c r="B276" s="379"/>
      <c r="C276" s="379"/>
      <c r="D276" s="379"/>
      <c r="E276" s="379"/>
      <c r="F276" s="379"/>
      <c r="G276" s="379"/>
      <c r="H276" s="379"/>
      <c r="I276" s="379"/>
      <c r="J276" s="379"/>
      <c r="K276" s="379"/>
      <c r="L276" s="379"/>
      <c r="M276" s="379"/>
      <c r="N276" s="379"/>
      <c r="O276" s="379"/>
      <c r="P276" s="379"/>
      <c r="Q276" s="379"/>
      <c r="R276" s="379"/>
      <c r="S276" s="379"/>
      <c r="T276" s="379"/>
      <c r="U276" s="379"/>
      <c r="W276" s="379"/>
    </row>
    <row r="277" customFormat="false" ht="14.25" hidden="false" customHeight="false" outlineLevel="0" collapsed="false">
      <c r="A277" s="379"/>
      <c r="B277" s="379"/>
      <c r="C277" s="379"/>
      <c r="D277" s="379"/>
      <c r="E277" s="379"/>
      <c r="F277" s="379"/>
      <c r="G277" s="379"/>
      <c r="H277" s="379"/>
      <c r="I277" s="379"/>
      <c r="J277" s="379"/>
      <c r="K277" s="379"/>
      <c r="L277" s="379"/>
      <c r="M277" s="379"/>
      <c r="N277" s="379"/>
      <c r="O277" s="379"/>
      <c r="P277" s="379"/>
      <c r="Q277" s="379"/>
      <c r="R277" s="379"/>
      <c r="S277" s="379"/>
      <c r="T277" s="379"/>
      <c r="U277" s="379"/>
      <c r="W277" s="379"/>
    </row>
    <row r="278" customFormat="false" ht="14.25" hidden="false" customHeight="false" outlineLevel="0" collapsed="false">
      <c r="A278" s="379"/>
      <c r="B278" s="379"/>
      <c r="C278" s="379"/>
      <c r="D278" s="379"/>
      <c r="E278" s="379"/>
      <c r="F278" s="379"/>
      <c r="G278" s="379"/>
      <c r="H278" s="379"/>
      <c r="I278" s="379"/>
      <c r="J278" s="379"/>
      <c r="K278" s="379"/>
      <c r="L278" s="379"/>
      <c r="M278" s="379"/>
      <c r="N278" s="379"/>
      <c r="O278" s="379"/>
      <c r="P278" s="379"/>
      <c r="Q278" s="379"/>
      <c r="R278" s="379"/>
      <c r="S278" s="379"/>
      <c r="T278" s="379"/>
      <c r="U278" s="379"/>
      <c r="W278" s="379"/>
    </row>
    <row r="279" customFormat="false" ht="14.25" hidden="false" customHeight="false" outlineLevel="0" collapsed="false">
      <c r="A279" s="379"/>
      <c r="B279" s="379"/>
      <c r="C279" s="379"/>
      <c r="D279" s="379"/>
      <c r="E279" s="379"/>
      <c r="F279" s="379"/>
      <c r="G279" s="379"/>
      <c r="H279" s="379"/>
      <c r="I279" s="379"/>
      <c r="J279" s="379"/>
      <c r="K279" s="379"/>
      <c r="L279" s="379"/>
      <c r="M279" s="379"/>
      <c r="N279" s="379"/>
      <c r="O279" s="379"/>
      <c r="P279" s="379"/>
      <c r="Q279" s="379"/>
      <c r="R279" s="379"/>
      <c r="S279" s="379"/>
      <c r="T279" s="379"/>
      <c r="U279" s="379"/>
      <c r="W279" s="379"/>
    </row>
    <row r="280" customFormat="false" ht="14.25" hidden="false" customHeight="false" outlineLevel="0" collapsed="false">
      <c r="A280" s="379"/>
      <c r="B280" s="379"/>
      <c r="C280" s="379"/>
      <c r="D280" s="379"/>
      <c r="E280" s="379"/>
      <c r="F280" s="379"/>
      <c r="G280" s="379"/>
      <c r="H280" s="379"/>
      <c r="I280" s="379"/>
      <c r="J280" s="379"/>
      <c r="K280" s="379"/>
      <c r="L280" s="379"/>
      <c r="M280" s="379"/>
      <c r="N280" s="379"/>
      <c r="O280" s="379"/>
      <c r="P280" s="379"/>
      <c r="Q280" s="379"/>
      <c r="R280" s="379"/>
      <c r="S280" s="379"/>
      <c r="T280" s="379"/>
      <c r="U280" s="379"/>
      <c r="W280" s="379"/>
    </row>
    <row r="281" customFormat="false" ht="14.25" hidden="false" customHeight="false" outlineLevel="0" collapsed="false">
      <c r="A281" s="379"/>
      <c r="B281" s="379"/>
      <c r="C281" s="379"/>
      <c r="D281" s="379"/>
      <c r="E281" s="379"/>
      <c r="F281" s="379"/>
      <c r="G281" s="379"/>
      <c r="H281" s="379"/>
      <c r="I281" s="379"/>
      <c r="J281" s="379"/>
      <c r="K281" s="379"/>
      <c r="L281" s="379"/>
      <c r="M281" s="379"/>
      <c r="N281" s="379"/>
      <c r="O281" s="379"/>
      <c r="P281" s="379"/>
      <c r="Q281" s="379"/>
      <c r="R281" s="379"/>
      <c r="S281" s="379"/>
      <c r="T281" s="379"/>
      <c r="U281" s="379"/>
      <c r="W281" s="379"/>
    </row>
    <row r="282" customFormat="false" ht="14.25" hidden="false" customHeight="false" outlineLevel="0" collapsed="false">
      <c r="A282" s="379"/>
      <c r="B282" s="379"/>
      <c r="C282" s="379"/>
      <c r="D282" s="379"/>
      <c r="E282" s="379"/>
      <c r="F282" s="379"/>
      <c r="G282" s="379"/>
      <c r="H282" s="379"/>
      <c r="I282" s="379"/>
      <c r="J282" s="379"/>
      <c r="K282" s="379"/>
      <c r="L282" s="379"/>
      <c r="M282" s="379"/>
      <c r="N282" s="379"/>
      <c r="O282" s="379"/>
      <c r="P282" s="379"/>
      <c r="Q282" s="379"/>
      <c r="R282" s="379"/>
      <c r="S282" s="379"/>
      <c r="T282" s="379"/>
      <c r="U282" s="379"/>
      <c r="W282" s="379"/>
    </row>
    <row r="283" customFormat="false" ht="14.25" hidden="false" customHeight="false" outlineLevel="0" collapsed="false">
      <c r="A283" s="379"/>
      <c r="B283" s="379"/>
      <c r="C283" s="379"/>
      <c r="D283" s="379"/>
      <c r="E283" s="379"/>
      <c r="F283" s="379"/>
      <c r="G283" s="379"/>
      <c r="H283" s="379"/>
      <c r="I283" s="379"/>
      <c r="J283" s="379"/>
      <c r="K283" s="379"/>
      <c r="L283" s="379"/>
      <c r="M283" s="379"/>
      <c r="N283" s="379"/>
      <c r="O283" s="379"/>
      <c r="P283" s="379"/>
      <c r="Q283" s="379"/>
      <c r="R283" s="379"/>
      <c r="S283" s="379"/>
      <c r="T283" s="379"/>
      <c r="U283" s="379"/>
      <c r="W283" s="379"/>
    </row>
    <row r="284" customFormat="false" ht="14.25" hidden="false" customHeight="false" outlineLevel="0" collapsed="false">
      <c r="A284" s="379"/>
      <c r="B284" s="379"/>
      <c r="C284" s="379"/>
      <c r="D284" s="379"/>
      <c r="E284" s="379"/>
      <c r="F284" s="379"/>
      <c r="G284" s="379"/>
      <c r="H284" s="379"/>
      <c r="I284" s="379"/>
      <c r="J284" s="379"/>
      <c r="K284" s="379"/>
      <c r="L284" s="379"/>
      <c r="M284" s="379"/>
      <c r="N284" s="379"/>
      <c r="O284" s="379"/>
      <c r="P284" s="379"/>
      <c r="Q284" s="379"/>
      <c r="R284" s="379"/>
      <c r="S284" s="379"/>
      <c r="T284" s="379"/>
      <c r="U284" s="379"/>
      <c r="W284" s="379"/>
    </row>
    <row r="285" customFormat="false" ht="14.25" hidden="false" customHeight="false" outlineLevel="0" collapsed="false">
      <c r="A285" s="379"/>
      <c r="B285" s="379"/>
      <c r="C285" s="379"/>
      <c r="D285" s="379"/>
      <c r="E285" s="379"/>
      <c r="F285" s="379"/>
      <c r="G285" s="379"/>
      <c r="H285" s="379"/>
      <c r="I285" s="379"/>
      <c r="J285" s="379"/>
      <c r="K285" s="379"/>
      <c r="L285" s="379"/>
      <c r="M285" s="379"/>
      <c r="N285" s="379"/>
      <c r="O285" s="379"/>
      <c r="P285" s="379"/>
      <c r="Q285" s="379"/>
      <c r="R285" s="379"/>
      <c r="S285" s="379"/>
      <c r="T285" s="379"/>
      <c r="U285" s="379"/>
      <c r="W285" s="379"/>
    </row>
    <row r="286" customFormat="false" ht="14.25" hidden="false" customHeight="false" outlineLevel="0" collapsed="false">
      <c r="A286" s="379"/>
      <c r="B286" s="379"/>
      <c r="C286" s="379"/>
      <c r="D286" s="379"/>
      <c r="E286" s="379"/>
      <c r="F286" s="379"/>
      <c r="G286" s="379"/>
      <c r="H286" s="379"/>
      <c r="I286" s="379"/>
      <c r="J286" s="379"/>
      <c r="K286" s="379"/>
      <c r="L286" s="379"/>
      <c r="M286" s="379"/>
      <c r="N286" s="379"/>
      <c r="O286" s="379"/>
      <c r="P286" s="379"/>
      <c r="Q286" s="379"/>
      <c r="R286" s="379"/>
      <c r="S286" s="379"/>
      <c r="T286" s="379"/>
      <c r="U286" s="379"/>
      <c r="W286" s="379"/>
    </row>
    <row r="287" customFormat="false" ht="14.25" hidden="false" customHeight="false" outlineLevel="0" collapsed="false">
      <c r="A287" s="379"/>
      <c r="B287" s="379"/>
      <c r="C287" s="379"/>
      <c r="D287" s="379"/>
      <c r="E287" s="379"/>
      <c r="F287" s="379"/>
      <c r="G287" s="379"/>
      <c r="H287" s="379"/>
      <c r="I287" s="379"/>
      <c r="J287" s="379"/>
      <c r="K287" s="379"/>
      <c r="L287" s="379"/>
      <c r="M287" s="379"/>
      <c r="N287" s="379"/>
      <c r="O287" s="379"/>
      <c r="P287" s="379"/>
      <c r="Q287" s="379"/>
      <c r="R287" s="379"/>
      <c r="S287" s="379"/>
      <c r="T287" s="379"/>
      <c r="U287" s="379"/>
      <c r="W287" s="379"/>
    </row>
    <row r="288" customFormat="false" ht="14.25" hidden="false" customHeight="false" outlineLevel="0" collapsed="false">
      <c r="A288" s="379"/>
      <c r="B288" s="379"/>
      <c r="C288" s="379"/>
      <c r="D288" s="379"/>
      <c r="E288" s="379"/>
      <c r="F288" s="379"/>
      <c r="G288" s="379"/>
      <c r="H288" s="379"/>
      <c r="I288" s="379"/>
      <c r="J288" s="379"/>
      <c r="K288" s="379"/>
      <c r="L288" s="379"/>
      <c r="M288" s="379"/>
      <c r="N288" s="379"/>
      <c r="O288" s="379"/>
      <c r="P288" s="379"/>
      <c r="Q288" s="379"/>
      <c r="R288" s="379"/>
      <c r="S288" s="379"/>
      <c r="T288" s="379"/>
      <c r="U288" s="379"/>
      <c r="W288" s="379"/>
    </row>
    <row r="289" customFormat="false" ht="14.25" hidden="false" customHeight="false" outlineLevel="0" collapsed="false">
      <c r="A289" s="379"/>
      <c r="B289" s="379"/>
      <c r="C289" s="379"/>
      <c r="D289" s="379"/>
      <c r="E289" s="379"/>
      <c r="F289" s="379"/>
      <c r="G289" s="379"/>
      <c r="H289" s="379"/>
      <c r="I289" s="379"/>
      <c r="J289" s="379"/>
      <c r="K289" s="379"/>
      <c r="L289" s="379"/>
      <c r="M289" s="379"/>
      <c r="N289" s="379"/>
      <c r="O289" s="379"/>
      <c r="P289" s="379"/>
      <c r="Q289" s="379"/>
      <c r="R289" s="379"/>
      <c r="S289" s="379"/>
      <c r="T289" s="379"/>
      <c r="U289" s="379"/>
      <c r="W289" s="379"/>
    </row>
    <row r="290" customFormat="false" ht="14.25" hidden="false" customHeight="false" outlineLevel="0" collapsed="false">
      <c r="A290" s="379"/>
      <c r="B290" s="379"/>
      <c r="C290" s="379"/>
      <c r="D290" s="379"/>
      <c r="E290" s="379"/>
      <c r="F290" s="379"/>
      <c r="G290" s="379"/>
      <c r="H290" s="379"/>
      <c r="I290" s="379"/>
      <c r="J290" s="379"/>
      <c r="K290" s="379"/>
      <c r="L290" s="379"/>
      <c r="M290" s="379"/>
      <c r="N290" s="379"/>
      <c r="O290" s="379"/>
      <c r="P290" s="379"/>
      <c r="Q290" s="379"/>
      <c r="R290" s="379"/>
      <c r="S290" s="379"/>
      <c r="T290" s="379"/>
      <c r="U290" s="379"/>
      <c r="W290" s="379"/>
    </row>
    <row r="291" customFormat="false" ht="14.25" hidden="false" customHeight="false" outlineLevel="0" collapsed="false">
      <c r="A291" s="379"/>
      <c r="B291" s="379"/>
      <c r="C291" s="379"/>
      <c r="D291" s="379"/>
      <c r="E291" s="379"/>
      <c r="F291" s="379"/>
      <c r="G291" s="379"/>
      <c r="H291" s="379"/>
      <c r="I291" s="379"/>
      <c r="J291" s="379"/>
      <c r="K291" s="379"/>
      <c r="L291" s="379"/>
      <c r="M291" s="379"/>
      <c r="N291" s="379"/>
      <c r="O291" s="379"/>
      <c r="P291" s="379"/>
      <c r="Q291" s="379"/>
      <c r="R291" s="379"/>
      <c r="S291" s="379"/>
      <c r="T291" s="379"/>
      <c r="U291" s="379"/>
      <c r="W291" s="379"/>
    </row>
    <row r="292" customFormat="false" ht="14.25" hidden="false" customHeight="false" outlineLevel="0" collapsed="false">
      <c r="A292" s="379"/>
      <c r="B292" s="379"/>
      <c r="C292" s="379"/>
      <c r="D292" s="379"/>
      <c r="E292" s="379"/>
      <c r="F292" s="379"/>
      <c r="G292" s="379"/>
      <c r="H292" s="379"/>
      <c r="I292" s="379"/>
      <c r="J292" s="379"/>
      <c r="K292" s="379"/>
      <c r="L292" s="379"/>
      <c r="M292" s="379"/>
      <c r="N292" s="379"/>
      <c r="O292" s="379"/>
      <c r="P292" s="379"/>
      <c r="Q292" s="379"/>
      <c r="R292" s="379"/>
      <c r="S292" s="379"/>
      <c r="T292" s="379"/>
      <c r="U292" s="379"/>
      <c r="W292" s="379"/>
    </row>
    <row r="293" customFormat="false" ht="14.25" hidden="false" customHeight="false" outlineLevel="0" collapsed="false">
      <c r="A293" s="379"/>
      <c r="B293" s="379"/>
      <c r="C293" s="379"/>
      <c r="D293" s="379"/>
      <c r="E293" s="379"/>
      <c r="F293" s="379"/>
      <c r="G293" s="379"/>
      <c r="H293" s="379"/>
      <c r="I293" s="379"/>
      <c r="J293" s="379"/>
      <c r="K293" s="379"/>
      <c r="L293" s="379"/>
      <c r="M293" s="379"/>
      <c r="N293" s="379"/>
      <c r="O293" s="379"/>
      <c r="P293" s="379"/>
      <c r="Q293" s="379"/>
      <c r="R293" s="379"/>
      <c r="S293" s="379"/>
      <c r="T293" s="379"/>
      <c r="U293" s="379"/>
      <c r="W293" s="379"/>
    </row>
    <row r="294" customFormat="false" ht="14.25" hidden="false" customHeight="false" outlineLevel="0" collapsed="false">
      <c r="A294" s="379"/>
      <c r="B294" s="379"/>
      <c r="C294" s="379"/>
      <c r="D294" s="379"/>
      <c r="E294" s="379"/>
      <c r="F294" s="379"/>
      <c r="G294" s="379"/>
      <c r="H294" s="379"/>
      <c r="I294" s="379"/>
      <c r="J294" s="379"/>
      <c r="K294" s="379"/>
      <c r="L294" s="379"/>
      <c r="M294" s="379"/>
      <c r="N294" s="379"/>
      <c r="O294" s="379"/>
      <c r="P294" s="379"/>
      <c r="Q294" s="379"/>
      <c r="R294" s="379"/>
      <c r="S294" s="379"/>
      <c r="T294" s="379"/>
      <c r="U294" s="379"/>
      <c r="W294" s="379"/>
    </row>
    <row r="295" customFormat="false" ht="14.25" hidden="false" customHeight="false" outlineLevel="0" collapsed="false">
      <c r="A295" s="379"/>
      <c r="B295" s="379"/>
      <c r="C295" s="379"/>
      <c r="D295" s="379"/>
      <c r="E295" s="379"/>
      <c r="F295" s="379"/>
      <c r="G295" s="379"/>
      <c r="H295" s="379"/>
      <c r="I295" s="379"/>
      <c r="J295" s="379"/>
      <c r="K295" s="379"/>
      <c r="L295" s="379"/>
      <c r="M295" s="379"/>
      <c r="N295" s="379"/>
      <c r="O295" s="379"/>
      <c r="P295" s="379"/>
      <c r="Q295" s="379"/>
      <c r="R295" s="379"/>
      <c r="S295" s="379"/>
      <c r="T295" s="379"/>
      <c r="U295" s="379"/>
      <c r="W295" s="379"/>
    </row>
    <row r="296" customFormat="false" ht="14.25" hidden="false" customHeight="false" outlineLevel="0" collapsed="false">
      <c r="A296" s="379"/>
      <c r="B296" s="379"/>
      <c r="C296" s="379"/>
      <c r="D296" s="379"/>
      <c r="E296" s="379"/>
      <c r="F296" s="379"/>
      <c r="G296" s="379"/>
      <c r="H296" s="379"/>
      <c r="I296" s="379"/>
      <c r="J296" s="379"/>
      <c r="K296" s="379"/>
      <c r="L296" s="379"/>
      <c r="M296" s="379"/>
      <c r="N296" s="379"/>
      <c r="O296" s="379"/>
      <c r="P296" s="379"/>
      <c r="Q296" s="379"/>
      <c r="R296" s="379"/>
      <c r="S296" s="379"/>
      <c r="T296" s="379"/>
      <c r="U296" s="379"/>
      <c r="W296" s="379"/>
    </row>
    <row r="297" customFormat="false" ht="14.25" hidden="false" customHeight="false" outlineLevel="0" collapsed="false">
      <c r="A297" s="379"/>
      <c r="B297" s="379"/>
      <c r="C297" s="379"/>
      <c r="D297" s="379"/>
      <c r="E297" s="379"/>
      <c r="F297" s="379"/>
      <c r="G297" s="379"/>
      <c r="H297" s="379"/>
      <c r="I297" s="379"/>
      <c r="J297" s="379"/>
      <c r="K297" s="379"/>
      <c r="L297" s="379"/>
      <c r="M297" s="379"/>
      <c r="N297" s="379"/>
      <c r="O297" s="379"/>
      <c r="P297" s="379"/>
      <c r="Q297" s="379"/>
      <c r="R297" s="379"/>
      <c r="S297" s="379"/>
      <c r="T297" s="379"/>
      <c r="U297" s="379"/>
      <c r="W297" s="379"/>
    </row>
    <row r="298" customFormat="false" ht="14.25" hidden="false" customHeight="false" outlineLevel="0" collapsed="false">
      <c r="A298" s="379"/>
      <c r="B298" s="379"/>
      <c r="C298" s="379"/>
      <c r="D298" s="379"/>
      <c r="E298" s="379"/>
      <c r="F298" s="379"/>
      <c r="G298" s="379"/>
      <c r="H298" s="379"/>
      <c r="I298" s="379"/>
      <c r="J298" s="379"/>
      <c r="K298" s="379"/>
      <c r="L298" s="379"/>
      <c r="M298" s="379"/>
      <c r="N298" s="379"/>
      <c r="O298" s="379"/>
      <c r="P298" s="379"/>
      <c r="Q298" s="379"/>
      <c r="R298" s="379"/>
      <c r="S298" s="379"/>
      <c r="T298" s="379"/>
      <c r="U298" s="379"/>
      <c r="W298" s="379"/>
    </row>
    <row r="299" customFormat="false" ht="14.25" hidden="false" customHeight="false" outlineLevel="0" collapsed="false">
      <c r="A299" s="379"/>
      <c r="B299" s="379"/>
      <c r="C299" s="379"/>
      <c r="D299" s="379"/>
      <c r="E299" s="379"/>
      <c r="F299" s="379"/>
      <c r="G299" s="379"/>
      <c r="H299" s="379"/>
      <c r="I299" s="379"/>
      <c r="J299" s="379"/>
      <c r="K299" s="379"/>
      <c r="L299" s="379"/>
      <c r="M299" s="379"/>
      <c r="N299" s="379"/>
      <c r="O299" s="379"/>
      <c r="P299" s="379"/>
      <c r="Q299" s="379"/>
      <c r="R299" s="379"/>
      <c r="S299" s="379"/>
      <c r="T299" s="379"/>
      <c r="U299" s="379"/>
      <c r="W299" s="379"/>
    </row>
    <row r="300" customFormat="false" ht="14.25" hidden="false" customHeight="false" outlineLevel="0" collapsed="false">
      <c r="A300" s="379"/>
      <c r="B300" s="379"/>
      <c r="C300" s="379"/>
      <c r="D300" s="379"/>
      <c r="E300" s="379"/>
      <c r="F300" s="379"/>
      <c r="G300" s="379"/>
      <c r="H300" s="379"/>
      <c r="I300" s="379"/>
      <c r="J300" s="379"/>
      <c r="K300" s="379"/>
      <c r="L300" s="379"/>
      <c r="M300" s="379"/>
      <c r="N300" s="379"/>
      <c r="O300" s="379"/>
      <c r="P300" s="379"/>
      <c r="Q300" s="379"/>
      <c r="R300" s="379"/>
      <c r="S300" s="379"/>
      <c r="T300" s="379"/>
      <c r="U300" s="379"/>
      <c r="W300" s="379"/>
    </row>
    <row r="301" customFormat="false" ht="14.25" hidden="false" customHeight="false" outlineLevel="0" collapsed="false">
      <c r="A301" s="379"/>
      <c r="B301" s="379"/>
      <c r="C301" s="379"/>
      <c r="D301" s="379"/>
      <c r="E301" s="379"/>
      <c r="F301" s="379"/>
      <c r="G301" s="379"/>
      <c r="H301" s="379"/>
      <c r="I301" s="379"/>
      <c r="J301" s="379"/>
      <c r="K301" s="379"/>
      <c r="L301" s="379"/>
      <c r="M301" s="379"/>
      <c r="N301" s="379"/>
      <c r="O301" s="379"/>
      <c r="P301" s="379"/>
      <c r="Q301" s="379"/>
      <c r="R301" s="379"/>
      <c r="S301" s="379"/>
      <c r="T301" s="379"/>
      <c r="U301" s="379"/>
      <c r="W301" s="379"/>
    </row>
    <row r="302" customFormat="false" ht="14.25" hidden="false" customHeight="false" outlineLevel="0" collapsed="false">
      <c r="A302" s="379"/>
      <c r="B302" s="379"/>
      <c r="C302" s="379"/>
      <c r="D302" s="379"/>
      <c r="E302" s="379"/>
      <c r="F302" s="379"/>
      <c r="G302" s="379"/>
      <c r="H302" s="379"/>
      <c r="I302" s="379"/>
      <c r="J302" s="379"/>
      <c r="K302" s="379"/>
      <c r="L302" s="379"/>
      <c r="M302" s="379"/>
      <c r="N302" s="379"/>
      <c r="O302" s="379"/>
      <c r="P302" s="379"/>
      <c r="Q302" s="379"/>
      <c r="R302" s="379"/>
      <c r="S302" s="379"/>
      <c r="T302" s="379"/>
      <c r="U302" s="379"/>
      <c r="W302" s="379"/>
    </row>
    <row r="303" customFormat="false" ht="14.25" hidden="false" customHeight="false" outlineLevel="0" collapsed="false">
      <c r="A303" s="379"/>
      <c r="B303" s="379"/>
      <c r="C303" s="379"/>
      <c r="D303" s="379"/>
      <c r="E303" s="379"/>
      <c r="F303" s="379"/>
      <c r="G303" s="379"/>
      <c r="H303" s="379"/>
      <c r="I303" s="379"/>
      <c r="J303" s="379"/>
      <c r="K303" s="379"/>
      <c r="L303" s="379"/>
      <c r="M303" s="379"/>
      <c r="N303" s="379"/>
      <c r="O303" s="379"/>
      <c r="P303" s="379"/>
      <c r="Q303" s="379"/>
      <c r="R303" s="379"/>
      <c r="S303" s="379"/>
      <c r="T303" s="379"/>
      <c r="U303" s="379"/>
      <c r="W303" s="379"/>
    </row>
    <row r="304" customFormat="false" ht="14.25" hidden="false" customHeight="false" outlineLevel="0" collapsed="false">
      <c r="A304" s="379"/>
      <c r="B304" s="379"/>
      <c r="C304" s="379"/>
      <c r="D304" s="379"/>
      <c r="E304" s="379"/>
      <c r="F304" s="379"/>
      <c r="G304" s="379"/>
      <c r="H304" s="379"/>
      <c r="I304" s="379"/>
      <c r="J304" s="379"/>
      <c r="K304" s="379"/>
      <c r="L304" s="379"/>
      <c r="M304" s="379"/>
      <c r="N304" s="379"/>
      <c r="O304" s="379"/>
      <c r="P304" s="379"/>
      <c r="Q304" s="379"/>
      <c r="R304" s="379"/>
      <c r="S304" s="379"/>
      <c r="T304" s="379"/>
      <c r="U304" s="379"/>
      <c r="W304" s="379"/>
    </row>
    <row r="305" customFormat="false" ht="14.25" hidden="false" customHeight="false" outlineLevel="0" collapsed="false">
      <c r="A305" s="379"/>
      <c r="B305" s="379"/>
      <c r="C305" s="379"/>
      <c r="D305" s="379"/>
      <c r="E305" s="379"/>
      <c r="F305" s="379"/>
      <c r="G305" s="379"/>
      <c r="H305" s="379"/>
      <c r="I305" s="379"/>
      <c r="J305" s="379"/>
      <c r="K305" s="379"/>
      <c r="L305" s="379"/>
      <c r="M305" s="379"/>
      <c r="N305" s="379"/>
      <c r="O305" s="379"/>
      <c r="P305" s="379"/>
      <c r="Q305" s="379"/>
      <c r="R305" s="379"/>
      <c r="S305" s="379"/>
      <c r="T305" s="379"/>
      <c r="U305" s="379"/>
      <c r="W305" s="379"/>
    </row>
    <row r="306" customFormat="false" ht="14.25" hidden="false" customHeight="false" outlineLevel="0" collapsed="false">
      <c r="A306" s="379"/>
      <c r="B306" s="379"/>
      <c r="C306" s="379"/>
      <c r="D306" s="379"/>
      <c r="E306" s="379"/>
      <c r="F306" s="379"/>
      <c r="G306" s="379"/>
      <c r="H306" s="379"/>
      <c r="I306" s="379"/>
      <c r="J306" s="379"/>
      <c r="K306" s="379"/>
      <c r="L306" s="379"/>
      <c r="M306" s="379"/>
      <c r="N306" s="379"/>
      <c r="O306" s="379"/>
      <c r="P306" s="379"/>
      <c r="Q306" s="379"/>
      <c r="R306" s="379"/>
      <c r="S306" s="379"/>
      <c r="T306" s="379"/>
      <c r="U306" s="379"/>
      <c r="W306" s="379"/>
    </row>
    <row r="307" customFormat="false" ht="14.25" hidden="false" customHeight="false" outlineLevel="0" collapsed="false">
      <c r="A307" s="379"/>
      <c r="B307" s="379"/>
      <c r="C307" s="379"/>
      <c r="D307" s="379"/>
      <c r="E307" s="379"/>
      <c r="F307" s="379"/>
      <c r="G307" s="379"/>
      <c r="H307" s="379"/>
      <c r="I307" s="379"/>
      <c r="J307" s="379"/>
      <c r="K307" s="379"/>
      <c r="L307" s="379"/>
      <c r="M307" s="379"/>
      <c r="N307" s="379"/>
      <c r="O307" s="379"/>
      <c r="P307" s="379"/>
      <c r="Q307" s="379"/>
      <c r="R307" s="379"/>
      <c r="S307" s="379"/>
      <c r="T307" s="379"/>
      <c r="U307" s="379"/>
      <c r="W307" s="379"/>
    </row>
    <row r="308" customFormat="false" ht="14.25" hidden="false" customHeight="false" outlineLevel="0" collapsed="false">
      <c r="A308" s="379"/>
      <c r="B308" s="379"/>
      <c r="C308" s="379"/>
      <c r="D308" s="379"/>
      <c r="E308" s="379"/>
      <c r="F308" s="379"/>
      <c r="G308" s="379"/>
      <c r="H308" s="379"/>
      <c r="I308" s="379"/>
      <c r="J308" s="379"/>
      <c r="K308" s="379"/>
      <c r="L308" s="379"/>
      <c r="M308" s="379"/>
      <c r="N308" s="379"/>
      <c r="O308" s="379"/>
      <c r="P308" s="379"/>
      <c r="Q308" s="379"/>
      <c r="R308" s="379"/>
      <c r="S308" s="379"/>
      <c r="T308" s="379"/>
      <c r="U308" s="379"/>
      <c r="W308" s="379"/>
    </row>
    <row r="309" customFormat="false" ht="14.25" hidden="false" customHeight="false" outlineLevel="0" collapsed="false">
      <c r="A309" s="379"/>
      <c r="B309" s="379"/>
      <c r="C309" s="379"/>
      <c r="D309" s="379"/>
      <c r="E309" s="379"/>
      <c r="F309" s="379"/>
      <c r="G309" s="379"/>
      <c r="H309" s="379"/>
      <c r="I309" s="379"/>
      <c r="J309" s="379"/>
      <c r="K309" s="379"/>
      <c r="L309" s="379"/>
      <c r="M309" s="379"/>
      <c r="N309" s="379"/>
      <c r="O309" s="379"/>
      <c r="P309" s="379"/>
      <c r="Q309" s="379"/>
      <c r="R309" s="379"/>
      <c r="S309" s="379"/>
      <c r="T309" s="379"/>
      <c r="U309" s="379"/>
      <c r="W309" s="379"/>
    </row>
    <row r="310" customFormat="false" ht="14.25" hidden="false" customHeight="false" outlineLevel="0" collapsed="false">
      <c r="A310" s="379"/>
      <c r="B310" s="379"/>
      <c r="C310" s="379"/>
      <c r="D310" s="379"/>
      <c r="E310" s="379"/>
      <c r="F310" s="379"/>
      <c r="G310" s="379"/>
      <c r="H310" s="379"/>
      <c r="I310" s="379"/>
      <c r="J310" s="379"/>
      <c r="K310" s="379"/>
      <c r="L310" s="379"/>
      <c r="M310" s="379"/>
      <c r="N310" s="379"/>
      <c r="O310" s="379"/>
      <c r="P310" s="379"/>
      <c r="Q310" s="379"/>
      <c r="R310" s="379"/>
      <c r="S310" s="379"/>
      <c r="T310" s="379"/>
      <c r="U310" s="379"/>
      <c r="W310" s="379"/>
    </row>
    <row r="311" customFormat="false" ht="14.25" hidden="false" customHeight="false" outlineLevel="0" collapsed="false">
      <c r="A311" s="379"/>
      <c r="B311" s="379"/>
      <c r="C311" s="379"/>
      <c r="D311" s="379"/>
      <c r="E311" s="379"/>
      <c r="F311" s="379"/>
      <c r="G311" s="379"/>
      <c r="H311" s="379"/>
      <c r="I311" s="379"/>
      <c r="J311" s="379"/>
      <c r="K311" s="379"/>
      <c r="L311" s="379"/>
      <c r="M311" s="379"/>
      <c r="N311" s="379"/>
      <c r="O311" s="379"/>
      <c r="P311" s="379"/>
      <c r="Q311" s="379"/>
      <c r="R311" s="379"/>
      <c r="S311" s="379"/>
      <c r="T311" s="379"/>
      <c r="U311" s="379"/>
      <c r="W311" s="379"/>
    </row>
    <row r="312" customFormat="false" ht="14.25" hidden="false" customHeight="false" outlineLevel="0" collapsed="false">
      <c r="A312" s="379"/>
      <c r="B312" s="379"/>
      <c r="C312" s="379"/>
      <c r="D312" s="379"/>
      <c r="E312" s="379"/>
      <c r="F312" s="379"/>
      <c r="G312" s="379"/>
      <c r="H312" s="379"/>
      <c r="I312" s="379"/>
      <c r="J312" s="379"/>
      <c r="K312" s="379"/>
      <c r="L312" s="379"/>
      <c r="M312" s="379"/>
      <c r="N312" s="379"/>
      <c r="O312" s="379"/>
      <c r="P312" s="379"/>
      <c r="Q312" s="379"/>
      <c r="R312" s="379"/>
      <c r="S312" s="379"/>
      <c r="T312" s="379"/>
      <c r="U312" s="379"/>
      <c r="W312" s="379"/>
    </row>
    <row r="313" customFormat="false" ht="14.25" hidden="false" customHeight="false" outlineLevel="0" collapsed="false">
      <c r="A313" s="379"/>
      <c r="B313" s="379"/>
      <c r="C313" s="379"/>
      <c r="D313" s="379"/>
      <c r="E313" s="379"/>
      <c r="F313" s="379"/>
      <c r="G313" s="379"/>
      <c r="H313" s="379"/>
      <c r="I313" s="379"/>
      <c r="J313" s="379"/>
      <c r="K313" s="379"/>
      <c r="L313" s="379"/>
      <c r="M313" s="379"/>
      <c r="N313" s="379"/>
      <c r="O313" s="379"/>
      <c r="P313" s="379"/>
      <c r="Q313" s="379"/>
      <c r="R313" s="379"/>
      <c r="S313" s="379"/>
      <c r="T313" s="379"/>
      <c r="U313" s="379"/>
      <c r="W313" s="379"/>
    </row>
    <row r="314" customFormat="false" ht="14.25" hidden="false" customHeight="false" outlineLevel="0" collapsed="false">
      <c r="A314" s="379"/>
      <c r="B314" s="379"/>
      <c r="C314" s="379"/>
      <c r="D314" s="379"/>
      <c r="E314" s="379"/>
      <c r="F314" s="379"/>
      <c r="G314" s="379"/>
      <c r="H314" s="379"/>
      <c r="I314" s="379"/>
      <c r="J314" s="379"/>
      <c r="K314" s="379"/>
      <c r="L314" s="379"/>
      <c r="M314" s="379"/>
      <c r="N314" s="379"/>
      <c r="O314" s="379"/>
      <c r="P314" s="379"/>
      <c r="Q314" s="379"/>
      <c r="R314" s="379"/>
      <c r="S314" s="379"/>
      <c r="T314" s="379"/>
      <c r="U314" s="379"/>
      <c r="W314" s="379"/>
    </row>
    <row r="315" customFormat="false" ht="14.25" hidden="false" customHeight="false" outlineLevel="0" collapsed="false">
      <c r="A315" s="379"/>
      <c r="B315" s="379"/>
      <c r="C315" s="379"/>
      <c r="D315" s="379"/>
      <c r="E315" s="379"/>
      <c r="F315" s="379"/>
      <c r="G315" s="379"/>
      <c r="H315" s="379"/>
      <c r="I315" s="379"/>
      <c r="J315" s="379"/>
      <c r="K315" s="379"/>
      <c r="L315" s="379"/>
      <c r="M315" s="379"/>
      <c r="N315" s="379"/>
      <c r="O315" s="379"/>
      <c r="P315" s="379"/>
      <c r="Q315" s="379"/>
      <c r="R315" s="379"/>
      <c r="S315" s="379"/>
      <c r="T315" s="379"/>
      <c r="U315" s="379"/>
      <c r="W315" s="379"/>
    </row>
    <row r="316" customFormat="false" ht="14.25" hidden="false" customHeight="false" outlineLevel="0" collapsed="false">
      <c r="A316" s="379"/>
      <c r="B316" s="379"/>
      <c r="C316" s="379"/>
      <c r="D316" s="379"/>
      <c r="E316" s="379"/>
      <c r="F316" s="379"/>
      <c r="G316" s="379"/>
      <c r="H316" s="379"/>
      <c r="I316" s="379"/>
      <c r="J316" s="379"/>
      <c r="K316" s="379"/>
      <c r="L316" s="379"/>
      <c r="M316" s="379"/>
      <c r="N316" s="379"/>
      <c r="O316" s="379"/>
      <c r="P316" s="379"/>
      <c r="Q316" s="379"/>
      <c r="R316" s="379"/>
      <c r="S316" s="379"/>
      <c r="T316" s="379"/>
      <c r="U316" s="379"/>
      <c r="W316" s="379"/>
    </row>
    <row r="317" customFormat="false" ht="14.25" hidden="false" customHeight="false" outlineLevel="0" collapsed="false">
      <c r="A317" s="379"/>
      <c r="B317" s="379"/>
      <c r="C317" s="379"/>
      <c r="D317" s="379"/>
      <c r="E317" s="379"/>
      <c r="F317" s="379"/>
      <c r="G317" s="379"/>
      <c r="H317" s="379"/>
      <c r="I317" s="379"/>
      <c r="J317" s="379"/>
      <c r="K317" s="379"/>
      <c r="L317" s="379"/>
      <c r="M317" s="379"/>
      <c r="N317" s="379"/>
      <c r="O317" s="379"/>
      <c r="P317" s="379"/>
      <c r="Q317" s="379"/>
      <c r="R317" s="379"/>
      <c r="S317" s="379"/>
      <c r="T317" s="379"/>
      <c r="U317" s="379"/>
      <c r="W317" s="379"/>
    </row>
    <row r="318" customFormat="false" ht="14.25" hidden="false" customHeight="false" outlineLevel="0" collapsed="false">
      <c r="A318" s="379"/>
      <c r="B318" s="379"/>
      <c r="C318" s="379"/>
      <c r="D318" s="379"/>
      <c r="E318" s="379"/>
      <c r="F318" s="379"/>
      <c r="G318" s="379"/>
      <c r="H318" s="379"/>
      <c r="I318" s="379"/>
      <c r="J318" s="379"/>
      <c r="K318" s="379"/>
      <c r="L318" s="379"/>
      <c r="M318" s="379"/>
      <c r="N318" s="379"/>
      <c r="O318" s="379"/>
      <c r="P318" s="379"/>
      <c r="Q318" s="379"/>
      <c r="R318" s="379"/>
      <c r="S318" s="379"/>
      <c r="T318" s="379"/>
      <c r="U318" s="379"/>
      <c r="W318" s="379"/>
    </row>
    <row r="319" customFormat="false" ht="14.25" hidden="false" customHeight="false" outlineLevel="0" collapsed="false">
      <c r="A319" s="379"/>
      <c r="B319" s="379"/>
      <c r="C319" s="379"/>
      <c r="D319" s="379"/>
      <c r="E319" s="379"/>
      <c r="F319" s="379"/>
      <c r="G319" s="379"/>
      <c r="H319" s="379"/>
      <c r="I319" s="379"/>
      <c r="J319" s="379"/>
      <c r="K319" s="379"/>
      <c r="L319" s="379"/>
      <c r="M319" s="379"/>
      <c r="N319" s="379"/>
      <c r="O319" s="379"/>
      <c r="P319" s="379"/>
      <c r="Q319" s="379"/>
      <c r="R319" s="379"/>
      <c r="S319" s="379"/>
      <c r="T319" s="379"/>
      <c r="U319" s="379"/>
      <c r="W319" s="379"/>
    </row>
    <row r="320" customFormat="false" ht="14.25" hidden="false" customHeight="false" outlineLevel="0" collapsed="false">
      <c r="A320" s="379"/>
      <c r="B320" s="379"/>
      <c r="C320" s="379"/>
      <c r="D320" s="379"/>
      <c r="E320" s="379"/>
      <c r="F320" s="379"/>
      <c r="G320" s="379"/>
      <c r="H320" s="379"/>
      <c r="I320" s="379"/>
      <c r="J320" s="379"/>
      <c r="K320" s="379"/>
      <c r="L320" s="379"/>
      <c r="M320" s="379"/>
      <c r="N320" s="379"/>
      <c r="O320" s="379"/>
      <c r="P320" s="379"/>
      <c r="Q320" s="379"/>
      <c r="R320" s="379"/>
      <c r="S320" s="379"/>
      <c r="T320" s="379"/>
      <c r="U320" s="379"/>
      <c r="W320" s="379"/>
    </row>
    <row r="321" customFormat="false" ht="14.25" hidden="false" customHeight="false" outlineLevel="0" collapsed="false">
      <c r="A321" s="379"/>
      <c r="B321" s="379"/>
      <c r="C321" s="379"/>
      <c r="D321" s="379"/>
      <c r="E321" s="379"/>
      <c r="F321" s="379"/>
      <c r="G321" s="379"/>
      <c r="H321" s="379"/>
      <c r="I321" s="379"/>
      <c r="J321" s="379"/>
      <c r="K321" s="379"/>
      <c r="L321" s="379"/>
      <c r="M321" s="379"/>
      <c r="N321" s="379"/>
      <c r="O321" s="379"/>
      <c r="P321" s="379"/>
      <c r="Q321" s="379"/>
      <c r="R321" s="379"/>
      <c r="S321" s="379"/>
      <c r="T321" s="379"/>
      <c r="U321" s="379"/>
      <c r="W321" s="379"/>
    </row>
    <row r="322" customFormat="false" ht="14.25" hidden="false" customHeight="false" outlineLevel="0" collapsed="false">
      <c r="A322" s="379"/>
      <c r="B322" s="379"/>
      <c r="C322" s="379"/>
      <c r="D322" s="379"/>
      <c r="E322" s="379"/>
      <c r="F322" s="379"/>
      <c r="G322" s="379"/>
      <c r="H322" s="379"/>
      <c r="I322" s="379"/>
      <c r="J322" s="379"/>
      <c r="K322" s="379"/>
      <c r="L322" s="379"/>
      <c r="M322" s="379"/>
      <c r="N322" s="379"/>
      <c r="O322" s="379"/>
      <c r="P322" s="379"/>
      <c r="Q322" s="379"/>
      <c r="R322" s="379"/>
      <c r="S322" s="379"/>
      <c r="T322" s="379"/>
      <c r="U322" s="379"/>
      <c r="W322" s="379"/>
    </row>
    <row r="323" customFormat="false" ht="14.25" hidden="false" customHeight="false" outlineLevel="0" collapsed="false">
      <c r="A323" s="379"/>
      <c r="B323" s="379"/>
      <c r="C323" s="379"/>
      <c r="D323" s="379"/>
      <c r="E323" s="379"/>
      <c r="F323" s="379"/>
      <c r="G323" s="379"/>
      <c r="H323" s="379"/>
      <c r="I323" s="379"/>
      <c r="J323" s="379"/>
      <c r="K323" s="379"/>
      <c r="L323" s="379"/>
      <c r="M323" s="379"/>
      <c r="N323" s="379"/>
      <c r="O323" s="379"/>
      <c r="P323" s="379"/>
      <c r="Q323" s="379"/>
      <c r="R323" s="379"/>
      <c r="S323" s="379"/>
      <c r="T323" s="379"/>
      <c r="U323" s="379"/>
      <c r="W323" s="379"/>
    </row>
    <row r="324" customFormat="false" ht="14.25" hidden="false" customHeight="false" outlineLevel="0" collapsed="false">
      <c r="A324" s="379"/>
      <c r="B324" s="379"/>
      <c r="C324" s="379"/>
      <c r="D324" s="379"/>
      <c r="E324" s="379"/>
      <c r="F324" s="379"/>
      <c r="G324" s="379"/>
      <c r="H324" s="379"/>
      <c r="I324" s="379"/>
      <c r="J324" s="379"/>
      <c r="K324" s="379"/>
      <c r="L324" s="379"/>
      <c r="M324" s="379"/>
      <c r="N324" s="379"/>
      <c r="O324" s="379"/>
      <c r="P324" s="379"/>
      <c r="Q324" s="379"/>
      <c r="R324" s="379"/>
      <c r="S324" s="379"/>
      <c r="T324" s="379"/>
      <c r="U324" s="379"/>
      <c r="W324" s="379"/>
    </row>
    <row r="325" customFormat="false" ht="14.25" hidden="false" customHeight="false" outlineLevel="0" collapsed="false">
      <c r="A325" s="379"/>
      <c r="B325" s="379"/>
      <c r="C325" s="379"/>
      <c r="D325" s="379"/>
      <c r="E325" s="379"/>
      <c r="F325" s="379"/>
      <c r="G325" s="379"/>
      <c r="H325" s="379"/>
      <c r="I325" s="379"/>
      <c r="J325" s="379"/>
      <c r="K325" s="379"/>
      <c r="L325" s="379"/>
      <c r="M325" s="379"/>
      <c r="N325" s="379"/>
      <c r="O325" s="379"/>
      <c r="P325" s="379"/>
      <c r="Q325" s="379"/>
      <c r="R325" s="379"/>
      <c r="S325" s="379"/>
      <c r="T325" s="379"/>
      <c r="U325" s="379"/>
      <c r="W325" s="379"/>
    </row>
    <row r="326" customFormat="false" ht="14.25" hidden="false" customHeight="false" outlineLevel="0" collapsed="false">
      <c r="A326" s="379"/>
      <c r="B326" s="379"/>
      <c r="C326" s="379"/>
      <c r="D326" s="379"/>
      <c r="E326" s="379"/>
      <c r="F326" s="379"/>
      <c r="G326" s="379"/>
      <c r="H326" s="379"/>
      <c r="I326" s="379"/>
      <c r="J326" s="379"/>
      <c r="K326" s="379"/>
      <c r="L326" s="379"/>
      <c r="M326" s="379"/>
      <c r="N326" s="379"/>
      <c r="O326" s="379"/>
      <c r="P326" s="379"/>
      <c r="Q326" s="379"/>
      <c r="R326" s="379"/>
      <c r="S326" s="379"/>
      <c r="T326" s="379"/>
      <c r="U326" s="379"/>
      <c r="W326" s="379"/>
    </row>
    <row r="327" customFormat="false" ht="14.25" hidden="false" customHeight="false" outlineLevel="0" collapsed="false">
      <c r="A327" s="379"/>
      <c r="B327" s="379"/>
      <c r="C327" s="379"/>
      <c r="D327" s="379"/>
      <c r="E327" s="379"/>
      <c r="F327" s="379"/>
      <c r="G327" s="379"/>
      <c r="H327" s="379"/>
      <c r="I327" s="379"/>
      <c r="J327" s="379"/>
      <c r="K327" s="379"/>
      <c r="L327" s="379"/>
      <c r="M327" s="379"/>
      <c r="N327" s="379"/>
      <c r="O327" s="379"/>
      <c r="P327" s="379"/>
      <c r="Q327" s="379"/>
      <c r="R327" s="379"/>
      <c r="S327" s="379"/>
      <c r="T327" s="379"/>
      <c r="U327" s="379"/>
      <c r="W327" s="379"/>
    </row>
    <row r="328" customFormat="false" ht="14.25" hidden="false" customHeight="false" outlineLevel="0" collapsed="false">
      <c r="A328" s="379"/>
      <c r="B328" s="379"/>
      <c r="C328" s="379"/>
      <c r="D328" s="379"/>
      <c r="E328" s="379"/>
      <c r="F328" s="379"/>
      <c r="G328" s="379"/>
      <c r="H328" s="379"/>
      <c r="I328" s="379"/>
      <c r="J328" s="379"/>
      <c r="K328" s="379"/>
      <c r="L328" s="379"/>
      <c r="M328" s="379"/>
      <c r="N328" s="379"/>
      <c r="O328" s="379"/>
      <c r="P328" s="379"/>
      <c r="Q328" s="379"/>
      <c r="R328" s="379"/>
      <c r="S328" s="379"/>
      <c r="T328" s="379"/>
      <c r="U328" s="379"/>
      <c r="W328" s="379"/>
    </row>
    <row r="329" customFormat="false" ht="14.25" hidden="false" customHeight="false" outlineLevel="0" collapsed="false">
      <c r="A329" s="379"/>
      <c r="B329" s="379"/>
      <c r="C329" s="379"/>
      <c r="D329" s="379"/>
      <c r="E329" s="379"/>
      <c r="F329" s="379"/>
      <c r="G329" s="379"/>
      <c r="H329" s="379"/>
      <c r="I329" s="379"/>
      <c r="J329" s="379"/>
      <c r="K329" s="379"/>
      <c r="L329" s="379"/>
      <c r="M329" s="379"/>
      <c r="N329" s="379"/>
      <c r="O329" s="379"/>
      <c r="P329" s="379"/>
      <c r="Q329" s="379"/>
      <c r="R329" s="379"/>
      <c r="S329" s="379"/>
      <c r="T329" s="379"/>
      <c r="U329" s="379"/>
      <c r="W329" s="379"/>
    </row>
    <row r="330" customFormat="false" ht="14.25" hidden="false" customHeight="false" outlineLevel="0" collapsed="false">
      <c r="A330" s="379"/>
      <c r="B330" s="379"/>
      <c r="C330" s="379"/>
      <c r="D330" s="379"/>
      <c r="E330" s="379"/>
      <c r="F330" s="379"/>
      <c r="G330" s="379"/>
      <c r="H330" s="379"/>
      <c r="I330" s="379"/>
      <c r="J330" s="379"/>
      <c r="K330" s="379"/>
      <c r="L330" s="379"/>
      <c r="M330" s="379"/>
      <c r="N330" s="379"/>
      <c r="O330" s="379"/>
      <c r="P330" s="379"/>
      <c r="Q330" s="379"/>
      <c r="R330" s="379"/>
      <c r="S330" s="379"/>
      <c r="T330" s="379"/>
      <c r="U330" s="379"/>
      <c r="W330" s="379"/>
    </row>
    <row r="331" customFormat="false" ht="14.25" hidden="false" customHeight="false" outlineLevel="0" collapsed="false">
      <c r="A331" s="379"/>
      <c r="B331" s="379"/>
      <c r="C331" s="379"/>
      <c r="D331" s="379"/>
      <c r="E331" s="379"/>
      <c r="F331" s="379"/>
      <c r="G331" s="379"/>
      <c r="H331" s="379"/>
      <c r="I331" s="379"/>
      <c r="J331" s="379"/>
      <c r="K331" s="379"/>
      <c r="L331" s="379"/>
      <c r="M331" s="379"/>
      <c r="N331" s="379"/>
      <c r="O331" s="379"/>
      <c r="P331" s="379"/>
      <c r="Q331" s="379"/>
      <c r="R331" s="379"/>
      <c r="S331" s="379"/>
      <c r="T331" s="379"/>
      <c r="U331" s="379"/>
      <c r="W331" s="379"/>
    </row>
    <row r="332" customFormat="false" ht="14.25" hidden="false" customHeight="false" outlineLevel="0" collapsed="false">
      <c r="A332" s="379"/>
      <c r="B332" s="379"/>
      <c r="C332" s="379"/>
      <c r="D332" s="379"/>
      <c r="E332" s="379"/>
      <c r="F332" s="379"/>
      <c r="G332" s="379"/>
      <c r="H332" s="379"/>
      <c r="I332" s="379"/>
      <c r="J332" s="379"/>
      <c r="K332" s="379"/>
      <c r="L332" s="379"/>
      <c r="M332" s="379"/>
      <c r="N332" s="379"/>
      <c r="O332" s="379"/>
      <c r="P332" s="379"/>
      <c r="Q332" s="379"/>
      <c r="R332" s="379"/>
      <c r="S332" s="379"/>
      <c r="T332" s="379"/>
      <c r="U332" s="379"/>
      <c r="W332" s="379"/>
    </row>
    <row r="333" customFormat="false" ht="14.25" hidden="false" customHeight="false" outlineLevel="0" collapsed="false">
      <c r="A333" s="379"/>
      <c r="B333" s="379"/>
      <c r="C333" s="379"/>
      <c r="D333" s="379"/>
      <c r="E333" s="379"/>
      <c r="F333" s="379"/>
      <c r="G333" s="379"/>
      <c r="H333" s="379"/>
      <c r="I333" s="379"/>
      <c r="J333" s="379"/>
      <c r="K333" s="379"/>
      <c r="L333" s="379"/>
      <c r="M333" s="379"/>
      <c r="N333" s="379"/>
      <c r="O333" s="379"/>
      <c r="P333" s="379"/>
      <c r="Q333" s="379"/>
      <c r="R333" s="379"/>
      <c r="S333" s="379"/>
      <c r="T333" s="379"/>
      <c r="U333" s="379"/>
      <c r="W333" s="379"/>
    </row>
    <row r="334" customFormat="false" ht="14.25" hidden="false" customHeight="false" outlineLevel="0" collapsed="false">
      <c r="A334" s="379"/>
      <c r="B334" s="379"/>
      <c r="C334" s="379"/>
      <c r="D334" s="379"/>
      <c r="E334" s="379"/>
      <c r="F334" s="379"/>
      <c r="G334" s="379"/>
      <c r="H334" s="379"/>
      <c r="I334" s="379"/>
      <c r="J334" s="379"/>
      <c r="K334" s="379"/>
      <c r="L334" s="379"/>
      <c r="M334" s="379"/>
      <c r="N334" s="379"/>
      <c r="O334" s="379"/>
      <c r="P334" s="379"/>
      <c r="Q334" s="379"/>
      <c r="R334" s="379"/>
      <c r="S334" s="379"/>
      <c r="T334" s="379"/>
      <c r="U334" s="379"/>
      <c r="W334" s="379"/>
    </row>
    <row r="335" customFormat="false" ht="14.25" hidden="false" customHeight="false" outlineLevel="0" collapsed="false">
      <c r="A335" s="379"/>
      <c r="B335" s="379"/>
      <c r="C335" s="379"/>
      <c r="D335" s="379"/>
      <c r="E335" s="379"/>
      <c r="F335" s="379"/>
      <c r="G335" s="379"/>
      <c r="H335" s="379"/>
      <c r="I335" s="379"/>
      <c r="J335" s="379"/>
      <c r="K335" s="379"/>
      <c r="L335" s="379"/>
      <c r="M335" s="379"/>
      <c r="N335" s="379"/>
      <c r="O335" s="379"/>
      <c r="P335" s="379"/>
      <c r="Q335" s="379"/>
      <c r="R335" s="379"/>
      <c r="S335" s="379"/>
      <c r="T335" s="379"/>
      <c r="U335" s="379"/>
      <c r="W335" s="379"/>
    </row>
    <row r="336" customFormat="false" ht="14.25" hidden="false" customHeight="false" outlineLevel="0" collapsed="false">
      <c r="A336" s="379"/>
      <c r="B336" s="379"/>
      <c r="C336" s="379"/>
      <c r="D336" s="379"/>
      <c r="E336" s="379"/>
      <c r="F336" s="379"/>
      <c r="G336" s="379"/>
      <c r="H336" s="379"/>
      <c r="I336" s="379"/>
      <c r="J336" s="379"/>
      <c r="K336" s="379"/>
      <c r="L336" s="379"/>
      <c r="M336" s="379"/>
      <c r="N336" s="379"/>
      <c r="O336" s="379"/>
      <c r="P336" s="379"/>
      <c r="Q336" s="379"/>
      <c r="R336" s="379"/>
      <c r="S336" s="379"/>
      <c r="T336" s="379"/>
      <c r="U336" s="379"/>
      <c r="W336" s="379"/>
    </row>
    <row r="337" customFormat="false" ht="14.25" hidden="false" customHeight="false" outlineLevel="0" collapsed="false">
      <c r="A337" s="379"/>
      <c r="B337" s="379"/>
      <c r="C337" s="379"/>
      <c r="D337" s="379"/>
      <c r="E337" s="379"/>
      <c r="F337" s="379"/>
      <c r="G337" s="379"/>
      <c r="H337" s="379"/>
      <c r="I337" s="379"/>
      <c r="J337" s="379"/>
      <c r="K337" s="379"/>
      <c r="L337" s="379"/>
      <c r="M337" s="379"/>
      <c r="N337" s="379"/>
      <c r="O337" s="379"/>
      <c r="P337" s="379"/>
      <c r="Q337" s="379"/>
      <c r="R337" s="379"/>
      <c r="S337" s="379"/>
      <c r="T337" s="379"/>
      <c r="U337" s="379"/>
      <c r="W337" s="379"/>
    </row>
    <row r="338" customFormat="false" ht="14.25" hidden="false" customHeight="false" outlineLevel="0" collapsed="false">
      <c r="A338" s="379"/>
      <c r="B338" s="379"/>
      <c r="C338" s="379"/>
      <c r="D338" s="379"/>
      <c r="E338" s="379"/>
      <c r="F338" s="379"/>
      <c r="G338" s="379"/>
      <c r="H338" s="379"/>
      <c r="I338" s="379"/>
      <c r="J338" s="379"/>
      <c r="K338" s="379"/>
      <c r="L338" s="379"/>
      <c r="M338" s="379"/>
      <c r="N338" s="379"/>
      <c r="O338" s="379"/>
      <c r="P338" s="379"/>
      <c r="Q338" s="379"/>
      <c r="R338" s="379"/>
      <c r="S338" s="379"/>
      <c r="T338" s="379"/>
      <c r="U338" s="379"/>
      <c r="W338" s="379"/>
    </row>
    <row r="339" customFormat="false" ht="14.25" hidden="false" customHeight="false" outlineLevel="0" collapsed="false">
      <c r="A339" s="379"/>
      <c r="B339" s="379"/>
      <c r="C339" s="379"/>
      <c r="D339" s="379"/>
      <c r="E339" s="379"/>
      <c r="F339" s="379"/>
      <c r="G339" s="379"/>
      <c r="H339" s="379"/>
      <c r="I339" s="379"/>
      <c r="J339" s="379"/>
      <c r="K339" s="379"/>
      <c r="L339" s="379"/>
      <c r="M339" s="379"/>
      <c r="N339" s="379"/>
      <c r="O339" s="379"/>
      <c r="P339" s="379"/>
      <c r="Q339" s="379"/>
      <c r="R339" s="379"/>
      <c r="S339" s="379"/>
      <c r="T339" s="379"/>
      <c r="U339" s="379"/>
      <c r="W339" s="379"/>
    </row>
    <row r="340" customFormat="false" ht="14.25" hidden="false" customHeight="false" outlineLevel="0" collapsed="false">
      <c r="A340" s="379"/>
      <c r="B340" s="379"/>
      <c r="C340" s="379"/>
      <c r="D340" s="379"/>
      <c r="E340" s="379"/>
      <c r="F340" s="379"/>
      <c r="G340" s="379"/>
      <c r="H340" s="379"/>
      <c r="I340" s="379"/>
      <c r="J340" s="379"/>
      <c r="K340" s="379"/>
      <c r="L340" s="379"/>
      <c r="M340" s="379"/>
      <c r="N340" s="379"/>
      <c r="O340" s="379"/>
      <c r="P340" s="379"/>
      <c r="Q340" s="379"/>
      <c r="R340" s="379"/>
      <c r="S340" s="379"/>
      <c r="T340" s="379"/>
      <c r="U340" s="379"/>
      <c r="W340" s="379"/>
    </row>
    <row r="341" customFormat="false" ht="14.25" hidden="false" customHeight="false" outlineLevel="0" collapsed="false">
      <c r="A341" s="379"/>
      <c r="B341" s="379"/>
      <c r="C341" s="379"/>
      <c r="D341" s="379"/>
      <c r="E341" s="379"/>
      <c r="F341" s="379"/>
      <c r="G341" s="379"/>
      <c r="H341" s="379"/>
      <c r="I341" s="379"/>
      <c r="J341" s="379"/>
      <c r="K341" s="379"/>
      <c r="L341" s="379"/>
      <c r="M341" s="379"/>
      <c r="N341" s="379"/>
      <c r="O341" s="379"/>
      <c r="P341" s="379"/>
      <c r="Q341" s="379"/>
      <c r="R341" s="379"/>
      <c r="S341" s="379"/>
      <c r="T341" s="379"/>
      <c r="U341" s="379"/>
      <c r="W341" s="379"/>
    </row>
    <row r="342" customFormat="false" ht="14.25" hidden="false" customHeight="false" outlineLevel="0" collapsed="false">
      <c r="A342" s="379"/>
      <c r="B342" s="379"/>
      <c r="C342" s="379"/>
      <c r="D342" s="379"/>
      <c r="E342" s="379"/>
      <c r="F342" s="379"/>
      <c r="G342" s="379"/>
      <c r="H342" s="379"/>
      <c r="I342" s="379"/>
      <c r="J342" s="379"/>
      <c r="K342" s="379"/>
      <c r="L342" s="379"/>
      <c r="M342" s="379"/>
      <c r="N342" s="379"/>
      <c r="O342" s="379"/>
      <c r="P342" s="379"/>
      <c r="Q342" s="379"/>
      <c r="R342" s="379"/>
      <c r="S342" s="379"/>
      <c r="T342" s="379"/>
      <c r="U342" s="379"/>
      <c r="W342" s="379"/>
    </row>
    <row r="343" customFormat="false" ht="14.25" hidden="false" customHeight="false" outlineLevel="0" collapsed="false">
      <c r="A343" s="379"/>
      <c r="B343" s="379"/>
      <c r="C343" s="379"/>
      <c r="D343" s="379"/>
      <c r="E343" s="379"/>
      <c r="F343" s="379"/>
      <c r="G343" s="379"/>
      <c r="H343" s="379"/>
      <c r="I343" s="379"/>
      <c r="J343" s="379"/>
      <c r="K343" s="379"/>
      <c r="L343" s="379"/>
      <c r="M343" s="379"/>
      <c r="N343" s="379"/>
      <c r="O343" s="379"/>
      <c r="P343" s="379"/>
      <c r="Q343" s="379"/>
      <c r="R343" s="379"/>
      <c r="S343" s="379"/>
      <c r="T343" s="379"/>
      <c r="U343" s="379"/>
      <c r="W343" s="379"/>
    </row>
    <row r="344" customFormat="false" ht="14.25" hidden="false" customHeight="false" outlineLevel="0" collapsed="false">
      <c r="A344" s="379"/>
      <c r="B344" s="379"/>
      <c r="C344" s="379"/>
      <c r="D344" s="379"/>
      <c r="E344" s="379"/>
      <c r="F344" s="379"/>
      <c r="G344" s="379"/>
      <c r="H344" s="379"/>
      <c r="I344" s="379"/>
      <c r="J344" s="379"/>
      <c r="K344" s="379"/>
      <c r="L344" s="379"/>
      <c r="M344" s="379"/>
      <c r="N344" s="379"/>
      <c r="O344" s="379"/>
      <c r="P344" s="379"/>
      <c r="Q344" s="379"/>
      <c r="R344" s="379"/>
      <c r="S344" s="379"/>
      <c r="T344" s="379"/>
      <c r="U344" s="379"/>
      <c r="W344" s="379"/>
    </row>
    <row r="345" customFormat="false" ht="14.25" hidden="false" customHeight="false" outlineLevel="0" collapsed="false">
      <c r="A345" s="379"/>
      <c r="B345" s="379"/>
      <c r="C345" s="379"/>
      <c r="D345" s="379"/>
      <c r="E345" s="379"/>
      <c r="F345" s="379"/>
      <c r="G345" s="379"/>
      <c r="H345" s="379"/>
      <c r="I345" s="379"/>
      <c r="J345" s="379"/>
      <c r="K345" s="379"/>
      <c r="L345" s="379"/>
      <c r="M345" s="379"/>
      <c r="N345" s="379"/>
      <c r="O345" s="379"/>
      <c r="P345" s="379"/>
      <c r="Q345" s="379"/>
      <c r="R345" s="379"/>
      <c r="S345" s="379"/>
      <c r="T345" s="379"/>
      <c r="U345" s="379"/>
      <c r="W345" s="379"/>
    </row>
    <row r="346" customFormat="false" ht="14.25" hidden="false" customHeight="false" outlineLevel="0" collapsed="false">
      <c r="A346" s="379"/>
      <c r="B346" s="379"/>
      <c r="C346" s="379"/>
      <c r="D346" s="379"/>
      <c r="E346" s="379"/>
      <c r="F346" s="379"/>
      <c r="G346" s="379"/>
      <c r="H346" s="379"/>
      <c r="I346" s="379"/>
      <c r="J346" s="379"/>
      <c r="K346" s="379"/>
      <c r="L346" s="379"/>
      <c r="M346" s="379"/>
      <c r="N346" s="379"/>
      <c r="O346" s="379"/>
      <c r="P346" s="379"/>
      <c r="Q346" s="379"/>
      <c r="R346" s="379"/>
      <c r="S346" s="379"/>
      <c r="T346" s="379"/>
      <c r="U346" s="379"/>
      <c r="W346" s="379"/>
    </row>
    <row r="347" customFormat="false" ht="14.25" hidden="false" customHeight="false" outlineLevel="0" collapsed="false">
      <c r="A347" s="379"/>
      <c r="B347" s="379"/>
      <c r="C347" s="379"/>
      <c r="D347" s="379"/>
      <c r="E347" s="379"/>
      <c r="F347" s="379"/>
      <c r="G347" s="379"/>
      <c r="H347" s="379"/>
      <c r="I347" s="379"/>
      <c r="J347" s="379"/>
      <c r="K347" s="379"/>
      <c r="L347" s="379"/>
      <c r="M347" s="379"/>
      <c r="N347" s="379"/>
      <c r="O347" s="379"/>
      <c r="P347" s="379"/>
      <c r="Q347" s="379"/>
      <c r="R347" s="379"/>
      <c r="S347" s="379"/>
      <c r="T347" s="379"/>
      <c r="U347" s="379"/>
      <c r="W347" s="379"/>
    </row>
    <row r="348" customFormat="false" ht="14.25" hidden="false" customHeight="false" outlineLevel="0" collapsed="false">
      <c r="A348" s="379"/>
      <c r="B348" s="379"/>
      <c r="C348" s="379"/>
      <c r="D348" s="379"/>
      <c r="E348" s="379"/>
      <c r="F348" s="379"/>
      <c r="G348" s="379"/>
      <c r="H348" s="379"/>
      <c r="I348" s="379"/>
      <c r="J348" s="379"/>
      <c r="K348" s="379"/>
      <c r="L348" s="379"/>
      <c r="M348" s="379"/>
      <c r="N348" s="379"/>
      <c r="O348" s="379"/>
      <c r="P348" s="379"/>
      <c r="Q348" s="379"/>
      <c r="R348" s="379"/>
      <c r="S348" s="379"/>
      <c r="T348" s="379"/>
      <c r="U348" s="379"/>
      <c r="W348" s="379"/>
    </row>
    <row r="349" customFormat="false" ht="14.25" hidden="false" customHeight="false" outlineLevel="0" collapsed="false">
      <c r="A349" s="379"/>
      <c r="B349" s="379"/>
      <c r="C349" s="379"/>
      <c r="D349" s="379"/>
      <c r="E349" s="379"/>
      <c r="F349" s="379"/>
      <c r="G349" s="379"/>
      <c r="H349" s="379"/>
      <c r="I349" s="379"/>
      <c r="J349" s="379"/>
      <c r="K349" s="379"/>
      <c r="L349" s="379"/>
      <c r="M349" s="379"/>
      <c r="N349" s="379"/>
      <c r="O349" s="379"/>
      <c r="P349" s="379"/>
      <c r="Q349" s="379"/>
      <c r="R349" s="379"/>
      <c r="S349" s="379"/>
      <c r="T349" s="379"/>
      <c r="U349" s="379"/>
      <c r="W349" s="379"/>
    </row>
    <row r="350" customFormat="false" ht="14.25" hidden="false" customHeight="false" outlineLevel="0" collapsed="false">
      <c r="A350" s="379"/>
      <c r="B350" s="379"/>
      <c r="C350" s="379"/>
      <c r="D350" s="379"/>
      <c r="E350" s="379"/>
      <c r="F350" s="379"/>
      <c r="G350" s="379"/>
      <c r="H350" s="379"/>
      <c r="I350" s="379"/>
      <c r="J350" s="379"/>
      <c r="K350" s="379"/>
      <c r="L350" s="379"/>
      <c r="M350" s="379"/>
      <c r="N350" s="379"/>
      <c r="O350" s="379"/>
      <c r="P350" s="379"/>
      <c r="Q350" s="379"/>
      <c r="R350" s="379"/>
      <c r="S350" s="379"/>
      <c r="T350" s="379"/>
      <c r="U350" s="379"/>
      <c r="W350" s="379"/>
    </row>
    <row r="351" customFormat="false" ht="14.25" hidden="false" customHeight="false" outlineLevel="0" collapsed="false">
      <c r="A351" s="379"/>
      <c r="B351" s="379"/>
      <c r="C351" s="379"/>
      <c r="D351" s="379"/>
      <c r="E351" s="379"/>
      <c r="F351" s="379"/>
      <c r="G351" s="379"/>
      <c r="H351" s="379"/>
      <c r="I351" s="379"/>
      <c r="J351" s="379"/>
      <c r="K351" s="379"/>
      <c r="L351" s="379"/>
      <c r="M351" s="379"/>
      <c r="N351" s="379"/>
      <c r="O351" s="379"/>
      <c r="P351" s="379"/>
      <c r="Q351" s="379"/>
      <c r="R351" s="379"/>
      <c r="S351" s="379"/>
      <c r="T351" s="379"/>
      <c r="U351" s="379"/>
      <c r="W351" s="379"/>
    </row>
    <row r="352" customFormat="false" ht="14.25" hidden="false" customHeight="false" outlineLevel="0" collapsed="false">
      <c r="A352" s="379"/>
      <c r="B352" s="379"/>
      <c r="C352" s="379"/>
      <c r="D352" s="379"/>
      <c r="E352" s="379"/>
      <c r="F352" s="379"/>
      <c r="G352" s="379"/>
      <c r="H352" s="379"/>
      <c r="I352" s="379"/>
      <c r="J352" s="379"/>
      <c r="K352" s="379"/>
      <c r="L352" s="379"/>
      <c r="M352" s="379"/>
      <c r="N352" s="379"/>
      <c r="O352" s="379"/>
      <c r="P352" s="379"/>
      <c r="Q352" s="379"/>
      <c r="R352" s="379"/>
      <c r="S352" s="379"/>
      <c r="T352" s="379"/>
      <c r="U352" s="379"/>
      <c r="W352" s="379"/>
    </row>
    <row r="353" customFormat="false" ht="14.25" hidden="false" customHeight="false" outlineLevel="0" collapsed="false">
      <c r="A353" s="379"/>
      <c r="B353" s="379"/>
      <c r="C353" s="379"/>
      <c r="D353" s="379"/>
      <c r="E353" s="379"/>
      <c r="F353" s="379"/>
      <c r="G353" s="379"/>
      <c r="H353" s="379"/>
      <c r="I353" s="379"/>
      <c r="J353" s="379"/>
      <c r="K353" s="379"/>
      <c r="L353" s="379"/>
      <c r="M353" s="379"/>
      <c r="N353" s="379"/>
      <c r="O353" s="379"/>
      <c r="P353" s="379"/>
      <c r="Q353" s="379"/>
      <c r="R353" s="379"/>
      <c r="S353" s="379"/>
      <c r="T353" s="379"/>
      <c r="U353" s="379"/>
      <c r="W353" s="379"/>
    </row>
    <row r="354" customFormat="false" ht="14.25" hidden="false" customHeight="false" outlineLevel="0" collapsed="false">
      <c r="A354" s="379"/>
      <c r="B354" s="379"/>
      <c r="C354" s="379"/>
      <c r="D354" s="379"/>
      <c r="E354" s="379"/>
      <c r="F354" s="379"/>
      <c r="G354" s="379"/>
      <c r="H354" s="379"/>
      <c r="I354" s="379"/>
      <c r="J354" s="379"/>
      <c r="K354" s="379"/>
      <c r="L354" s="379"/>
      <c r="M354" s="379"/>
      <c r="N354" s="379"/>
      <c r="O354" s="379"/>
      <c r="P354" s="379"/>
      <c r="Q354" s="379"/>
      <c r="R354" s="379"/>
      <c r="S354" s="379"/>
      <c r="T354" s="379"/>
      <c r="U354" s="379"/>
      <c r="W354" s="379"/>
    </row>
    <row r="355" customFormat="false" ht="14.25" hidden="false" customHeight="false" outlineLevel="0" collapsed="false">
      <c r="A355" s="379"/>
      <c r="B355" s="379"/>
      <c r="C355" s="379"/>
      <c r="D355" s="379"/>
      <c r="E355" s="379"/>
      <c r="F355" s="379"/>
      <c r="G355" s="379"/>
      <c r="H355" s="379"/>
      <c r="I355" s="379"/>
      <c r="J355" s="379"/>
      <c r="K355" s="379"/>
      <c r="L355" s="379"/>
      <c r="M355" s="379"/>
      <c r="N355" s="379"/>
      <c r="O355" s="379"/>
      <c r="P355" s="379"/>
      <c r="Q355" s="379"/>
      <c r="R355" s="379"/>
      <c r="S355" s="379"/>
      <c r="T355" s="379"/>
      <c r="U355" s="379"/>
      <c r="W355" s="379"/>
    </row>
    <row r="356" customFormat="false" ht="14.25" hidden="false" customHeight="false" outlineLevel="0" collapsed="false">
      <c r="A356" s="379"/>
      <c r="B356" s="379"/>
      <c r="C356" s="379"/>
      <c r="D356" s="379"/>
      <c r="E356" s="379"/>
      <c r="F356" s="379"/>
      <c r="G356" s="379"/>
      <c r="H356" s="379"/>
      <c r="I356" s="379"/>
      <c r="J356" s="379"/>
      <c r="K356" s="379"/>
      <c r="L356" s="379"/>
      <c r="M356" s="379"/>
      <c r="N356" s="379"/>
      <c r="O356" s="379"/>
      <c r="P356" s="379"/>
      <c r="Q356" s="379"/>
      <c r="R356" s="379"/>
      <c r="S356" s="379"/>
      <c r="T356" s="379"/>
      <c r="U356" s="379"/>
      <c r="W356" s="379"/>
    </row>
    <row r="357" customFormat="false" ht="14.25" hidden="false" customHeight="false" outlineLevel="0" collapsed="false">
      <c r="A357" s="379"/>
      <c r="B357" s="379"/>
      <c r="C357" s="379"/>
      <c r="D357" s="379"/>
      <c r="E357" s="379"/>
      <c r="F357" s="379"/>
      <c r="G357" s="379"/>
      <c r="H357" s="379"/>
      <c r="I357" s="379"/>
      <c r="J357" s="379"/>
      <c r="K357" s="379"/>
      <c r="L357" s="379"/>
      <c r="M357" s="379"/>
      <c r="N357" s="379"/>
      <c r="O357" s="379"/>
      <c r="P357" s="379"/>
      <c r="Q357" s="379"/>
      <c r="R357" s="379"/>
      <c r="S357" s="379"/>
      <c r="T357" s="379"/>
      <c r="U357" s="379"/>
      <c r="W357" s="379"/>
    </row>
    <row r="358" customFormat="false" ht="14.25" hidden="false" customHeight="false" outlineLevel="0" collapsed="false">
      <c r="A358" s="379"/>
      <c r="B358" s="379"/>
      <c r="C358" s="379"/>
      <c r="D358" s="379"/>
      <c r="E358" s="379"/>
      <c r="F358" s="379"/>
      <c r="G358" s="379"/>
      <c r="H358" s="379"/>
      <c r="I358" s="379"/>
      <c r="J358" s="379"/>
      <c r="K358" s="379"/>
      <c r="L358" s="379"/>
      <c r="M358" s="379"/>
      <c r="N358" s="379"/>
      <c r="O358" s="379"/>
      <c r="P358" s="379"/>
      <c r="Q358" s="379"/>
      <c r="R358" s="379"/>
      <c r="S358" s="379"/>
      <c r="T358" s="379"/>
      <c r="U358" s="379"/>
      <c r="W358" s="379"/>
    </row>
    <row r="359" customFormat="false" ht="14.25" hidden="false" customHeight="false" outlineLevel="0" collapsed="false">
      <c r="A359" s="379"/>
      <c r="B359" s="379"/>
      <c r="C359" s="379"/>
      <c r="D359" s="379"/>
      <c r="E359" s="379"/>
      <c r="F359" s="379"/>
      <c r="G359" s="379"/>
      <c r="H359" s="379"/>
      <c r="I359" s="379"/>
      <c r="J359" s="379"/>
      <c r="K359" s="379"/>
      <c r="L359" s="379"/>
      <c r="M359" s="379"/>
      <c r="N359" s="379"/>
      <c r="O359" s="379"/>
      <c r="P359" s="379"/>
      <c r="Q359" s="379"/>
      <c r="R359" s="379"/>
      <c r="S359" s="379"/>
      <c r="T359" s="379"/>
      <c r="U359" s="379"/>
      <c r="W359" s="379"/>
    </row>
    <row r="360" customFormat="false" ht="14.25" hidden="false" customHeight="false" outlineLevel="0" collapsed="false">
      <c r="A360" s="379"/>
      <c r="B360" s="379"/>
      <c r="C360" s="379"/>
      <c r="D360" s="379"/>
      <c r="E360" s="379"/>
      <c r="F360" s="379"/>
      <c r="G360" s="379"/>
      <c r="H360" s="379"/>
      <c r="I360" s="379"/>
      <c r="J360" s="379"/>
      <c r="K360" s="379"/>
      <c r="L360" s="379"/>
      <c r="M360" s="379"/>
      <c r="N360" s="379"/>
      <c r="O360" s="379"/>
      <c r="P360" s="379"/>
      <c r="Q360" s="379"/>
      <c r="R360" s="379"/>
      <c r="S360" s="379"/>
      <c r="T360" s="379"/>
      <c r="U360" s="379"/>
      <c r="W360" s="379"/>
    </row>
    <row r="361" customFormat="false" ht="14.25" hidden="false" customHeight="false" outlineLevel="0" collapsed="false">
      <c r="A361" s="379"/>
      <c r="B361" s="379"/>
      <c r="C361" s="379"/>
      <c r="D361" s="379"/>
      <c r="E361" s="379"/>
      <c r="F361" s="379"/>
      <c r="G361" s="379"/>
      <c r="H361" s="379"/>
      <c r="I361" s="379"/>
      <c r="J361" s="379"/>
      <c r="K361" s="379"/>
      <c r="L361" s="379"/>
      <c r="M361" s="379"/>
      <c r="N361" s="379"/>
      <c r="O361" s="379"/>
      <c r="P361" s="379"/>
      <c r="Q361" s="379"/>
      <c r="R361" s="379"/>
      <c r="S361" s="379"/>
      <c r="T361" s="379"/>
      <c r="U361" s="379"/>
      <c r="W361" s="379"/>
    </row>
    <row r="362" customFormat="false" ht="14.25" hidden="false" customHeight="false" outlineLevel="0" collapsed="false">
      <c r="A362" s="379"/>
      <c r="B362" s="379"/>
      <c r="C362" s="379"/>
      <c r="D362" s="379"/>
      <c r="E362" s="379"/>
      <c r="F362" s="379"/>
      <c r="G362" s="379"/>
      <c r="H362" s="379"/>
      <c r="I362" s="379"/>
      <c r="J362" s="379"/>
      <c r="K362" s="379"/>
      <c r="L362" s="379"/>
      <c r="M362" s="379"/>
      <c r="N362" s="379"/>
      <c r="O362" s="379"/>
      <c r="P362" s="379"/>
      <c r="Q362" s="379"/>
      <c r="R362" s="379"/>
      <c r="S362" s="379"/>
      <c r="T362" s="379"/>
      <c r="U362" s="379"/>
      <c r="W362" s="379"/>
    </row>
    <row r="363" customFormat="false" ht="14.25" hidden="false" customHeight="false" outlineLevel="0" collapsed="false">
      <c r="A363" s="379"/>
      <c r="B363" s="379"/>
      <c r="C363" s="379"/>
      <c r="D363" s="379"/>
      <c r="E363" s="379"/>
      <c r="F363" s="379"/>
      <c r="G363" s="379"/>
      <c r="H363" s="379"/>
      <c r="I363" s="379"/>
      <c r="J363" s="379"/>
      <c r="K363" s="379"/>
      <c r="L363" s="379"/>
      <c r="M363" s="379"/>
      <c r="N363" s="379"/>
      <c r="O363" s="379"/>
      <c r="P363" s="379"/>
      <c r="Q363" s="379"/>
      <c r="R363" s="379"/>
      <c r="S363" s="379"/>
      <c r="T363" s="379"/>
      <c r="U363" s="379"/>
      <c r="W363" s="379"/>
    </row>
    <row r="364" customFormat="false" ht="14.25" hidden="false" customHeight="false" outlineLevel="0" collapsed="false">
      <c r="A364" s="379"/>
      <c r="B364" s="379"/>
      <c r="C364" s="379"/>
      <c r="D364" s="379"/>
      <c r="E364" s="379"/>
      <c r="F364" s="379"/>
      <c r="G364" s="379"/>
      <c r="H364" s="379"/>
      <c r="I364" s="379"/>
      <c r="J364" s="379"/>
      <c r="K364" s="379"/>
      <c r="L364" s="379"/>
      <c r="M364" s="379"/>
      <c r="N364" s="379"/>
      <c r="O364" s="379"/>
      <c r="P364" s="379"/>
      <c r="Q364" s="379"/>
      <c r="R364" s="379"/>
      <c r="S364" s="379"/>
      <c r="T364" s="379"/>
      <c r="U364" s="379"/>
      <c r="W364" s="379"/>
    </row>
    <row r="365" customFormat="false" ht="14.25" hidden="false" customHeight="false" outlineLevel="0" collapsed="false">
      <c r="A365" s="379"/>
      <c r="B365" s="379"/>
      <c r="C365" s="379"/>
      <c r="D365" s="379"/>
      <c r="E365" s="379"/>
      <c r="F365" s="379"/>
      <c r="G365" s="379"/>
      <c r="H365" s="379"/>
      <c r="I365" s="379"/>
      <c r="J365" s="379"/>
      <c r="K365" s="379"/>
      <c r="L365" s="379"/>
      <c r="M365" s="379"/>
      <c r="N365" s="379"/>
      <c r="O365" s="379"/>
      <c r="P365" s="379"/>
      <c r="Q365" s="379"/>
      <c r="R365" s="379"/>
      <c r="S365" s="379"/>
      <c r="T365" s="379"/>
      <c r="U365" s="379"/>
      <c r="W365" s="379"/>
    </row>
    <row r="366" customFormat="false" ht="14.25" hidden="false" customHeight="false" outlineLevel="0" collapsed="false">
      <c r="A366" s="379"/>
      <c r="B366" s="379"/>
      <c r="C366" s="379"/>
      <c r="D366" s="379"/>
      <c r="E366" s="379"/>
      <c r="F366" s="379"/>
      <c r="G366" s="379"/>
      <c r="H366" s="379"/>
      <c r="I366" s="379"/>
      <c r="J366" s="379"/>
      <c r="K366" s="379"/>
      <c r="L366" s="379"/>
      <c r="M366" s="379"/>
      <c r="N366" s="379"/>
      <c r="O366" s="379"/>
      <c r="P366" s="379"/>
      <c r="Q366" s="379"/>
      <c r="R366" s="379"/>
      <c r="S366" s="379"/>
      <c r="T366" s="379"/>
      <c r="U366" s="379"/>
      <c r="W366" s="379"/>
    </row>
    <row r="367" customFormat="false" ht="14.25" hidden="false" customHeight="false" outlineLevel="0" collapsed="false">
      <c r="A367" s="379"/>
      <c r="B367" s="379"/>
      <c r="C367" s="379"/>
      <c r="D367" s="379"/>
      <c r="E367" s="379"/>
      <c r="F367" s="379"/>
      <c r="G367" s="379"/>
      <c r="H367" s="379"/>
      <c r="I367" s="379"/>
      <c r="J367" s="379"/>
      <c r="K367" s="379"/>
      <c r="L367" s="379"/>
      <c r="M367" s="379"/>
      <c r="N367" s="379"/>
      <c r="O367" s="379"/>
      <c r="P367" s="379"/>
      <c r="Q367" s="379"/>
      <c r="R367" s="379"/>
      <c r="S367" s="379"/>
      <c r="T367" s="379"/>
      <c r="U367" s="379"/>
      <c r="W367" s="379"/>
    </row>
    <row r="368" customFormat="false" ht="14.25" hidden="false" customHeight="false" outlineLevel="0" collapsed="false">
      <c r="A368" s="379"/>
      <c r="B368" s="379"/>
      <c r="C368" s="379"/>
      <c r="D368" s="379"/>
      <c r="E368" s="379"/>
      <c r="F368" s="379"/>
      <c r="G368" s="379"/>
      <c r="H368" s="379"/>
      <c r="I368" s="379"/>
      <c r="J368" s="379"/>
      <c r="K368" s="379"/>
      <c r="L368" s="379"/>
      <c r="M368" s="379"/>
      <c r="N368" s="379"/>
      <c r="O368" s="379"/>
      <c r="P368" s="379"/>
      <c r="Q368" s="379"/>
      <c r="R368" s="379"/>
      <c r="S368" s="379"/>
      <c r="T368" s="379"/>
      <c r="U368" s="379"/>
      <c r="W368" s="379"/>
    </row>
    <row r="369" customFormat="false" ht="14.25" hidden="false" customHeight="false" outlineLevel="0" collapsed="false">
      <c r="A369" s="379"/>
      <c r="B369" s="379"/>
      <c r="C369" s="379"/>
      <c r="D369" s="379"/>
      <c r="E369" s="379"/>
      <c r="F369" s="379"/>
      <c r="G369" s="379"/>
      <c r="H369" s="379"/>
      <c r="I369" s="379"/>
      <c r="J369" s="379"/>
      <c r="K369" s="379"/>
      <c r="L369" s="379"/>
      <c r="M369" s="379"/>
      <c r="N369" s="379"/>
      <c r="O369" s="379"/>
      <c r="P369" s="379"/>
      <c r="Q369" s="379"/>
      <c r="R369" s="379"/>
      <c r="S369" s="379"/>
      <c r="T369" s="379"/>
      <c r="U369" s="379"/>
      <c r="W369" s="379"/>
    </row>
    <row r="370" customFormat="false" ht="14.25" hidden="false" customHeight="false" outlineLevel="0" collapsed="false">
      <c r="A370" s="379"/>
      <c r="B370" s="379"/>
      <c r="C370" s="379"/>
      <c r="D370" s="379"/>
      <c r="E370" s="379"/>
      <c r="F370" s="379"/>
      <c r="G370" s="379"/>
      <c r="H370" s="379"/>
      <c r="I370" s="379"/>
      <c r="J370" s="379"/>
      <c r="K370" s="379"/>
      <c r="L370" s="379"/>
      <c r="M370" s="379"/>
      <c r="N370" s="379"/>
      <c r="O370" s="379"/>
      <c r="P370" s="379"/>
      <c r="Q370" s="379"/>
      <c r="R370" s="379"/>
      <c r="S370" s="379"/>
      <c r="T370" s="379"/>
      <c r="U370" s="379"/>
      <c r="W370" s="379"/>
    </row>
    <row r="371" customFormat="false" ht="14.25" hidden="false" customHeight="false" outlineLevel="0" collapsed="false">
      <c r="A371" s="379"/>
      <c r="B371" s="379"/>
      <c r="C371" s="379"/>
      <c r="D371" s="379"/>
      <c r="E371" s="379"/>
      <c r="F371" s="379"/>
      <c r="G371" s="379"/>
      <c r="H371" s="379"/>
      <c r="I371" s="379"/>
      <c r="J371" s="379"/>
      <c r="K371" s="379"/>
      <c r="L371" s="379"/>
      <c r="M371" s="379"/>
      <c r="N371" s="379"/>
      <c r="O371" s="379"/>
      <c r="P371" s="379"/>
      <c r="Q371" s="379"/>
      <c r="R371" s="379"/>
      <c r="S371" s="379"/>
      <c r="T371" s="379"/>
      <c r="U371" s="379"/>
      <c r="W371" s="379"/>
    </row>
    <row r="372" customFormat="false" ht="14.25" hidden="false" customHeight="false" outlineLevel="0" collapsed="false">
      <c r="A372" s="379"/>
      <c r="B372" s="379"/>
      <c r="C372" s="379"/>
      <c r="D372" s="379"/>
      <c r="E372" s="379"/>
      <c r="F372" s="379"/>
      <c r="G372" s="379"/>
      <c r="H372" s="379"/>
      <c r="I372" s="379"/>
      <c r="J372" s="379"/>
      <c r="K372" s="379"/>
      <c r="L372" s="379"/>
      <c r="M372" s="379"/>
      <c r="N372" s="379"/>
      <c r="O372" s="379"/>
      <c r="P372" s="379"/>
      <c r="Q372" s="379"/>
      <c r="R372" s="379"/>
      <c r="S372" s="379"/>
      <c r="T372" s="379"/>
      <c r="U372" s="379"/>
      <c r="W372" s="379"/>
    </row>
    <row r="373" customFormat="false" ht="14.25" hidden="false" customHeight="false" outlineLevel="0" collapsed="false">
      <c r="A373" s="379"/>
      <c r="B373" s="379"/>
      <c r="C373" s="379"/>
      <c r="D373" s="379"/>
      <c r="E373" s="379"/>
      <c r="F373" s="379"/>
      <c r="G373" s="379"/>
      <c r="H373" s="379"/>
      <c r="I373" s="379"/>
      <c r="J373" s="379"/>
      <c r="K373" s="379"/>
      <c r="L373" s="379"/>
      <c r="M373" s="379"/>
      <c r="N373" s="379"/>
      <c r="O373" s="379"/>
      <c r="P373" s="379"/>
      <c r="Q373" s="379"/>
      <c r="R373" s="379"/>
      <c r="S373" s="379"/>
      <c r="T373" s="379"/>
      <c r="U373" s="379"/>
      <c r="W373" s="379"/>
    </row>
    <row r="374" customFormat="false" ht="14.25" hidden="false" customHeight="false" outlineLevel="0" collapsed="false">
      <c r="A374" s="379"/>
      <c r="B374" s="379"/>
      <c r="C374" s="379"/>
      <c r="D374" s="379"/>
      <c r="E374" s="379"/>
      <c r="F374" s="379"/>
      <c r="G374" s="379"/>
      <c r="H374" s="379"/>
      <c r="I374" s="379"/>
      <c r="J374" s="379"/>
      <c r="K374" s="379"/>
      <c r="L374" s="379"/>
      <c r="M374" s="379"/>
      <c r="N374" s="379"/>
      <c r="O374" s="379"/>
      <c r="P374" s="379"/>
      <c r="Q374" s="379"/>
      <c r="R374" s="379"/>
      <c r="S374" s="379"/>
      <c r="T374" s="379"/>
      <c r="U374" s="379"/>
      <c r="W374" s="379"/>
    </row>
    <row r="375" customFormat="false" ht="14.25" hidden="false" customHeight="false" outlineLevel="0" collapsed="false">
      <c r="A375" s="379"/>
      <c r="B375" s="379"/>
      <c r="C375" s="379"/>
      <c r="D375" s="379"/>
      <c r="E375" s="379"/>
      <c r="F375" s="379"/>
      <c r="G375" s="379"/>
      <c r="H375" s="379"/>
      <c r="I375" s="379"/>
      <c r="J375" s="379"/>
      <c r="K375" s="379"/>
      <c r="L375" s="379"/>
      <c r="M375" s="379"/>
      <c r="N375" s="379"/>
      <c r="O375" s="379"/>
      <c r="P375" s="379"/>
      <c r="Q375" s="379"/>
      <c r="R375" s="379"/>
      <c r="S375" s="379"/>
      <c r="T375" s="379"/>
      <c r="U375" s="379"/>
      <c r="W375" s="379"/>
    </row>
    <row r="376" customFormat="false" ht="14.25" hidden="false" customHeight="false" outlineLevel="0" collapsed="false">
      <c r="A376" s="379"/>
      <c r="B376" s="379"/>
      <c r="C376" s="379"/>
      <c r="D376" s="379"/>
      <c r="E376" s="379"/>
      <c r="F376" s="379"/>
      <c r="G376" s="379"/>
      <c r="H376" s="379"/>
      <c r="I376" s="379"/>
      <c r="J376" s="379"/>
      <c r="K376" s="379"/>
      <c r="L376" s="379"/>
      <c r="M376" s="379"/>
      <c r="N376" s="379"/>
      <c r="O376" s="379"/>
      <c r="P376" s="379"/>
      <c r="Q376" s="379"/>
      <c r="R376" s="379"/>
      <c r="S376" s="379"/>
      <c r="T376" s="379"/>
      <c r="U376" s="379"/>
      <c r="W376" s="379"/>
    </row>
    <row r="377" customFormat="false" ht="14.25" hidden="false" customHeight="false" outlineLevel="0" collapsed="false">
      <c r="A377" s="379"/>
      <c r="B377" s="379"/>
      <c r="C377" s="379"/>
      <c r="D377" s="379"/>
      <c r="E377" s="379"/>
      <c r="F377" s="379"/>
      <c r="G377" s="379"/>
      <c r="H377" s="379"/>
      <c r="I377" s="379"/>
      <c r="J377" s="379"/>
      <c r="K377" s="379"/>
      <c r="L377" s="379"/>
      <c r="M377" s="379"/>
      <c r="N377" s="379"/>
      <c r="O377" s="379"/>
      <c r="P377" s="379"/>
      <c r="Q377" s="379"/>
      <c r="R377" s="379"/>
      <c r="S377" s="379"/>
      <c r="T377" s="379"/>
      <c r="U377" s="379"/>
      <c r="W377" s="379"/>
    </row>
    <row r="378" customFormat="false" ht="14.25" hidden="false" customHeight="false" outlineLevel="0" collapsed="false">
      <c r="A378" s="379"/>
      <c r="B378" s="379"/>
      <c r="C378" s="379"/>
      <c r="D378" s="379"/>
      <c r="E378" s="379"/>
      <c r="F378" s="379"/>
      <c r="G378" s="379"/>
      <c r="H378" s="379"/>
      <c r="I378" s="379"/>
      <c r="J378" s="379"/>
      <c r="K378" s="379"/>
      <c r="L378" s="379"/>
      <c r="M378" s="379"/>
      <c r="N378" s="379"/>
      <c r="O378" s="379"/>
      <c r="P378" s="379"/>
      <c r="Q378" s="379"/>
      <c r="R378" s="379"/>
      <c r="S378" s="379"/>
      <c r="T378" s="379"/>
      <c r="U378" s="379"/>
      <c r="W378" s="379"/>
    </row>
    <row r="379" customFormat="false" ht="14.25" hidden="false" customHeight="false" outlineLevel="0" collapsed="false">
      <c r="A379" s="379"/>
      <c r="B379" s="379"/>
      <c r="C379" s="379"/>
      <c r="D379" s="379"/>
      <c r="E379" s="379"/>
      <c r="F379" s="379"/>
      <c r="G379" s="379"/>
      <c r="H379" s="379"/>
      <c r="I379" s="379"/>
      <c r="J379" s="379"/>
      <c r="K379" s="379"/>
      <c r="L379" s="379"/>
      <c r="M379" s="379"/>
      <c r="N379" s="379"/>
      <c r="O379" s="379"/>
      <c r="P379" s="379"/>
      <c r="Q379" s="379"/>
      <c r="R379" s="379"/>
      <c r="S379" s="379"/>
      <c r="T379" s="379"/>
      <c r="U379" s="379"/>
      <c r="W379" s="379"/>
    </row>
    <row r="380" customFormat="false" ht="14.25" hidden="false" customHeight="false" outlineLevel="0" collapsed="false">
      <c r="A380" s="379"/>
      <c r="B380" s="379"/>
      <c r="C380" s="379"/>
      <c r="D380" s="379"/>
      <c r="E380" s="379"/>
      <c r="F380" s="379"/>
      <c r="G380" s="379"/>
      <c r="H380" s="379"/>
      <c r="I380" s="379"/>
      <c r="J380" s="379"/>
      <c r="K380" s="379"/>
      <c r="L380" s="379"/>
      <c r="M380" s="379"/>
      <c r="N380" s="379"/>
      <c r="O380" s="379"/>
      <c r="P380" s="379"/>
      <c r="Q380" s="379"/>
      <c r="R380" s="379"/>
      <c r="S380" s="379"/>
      <c r="T380" s="379"/>
      <c r="U380" s="379"/>
      <c r="W380" s="379"/>
    </row>
    <row r="381" customFormat="false" ht="14.25" hidden="false" customHeight="false" outlineLevel="0" collapsed="false">
      <c r="A381" s="379"/>
      <c r="B381" s="379"/>
      <c r="C381" s="379"/>
      <c r="D381" s="379"/>
      <c r="E381" s="379"/>
      <c r="F381" s="379"/>
      <c r="G381" s="379"/>
      <c r="H381" s="379"/>
      <c r="I381" s="379"/>
      <c r="J381" s="379"/>
      <c r="K381" s="379"/>
      <c r="L381" s="379"/>
      <c r="M381" s="379"/>
      <c r="N381" s="379"/>
      <c r="O381" s="379"/>
      <c r="P381" s="379"/>
      <c r="Q381" s="379"/>
      <c r="R381" s="379"/>
      <c r="S381" s="379"/>
      <c r="T381" s="379"/>
      <c r="U381" s="379"/>
      <c r="W381" s="379"/>
    </row>
    <row r="382" customFormat="false" ht="14.25" hidden="false" customHeight="false" outlineLevel="0" collapsed="false">
      <c r="A382" s="379"/>
      <c r="B382" s="379"/>
      <c r="C382" s="379"/>
      <c r="D382" s="379"/>
      <c r="E382" s="379"/>
      <c r="F382" s="379"/>
      <c r="G382" s="379"/>
      <c r="H382" s="379"/>
      <c r="I382" s="379"/>
      <c r="J382" s="379"/>
      <c r="K382" s="379"/>
      <c r="L382" s="379"/>
      <c r="M382" s="379"/>
      <c r="N382" s="379"/>
      <c r="O382" s="379"/>
      <c r="P382" s="379"/>
      <c r="Q382" s="379"/>
      <c r="R382" s="379"/>
      <c r="S382" s="379"/>
      <c r="T382" s="379"/>
      <c r="U382" s="379"/>
      <c r="W382" s="379"/>
    </row>
    <row r="383" customFormat="false" ht="14.25" hidden="false" customHeight="false" outlineLevel="0" collapsed="false">
      <c r="A383" s="379"/>
      <c r="B383" s="379"/>
      <c r="C383" s="379"/>
      <c r="D383" s="379"/>
      <c r="E383" s="379"/>
      <c r="F383" s="379"/>
      <c r="G383" s="379"/>
      <c r="H383" s="379"/>
      <c r="I383" s="379"/>
      <c r="J383" s="379"/>
      <c r="K383" s="379"/>
      <c r="L383" s="379"/>
      <c r="M383" s="379"/>
      <c r="N383" s="379"/>
      <c r="O383" s="379"/>
      <c r="P383" s="379"/>
      <c r="Q383" s="379"/>
      <c r="R383" s="379"/>
      <c r="S383" s="379"/>
      <c r="T383" s="379"/>
      <c r="U383" s="379"/>
      <c r="W383" s="379"/>
    </row>
    <row r="384" customFormat="false" ht="14.25" hidden="false" customHeight="false" outlineLevel="0" collapsed="false">
      <c r="A384" s="379"/>
      <c r="B384" s="379"/>
      <c r="C384" s="379"/>
      <c r="D384" s="379"/>
      <c r="E384" s="379"/>
      <c r="F384" s="379"/>
      <c r="G384" s="379"/>
      <c r="H384" s="379"/>
      <c r="I384" s="379"/>
      <c r="J384" s="379"/>
      <c r="K384" s="379"/>
      <c r="L384" s="379"/>
      <c r="M384" s="379"/>
      <c r="N384" s="379"/>
      <c r="O384" s="379"/>
      <c r="P384" s="379"/>
      <c r="Q384" s="379"/>
      <c r="R384" s="379"/>
      <c r="S384" s="379"/>
      <c r="T384" s="379"/>
      <c r="U384" s="379"/>
      <c r="W384" s="379"/>
    </row>
    <row r="385" customFormat="false" ht="14.25" hidden="false" customHeight="false" outlineLevel="0" collapsed="false">
      <c r="A385" s="379"/>
      <c r="B385" s="379"/>
      <c r="C385" s="379"/>
      <c r="D385" s="379"/>
      <c r="E385" s="379"/>
      <c r="F385" s="379"/>
      <c r="G385" s="379"/>
      <c r="H385" s="379"/>
      <c r="I385" s="379"/>
      <c r="J385" s="379"/>
      <c r="K385" s="379"/>
      <c r="L385" s="379"/>
      <c r="M385" s="379"/>
      <c r="N385" s="379"/>
      <c r="O385" s="379"/>
      <c r="P385" s="379"/>
      <c r="Q385" s="379"/>
      <c r="R385" s="379"/>
      <c r="S385" s="379"/>
      <c r="T385" s="379"/>
      <c r="U385" s="379"/>
      <c r="W385" s="379"/>
    </row>
    <row r="386" customFormat="false" ht="14.25" hidden="false" customHeight="false" outlineLevel="0" collapsed="false">
      <c r="A386" s="379"/>
      <c r="B386" s="379"/>
      <c r="C386" s="379"/>
      <c r="D386" s="379"/>
      <c r="E386" s="379"/>
      <c r="F386" s="379"/>
      <c r="G386" s="379"/>
      <c r="H386" s="379"/>
      <c r="I386" s="379"/>
      <c r="J386" s="379"/>
      <c r="K386" s="379"/>
      <c r="L386" s="379"/>
      <c r="M386" s="379"/>
      <c r="N386" s="379"/>
      <c r="O386" s="379"/>
      <c r="P386" s="379"/>
      <c r="Q386" s="379"/>
      <c r="R386" s="379"/>
      <c r="S386" s="379"/>
      <c r="T386" s="379"/>
      <c r="U386" s="379"/>
      <c r="W386" s="379"/>
    </row>
    <row r="387" customFormat="false" ht="14.25" hidden="false" customHeight="false" outlineLevel="0" collapsed="false">
      <c r="A387" s="379"/>
      <c r="B387" s="379"/>
      <c r="C387" s="379"/>
      <c r="D387" s="379"/>
      <c r="E387" s="379"/>
      <c r="F387" s="379"/>
      <c r="G387" s="379"/>
      <c r="H387" s="379"/>
      <c r="I387" s="379"/>
      <c r="J387" s="379"/>
      <c r="K387" s="379"/>
      <c r="L387" s="379"/>
      <c r="M387" s="379"/>
      <c r="N387" s="379"/>
      <c r="O387" s="379"/>
      <c r="P387" s="379"/>
      <c r="Q387" s="379"/>
      <c r="R387" s="379"/>
      <c r="S387" s="379"/>
      <c r="T387" s="379"/>
      <c r="U387" s="379"/>
      <c r="W387" s="379"/>
    </row>
    <row r="388" customFormat="false" ht="14.25" hidden="false" customHeight="false" outlineLevel="0" collapsed="false">
      <c r="A388" s="379"/>
      <c r="B388" s="379"/>
      <c r="C388" s="379"/>
      <c r="D388" s="379"/>
      <c r="E388" s="379"/>
      <c r="F388" s="379"/>
      <c r="G388" s="379"/>
      <c r="H388" s="379"/>
      <c r="I388" s="379"/>
      <c r="J388" s="379"/>
      <c r="K388" s="379"/>
      <c r="L388" s="379"/>
      <c r="M388" s="379"/>
      <c r="N388" s="379"/>
      <c r="O388" s="379"/>
      <c r="P388" s="379"/>
      <c r="Q388" s="379"/>
      <c r="R388" s="379"/>
      <c r="S388" s="379"/>
      <c r="T388" s="379"/>
      <c r="U388" s="379"/>
      <c r="W388" s="379"/>
    </row>
    <row r="389" customFormat="false" ht="14.25" hidden="false" customHeight="false" outlineLevel="0" collapsed="false">
      <c r="A389" s="379"/>
      <c r="B389" s="379"/>
      <c r="C389" s="379"/>
      <c r="D389" s="379"/>
      <c r="E389" s="379"/>
      <c r="F389" s="379"/>
      <c r="G389" s="379"/>
      <c r="H389" s="379"/>
      <c r="I389" s="379"/>
      <c r="J389" s="379"/>
      <c r="K389" s="379"/>
      <c r="L389" s="379"/>
      <c r="M389" s="379"/>
      <c r="N389" s="379"/>
      <c r="O389" s="379"/>
      <c r="P389" s="379"/>
      <c r="Q389" s="379"/>
      <c r="R389" s="379"/>
      <c r="S389" s="379"/>
      <c r="T389" s="379"/>
      <c r="U389" s="379"/>
      <c r="W389" s="379"/>
    </row>
    <row r="390" customFormat="false" ht="14.25" hidden="false" customHeight="false" outlineLevel="0" collapsed="false">
      <c r="A390" s="379"/>
      <c r="B390" s="379"/>
      <c r="C390" s="379"/>
      <c r="D390" s="379"/>
      <c r="E390" s="379"/>
      <c r="F390" s="379"/>
      <c r="G390" s="379"/>
      <c r="H390" s="379"/>
      <c r="I390" s="379"/>
      <c r="J390" s="379"/>
      <c r="K390" s="379"/>
      <c r="L390" s="379"/>
      <c r="M390" s="379"/>
      <c r="N390" s="379"/>
      <c r="O390" s="379"/>
      <c r="P390" s="379"/>
      <c r="Q390" s="379"/>
      <c r="R390" s="379"/>
      <c r="S390" s="379"/>
      <c r="T390" s="379"/>
      <c r="U390" s="379"/>
      <c r="W390" s="379"/>
    </row>
    <row r="391" customFormat="false" ht="14.25" hidden="false" customHeight="false" outlineLevel="0" collapsed="false">
      <c r="A391" s="379"/>
      <c r="B391" s="379"/>
      <c r="C391" s="379"/>
      <c r="D391" s="379"/>
      <c r="E391" s="379"/>
      <c r="F391" s="379"/>
      <c r="G391" s="379"/>
      <c r="H391" s="379"/>
      <c r="I391" s="379"/>
      <c r="J391" s="379"/>
      <c r="K391" s="379"/>
      <c r="L391" s="379"/>
      <c r="M391" s="379"/>
      <c r="N391" s="379"/>
      <c r="O391" s="379"/>
      <c r="P391" s="379"/>
      <c r="Q391" s="379"/>
      <c r="R391" s="379"/>
      <c r="S391" s="379"/>
      <c r="T391" s="379"/>
      <c r="U391" s="379"/>
      <c r="W391" s="379"/>
    </row>
    <row r="392" customFormat="false" ht="14.25" hidden="false" customHeight="false" outlineLevel="0" collapsed="false">
      <c r="A392" s="379"/>
      <c r="B392" s="379"/>
      <c r="C392" s="379"/>
      <c r="D392" s="379"/>
      <c r="E392" s="379"/>
      <c r="F392" s="379"/>
      <c r="G392" s="379"/>
      <c r="H392" s="379"/>
      <c r="I392" s="379"/>
      <c r="J392" s="379"/>
      <c r="K392" s="379"/>
      <c r="L392" s="379"/>
      <c r="M392" s="379"/>
      <c r="N392" s="379"/>
      <c r="O392" s="379"/>
      <c r="P392" s="379"/>
      <c r="Q392" s="379"/>
      <c r="R392" s="379"/>
      <c r="S392" s="379"/>
      <c r="T392" s="379"/>
      <c r="U392" s="379"/>
      <c r="W392" s="379"/>
    </row>
    <row r="393" customFormat="false" ht="14.25" hidden="false" customHeight="false" outlineLevel="0" collapsed="false">
      <c r="A393" s="379"/>
      <c r="B393" s="379"/>
      <c r="C393" s="379"/>
      <c r="D393" s="379"/>
      <c r="E393" s="379"/>
      <c r="F393" s="379"/>
      <c r="G393" s="379"/>
      <c r="H393" s="379"/>
      <c r="I393" s="379"/>
      <c r="J393" s="379"/>
      <c r="K393" s="379"/>
      <c r="L393" s="379"/>
      <c r="M393" s="379"/>
      <c r="N393" s="379"/>
      <c r="O393" s="379"/>
      <c r="P393" s="379"/>
      <c r="Q393" s="379"/>
      <c r="R393" s="379"/>
      <c r="S393" s="379"/>
      <c r="T393" s="379"/>
      <c r="U393" s="379"/>
      <c r="W393" s="379"/>
    </row>
    <row r="394" customFormat="false" ht="14.25" hidden="false" customHeight="false" outlineLevel="0" collapsed="false">
      <c r="A394" s="379"/>
      <c r="B394" s="379"/>
      <c r="C394" s="379"/>
      <c r="D394" s="379"/>
      <c r="E394" s="379"/>
      <c r="F394" s="379"/>
      <c r="G394" s="379"/>
      <c r="H394" s="379"/>
      <c r="I394" s="379"/>
      <c r="J394" s="379"/>
      <c r="K394" s="379"/>
      <c r="L394" s="379"/>
      <c r="M394" s="379"/>
      <c r="N394" s="379"/>
      <c r="O394" s="379"/>
      <c r="P394" s="379"/>
      <c r="Q394" s="379"/>
      <c r="R394" s="379"/>
      <c r="S394" s="379"/>
      <c r="T394" s="379"/>
      <c r="U394" s="379"/>
      <c r="W394" s="379"/>
    </row>
    <row r="395" customFormat="false" ht="14.25" hidden="false" customHeight="false" outlineLevel="0" collapsed="false">
      <c r="A395" s="379"/>
      <c r="B395" s="379"/>
      <c r="C395" s="379"/>
      <c r="D395" s="379"/>
      <c r="E395" s="379"/>
      <c r="F395" s="379"/>
      <c r="G395" s="379"/>
      <c r="H395" s="379"/>
      <c r="I395" s="379"/>
      <c r="J395" s="379"/>
      <c r="K395" s="379"/>
      <c r="L395" s="379"/>
      <c r="M395" s="379"/>
      <c r="N395" s="379"/>
      <c r="O395" s="379"/>
      <c r="P395" s="379"/>
      <c r="Q395" s="379"/>
      <c r="R395" s="379"/>
      <c r="S395" s="379"/>
      <c r="T395" s="379"/>
      <c r="U395" s="379"/>
      <c r="W395" s="379"/>
    </row>
    <row r="396" customFormat="false" ht="14.25" hidden="false" customHeight="false" outlineLevel="0" collapsed="false">
      <c r="A396" s="379"/>
      <c r="B396" s="379"/>
      <c r="C396" s="379"/>
      <c r="D396" s="379"/>
      <c r="E396" s="379"/>
      <c r="F396" s="379"/>
      <c r="G396" s="379"/>
      <c r="H396" s="379"/>
      <c r="I396" s="379"/>
      <c r="J396" s="379"/>
      <c r="K396" s="379"/>
      <c r="L396" s="379"/>
      <c r="M396" s="379"/>
      <c r="N396" s="379"/>
      <c r="O396" s="379"/>
      <c r="P396" s="379"/>
      <c r="Q396" s="379"/>
      <c r="R396" s="379"/>
      <c r="S396" s="379"/>
      <c r="T396" s="379"/>
      <c r="U396" s="379"/>
      <c r="W396" s="379"/>
    </row>
    <row r="397" customFormat="false" ht="14.25" hidden="false" customHeight="false" outlineLevel="0" collapsed="false">
      <c r="A397" s="379"/>
      <c r="B397" s="379"/>
      <c r="C397" s="379"/>
      <c r="D397" s="379"/>
      <c r="E397" s="379"/>
      <c r="F397" s="379"/>
      <c r="G397" s="379"/>
      <c r="H397" s="379"/>
      <c r="I397" s="379"/>
      <c r="J397" s="379"/>
      <c r="K397" s="379"/>
      <c r="L397" s="379"/>
      <c r="M397" s="379"/>
      <c r="N397" s="379"/>
      <c r="O397" s="379"/>
      <c r="P397" s="379"/>
      <c r="Q397" s="379"/>
      <c r="R397" s="379"/>
      <c r="S397" s="379"/>
      <c r="T397" s="379"/>
      <c r="U397" s="379"/>
      <c r="W397" s="379"/>
    </row>
    <row r="398" customFormat="false" ht="14.25" hidden="false" customHeight="false" outlineLevel="0" collapsed="false">
      <c r="A398" s="379"/>
      <c r="B398" s="379"/>
      <c r="C398" s="379"/>
      <c r="D398" s="379"/>
      <c r="E398" s="379"/>
      <c r="F398" s="379"/>
      <c r="G398" s="379"/>
      <c r="H398" s="379"/>
      <c r="I398" s="379"/>
      <c r="J398" s="379"/>
      <c r="K398" s="379"/>
      <c r="L398" s="379"/>
      <c r="M398" s="379"/>
      <c r="N398" s="379"/>
      <c r="O398" s="379"/>
      <c r="P398" s="379"/>
      <c r="Q398" s="379"/>
      <c r="R398" s="379"/>
      <c r="S398" s="379"/>
      <c r="T398" s="379"/>
      <c r="U398" s="379"/>
      <c r="W398" s="379"/>
    </row>
    <row r="399" customFormat="false" ht="14.25" hidden="false" customHeight="false" outlineLevel="0" collapsed="false">
      <c r="A399" s="379"/>
      <c r="B399" s="379"/>
      <c r="C399" s="379"/>
      <c r="D399" s="379"/>
      <c r="E399" s="379"/>
      <c r="F399" s="379"/>
      <c r="G399" s="379"/>
      <c r="H399" s="379"/>
      <c r="I399" s="379"/>
      <c r="J399" s="379"/>
      <c r="K399" s="379"/>
      <c r="L399" s="379"/>
      <c r="M399" s="379"/>
      <c r="N399" s="379"/>
      <c r="O399" s="379"/>
      <c r="P399" s="379"/>
      <c r="Q399" s="379"/>
      <c r="R399" s="379"/>
      <c r="S399" s="379"/>
      <c r="T399" s="379"/>
      <c r="U399" s="379"/>
      <c r="W399" s="379"/>
    </row>
    <row r="400" customFormat="false" ht="14.25" hidden="false" customHeight="false" outlineLevel="0" collapsed="false">
      <c r="A400" s="379"/>
      <c r="B400" s="379"/>
      <c r="C400" s="379"/>
      <c r="D400" s="379"/>
      <c r="E400" s="379"/>
      <c r="F400" s="379"/>
      <c r="G400" s="379"/>
      <c r="H400" s="379"/>
      <c r="I400" s="379"/>
      <c r="J400" s="379"/>
      <c r="K400" s="379"/>
      <c r="L400" s="379"/>
      <c r="M400" s="379"/>
      <c r="N400" s="379"/>
      <c r="O400" s="379"/>
      <c r="P400" s="379"/>
      <c r="Q400" s="379"/>
      <c r="R400" s="379"/>
      <c r="S400" s="379"/>
      <c r="T400" s="379"/>
      <c r="U400" s="379"/>
      <c r="W400" s="379"/>
    </row>
    <row r="401" customFormat="false" ht="14.25" hidden="false" customHeight="false" outlineLevel="0" collapsed="false">
      <c r="A401" s="379"/>
      <c r="B401" s="379"/>
      <c r="C401" s="379"/>
      <c r="D401" s="379"/>
      <c r="E401" s="379"/>
      <c r="F401" s="379"/>
      <c r="G401" s="379"/>
      <c r="H401" s="379"/>
      <c r="I401" s="379"/>
      <c r="J401" s="379"/>
      <c r="K401" s="379"/>
      <c r="L401" s="379"/>
      <c r="M401" s="379"/>
      <c r="N401" s="379"/>
      <c r="O401" s="379"/>
      <c r="P401" s="379"/>
      <c r="Q401" s="379"/>
      <c r="R401" s="379"/>
      <c r="S401" s="379"/>
      <c r="T401" s="379"/>
      <c r="U401" s="379"/>
      <c r="W401" s="379"/>
    </row>
    <row r="402" customFormat="false" ht="14.25" hidden="false" customHeight="false" outlineLevel="0" collapsed="false">
      <c r="A402" s="379"/>
      <c r="B402" s="379"/>
      <c r="C402" s="379"/>
      <c r="D402" s="379"/>
      <c r="E402" s="379"/>
      <c r="F402" s="379"/>
      <c r="G402" s="379"/>
      <c r="H402" s="379"/>
      <c r="I402" s="379"/>
      <c r="J402" s="379"/>
      <c r="K402" s="379"/>
      <c r="L402" s="379"/>
      <c r="M402" s="379"/>
      <c r="N402" s="379"/>
      <c r="O402" s="379"/>
      <c r="P402" s="379"/>
      <c r="Q402" s="379"/>
      <c r="R402" s="379"/>
      <c r="S402" s="379"/>
      <c r="T402" s="379"/>
      <c r="U402" s="379"/>
      <c r="W402" s="379"/>
    </row>
    <row r="403" customFormat="false" ht="14.25" hidden="false" customHeight="false" outlineLevel="0" collapsed="false">
      <c r="A403" s="379"/>
      <c r="B403" s="379"/>
      <c r="C403" s="379"/>
      <c r="D403" s="379"/>
      <c r="E403" s="379"/>
      <c r="F403" s="379"/>
      <c r="G403" s="379"/>
      <c r="H403" s="379"/>
      <c r="I403" s="379"/>
      <c r="J403" s="379"/>
      <c r="K403" s="379"/>
      <c r="L403" s="379"/>
      <c r="M403" s="379"/>
      <c r="N403" s="379"/>
      <c r="O403" s="379"/>
      <c r="P403" s="379"/>
      <c r="Q403" s="379"/>
      <c r="R403" s="379"/>
      <c r="S403" s="379"/>
      <c r="T403" s="379"/>
      <c r="U403" s="379"/>
      <c r="W403" s="379"/>
    </row>
    <row r="404" customFormat="false" ht="14.25" hidden="false" customHeight="false" outlineLevel="0" collapsed="false">
      <c r="A404" s="379"/>
      <c r="B404" s="379"/>
      <c r="C404" s="379"/>
      <c r="D404" s="379"/>
      <c r="E404" s="379"/>
      <c r="F404" s="379"/>
      <c r="G404" s="379"/>
      <c r="H404" s="379"/>
      <c r="I404" s="379"/>
      <c r="J404" s="379"/>
      <c r="K404" s="379"/>
      <c r="L404" s="379"/>
      <c r="M404" s="379"/>
      <c r="N404" s="379"/>
      <c r="O404" s="379"/>
      <c r="P404" s="379"/>
      <c r="Q404" s="379"/>
      <c r="R404" s="379"/>
      <c r="S404" s="379"/>
      <c r="T404" s="379"/>
      <c r="U404" s="379"/>
      <c r="W404" s="379"/>
    </row>
    <row r="405" customFormat="false" ht="14.25" hidden="false" customHeight="false" outlineLevel="0" collapsed="false">
      <c r="A405" s="379"/>
      <c r="B405" s="379"/>
      <c r="C405" s="379"/>
      <c r="D405" s="379"/>
      <c r="E405" s="379"/>
      <c r="F405" s="379"/>
      <c r="G405" s="379"/>
      <c r="H405" s="379"/>
      <c r="I405" s="379"/>
      <c r="J405" s="379"/>
      <c r="K405" s="379"/>
      <c r="L405" s="379"/>
      <c r="M405" s="379"/>
      <c r="N405" s="379"/>
      <c r="O405" s="379"/>
      <c r="P405" s="379"/>
      <c r="Q405" s="379"/>
      <c r="R405" s="379"/>
      <c r="S405" s="379"/>
      <c r="T405" s="379"/>
      <c r="U405" s="379"/>
      <c r="W405" s="379"/>
    </row>
    <row r="406" customFormat="false" ht="14.25" hidden="false" customHeight="false" outlineLevel="0" collapsed="false">
      <c r="A406" s="379"/>
      <c r="B406" s="379"/>
      <c r="C406" s="379"/>
      <c r="D406" s="379"/>
      <c r="E406" s="379"/>
      <c r="F406" s="379"/>
      <c r="G406" s="379"/>
      <c r="H406" s="379"/>
      <c r="I406" s="379"/>
      <c r="J406" s="379"/>
      <c r="K406" s="379"/>
      <c r="L406" s="379"/>
      <c r="M406" s="379"/>
      <c r="N406" s="379"/>
      <c r="O406" s="379"/>
      <c r="P406" s="379"/>
      <c r="Q406" s="379"/>
      <c r="R406" s="379"/>
      <c r="S406" s="379"/>
      <c r="T406" s="379"/>
      <c r="U406" s="379"/>
      <c r="W406" s="379"/>
    </row>
    <row r="407" customFormat="false" ht="14.25" hidden="false" customHeight="false" outlineLevel="0" collapsed="false">
      <c r="A407" s="379"/>
      <c r="B407" s="379"/>
      <c r="C407" s="379"/>
      <c r="D407" s="379"/>
      <c r="E407" s="379"/>
      <c r="F407" s="379"/>
      <c r="G407" s="379"/>
      <c r="H407" s="379"/>
      <c r="I407" s="379"/>
      <c r="J407" s="379"/>
      <c r="K407" s="379"/>
      <c r="L407" s="379"/>
      <c r="M407" s="379"/>
      <c r="N407" s="379"/>
      <c r="O407" s="379"/>
      <c r="P407" s="379"/>
      <c r="Q407" s="379"/>
      <c r="R407" s="379"/>
      <c r="S407" s="379"/>
      <c r="T407" s="379"/>
      <c r="U407" s="379"/>
      <c r="W407" s="379"/>
    </row>
    <row r="408" customFormat="false" ht="14.25" hidden="false" customHeight="false" outlineLevel="0" collapsed="false">
      <c r="A408" s="379"/>
      <c r="B408" s="379"/>
      <c r="C408" s="379"/>
      <c r="D408" s="379"/>
      <c r="E408" s="379"/>
      <c r="F408" s="379"/>
      <c r="G408" s="379"/>
      <c r="H408" s="379"/>
      <c r="I408" s="379"/>
      <c r="J408" s="379"/>
      <c r="K408" s="379"/>
      <c r="L408" s="379"/>
      <c r="M408" s="379"/>
      <c r="N408" s="379"/>
      <c r="O408" s="379"/>
      <c r="P408" s="379"/>
      <c r="Q408" s="379"/>
      <c r="R408" s="379"/>
      <c r="S408" s="379"/>
      <c r="T408" s="379"/>
      <c r="U408" s="379"/>
      <c r="W408" s="379"/>
    </row>
    <row r="409" customFormat="false" ht="14.25" hidden="false" customHeight="false" outlineLevel="0" collapsed="false">
      <c r="A409" s="379"/>
      <c r="B409" s="379"/>
      <c r="C409" s="379"/>
      <c r="D409" s="379"/>
      <c r="E409" s="379"/>
      <c r="F409" s="379"/>
      <c r="G409" s="379"/>
      <c r="H409" s="379"/>
      <c r="I409" s="379"/>
      <c r="J409" s="379"/>
      <c r="K409" s="379"/>
      <c r="L409" s="379"/>
      <c r="M409" s="379"/>
      <c r="N409" s="379"/>
      <c r="O409" s="379"/>
      <c r="P409" s="379"/>
      <c r="Q409" s="379"/>
      <c r="R409" s="379"/>
      <c r="S409" s="379"/>
      <c r="T409" s="379"/>
      <c r="U409" s="379"/>
      <c r="W409" s="379"/>
    </row>
    <row r="410" customFormat="false" ht="14.25" hidden="false" customHeight="false" outlineLevel="0" collapsed="false">
      <c r="A410" s="379"/>
      <c r="B410" s="379"/>
      <c r="C410" s="379"/>
      <c r="D410" s="379"/>
      <c r="E410" s="379"/>
      <c r="F410" s="379"/>
      <c r="G410" s="379"/>
      <c r="H410" s="379"/>
      <c r="I410" s="379"/>
      <c r="J410" s="379"/>
      <c r="K410" s="379"/>
      <c r="L410" s="379"/>
      <c r="M410" s="379"/>
      <c r="N410" s="379"/>
      <c r="O410" s="379"/>
      <c r="P410" s="379"/>
      <c r="Q410" s="379"/>
      <c r="R410" s="379"/>
      <c r="S410" s="379"/>
      <c r="T410" s="379"/>
      <c r="U410" s="379"/>
      <c r="W410" s="379"/>
    </row>
    <row r="411" customFormat="false" ht="14.25" hidden="false" customHeight="false" outlineLevel="0" collapsed="false">
      <c r="A411" s="379"/>
      <c r="B411" s="379"/>
      <c r="C411" s="379"/>
      <c r="D411" s="379"/>
      <c r="E411" s="379"/>
      <c r="F411" s="379"/>
      <c r="G411" s="379"/>
      <c r="H411" s="379"/>
      <c r="I411" s="379"/>
      <c r="J411" s="379"/>
      <c r="K411" s="379"/>
      <c r="L411" s="379"/>
      <c r="M411" s="379"/>
      <c r="N411" s="379"/>
      <c r="O411" s="379"/>
      <c r="P411" s="379"/>
      <c r="Q411" s="379"/>
      <c r="R411" s="379"/>
      <c r="S411" s="379"/>
      <c r="T411" s="379"/>
      <c r="U411" s="379"/>
      <c r="W411" s="379"/>
    </row>
    <row r="412" customFormat="false" ht="14.25" hidden="false" customHeight="false" outlineLevel="0" collapsed="false">
      <c r="A412" s="379"/>
      <c r="B412" s="379"/>
      <c r="C412" s="379"/>
      <c r="D412" s="379"/>
      <c r="E412" s="379"/>
      <c r="F412" s="379"/>
      <c r="G412" s="379"/>
      <c r="H412" s="379"/>
      <c r="I412" s="379"/>
      <c r="J412" s="379"/>
      <c r="K412" s="379"/>
      <c r="L412" s="379"/>
      <c r="M412" s="379"/>
      <c r="N412" s="379"/>
      <c r="O412" s="379"/>
      <c r="P412" s="379"/>
      <c r="Q412" s="379"/>
      <c r="R412" s="379"/>
      <c r="S412" s="379"/>
      <c r="T412" s="379"/>
      <c r="U412" s="379"/>
      <c r="W412" s="379"/>
    </row>
    <row r="413" customFormat="false" ht="14.25" hidden="false" customHeight="false" outlineLevel="0" collapsed="false">
      <c r="A413" s="379"/>
      <c r="B413" s="379"/>
      <c r="C413" s="379"/>
      <c r="D413" s="379"/>
      <c r="E413" s="379"/>
      <c r="F413" s="379"/>
      <c r="G413" s="379"/>
      <c r="H413" s="379"/>
      <c r="I413" s="379"/>
      <c r="J413" s="379"/>
      <c r="K413" s="379"/>
      <c r="L413" s="379"/>
      <c r="M413" s="379"/>
      <c r="N413" s="379"/>
      <c r="O413" s="379"/>
      <c r="P413" s="379"/>
      <c r="Q413" s="379"/>
      <c r="R413" s="379"/>
      <c r="S413" s="379"/>
      <c r="T413" s="379"/>
      <c r="U413" s="379"/>
      <c r="W413" s="379"/>
    </row>
    <row r="414" customFormat="false" ht="14.25" hidden="false" customHeight="false" outlineLevel="0" collapsed="false">
      <c r="A414" s="379"/>
      <c r="B414" s="379"/>
      <c r="C414" s="379"/>
      <c r="D414" s="379"/>
      <c r="E414" s="379"/>
      <c r="F414" s="379"/>
      <c r="G414" s="379"/>
      <c r="H414" s="379"/>
      <c r="I414" s="379"/>
      <c r="J414" s="379"/>
      <c r="K414" s="379"/>
      <c r="L414" s="379"/>
      <c r="M414" s="379"/>
      <c r="N414" s="379"/>
      <c r="O414" s="379"/>
      <c r="P414" s="379"/>
      <c r="Q414" s="379"/>
      <c r="R414" s="379"/>
      <c r="S414" s="379"/>
      <c r="T414" s="379"/>
      <c r="U414" s="379"/>
      <c r="W414" s="379"/>
    </row>
    <row r="415" customFormat="false" ht="14.25" hidden="false" customHeight="false" outlineLevel="0" collapsed="false">
      <c r="A415" s="379"/>
      <c r="B415" s="379"/>
      <c r="C415" s="379"/>
      <c r="D415" s="379"/>
      <c r="E415" s="379"/>
      <c r="F415" s="379"/>
      <c r="G415" s="379"/>
      <c r="H415" s="379"/>
      <c r="I415" s="379"/>
      <c r="J415" s="379"/>
      <c r="K415" s="379"/>
      <c r="L415" s="379"/>
      <c r="M415" s="379"/>
      <c r="N415" s="379"/>
      <c r="O415" s="379"/>
      <c r="P415" s="379"/>
      <c r="Q415" s="379"/>
      <c r="R415" s="379"/>
      <c r="S415" s="379"/>
      <c r="T415" s="379"/>
      <c r="U415" s="379"/>
      <c r="W415" s="379"/>
    </row>
    <row r="416" customFormat="false" ht="14.25" hidden="false" customHeight="false" outlineLevel="0" collapsed="false">
      <c r="A416" s="379"/>
      <c r="B416" s="379"/>
      <c r="C416" s="379"/>
      <c r="D416" s="379"/>
      <c r="E416" s="379"/>
      <c r="F416" s="379"/>
      <c r="G416" s="379"/>
      <c r="H416" s="379"/>
      <c r="I416" s="379"/>
      <c r="J416" s="379"/>
      <c r="K416" s="379"/>
      <c r="L416" s="379"/>
      <c r="M416" s="379"/>
      <c r="N416" s="379"/>
      <c r="O416" s="379"/>
      <c r="P416" s="379"/>
      <c r="Q416" s="379"/>
      <c r="R416" s="379"/>
      <c r="S416" s="379"/>
      <c r="T416" s="379"/>
      <c r="U416" s="379"/>
      <c r="W416" s="379"/>
    </row>
    <row r="417" customFormat="false" ht="14.25" hidden="false" customHeight="false" outlineLevel="0" collapsed="false">
      <c r="A417" s="379"/>
      <c r="B417" s="379"/>
      <c r="C417" s="379"/>
      <c r="D417" s="379"/>
      <c r="E417" s="379"/>
      <c r="F417" s="379"/>
      <c r="G417" s="379"/>
      <c r="H417" s="379"/>
      <c r="I417" s="379"/>
      <c r="J417" s="379"/>
      <c r="K417" s="379"/>
      <c r="L417" s="379"/>
      <c r="M417" s="379"/>
      <c r="N417" s="379"/>
      <c r="O417" s="379"/>
      <c r="P417" s="379"/>
      <c r="Q417" s="379"/>
      <c r="R417" s="379"/>
      <c r="S417" s="379"/>
      <c r="T417" s="379"/>
      <c r="U417" s="379"/>
      <c r="W417" s="379"/>
    </row>
    <row r="418" customFormat="false" ht="14.25" hidden="false" customHeight="false" outlineLevel="0" collapsed="false">
      <c r="A418" s="379"/>
      <c r="B418" s="379"/>
      <c r="C418" s="379"/>
      <c r="D418" s="379"/>
      <c r="E418" s="379"/>
      <c r="F418" s="379"/>
      <c r="G418" s="379"/>
      <c r="H418" s="379"/>
      <c r="I418" s="379"/>
      <c r="J418" s="379"/>
      <c r="K418" s="379"/>
      <c r="L418" s="379"/>
      <c r="M418" s="379"/>
      <c r="N418" s="379"/>
      <c r="O418" s="379"/>
      <c r="P418" s="379"/>
      <c r="Q418" s="379"/>
      <c r="R418" s="379"/>
      <c r="S418" s="379"/>
      <c r="T418" s="379"/>
      <c r="U418" s="379"/>
      <c r="W418" s="379"/>
    </row>
    <row r="419" customFormat="false" ht="14.25" hidden="false" customHeight="false" outlineLevel="0" collapsed="false">
      <c r="A419" s="379"/>
      <c r="B419" s="379"/>
      <c r="C419" s="379"/>
      <c r="D419" s="379"/>
      <c r="E419" s="379"/>
      <c r="F419" s="379"/>
      <c r="G419" s="379"/>
      <c r="H419" s="379"/>
      <c r="I419" s="379"/>
      <c r="J419" s="379"/>
      <c r="K419" s="379"/>
      <c r="L419" s="379"/>
      <c r="M419" s="379"/>
      <c r="N419" s="379"/>
      <c r="O419" s="379"/>
      <c r="P419" s="379"/>
      <c r="Q419" s="379"/>
      <c r="R419" s="379"/>
      <c r="S419" s="379"/>
      <c r="T419" s="379"/>
      <c r="U419" s="379"/>
      <c r="W419" s="379"/>
    </row>
    <row r="420" customFormat="false" ht="14.25" hidden="false" customHeight="false" outlineLevel="0" collapsed="false">
      <c r="A420" s="379"/>
      <c r="B420" s="379"/>
      <c r="C420" s="379"/>
      <c r="D420" s="379"/>
      <c r="E420" s="379"/>
      <c r="F420" s="379"/>
      <c r="G420" s="379"/>
      <c r="H420" s="379"/>
      <c r="I420" s="379"/>
      <c r="J420" s="379"/>
      <c r="K420" s="379"/>
      <c r="L420" s="379"/>
      <c r="M420" s="379"/>
      <c r="N420" s="379"/>
      <c r="O420" s="379"/>
      <c r="P420" s="379"/>
      <c r="Q420" s="379"/>
      <c r="R420" s="379"/>
      <c r="S420" s="379"/>
      <c r="T420" s="379"/>
      <c r="U420" s="379"/>
      <c r="W420" s="379"/>
    </row>
    <row r="421" customFormat="false" ht="14.25" hidden="false" customHeight="false" outlineLevel="0" collapsed="false">
      <c r="A421" s="379"/>
      <c r="B421" s="379"/>
      <c r="C421" s="379"/>
      <c r="D421" s="379"/>
      <c r="E421" s="379"/>
      <c r="F421" s="379"/>
      <c r="G421" s="379"/>
      <c r="H421" s="379"/>
      <c r="I421" s="379"/>
      <c r="J421" s="379"/>
      <c r="K421" s="379"/>
      <c r="L421" s="379"/>
      <c r="M421" s="379"/>
      <c r="N421" s="379"/>
      <c r="O421" s="379"/>
      <c r="P421" s="379"/>
      <c r="Q421" s="379"/>
      <c r="R421" s="379"/>
      <c r="S421" s="379"/>
      <c r="T421" s="379"/>
      <c r="U421" s="379"/>
      <c r="W421" s="379"/>
    </row>
    <row r="422" customFormat="false" ht="14.25" hidden="false" customHeight="false" outlineLevel="0" collapsed="false">
      <c r="A422" s="379"/>
      <c r="B422" s="379"/>
      <c r="C422" s="379"/>
      <c r="D422" s="379"/>
      <c r="E422" s="379"/>
      <c r="F422" s="379"/>
      <c r="G422" s="379"/>
      <c r="H422" s="379"/>
      <c r="I422" s="379"/>
      <c r="J422" s="379"/>
      <c r="K422" s="379"/>
      <c r="L422" s="379"/>
      <c r="M422" s="379"/>
      <c r="N422" s="379"/>
      <c r="O422" s="379"/>
      <c r="P422" s="379"/>
      <c r="Q422" s="379"/>
      <c r="R422" s="379"/>
      <c r="S422" s="379"/>
      <c r="T422" s="379"/>
      <c r="U422" s="379"/>
      <c r="W422" s="379"/>
    </row>
    <row r="423" customFormat="false" ht="14.25" hidden="false" customHeight="false" outlineLevel="0" collapsed="false">
      <c r="A423" s="379"/>
      <c r="B423" s="379"/>
      <c r="C423" s="379"/>
      <c r="D423" s="379"/>
      <c r="E423" s="379"/>
      <c r="F423" s="379"/>
      <c r="G423" s="379"/>
      <c r="H423" s="379"/>
      <c r="I423" s="379"/>
      <c r="J423" s="379"/>
      <c r="K423" s="379"/>
      <c r="L423" s="379"/>
      <c r="M423" s="379"/>
      <c r="N423" s="379"/>
      <c r="O423" s="379"/>
      <c r="P423" s="379"/>
      <c r="Q423" s="379"/>
      <c r="R423" s="379"/>
      <c r="S423" s="379"/>
      <c r="T423" s="379"/>
      <c r="U423" s="379"/>
      <c r="W423" s="379"/>
    </row>
    <row r="424" customFormat="false" ht="14.25" hidden="false" customHeight="false" outlineLevel="0" collapsed="false">
      <c r="A424" s="379"/>
      <c r="B424" s="379"/>
      <c r="C424" s="379"/>
      <c r="D424" s="379"/>
      <c r="E424" s="379"/>
      <c r="F424" s="379"/>
      <c r="G424" s="379"/>
      <c r="H424" s="379"/>
      <c r="I424" s="379"/>
      <c r="J424" s="379"/>
      <c r="K424" s="379"/>
      <c r="L424" s="379"/>
      <c r="M424" s="379"/>
      <c r="N424" s="379"/>
      <c r="O424" s="379"/>
      <c r="P424" s="379"/>
      <c r="Q424" s="379"/>
      <c r="R424" s="379"/>
      <c r="S424" s="379"/>
      <c r="T424" s="379"/>
      <c r="U424" s="379"/>
      <c r="W424" s="379"/>
    </row>
    <row r="425" customFormat="false" ht="14.25" hidden="false" customHeight="false" outlineLevel="0" collapsed="false">
      <c r="A425" s="379"/>
      <c r="B425" s="379"/>
      <c r="C425" s="379"/>
      <c r="D425" s="379"/>
      <c r="E425" s="379"/>
      <c r="F425" s="379"/>
      <c r="G425" s="379"/>
      <c r="H425" s="379"/>
      <c r="I425" s="379"/>
      <c r="J425" s="379"/>
      <c r="K425" s="379"/>
      <c r="L425" s="379"/>
      <c r="M425" s="379"/>
      <c r="N425" s="379"/>
      <c r="O425" s="379"/>
      <c r="P425" s="379"/>
      <c r="Q425" s="379"/>
      <c r="R425" s="379"/>
      <c r="S425" s="379"/>
      <c r="T425" s="379"/>
      <c r="U425" s="379"/>
      <c r="W425" s="379"/>
    </row>
    <row r="426" customFormat="false" ht="14.25" hidden="false" customHeight="false" outlineLevel="0" collapsed="false">
      <c r="A426" s="379"/>
      <c r="B426" s="379"/>
      <c r="C426" s="379"/>
      <c r="D426" s="379"/>
      <c r="E426" s="379"/>
      <c r="F426" s="379"/>
      <c r="G426" s="379"/>
      <c r="H426" s="379"/>
      <c r="I426" s="379"/>
      <c r="J426" s="379"/>
      <c r="K426" s="379"/>
      <c r="L426" s="379"/>
      <c r="M426" s="379"/>
      <c r="N426" s="379"/>
      <c r="O426" s="379"/>
      <c r="P426" s="379"/>
      <c r="Q426" s="379"/>
      <c r="R426" s="379"/>
      <c r="S426" s="379"/>
      <c r="T426" s="379"/>
      <c r="U426" s="379"/>
      <c r="W426" s="379"/>
    </row>
    <row r="427" customFormat="false" ht="14.25" hidden="false" customHeight="false" outlineLevel="0" collapsed="false">
      <c r="A427" s="379"/>
      <c r="B427" s="379"/>
      <c r="C427" s="379"/>
      <c r="D427" s="379"/>
      <c r="E427" s="379"/>
      <c r="F427" s="379"/>
      <c r="G427" s="379"/>
      <c r="H427" s="379"/>
      <c r="I427" s="379"/>
      <c r="J427" s="379"/>
      <c r="K427" s="379"/>
      <c r="L427" s="379"/>
      <c r="M427" s="379"/>
      <c r="N427" s="379"/>
      <c r="O427" s="379"/>
      <c r="P427" s="379"/>
      <c r="Q427" s="379"/>
      <c r="R427" s="379"/>
      <c r="S427" s="379"/>
      <c r="T427" s="379"/>
      <c r="U427" s="379"/>
      <c r="W427" s="379"/>
    </row>
    <row r="428" customFormat="false" ht="14.25" hidden="false" customHeight="false" outlineLevel="0" collapsed="false">
      <c r="A428" s="379"/>
      <c r="B428" s="379"/>
      <c r="C428" s="379"/>
      <c r="D428" s="379"/>
      <c r="E428" s="379"/>
      <c r="F428" s="379"/>
      <c r="G428" s="379"/>
      <c r="H428" s="379"/>
      <c r="I428" s="379"/>
      <c r="J428" s="379"/>
      <c r="K428" s="379"/>
      <c r="L428" s="379"/>
      <c r="M428" s="379"/>
      <c r="N428" s="379"/>
      <c r="O428" s="379"/>
      <c r="P428" s="379"/>
      <c r="Q428" s="379"/>
      <c r="R428" s="379"/>
      <c r="S428" s="379"/>
      <c r="T428" s="379"/>
      <c r="U428" s="379"/>
      <c r="W428" s="379"/>
    </row>
    <row r="429" customFormat="false" ht="14.25" hidden="false" customHeight="false" outlineLevel="0" collapsed="false">
      <c r="A429" s="379"/>
      <c r="B429" s="379"/>
      <c r="C429" s="379"/>
      <c r="D429" s="379"/>
      <c r="E429" s="379"/>
      <c r="F429" s="379"/>
      <c r="G429" s="379"/>
      <c r="H429" s="379"/>
      <c r="I429" s="379"/>
      <c r="J429" s="379"/>
      <c r="K429" s="379"/>
      <c r="L429" s="379"/>
      <c r="M429" s="379"/>
      <c r="N429" s="379"/>
      <c r="O429" s="379"/>
      <c r="P429" s="379"/>
      <c r="Q429" s="379"/>
      <c r="R429" s="379"/>
      <c r="S429" s="379"/>
      <c r="T429" s="379"/>
      <c r="U429" s="379"/>
      <c r="W429" s="379"/>
    </row>
    <row r="430" customFormat="false" ht="14.25" hidden="false" customHeight="false" outlineLevel="0" collapsed="false">
      <c r="A430" s="379"/>
      <c r="B430" s="379"/>
      <c r="C430" s="379"/>
      <c r="D430" s="379"/>
      <c r="E430" s="379"/>
      <c r="F430" s="379"/>
      <c r="G430" s="379"/>
      <c r="H430" s="379"/>
      <c r="I430" s="379"/>
      <c r="J430" s="379"/>
      <c r="K430" s="379"/>
      <c r="L430" s="379"/>
      <c r="M430" s="379"/>
      <c r="N430" s="379"/>
      <c r="O430" s="379"/>
      <c r="P430" s="379"/>
      <c r="Q430" s="379"/>
      <c r="R430" s="379"/>
      <c r="S430" s="379"/>
      <c r="T430" s="379"/>
      <c r="U430" s="379"/>
      <c r="W430" s="379"/>
    </row>
    <row r="431" customFormat="false" ht="14.25" hidden="false" customHeight="false" outlineLevel="0" collapsed="false">
      <c r="A431" s="379"/>
      <c r="B431" s="379"/>
      <c r="C431" s="379"/>
      <c r="D431" s="379"/>
      <c r="E431" s="379"/>
      <c r="F431" s="379"/>
      <c r="G431" s="379"/>
      <c r="H431" s="379"/>
      <c r="I431" s="379"/>
      <c r="J431" s="379"/>
      <c r="K431" s="379"/>
      <c r="L431" s="379"/>
      <c r="M431" s="379"/>
      <c r="N431" s="379"/>
      <c r="O431" s="379"/>
      <c r="P431" s="379"/>
      <c r="Q431" s="379"/>
      <c r="R431" s="379"/>
      <c r="S431" s="379"/>
      <c r="T431" s="379"/>
      <c r="U431" s="379"/>
      <c r="W431" s="379"/>
    </row>
    <row r="432" customFormat="false" ht="14.25" hidden="false" customHeight="false" outlineLevel="0" collapsed="false">
      <c r="A432" s="379"/>
      <c r="B432" s="379"/>
      <c r="C432" s="379"/>
      <c r="D432" s="379"/>
      <c r="E432" s="379"/>
      <c r="F432" s="379"/>
      <c r="G432" s="379"/>
      <c r="H432" s="379"/>
      <c r="I432" s="379"/>
      <c r="J432" s="379"/>
      <c r="K432" s="379"/>
      <c r="L432" s="379"/>
      <c r="M432" s="379"/>
      <c r="N432" s="379"/>
      <c r="O432" s="379"/>
      <c r="P432" s="379"/>
      <c r="Q432" s="379"/>
      <c r="R432" s="379"/>
      <c r="S432" s="379"/>
      <c r="T432" s="379"/>
      <c r="U432" s="379"/>
      <c r="W432" s="379"/>
    </row>
    <row r="433" customFormat="false" ht="14.25" hidden="false" customHeight="false" outlineLevel="0" collapsed="false">
      <c r="A433" s="379"/>
      <c r="B433" s="379"/>
      <c r="C433" s="379"/>
      <c r="D433" s="379"/>
      <c r="E433" s="379"/>
      <c r="F433" s="379"/>
      <c r="G433" s="379"/>
      <c r="H433" s="379"/>
      <c r="I433" s="379"/>
      <c r="J433" s="379"/>
      <c r="K433" s="379"/>
      <c r="L433" s="379"/>
      <c r="M433" s="379"/>
      <c r="N433" s="379"/>
      <c r="O433" s="379"/>
      <c r="P433" s="379"/>
      <c r="Q433" s="379"/>
      <c r="R433" s="379"/>
      <c r="S433" s="379"/>
      <c r="T433" s="379"/>
      <c r="U433" s="379"/>
      <c r="W433" s="379"/>
    </row>
    <row r="434" customFormat="false" ht="14.25" hidden="false" customHeight="false" outlineLevel="0" collapsed="false">
      <c r="A434" s="379"/>
      <c r="B434" s="379"/>
      <c r="C434" s="379"/>
      <c r="D434" s="379"/>
      <c r="E434" s="379"/>
      <c r="F434" s="379"/>
      <c r="G434" s="379"/>
      <c r="H434" s="379"/>
      <c r="I434" s="379"/>
      <c r="J434" s="379"/>
      <c r="K434" s="379"/>
      <c r="L434" s="379"/>
      <c r="M434" s="379"/>
      <c r="N434" s="379"/>
      <c r="O434" s="379"/>
      <c r="P434" s="379"/>
      <c r="Q434" s="379"/>
      <c r="R434" s="379"/>
      <c r="S434" s="379"/>
      <c r="T434" s="379"/>
      <c r="U434" s="379"/>
      <c r="W434" s="379"/>
    </row>
    <row r="435" customFormat="false" ht="14.25" hidden="false" customHeight="false" outlineLevel="0" collapsed="false">
      <c r="A435" s="379"/>
      <c r="B435" s="379"/>
      <c r="C435" s="379"/>
      <c r="D435" s="379"/>
      <c r="E435" s="379"/>
      <c r="F435" s="379"/>
      <c r="G435" s="379"/>
      <c r="H435" s="379"/>
      <c r="I435" s="379"/>
      <c r="J435" s="379"/>
      <c r="K435" s="379"/>
      <c r="L435" s="379"/>
      <c r="M435" s="379"/>
      <c r="N435" s="379"/>
      <c r="O435" s="379"/>
      <c r="P435" s="379"/>
      <c r="Q435" s="379"/>
      <c r="R435" s="379"/>
      <c r="S435" s="379"/>
      <c r="T435" s="379"/>
      <c r="U435" s="379"/>
      <c r="W435" s="379"/>
    </row>
    <row r="436" customFormat="false" ht="14.25" hidden="false" customHeight="false" outlineLevel="0" collapsed="false">
      <c r="A436" s="379"/>
      <c r="B436" s="379"/>
      <c r="C436" s="379"/>
      <c r="D436" s="379"/>
      <c r="E436" s="379"/>
      <c r="F436" s="379"/>
      <c r="G436" s="379"/>
      <c r="H436" s="379"/>
      <c r="I436" s="379"/>
      <c r="J436" s="379"/>
      <c r="K436" s="379"/>
      <c r="L436" s="379"/>
      <c r="M436" s="379"/>
      <c r="N436" s="379"/>
      <c r="O436" s="379"/>
      <c r="P436" s="379"/>
      <c r="Q436" s="379"/>
      <c r="R436" s="379"/>
      <c r="S436" s="379"/>
      <c r="T436" s="379"/>
      <c r="U436" s="379"/>
      <c r="W436" s="379"/>
    </row>
    <row r="437" customFormat="false" ht="14.25" hidden="false" customHeight="false" outlineLevel="0" collapsed="false">
      <c r="A437" s="379"/>
      <c r="B437" s="379"/>
      <c r="C437" s="379"/>
      <c r="D437" s="379"/>
      <c r="E437" s="379"/>
      <c r="F437" s="379"/>
      <c r="G437" s="379"/>
      <c r="H437" s="379"/>
      <c r="I437" s="379"/>
      <c r="J437" s="379"/>
      <c r="K437" s="379"/>
      <c r="L437" s="379"/>
      <c r="M437" s="379"/>
      <c r="N437" s="379"/>
      <c r="O437" s="379"/>
      <c r="P437" s="379"/>
      <c r="Q437" s="379"/>
      <c r="R437" s="379"/>
      <c r="S437" s="379"/>
      <c r="T437" s="379"/>
      <c r="U437" s="379"/>
      <c r="W437" s="379"/>
    </row>
    <row r="438" customFormat="false" ht="14.25" hidden="false" customHeight="false" outlineLevel="0" collapsed="false">
      <c r="A438" s="379"/>
      <c r="B438" s="379"/>
      <c r="C438" s="379"/>
      <c r="D438" s="379"/>
      <c r="E438" s="379"/>
      <c r="F438" s="379"/>
      <c r="G438" s="379"/>
      <c r="H438" s="379"/>
      <c r="I438" s="379"/>
      <c r="J438" s="379"/>
      <c r="K438" s="379"/>
      <c r="L438" s="379"/>
      <c r="M438" s="379"/>
      <c r="N438" s="379"/>
      <c r="O438" s="379"/>
      <c r="P438" s="379"/>
      <c r="Q438" s="379"/>
      <c r="R438" s="379"/>
      <c r="S438" s="379"/>
      <c r="T438" s="379"/>
      <c r="U438" s="379"/>
      <c r="W438" s="379"/>
    </row>
    <row r="439" customFormat="false" ht="14.25" hidden="false" customHeight="false" outlineLevel="0" collapsed="false">
      <c r="A439" s="379"/>
      <c r="B439" s="379"/>
      <c r="C439" s="379"/>
      <c r="D439" s="379"/>
      <c r="E439" s="379"/>
      <c r="F439" s="379"/>
      <c r="G439" s="379"/>
      <c r="H439" s="379"/>
      <c r="I439" s="379"/>
      <c r="J439" s="379"/>
      <c r="K439" s="379"/>
      <c r="L439" s="379"/>
      <c r="M439" s="379"/>
      <c r="N439" s="379"/>
      <c r="O439" s="379"/>
      <c r="P439" s="379"/>
      <c r="Q439" s="379"/>
      <c r="R439" s="379"/>
      <c r="S439" s="379"/>
      <c r="T439" s="379"/>
      <c r="U439" s="379"/>
      <c r="W439" s="379"/>
    </row>
    <row r="440" customFormat="false" ht="14.25" hidden="false" customHeight="false" outlineLevel="0" collapsed="false">
      <c r="A440" s="379"/>
      <c r="B440" s="379"/>
      <c r="C440" s="379"/>
      <c r="D440" s="379"/>
      <c r="E440" s="379"/>
      <c r="F440" s="379"/>
      <c r="G440" s="379"/>
      <c r="H440" s="379"/>
      <c r="I440" s="379"/>
      <c r="J440" s="379"/>
      <c r="K440" s="379"/>
      <c r="L440" s="379"/>
      <c r="M440" s="379"/>
      <c r="N440" s="379"/>
      <c r="O440" s="379"/>
      <c r="P440" s="379"/>
      <c r="Q440" s="379"/>
      <c r="R440" s="379"/>
      <c r="S440" s="379"/>
      <c r="T440" s="379"/>
      <c r="U440" s="379"/>
      <c r="W440" s="379"/>
    </row>
    <row r="441" customFormat="false" ht="14.25" hidden="false" customHeight="false" outlineLevel="0" collapsed="false">
      <c r="A441" s="379"/>
      <c r="B441" s="379"/>
      <c r="C441" s="379"/>
      <c r="D441" s="379"/>
      <c r="E441" s="379"/>
      <c r="F441" s="379"/>
      <c r="G441" s="379"/>
      <c r="H441" s="379"/>
      <c r="I441" s="379"/>
      <c r="J441" s="379"/>
      <c r="K441" s="379"/>
      <c r="L441" s="379"/>
      <c r="M441" s="379"/>
      <c r="N441" s="379"/>
      <c r="O441" s="379"/>
      <c r="P441" s="379"/>
      <c r="Q441" s="379"/>
      <c r="R441" s="379"/>
      <c r="S441" s="379"/>
      <c r="T441" s="379"/>
      <c r="U441" s="379"/>
      <c r="W441" s="379"/>
    </row>
    <row r="442" customFormat="false" ht="14.25" hidden="false" customHeight="false" outlineLevel="0" collapsed="false">
      <c r="A442" s="379"/>
      <c r="B442" s="379"/>
      <c r="C442" s="379"/>
      <c r="D442" s="379"/>
      <c r="E442" s="379"/>
      <c r="F442" s="379"/>
      <c r="G442" s="379"/>
      <c r="H442" s="379"/>
      <c r="I442" s="379"/>
      <c r="J442" s="379"/>
      <c r="K442" s="379"/>
      <c r="L442" s="379"/>
      <c r="M442" s="379"/>
      <c r="N442" s="379"/>
      <c r="O442" s="379"/>
      <c r="P442" s="379"/>
      <c r="Q442" s="379"/>
      <c r="R442" s="379"/>
      <c r="S442" s="379"/>
      <c r="T442" s="379"/>
      <c r="U442" s="379"/>
      <c r="W442" s="379"/>
    </row>
    <row r="443" customFormat="false" ht="14.25" hidden="false" customHeight="false" outlineLevel="0" collapsed="false">
      <c r="A443" s="379"/>
      <c r="B443" s="379"/>
      <c r="C443" s="379"/>
      <c r="D443" s="379"/>
      <c r="E443" s="379"/>
      <c r="F443" s="379"/>
      <c r="G443" s="379"/>
      <c r="H443" s="379"/>
      <c r="I443" s="379"/>
      <c r="J443" s="379"/>
      <c r="K443" s="379"/>
      <c r="L443" s="379"/>
      <c r="M443" s="379"/>
      <c r="N443" s="379"/>
      <c r="O443" s="379"/>
      <c r="P443" s="379"/>
      <c r="Q443" s="379"/>
      <c r="R443" s="379"/>
      <c r="S443" s="379"/>
      <c r="T443" s="379"/>
      <c r="U443" s="379"/>
      <c r="W443" s="379"/>
    </row>
    <row r="444" customFormat="false" ht="14.25" hidden="false" customHeight="false" outlineLevel="0" collapsed="false">
      <c r="A444" s="379"/>
      <c r="B444" s="379"/>
      <c r="C444" s="379"/>
      <c r="D444" s="379"/>
      <c r="E444" s="379"/>
      <c r="F444" s="379"/>
      <c r="G444" s="379"/>
      <c r="H444" s="379"/>
      <c r="I444" s="379"/>
      <c r="J444" s="379"/>
      <c r="K444" s="379"/>
      <c r="L444" s="379"/>
      <c r="M444" s="379"/>
      <c r="N444" s="379"/>
      <c r="O444" s="379"/>
      <c r="P444" s="379"/>
      <c r="Q444" s="379"/>
      <c r="R444" s="379"/>
      <c r="S444" s="379"/>
      <c r="T444" s="379"/>
      <c r="U444" s="379"/>
      <c r="W444" s="379"/>
    </row>
    <row r="445" customFormat="false" ht="14.25" hidden="false" customHeight="false" outlineLevel="0" collapsed="false">
      <c r="A445" s="379"/>
      <c r="B445" s="379"/>
      <c r="C445" s="379"/>
      <c r="D445" s="379"/>
      <c r="E445" s="379"/>
      <c r="F445" s="379"/>
      <c r="G445" s="379"/>
      <c r="H445" s="379"/>
      <c r="I445" s="379"/>
      <c r="J445" s="379"/>
      <c r="K445" s="379"/>
      <c r="L445" s="379"/>
      <c r="M445" s="379"/>
      <c r="N445" s="379"/>
      <c r="O445" s="379"/>
      <c r="P445" s="379"/>
      <c r="Q445" s="379"/>
      <c r="R445" s="379"/>
      <c r="S445" s="379"/>
      <c r="T445" s="379"/>
      <c r="U445" s="379"/>
      <c r="W445" s="379"/>
    </row>
    <row r="446" customFormat="false" ht="14.25" hidden="false" customHeight="false" outlineLevel="0" collapsed="false">
      <c r="A446" s="379"/>
      <c r="B446" s="379"/>
      <c r="C446" s="379"/>
      <c r="D446" s="379"/>
      <c r="E446" s="379"/>
      <c r="F446" s="379"/>
      <c r="G446" s="379"/>
      <c r="H446" s="379"/>
      <c r="I446" s="379"/>
      <c r="J446" s="379"/>
      <c r="K446" s="379"/>
      <c r="L446" s="379"/>
      <c r="M446" s="379"/>
      <c r="N446" s="379"/>
      <c r="O446" s="379"/>
      <c r="P446" s="379"/>
      <c r="Q446" s="379"/>
      <c r="R446" s="379"/>
      <c r="S446" s="379"/>
      <c r="T446" s="379"/>
      <c r="U446" s="379"/>
      <c r="W446" s="379"/>
    </row>
    <row r="447" customFormat="false" ht="14.25" hidden="false" customHeight="false" outlineLevel="0" collapsed="false">
      <c r="A447" s="379"/>
      <c r="B447" s="379"/>
      <c r="C447" s="379"/>
      <c r="D447" s="379"/>
      <c r="E447" s="379"/>
      <c r="F447" s="379"/>
      <c r="G447" s="379"/>
      <c r="H447" s="379"/>
      <c r="I447" s="379"/>
      <c r="J447" s="379"/>
      <c r="K447" s="379"/>
      <c r="L447" s="379"/>
      <c r="M447" s="379"/>
      <c r="N447" s="379"/>
      <c r="O447" s="379"/>
      <c r="P447" s="379"/>
      <c r="Q447" s="379"/>
      <c r="R447" s="379"/>
      <c r="S447" s="379"/>
      <c r="T447" s="379"/>
      <c r="U447" s="379"/>
      <c r="W447" s="379"/>
    </row>
    <row r="448" customFormat="false" ht="14.25" hidden="false" customHeight="false" outlineLevel="0" collapsed="false">
      <c r="A448" s="379"/>
      <c r="B448" s="379"/>
      <c r="C448" s="379"/>
      <c r="D448" s="379"/>
      <c r="E448" s="379"/>
      <c r="F448" s="379"/>
      <c r="G448" s="379"/>
      <c r="H448" s="379"/>
      <c r="I448" s="379"/>
      <c r="J448" s="379"/>
      <c r="K448" s="379"/>
      <c r="L448" s="379"/>
      <c r="M448" s="379"/>
      <c r="N448" s="379"/>
      <c r="O448" s="379"/>
      <c r="P448" s="379"/>
      <c r="Q448" s="379"/>
      <c r="R448" s="379"/>
      <c r="S448" s="379"/>
      <c r="T448" s="379"/>
      <c r="U448" s="379"/>
      <c r="W448" s="379"/>
    </row>
    <row r="449" customFormat="false" ht="14.25" hidden="false" customHeight="false" outlineLevel="0" collapsed="false">
      <c r="A449" s="379"/>
      <c r="B449" s="379"/>
      <c r="C449" s="379"/>
      <c r="D449" s="379"/>
      <c r="E449" s="379"/>
      <c r="F449" s="379"/>
      <c r="G449" s="379"/>
      <c r="H449" s="379"/>
      <c r="I449" s="379"/>
      <c r="J449" s="379"/>
      <c r="K449" s="379"/>
      <c r="L449" s="379"/>
      <c r="M449" s="379"/>
      <c r="N449" s="379"/>
      <c r="O449" s="379"/>
      <c r="P449" s="379"/>
      <c r="Q449" s="379"/>
      <c r="R449" s="379"/>
      <c r="S449" s="379"/>
      <c r="T449" s="379"/>
      <c r="U449" s="379"/>
      <c r="W449" s="379"/>
    </row>
    <row r="450" customFormat="false" ht="14.25" hidden="false" customHeight="false" outlineLevel="0" collapsed="false">
      <c r="A450" s="379"/>
      <c r="B450" s="379"/>
      <c r="C450" s="379"/>
      <c r="D450" s="379"/>
      <c r="E450" s="379"/>
      <c r="F450" s="379"/>
      <c r="G450" s="379"/>
      <c r="H450" s="379"/>
      <c r="I450" s="379"/>
      <c r="J450" s="379"/>
      <c r="K450" s="379"/>
      <c r="L450" s="379"/>
      <c r="M450" s="379"/>
      <c r="N450" s="379"/>
      <c r="O450" s="379"/>
      <c r="P450" s="379"/>
      <c r="Q450" s="379"/>
      <c r="R450" s="379"/>
      <c r="S450" s="379"/>
      <c r="T450" s="379"/>
      <c r="U450" s="379"/>
      <c r="W450" s="379"/>
    </row>
    <row r="451" customFormat="false" ht="14.25" hidden="false" customHeight="false" outlineLevel="0" collapsed="false">
      <c r="A451" s="379"/>
      <c r="B451" s="379"/>
      <c r="C451" s="379"/>
      <c r="D451" s="379"/>
      <c r="E451" s="379"/>
      <c r="F451" s="379"/>
      <c r="G451" s="379"/>
      <c r="H451" s="379"/>
      <c r="I451" s="379"/>
      <c r="J451" s="379"/>
      <c r="K451" s="379"/>
      <c r="L451" s="379"/>
      <c r="M451" s="379"/>
      <c r="N451" s="379"/>
      <c r="O451" s="379"/>
      <c r="P451" s="379"/>
      <c r="Q451" s="379"/>
      <c r="R451" s="379"/>
      <c r="S451" s="379"/>
      <c r="T451" s="379"/>
      <c r="U451" s="379"/>
      <c r="W451" s="379"/>
    </row>
    <row r="452" customFormat="false" ht="14.25" hidden="false" customHeight="false" outlineLevel="0" collapsed="false">
      <c r="A452" s="379"/>
      <c r="B452" s="379"/>
      <c r="C452" s="379"/>
      <c r="D452" s="379"/>
      <c r="E452" s="379"/>
      <c r="F452" s="379"/>
      <c r="G452" s="379"/>
      <c r="H452" s="379"/>
      <c r="I452" s="379"/>
      <c r="J452" s="379"/>
      <c r="K452" s="379"/>
      <c r="L452" s="379"/>
      <c r="M452" s="379"/>
      <c r="N452" s="379"/>
      <c r="O452" s="379"/>
      <c r="P452" s="379"/>
      <c r="Q452" s="379"/>
      <c r="R452" s="379"/>
      <c r="S452" s="379"/>
      <c r="T452" s="379"/>
      <c r="U452" s="379"/>
      <c r="W452" s="379"/>
    </row>
    <row r="453" customFormat="false" ht="14.25" hidden="false" customHeight="false" outlineLevel="0" collapsed="false">
      <c r="A453" s="379"/>
      <c r="B453" s="379"/>
      <c r="C453" s="379"/>
      <c r="D453" s="379"/>
      <c r="E453" s="379"/>
      <c r="F453" s="379"/>
      <c r="G453" s="379"/>
      <c r="H453" s="379"/>
      <c r="I453" s="379"/>
      <c r="J453" s="379"/>
      <c r="K453" s="379"/>
      <c r="L453" s="379"/>
      <c r="M453" s="379"/>
      <c r="N453" s="379"/>
      <c r="O453" s="379"/>
      <c r="P453" s="379"/>
      <c r="Q453" s="379"/>
      <c r="R453" s="379"/>
      <c r="S453" s="379"/>
      <c r="T453" s="379"/>
      <c r="U453" s="379"/>
      <c r="W453" s="379"/>
    </row>
    <row r="454" customFormat="false" ht="14.25" hidden="false" customHeight="false" outlineLevel="0" collapsed="false">
      <c r="A454" s="379"/>
      <c r="B454" s="379"/>
      <c r="C454" s="379"/>
      <c r="D454" s="379"/>
      <c r="E454" s="379"/>
      <c r="F454" s="379"/>
      <c r="G454" s="379"/>
      <c r="H454" s="379"/>
      <c r="I454" s="379"/>
      <c r="J454" s="379"/>
      <c r="K454" s="379"/>
      <c r="L454" s="379"/>
      <c r="M454" s="379"/>
      <c r="N454" s="379"/>
      <c r="O454" s="379"/>
      <c r="P454" s="379"/>
      <c r="Q454" s="379"/>
      <c r="R454" s="379"/>
      <c r="S454" s="379"/>
      <c r="T454" s="379"/>
      <c r="U454" s="379"/>
      <c r="W454" s="379"/>
    </row>
    <row r="455" customFormat="false" ht="14.25" hidden="false" customHeight="false" outlineLevel="0" collapsed="false">
      <c r="A455" s="379"/>
      <c r="B455" s="379"/>
      <c r="C455" s="379"/>
      <c r="D455" s="379"/>
      <c r="E455" s="379"/>
      <c r="F455" s="379"/>
      <c r="G455" s="379"/>
      <c r="H455" s="379"/>
      <c r="I455" s="379"/>
      <c r="J455" s="379"/>
      <c r="K455" s="379"/>
      <c r="L455" s="379"/>
      <c r="M455" s="379"/>
      <c r="N455" s="379"/>
      <c r="O455" s="379"/>
      <c r="P455" s="379"/>
      <c r="Q455" s="379"/>
      <c r="R455" s="379"/>
      <c r="S455" s="379"/>
      <c r="T455" s="379"/>
      <c r="U455" s="379"/>
      <c r="W455" s="379"/>
    </row>
    <row r="456" customFormat="false" ht="14.25" hidden="false" customHeight="false" outlineLevel="0" collapsed="false">
      <c r="A456" s="379"/>
      <c r="B456" s="379"/>
      <c r="C456" s="379"/>
      <c r="D456" s="379"/>
      <c r="E456" s="379"/>
      <c r="F456" s="379"/>
      <c r="G456" s="379"/>
      <c r="H456" s="379"/>
      <c r="I456" s="379"/>
      <c r="J456" s="379"/>
      <c r="K456" s="379"/>
      <c r="L456" s="379"/>
      <c r="M456" s="379"/>
      <c r="N456" s="379"/>
      <c r="O456" s="379"/>
      <c r="P456" s="379"/>
      <c r="Q456" s="379"/>
      <c r="R456" s="379"/>
      <c r="S456" s="379"/>
      <c r="T456" s="379"/>
      <c r="U456" s="379"/>
      <c r="W456" s="379"/>
    </row>
    <row r="457" customFormat="false" ht="14.25" hidden="false" customHeight="false" outlineLevel="0" collapsed="false">
      <c r="A457" s="379"/>
      <c r="B457" s="379"/>
      <c r="C457" s="379"/>
      <c r="D457" s="379"/>
      <c r="E457" s="379"/>
      <c r="F457" s="379"/>
      <c r="G457" s="379"/>
      <c r="H457" s="379"/>
      <c r="I457" s="379"/>
      <c r="J457" s="379"/>
      <c r="K457" s="379"/>
      <c r="L457" s="379"/>
      <c r="M457" s="379"/>
      <c r="N457" s="379"/>
      <c r="O457" s="379"/>
      <c r="P457" s="379"/>
      <c r="Q457" s="379"/>
      <c r="R457" s="379"/>
      <c r="S457" s="379"/>
      <c r="T457" s="379"/>
      <c r="U457" s="379"/>
      <c r="W457" s="379"/>
    </row>
    <row r="458" customFormat="false" ht="14.25" hidden="false" customHeight="false" outlineLevel="0" collapsed="false">
      <c r="A458" s="379"/>
      <c r="B458" s="379"/>
      <c r="C458" s="379"/>
      <c r="D458" s="379"/>
      <c r="E458" s="379"/>
      <c r="F458" s="379"/>
      <c r="G458" s="379"/>
      <c r="H458" s="379"/>
      <c r="I458" s="379"/>
      <c r="J458" s="379"/>
      <c r="K458" s="379"/>
      <c r="L458" s="379"/>
      <c r="M458" s="379"/>
      <c r="N458" s="379"/>
      <c r="O458" s="379"/>
      <c r="P458" s="379"/>
      <c r="Q458" s="379"/>
      <c r="R458" s="379"/>
      <c r="S458" s="379"/>
      <c r="T458" s="379"/>
      <c r="U458" s="379"/>
      <c r="W458" s="379"/>
    </row>
    <row r="459" customFormat="false" ht="14.25" hidden="false" customHeight="false" outlineLevel="0" collapsed="false">
      <c r="A459" s="379"/>
      <c r="B459" s="379"/>
      <c r="C459" s="379"/>
      <c r="D459" s="379"/>
      <c r="E459" s="379"/>
      <c r="F459" s="379"/>
      <c r="G459" s="379"/>
      <c r="H459" s="379"/>
      <c r="I459" s="379"/>
      <c r="J459" s="379"/>
      <c r="K459" s="379"/>
      <c r="L459" s="379"/>
      <c r="M459" s="379"/>
      <c r="N459" s="379"/>
      <c r="O459" s="379"/>
      <c r="P459" s="379"/>
      <c r="Q459" s="379"/>
      <c r="R459" s="379"/>
      <c r="S459" s="379"/>
      <c r="T459" s="379"/>
      <c r="U459" s="379"/>
      <c r="W459" s="379"/>
    </row>
    <row r="460" customFormat="false" ht="14.25" hidden="false" customHeight="false" outlineLevel="0" collapsed="false">
      <c r="A460" s="379"/>
      <c r="B460" s="379"/>
      <c r="C460" s="379"/>
      <c r="D460" s="379"/>
      <c r="E460" s="379"/>
      <c r="F460" s="379"/>
      <c r="G460" s="379"/>
      <c r="H460" s="379"/>
      <c r="I460" s="379"/>
      <c r="J460" s="379"/>
      <c r="K460" s="379"/>
      <c r="L460" s="379"/>
      <c r="M460" s="379"/>
      <c r="N460" s="379"/>
      <c r="O460" s="379"/>
      <c r="P460" s="379"/>
      <c r="Q460" s="379"/>
      <c r="R460" s="379"/>
      <c r="S460" s="379"/>
      <c r="T460" s="379"/>
      <c r="U460" s="379"/>
      <c r="W460" s="379"/>
    </row>
    <row r="461" customFormat="false" ht="14.25" hidden="false" customHeight="false" outlineLevel="0" collapsed="false">
      <c r="A461" s="379"/>
      <c r="B461" s="379"/>
      <c r="C461" s="379"/>
      <c r="D461" s="379"/>
      <c r="E461" s="379"/>
      <c r="F461" s="379"/>
      <c r="G461" s="379"/>
      <c r="H461" s="379"/>
      <c r="I461" s="379"/>
      <c r="J461" s="379"/>
      <c r="K461" s="379"/>
      <c r="L461" s="379"/>
      <c r="M461" s="379"/>
      <c r="N461" s="379"/>
      <c r="O461" s="379"/>
      <c r="P461" s="379"/>
      <c r="Q461" s="379"/>
      <c r="R461" s="379"/>
      <c r="S461" s="379"/>
      <c r="T461" s="379"/>
      <c r="U461" s="379"/>
      <c r="W461" s="379"/>
    </row>
    <row r="462" customFormat="false" ht="14.25" hidden="false" customHeight="false" outlineLevel="0" collapsed="false">
      <c r="A462" s="379"/>
      <c r="B462" s="379"/>
      <c r="C462" s="379"/>
      <c r="D462" s="379"/>
      <c r="E462" s="379"/>
      <c r="F462" s="379"/>
      <c r="G462" s="379"/>
      <c r="H462" s="379"/>
      <c r="I462" s="379"/>
      <c r="J462" s="379"/>
      <c r="K462" s="379"/>
      <c r="L462" s="379"/>
      <c r="M462" s="379"/>
      <c r="N462" s="379"/>
      <c r="O462" s="379"/>
      <c r="P462" s="379"/>
      <c r="Q462" s="379"/>
      <c r="R462" s="379"/>
      <c r="S462" s="379"/>
      <c r="T462" s="379"/>
      <c r="U462" s="379"/>
      <c r="W462" s="379"/>
    </row>
    <row r="463" customFormat="false" ht="14.25" hidden="false" customHeight="false" outlineLevel="0" collapsed="false">
      <c r="A463" s="379"/>
      <c r="B463" s="379"/>
      <c r="C463" s="379"/>
      <c r="D463" s="379"/>
      <c r="E463" s="379"/>
      <c r="F463" s="379"/>
      <c r="G463" s="379"/>
      <c r="H463" s="379"/>
      <c r="I463" s="379"/>
      <c r="J463" s="379"/>
      <c r="K463" s="379"/>
      <c r="L463" s="379"/>
      <c r="M463" s="379"/>
      <c r="N463" s="379"/>
      <c r="O463" s="379"/>
      <c r="P463" s="379"/>
      <c r="Q463" s="379"/>
      <c r="R463" s="379"/>
      <c r="S463" s="379"/>
      <c r="T463" s="379"/>
      <c r="U463" s="379"/>
      <c r="W463" s="379"/>
    </row>
    <row r="464" customFormat="false" ht="14.25" hidden="false" customHeight="false" outlineLevel="0" collapsed="false">
      <c r="A464" s="379"/>
      <c r="B464" s="379"/>
      <c r="C464" s="379"/>
      <c r="D464" s="379"/>
      <c r="E464" s="379"/>
      <c r="F464" s="379"/>
      <c r="G464" s="379"/>
      <c r="H464" s="379"/>
      <c r="I464" s="379"/>
      <c r="J464" s="379"/>
      <c r="K464" s="379"/>
      <c r="L464" s="379"/>
      <c r="M464" s="379"/>
      <c r="N464" s="379"/>
      <c r="O464" s="379"/>
      <c r="P464" s="379"/>
      <c r="Q464" s="379"/>
      <c r="R464" s="379"/>
      <c r="S464" s="379"/>
      <c r="T464" s="379"/>
      <c r="U464" s="379"/>
      <c r="W464" s="379"/>
    </row>
    <row r="465" customFormat="false" ht="14.25" hidden="false" customHeight="false" outlineLevel="0" collapsed="false">
      <c r="A465" s="379"/>
      <c r="B465" s="379"/>
      <c r="C465" s="379"/>
      <c r="D465" s="379"/>
      <c r="E465" s="379"/>
      <c r="F465" s="379"/>
      <c r="G465" s="379"/>
      <c r="H465" s="379"/>
      <c r="I465" s="379"/>
      <c r="J465" s="379"/>
      <c r="K465" s="379"/>
      <c r="L465" s="379"/>
      <c r="M465" s="379"/>
      <c r="N465" s="379"/>
      <c r="O465" s="379"/>
      <c r="P465" s="379"/>
      <c r="Q465" s="379"/>
      <c r="R465" s="379"/>
      <c r="S465" s="379"/>
      <c r="T465" s="379"/>
      <c r="U465" s="379"/>
      <c r="W465" s="379"/>
    </row>
    <row r="466" customFormat="false" ht="14.25" hidden="false" customHeight="false" outlineLevel="0" collapsed="false">
      <c r="A466" s="379"/>
      <c r="B466" s="379"/>
      <c r="C466" s="379"/>
      <c r="D466" s="379"/>
      <c r="E466" s="379"/>
      <c r="F466" s="379"/>
      <c r="G466" s="379"/>
      <c r="H466" s="379"/>
      <c r="I466" s="379"/>
      <c r="J466" s="379"/>
      <c r="K466" s="379"/>
      <c r="L466" s="379"/>
      <c r="M466" s="379"/>
      <c r="N466" s="379"/>
      <c r="O466" s="379"/>
      <c r="P466" s="379"/>
      <c r="Q466" s="379"/>
      <c r="R466" s="379"/>
      <c r="S466" s="379"/>
      <c r="T466" s="379"/>
      <c r="U466" s="379"/>
      <c r="W466" s="379"/>
    </row>
    <row r="467" customFormat="false" ht="14.25" hidden="false" customHeight="false" outlineLevel="0" collapsed="false">
      <c r="A467" s="379"/>
      <c r="B467" s="379"/>
      <c r="C467" s="379"/>
      <c r="D467" s="379"/>
      <c r="E467" s="379"/>
      <c r="F467" s="379"/>
      <c r="G467" s="379"/>
      <c r="H467" s="379"/>
      <c r="I467" s="379"/>
      <c r="J467" s="379"/>
      <c r="K467" s="379"/>
      <c r="L467" s="379"/>
      <c r="M467" s="379"/>
      <c r="N467" s="379"/>
      <c r="O467" s="379"/>
      <c r="P467" s="379"/>
      <c r="Q467" s="379"/>
      <c r="R467" s="379"/>
      <c r="S467" s="379"/>
      <c r="T467" s="379"/>
      <c r="U467" s="379"/>
      <c r="W467" s="379"/>
    </row>
    <row r="468" customFormat="false" ht="14.25" hidden="false" customHeight="false" outlineLevel="0" collapsed="false">
      <c r="A468" s="379"/>
      <c r="B468" s="379"/>
      <c r="C468" s="379"/>
      <c r="D468" s="379"/>
      <c r="E468" s="379"/>
      <c r="F468" s="379"/>
      <c r="G468" s="379"/>
      <c r="H468" s="379"/>
      <c r="I468" s="379"/>
      <c r="J468" s="379"/>
      <c r="K468" s="379"/>
      <c r="L468" s="379"/>
      <c r="M468" s="379"/>
      <c r="N468" s="379"/>
      <c r="O468" s="379"/>
      <c r="P468" s="379"/>
      <c r="Q468" s="379"/>
      <c r="R468" s="379"/>
      <c r="S468" s="379"/>
      <c r="T468" s="379"/>
      <c r="U468" s="379"/>
      <c r="W468" s="379"/>
    </row>
    <row r="469" customFormat="false" ht="14.25" hidden="false" customHeight="false" outlineLevel="0" collapsed="false">
      <c r="A469" s="379"/>
      <c r="B469" s="379"/>
      <c r="C469" s="379"/>
      <c r="D469" s="379"/>
      <c r="E469" s="379"/>
      <c r="F469" s="379"/>
      <c r="G469" s="379"/>
      <c r="H469" s="379"/>
      <c r="I469" s="379"/>
      <c r="J469" s="379"/>
      <c r="K469" s="379"/>
      <c r="L469" s="379"/>
      <c r="M469" s="379"/>
      <c r="N469" s="379"/>
      <c r="O469" s="379"/>
      <c r="P469" s="379"/>
      <c r="Q469" s="379"/>
      <c r="R469" s="379"/>
      <c r="S469" s="379"/>
      <c r="T469" s="379"/>
      <c r="U469" s="379"/>
      <c r="W469" s="379"/>
    </row>
    <row r="470" customFormat="false" ht="14.25" hidden="false" customHeight="false" outlineLevel="0" collapsed="false">
      <c r="A470" s="379"/>
      <c r="B470" s="379"/>
      <c r="C470" s="379"/>
      <c r="D470" s="379"/>
      <c r="E470" s="379"/>
      <c r="F470" s="379"/>
      <c r="G470" s="379"/>
      <c r="H470" s="379"/>
      <c r="I470" s="379"/>
      <c r="J470" s="379"/>
      <c r="K470" s="379"/>
      <c r="L470" s="379"/>
      <c r="M470" s="379"/>
      <c r="N470" s="379"/>
      <c r="O470" s="379"/>
      <c r="P470" s="379"/>
      <c r="Q470" s="379"/>
      <c r="R470" s="379"/>
      <c r="S470" s="379"/>
      <c r="T470" s="379"/>
      <c r="U470" s="379"/>
      <c r="W470" s="379"/>
    </row>
    <row r="471" customFormat="false" ht="14.25" hidden="false" customHeight="false" outlineLevel="0" collapsed="false">
      <c r="A471" s="379"/>
      <c r="B471" s="379"/>
      <c r="C471" s="379"/>
      <c r="D471" s="379"/>
      <c r="E471" s="379"/>
      <c r="F471" s="379"/>
      <c r="G471" s="379"/>
      <c r="H471" s="379"/>
      <c r="I471" s="379"/>
      <c r="J471" s="379"/>
      <c r="K471" s="379"/>
      <c r="L471" s="379"/>
      <c r="M471" s="379"/>
      <c r="N471" s="379"/>
      <c r="O471" s="379"/>
      <c r="P471" s="379"/>
      <c r="Q471" s="379"/>
      <c r="R471" s="379"/>
      <c r="S471" s="379"/>
      <c r="T471" s="379"/>
      <c r="U471" s="379"/>
      <c r="W471" s="379"/>
    </row>
    <row r="472" customFormat="false" ht="14.25" hidden="false" customHeight="false" outlineLevel="0" collapsed="false">
      <c r="A472" s="379"/>
      <c r="B472" s="379"/>
      <c r="C472" s="379"/>
      <c r="D472" s="379"/>
      <c r="E472" s="379"/>
      <c r="F472" s="379"/>
      <c r="G472" s="379"/>
      <c r="H472" s="379"/>
      <c r="I472" s="379"/>
      <c r="J472" s="379"/>
      <c r="K472" s="379"/>
      <c r="L472" s="379"/>
      <c r="M472" s="379"/>
      <c r="N472" s="379"/>
      <c r="O472" s="379"/>
      <c r="P472" s="379"/>
      <c r="Q472" s="379"/>
      <c r="R472" s="379"/>
      <c r="S472" s="379"/>
      <c r="T472" s="379"/>
      <c r="U472" s="379"/>
      <c r="W472" s="379"/>
    </row>
    <row r="473" customFormat="false" ht="14.25" hidden="false" customHeight="false" outlineLevel="0" collapsed="false">
      <c r="A473" s="379"/>
      <c r="B473" s="379"/>
      <c r="C473" s="379"/>
      <c r="D473" s="379"/>
      <c r="E473" s="379"/>
      <c r="F473" s="379"/>
      <c r="G473" s="379"/>
      <c r="H473" s="379"/>
      <c r="I473" s="379"/>
      <c r="J473" s="379"/>
      <c r="K473" s="379"/>
      <c r="L473" s="379"/>
      <c r="M473" s="379"/>
      <c r="N473" s="379"/>
      <c r="O473" s="379"/>
      <c r="P473" s="379"/>
      <c r="Q473" s="379"/>
      <c r="R473" s="379"/>
      <c r="S473" s="379"/>
      <c r="T473" s="379"/>
      <c r="U473" s="379"/>
      <c r="W473" s="379"/>
    </row>
    <row r="474" customFormat="false" ht="14.25" hidden="false" customHeight="false" outlineLevel="0" collapsed="false">
      <c r="A474" s="379"/>
      <c r="B474" s="379"/>
      <c r="C474" s="379"/>
      <c r="D474" s="379"/>
      <c r="E474" s="379"/>
      <c r="F474" s="379"/>
      <c r="G474" s="379"/>
      <c r="H474" s="379"/>
      <c r="I474" s="379"/>
      <c r="J474" s="379"/>
      <c r="K474" s="379"/>
      <c r="L474" s="379"/>
      <c r="M474" s="379"/>
      <c r="N474" s="379"/>
      <c r="O474" s="379"/>
      <c r="P474" s="379"/>
      <c r="Q474" s="379"/>
      <c r="R474" s="379"/>
      <c r="S474" s="379"/>
      <c r="T474" s="379"/>
      <c r="U474" s="379"/>
      <c r="W474" s="379"/>
    </row>
    <row r="475" customFormat="false" ht="14.25" hidden="false" customHeight="false" outlineLevel="0" collapsed="false">
      <c r="A475" s="379"/>
      <c r="B475" s="379"/>
      <c r="C475" s="379"/>
      <c r="D475" s="379"/>
      <c r="E475" s="379"/>
      <c r="F475" s="379"/>
      <c r="G475" s="379"/>
      <c r="H475" s="379"/>
      <c r="I475" s="379"/>
      <c r="J475" s="379"/>
      <c r="K475" s="379"/>
      <c r="L475" s="379"/>
      <c r="M475" s="379"/>
      <c r="N475" s="379"/>
      <c r="O475" s="379"/>
      <c r="P475" s="379"/>
      <c r="Q475" s="379"/>
      <c r="R475" s="379"/>
      <c r="S475" s="379"/>
      <c r="T475" s="379"/>
      <c r="U475" s="379"/>
      <c r="W475" s="379"/>
    </row>
    <row r="476" customFormat="false" ht="14.25" hidden="false" customHeight="false" outlineLevel="0" collapsed="false">
      <c r="A476" s="379"/>
      <c r="B476" s="379"/>
      <c r="C476" s="379"/>
      <c r="D476" s="379"/>
      <c r="E476" s="379"/>
      <c r="F476" s="379"/>
      <c r="G476" s="379"/>
      <c r="H476" s="379"/>
      <c r="I476" s="379"/>
      <c r="J476" s="379"/>
      <c r="K476" s="379"/>
      <c r="L476" s="379"/>
      <c r="M476" s="379"/>
      <c r="N476" s="379"/>
      <c r="O476" s="379"/>
      <c r="P476" s="379"/>
      <c r="Q476" s="379"/>
      <c r="R476" s="379"/>
      <c r="S476" s="379"/>
      <c r="T476" s="379"/>
      <c r="U476" s="379"/>
      <c r="W476" s="379"/>
    </row>
    <row r="477" customFormat="false" ht="14.25" hidden="false" customHeight="false" outlineLevel="0" collapsed="false">
      <c r="A477" s="379"/>
      <c r="B477" s="379"/>
      <c r="C477" s="379"/>
      <c r="D477" s="379"/>
      <c r="E477" s="379"/>
      <c r="F477" s="379"/>
      <c r="G477" s="379"/>
      <c r="H477" s="379"/>
      <c r="I477" s="379"/>
      <c r="J477" s="379"/>
      <c r="K477" s="379"/>
      <c r="L477" s="379"/>
      <c r="M477" s="379"/>
      <c r="N477" s="379"/>
      <c r="O477" s="379"/>
      <c r="P477" s="379"/>
      <c r="Q477" s="379"/>
      <c r="R477" s="379"/>
      <c r="S477" s="379"/>
      <c r="T477" s="379"/>
      <c r="U477" s="379"/>
      <c r="W477" s="379"/>
    </row>
    <row r="478" customFormat="false" ht="14.25" hidden="false" customHeight="false" outlineLevel="0" collapsed="false">
      <c r="A478" s="379"/>
      <c r="B478" s="379"/>
      <c r="C478" s="379"/>
      <c r="D478" s="379"/>
      <c r="E478" s="379"/>
      <c r="F478" s="379"/>
      <c r="G478" s="379"/>
      <c r="H478" s="379"/>
      <c r="I478" s="379"/>
      <c r="J478" s="379"/>
      <c r="K478" s="379"/>
      <c r="L478" s="379"/>
      <c r="M478" s="379"/>
      <c r="N478" s="379"/>
      <c r="O478" s="379"/>
      <c r="P478" s="379"/>
      <c r="Q478" s="379"/>
      <c r="R478" s="379"/>
      <c r="S478" s="379"/>
      <c r="T478" s="379"/>
      <c r="U478" s="379"/>
      <c r="W478" s="379"/>
    </row>
    <row r="479" customFormat="false" ht="14.25" hidden="false" customHeight="false" outlineLevel="0" collapsed="false">
      <c r="A479" s="379"/>
      <c r="B479" s="379"/>
      <c r="C479" s="379"/>
      <c r="D479" s="379"/>
      <c r="E479" s="379"/>
      <c r="F479" s="379"/>
      <c r="G479" s="379"/>
      <c r="H479" s="379"/>
      <c r="I479" s="379"/>
      <c r="J479" s="379"/>
      <c r="K479" s="379"/>
      <c r="L479" s="379"/>
      <c r="M479" s="379"/>
      <c r="N479" s="379"/>
      <c r="O479" s="379"/>
      <c r="P479" s="379"/>
      <c r="Q479" s="379"/>
      <c r="R479" s="379"/>
      <c r="S479" s="379"/>
      <c r="T479" s="379"/>
      <c r="U479" s="379"/>
      <c r="W479" s="379"/>
    </row>
    <row r="480" customFormat="false" ht="14.25" hidden="false" customHeight="false" outlineLevel="0" collapsed="false">
      <c r="A480" s="379"/>
      <c r="B480" s="379"/>
      <c r="C480" s="379"/>
      <c r="D480" s="379"/>
      <c r="E480" s="379"/>
      <c r="F480" s="379"/>
      <c r="G480" s="379"/>
      <c r="H480" s="379"/>
      <c r="I480" s="379"/>
      <c r="J480" s="379"/>
      <c r="K480" s="379"/>
      <c r="L480" s="379"/>
      <c r="M480" s="379"/>
      <c r="N480" s="379"/>
      <c r="O480" s="379"/>
      <c r="P480" s="379"/>
      <c r="Q480" s="379"/>
      <c r="R480" s="379"/>
      <c r="S480" s="379"/>
      <c r="T480" s="379"/>
      <c r="U480" s="379"/>
      <c r="W480" s="379"/>
    </row>
    <row r="481" customFormat="false" ht="14.25" hidden="false" customHeight="false" outlineLevel="0" collapsed="false">
      <c r="A481" s="379"/>
      <c r="B481" s="379"/>
      <c r="C481" s="379"/>
      <c r="D481" s="379"/>
      <c r="E481" s="379"/>
      <c r="F481" s="379"/>
      <c r="G481" s="379"/>
      <c r="H481" s="379"/>
      <c r="I481" s="379"/>
      <c r="J481" s="379"/>
      <c r="K481" s="379"/>
      <c r="L481" s="379"/>
      <c r="M481" s="379"/>
      <c r="N481" s="379"/>
      <c r="O481" s="379"/>
      <c r="P481" s="379"/>
      <c r="Q481" s="379"/>
      <c r="R481" s="379"/>
      <c r="S481" s="379"/>
      <c r="T481" s="379"/>
      <c r="U481" s="379"/>
      <c r="W481" s="379"/>
    </row>
    <row r="482" customFormat="false" ht="14.25" hidden="false" customHeight="false" outlineLevel="0" collapsed="false">
      <c r="A482" s="379"/>
      <c r="B482" s="379"/>
      <c r="C482" s="379"/>
      <c r="D482" s="379"/>
      <c r="E482" s="379"/>
      <c r="F482" s="379"/>
      <c r="G482" s="379"/>
      <c r="H482" s="379"/>
      <c r="I482" s="379"/>
      <c r="J482" s="379"/>
      <c r="K482" s="379"/>
      <c r="L482" s="379"/>
      <c r="M482" s="379"/>
      <c r="N482" s="379"/>
      <c r="O482" s="379"/>
      <c r="P482" s="379"/>
      <c r="Q482" s="379"/>
      <c r="R482" s="379"/>
      <c r="S482" s="379"/>
      <c r="T482" s="379"/>
      <c r="U482" s="379"/>
      <c r="W482" s="379"/>
    </row>
    <row r="483" customFormat="false" ht="14.25" hidden="false" customHeight="false" outlineLevel="0" collapsed="false">
      <c r="A483" s="379"/>
      <c r="B483" s="379"/>
      <c r="C483" s="379"/>
      <c r="D483" s="379"/>
      <c r="E483" s="379"/>
      <c r="F483" s="379"/>
      <c r="G483" s="379"/>
      <c r="H483" s="379"/>
      <c r="I483" s="379"/>
      <c r="J483" s="379"/>
      <c r="K483" s="379"/>
      <c r="L483" s="379"/>
      <c r="M483" s="379"/>
      <c r="N483" s="379"/>
      <c r="O483" s="379"/>
      <c r="P483" s="379"/>
      <c r="Q483" s="379"/>
      <c r="R483" s="379"/>
      <c r="S483" s="379"/>
      <c r="T483" s="379"/>
      <c r="U483" s="379"/>
      <c r="W483" s="379"/>
    </row>
    <row r="484" customFormat="false" ht="14.25" hidden="false" customHeight="false" outlineLevel="0" collapsed="false">
      <c r="A484" s="379"/>
      <c r="B484" s="379"/>
      <c r="C484" s="379"/>
      <c r="D484" s="379"/>
      <c r="E484" s="379"/>
      <c r="F484" s="379"/>
      <c r="G484" s="379"/>
      <c r="H484" s="379"/>
      <c r="I484" s="379"/>
      <c r="J484" s="379"/>
      <c r="K484" s="379"/>
      <c r="L484" s="379"/>
      <c r="M484" s="379"/>
      <c r="N484" s="379"/>
      <c r="O484" s="379"/>
      <c r="P484" s="379"/>
      <c r="Q484" s="379"/>
      <c r="R484" s="379"/>
      <c r="S484" s="379"/>
      <c r="T484" s="379"/>
      <c r="U484" s="379"/>
      <c r="W484" s="379"/>
    </row>
    <row r="485" customFormat="false" ht="14.25" hidden="false" customHeight="false" outlineLevel="0" collapsed="false">
      <c r="A485" s="379"/>
      <c r="B485" s="379"/>
      <c r="C485" s="379"/>
      <c r="D485" s="379"/>
      <c r="E485" s="379"/>
      <c r="F485" s="379"/>
      <c r="G485" s="379"/>
      <c r="H485" s="379"/>
      <c r="I485" s="379"/>
      <c r="J485" s="379"/>
      <c r="K485" s="379"/>
      <c r="L485" s="379"/>
      <c r="M485" s="379"/>
      <c r="N485" s="379"/>
      <c r="O485" s="379"/>
      <c r="P485" s="379"/>
      <c r="Q485" s="379"/>
      <c r="R485" s="379"/>
      <c r="S485" s="379"/>
      <c r="T485" s="379"/>
      <c r="U485" s="379"/>
      <c r="W485" s="379"/>
    </row>
    <row r="486" customFormat="false" ht="14.25" hidden="false" customHeight="false" outlineLevel="0" collapsed="false">
      <c r="A486" s="379"/>
      <c r="B486" s="379"/>
      <c r="C486" s="379"/>
      <c r="D486" s="379"/>
      <c r="E486" s="379"/>
      <c r="F486" s="379"/>
      <c r="G486" s="379"/>
      <c r="H486" s="379"/>
      <c r="I486" s="379"/>
      <c r="J486" s="379"/>
      <c r="K486" s="379"/>
      <c r="L486" s="379"/>
      <c r="M486" s="379"/>
      <c r="N486" s="379"/>
      <c r="O486" s="379"/>
      <c r="P486" s="379"/>
      <c r="Q486" s="379"/>
      <c r="R486" s="379"/>
      <c r="S486" s="379"/>
      <c r="T486" s="379"/>
      <c r="U486" s="379"/>
      <c r="W486" s="379"/>
    </row>
    <row r="487" customFormat="false" ht="14.25" hidden="false" customHeight="false" outlineLevel="0" collapsed="false">
      <c r="A487" s="379"/>
      <c r="B487" s="379"/>
      <c r="C487" s="379"/>
      <c r="D487" s="379"/>
      <c r="E487" s="379"/>
      <c r="F487" s="379"/>
      <c r="G487" s="379"/>
      <c r="H487" s="379"/>
      <c r="I487" s="379"/>
      <c r="J487" s="379"/>
      <c r="K487" s="379"/>
      <c r="L487" s="379"/>
      <c r="M487" s="379"/>
      <c r="N487" s="379"/>
      <c r="O487" s="379"/>
      <c r="P487" s="379"/>
      <c r="Q487" s="379"/>
      <c r="R487" s="379"/>
      <c r="S487" s="379"/>
      <c r="T487" s="379"/>
      <c r="U487" s="379"/>
      <c r="W487" s="379"/>
    </row>
    <row r="488" customFormat="false" ht="14.25" hidden="false" customHeight="false" outlineLevel="0" collapsed="false">
      <c r="A488" s="379"/>
      <c r="B488" s="379"/>
      <c r="C488" s="379"/>
      <c r="D488" s="379"/>
      <c r="E488" s="379"/>
      <c r="F488" s="379"/>
      <c r="G488" s="379"/>
      <c r="H488" s="379"/>
      <c r="I488" s="379"/>
      <c r="J488" s="379"/>
      <c r="K488" s="379"/>
      <c r="L488" s="379"/>
      <c r="M488" s="379"/>
      <c r="N488" s="379"/>
      <c r="O488" s="379"/>
      <c r="P488" s="379"/>
      <c r="Q488" s="379"/>
      <c r="R488" s="379"/>
      <c r="S488" s="379"/>
      <c r="T488" s="379"/>
      <c r="U488" s="379"/>
      <c r="W488" s="379"/>
    </row>
    <row r="489" customFormat="false" ht="14.25" hidden="false" customHeight="false" outlineLevel="0" collapsed="false">
      <c r="A489" s="379"/>
      <c r="B489" s="379"/>
      <c r="C489" s="379"/>
      <c r="D489" s="379"/>
      <c r="E489" s="379"/>
      <c r="F489" s="379"/>
      <c r="G489" s="379"/>
      <c r="H489" s="379"/>
      <c r="I489" s="379"/>
      <c r="J489" s="379"/>
      <c r="K489" s="379"/>
      <c r="L489" s="379"/>
      <c r="M489" s="379"/>
      <c r="N489" s="379"/>
      <c r="O489" s="379"/>
      <c r="P489" s="379"/>
      <c r="Q489" s="379"/>
      <c r="R489" s="379"/>
      <c r="S489" s="379"/>
      <c r="T489" s="379"/>
      <c r="U489" s="379"/>
      <c r="W489" s="379"/>
    </row>
    <row r="490" customFormat="false" ht="14.25" hidden="false" customHeight="false" outlineLevel="0" collapsed="false">
      <c r="A490" s="379"/>
      <c r="B490" s="379"/>
      <c r="C490" s="379"/>
      <c r="D490" s="379"/>
      <c r="E490" s="379"/>
      <c r="F490" s="379"/>
      <c r="G490" s="379"/>
      <c r="H490" s="379"/>
      <c r="I490" s="379"/>
      <c r="J490" s="379"/>
      <c r="K490" s="379"/>
      <c r="L490" s="379"/>
      <c r="M490" s="379"/>
      <c r="N490" s="379"/>
      <c r="O490" s="379"/>
      <c r="P490" s="379"/>
      <c r="Q490" s="379"/>
      <c r="R490" s="379"/>
      <c r="S490" s="379"/>
      <c r="T490" s="379"/>
      <c r="U490" s="379"/>
      <c r="W490" s="379"/>
    </row>
    <row r="491" customFormat="false" ht="14.25" hidden="false" customHeight="false" outlineLevel="0" collapsed="false">
      <c r="A491" s="379"/>
      <c r="B491" s="379"/>
      <c r="C491" s="379"/>
      <c r="D491" s="379"/>
      <c r="E491" s="379"/>
      <c r="F491" s="379"/>
      <c r="G491" s="379"/>
      <c r="H491" s="379"/>
      <c r="I491" s="379"/>
      <c r="J491" s="379"/>
      <c r="K491" s="379"/>
      <c r="L491" s="379"/>
      <c r="M491" s="379"/>
      <c r="N491" s="379"/>
      <c r="O491" s="379"/>
      <c r="P491" s="379"/>
      <c r="Q491" s="379"/>
      <c r="R491" s="379"/>
      <c r="S491" s="379"/>
      <c r="T491" s="379"/>
      <c r="U491" s="379"/>
      <c r="W491" s="379"/>
    </row>
    <row r="492" customFormat="false" ht="14.25" hidden="false" customHeight="false" outlineLevel="0" collapsed="false">
      <c r="A492" s="379"/>
      <c r="B492" s="379"/>
      <c r="C492" s="379"/>
      <c r="D492" s="379"/>
      <c r="E492" s="379"/>
      <c r="F492" s="379"/>
      <c r="G492" s="379"/>
      <c r="H492" s="379"/>
      <c r="I492" s="379"/>
      <c r="J492" s="379"/>
      <c r="K492" s="379"/>
      <c r="L492" s="379"/>
      <c r="M492" s="379"/>
      <c r="N492" s="379"/>
      <c r="O492" s="379"/>
      <c r="P492" s="379"/>
      <c r="Q492" s="379"/>
      <c r="R492" s="379"/>
      <c r="S492" s="379"/>
      <c r="T492" s="379"/>
      <c r="U492" s="379"/>
      <c r="W492" s="379"/>
    </row>
    <row r="493" customFormat="false" ht="14.25" hidden="false" customHeight="false" outlineLevel="0" collapsed="false">
      <c r="A493" s="379"/>
      <c r="B493" s="379"/>
      <c r="C493" s="379"/>
      <c r="D493" s="379"/>
      <c r="E493" s="379"/>
      <c r="F493" s="379"/>
      <c r="G493" s="379"/>
      <c r="H493" s="379"/>
      <c r="I493" s="379"/>
      <c r="J493" s="379"/>
      <c r="K493" s="379"/>
      <c r="L493" s="379"/>
      <c r="M493" s="379"/>
      <c r="N493" s="379"/>
      <c r="O493" s="379"/>
      <c r="P493" s="379"/>
      <c r="Q493" s="379"/>
      <c r="R493" s="379"/>
      <c r="S493" s="379"/>
      <c r="T493" s="379"/>
      <c r="U493" s="379"/>
      <c r="W493" s="379"/>
    </row>
    <row r="494" customFormat="false" ht="14.25" hidden="false" customHeight="false" outlineLevel="0" collapsed="false">
      <c r="A494" s="379"/>
      <c r="B494" s="379"/>
      <c r="C494" s="379"/>
      <c r="D494" s="379"/>
      <c r="E494" s="379"/>
      <c r="F494" s="379"/>
      <c r="G494" s="379"/>
      <c r="H494" s="379"/>
      <c r="I494" s="379"/>
      <c r="J494" s="379"/>
      <c r="K494" s="379"/>
      <c r="L494" s="379"/>
      <c r="M494" s="379"/>
      <c r="N494" s="379"/>
      <c r="O494" s="379"/>
      <c r="P494" s="379"/>
      <c r="Q494" s="379"/>
      <c r="R494" s="379"/>
      <c r="S494" s="379"/>
      <c r="T494" s="379"/>
      <c r="U494" s="379"/>
      <c r="W494" s="379"/>
    </row>
    <row r="495" customFormat="false" ht="14.25" hidden="false" customHeight="false" outlineLevel="0" collapsed="false">
      <c r="A495" s="379"/>
      <c r="B495" s="379"/>
      <c r="C495" s="379"/>
      <c r="D495" s="379"/>
      <c r="E495" s="379"/>
      <c r="F495" s="379"/>
      <c r="G495" s="379"/>
      <c r="H495" s="379"/>
      <c r="I495" s="379"/>
      <c r="J495" s="379"/>
      <c r="K495" s="379"/>
      <c r="L495" s="379"/>
      <c r="M495" s="379"/>
      <c r="N495" s="379"/>
      <c r="O495" s="379"/>
      <c r="P495" s="379"/>
      <c r="Q495" s="379"/>
      <c r="R495" s="379"/>
      <c r="S495" s="379"/>
      <c r="T495" s="379"/>
      <c r="U495" s="379"/>
      <c r="W495" s="379"/>
    </row>
    <row r="496" customFormat="false" ht="14.25" hidden="false" customHeight="false" outlineLevel="0" collapsed="false">
      <c r="A496" s="379"/>
      <c r="B496" s="379"/>
      <c r="C496" s="379"/>
      <c r="D496" s="379"/>
      <c r="E496" s="379"/>
      <c r="F496" s="379"/>
      <c r="G496" s="379"/>
      <c r="H496" s="379"/>
      <c r="I496" s="379"/>
      <c r="J496" s="379"/>
      <c r="K496" s="379"/>
      <c r="L496" s="379"/>
      <c r="M496" s="379"/>
      <c r="N496" s="379"/>
      <c r="O496" s="379"/>
      <c r="P496" s="379"/>
      <c r="Q496" s="379"/>
      <c r="R496" s="379"/>
      <c r="S496" s="379"/>
      <c r="T496" s="379"/>
      <c r="U496" s="379"/>
      <c r="W496" s="379"/>
    </row>
    <row r="497" customFormat="false" ht="14.25" hidden="false" customHeight="false" outlineLevel="0" collapsed="false">
      <c r="A497" s="379"/>
      <c r="B497" s="379"/>
      <c r="C497" s="379"/>
      <c r="D497" s="379"/>
      <c r="E497" s="379"/>
      <c r="F497" s="379"/>
      <c r="G497" s="379"/>
      <c r="H497" s="379"/>
      <c r="I497" s="379"/>
      <c r="J497" s="379"/>
      <c r="K497" s="379"/>
      <c r="L497" s="379"/>
      <c r="M497" s="379"/>
      <c r="N497" s="379"/>
      <c r="O497" s="379"/>
      <c r="P497" s="379"/>
      <c r="Q497" s="379"/>
      <c r="R497" s="379"/>
      <c r="S497" s="379"/>
      <c r="T497" s="379"/>
      <c r="U497" s="379"/>
      <c r="W497" s="379"/>
    </row>
    <row r="498" customFormat="false" ht="14.25" hidden="false" customHeight="false" outlineLevel="0" collapsed="false">
      <c r="A498" s="379"/>
      <c r="B498" s="379"/>
      <c r="C498" s="379"/>
      <c r="D498" s="379"/>
      <c r="E498" s="379"/>
      <c r="F498" s="379"/>
      <c r="G498" s="379"/>
      <c r="H498" s="379"/>
      <c r="I498" s="379"/>
      <c r="J498" s="379"/>
      <c r="K498" s="379"/>
      <c r="L498" s="379"/>
      <c r="M498" s="379"/>
      <c r="N498" s="379"/>
      <c r="O498" s="379"/>
      <c r="P498" s="379"/>
      <c r="Q498" s="379"/>
      <c r="R498" s="379"/>
      <c r="S498" s="379"/>
      <c r="T498" s="379"/>
      <c r="U498" s="379"/>
      <c r="W498" s="379"/>
    </row>
    <row r="499" customFormat="false" ht="14.25" hidden="false" customHeight="false" outlineLevel="0" collapsed="false">
      <c r="A499" s="379"/>
      <c r="B499" s="379"/>
      <c r="C499" s="379"/>
      <c r="D499" s="379"/>
      <c r="E499" s="379"/>
      <c r="F499" s="379"/>
      <c r="G499" s="379"/>
      <c r="H499" s="379"/>
      <c r="I499" s="379"/>
      <c r="J499" s="379"/>
      <c r="K499" s="379"/>
      <c r="L499" s="379"/>
      <c r="M499" s="379"/>
      <c r="N499" s="379"/>
      <c r="O499" s="379"/>
      <c r="P499" s="379"/>
      <c r="Q499" s="379"/>
      <c r="R499" s="379"/>
      <c r="S499" s="379"/>
      <c r="T499" s="379"/>
      <c r="U499" s="379"/>
      <c r="W499" s="379"/>
    </row>
    <row r="500" customFormat="false" ht="14.25" hidden="false" customHeight="false" outlineLevel="0" collapsed="false">
      <c r="A500" s="379"/>
      <c r="B500" s="379"/>
      <c r="C500" s="379"/>
      <c r="D500" s="379"/>
      <c r="E500" s="379"/>
      <c r="F500" s="379"/>
      <c r="G500" s="379"/>
      <c r="H500" s="379"/>
      <c r="I500" s="379"/>
      <c r="J500" s="379"/>
      <c r="K500" s="379"/>
      <c r="L500" s="379"/>
      <c r="M500" s="379"/>
      <c r="N500" s="379"/>
      <c r="O500" s="379"/>
      <c r="P500" s="379"/>
      <c r="Q500" s="379"/>
      <c r="R500" s="379"/>
      <c r="S500" s="379"/>
      <c r="T500" s="379"/>
      <c r="U500" s="379"/>
      <c r="W500" s="379"/>
    </row>
    <row r="501" customFormat="false" ht="14.25" hidden="false" customHeight="false" outlineLevel="0" collapsed="false">
      <c r="A501" s="379"/>
      <c r="B501" s="379"/>
      <c r="C501" s="379"/>
      <c r="D501" s="379"/>
      <c r="E501" s="379"/>
      <c r="F501" s="379"/>
      <c r="G501" s="379"/>
      <c r="H501" s="379"/>
      <c r="I501" s="379"/>
      <c r="J501" s="379"/>
      <c r="K501" s="379"/>
      <c r="L501" s="379"/>
      <c r="M501" s="379"/>
      <c r="N501" s="379"/>
      <c r="O501" s="379"/>
      <c r="P501" s="379"/>
      <c r="Q501" s="379"/>
      <c r="R501" s="379"/>
      <c r="S501" s="379"/>
      <c r="T501" s="379"/>
      <c r="U501" s="379"/>
      <c r="W501" s="379"/>
    </row>
    <row r="502" customFormat="false" ht="14.25" hidden="false" customHeight="false" outlineLevel="0" collapsed="false">
      <c r="A502" s="379"/>
      <c r="B502" s="379"/>
      <c r="C502" s="379"/>
      <c r="D502" s="379"/>
      <c r="E502" s="379"/>
      <c r="F502" s="379"/>
      <c r="G502" s="379"/>
      <c r="H502" s="379"/>
      <c r="I502" s="379"/>
      <c r="J502" s="379"/>
      <c r="K502" s="379"/>
      <c r="L502" s="379"/>
      <c r="M502" s="379"/>
      <c r="N502" s="379"/>
      <c r="O502" s="379"/>
      <c r="P502" s="379"/>
      <c r="Q502" s="379"/>
      <c r="R502" s="379"/>
      <c r="S502" s="379"/>
      <c r="T502" s="379"/>
      <c r="U502" s="379"/>
      <c r="W502" s="379"/>
    </row>
    <row r="503" customFormat="false" ht="14.25" hidden="false" customHeight="false" outlineLevel="0" collapsed="false">
      <c r="A503" s="379"/>
      <c r="B503" s="379"/>
      <c r="C503" s="379"/>
      <c r="D503" s="379"/>
      <c r="E503" s="379"/>
      <c r="F503" s="379"/>
      <c r="G503" s="379"/>
      <c r="H503" s="379"/>
      <c r="I503" s="379"/>
      <c r="J503" s="379"/>
      <c r="K503" s="379"/>
      <c r="L503" s="379"/>
      <c r="M503" s="379"/>
      <c r="N503" s="379"/>
      <c r="O503" s="379"/>
      <c r="P503" s="379"/>
      <c r="Q503" s="379"/>
      <c r="R503" s="379"/>
      <c r="S503" s="379"/>
      <c r="T503" s="379"/>
      <c r="U503" s="379"/>
      <c r="W503" s="379"/>
    </row>
    <row r="504" customFormat="false" ht="14.25" hidden="false" customHeight="false" outlineLevel="0" collapsed="false">
      <c r="A504" s="379"/>
      <c r="B504" s="379"/>
      <c r="C504" s="379"/>
      <c r="D504" s="379"/>
      <c r="E504" s="379"/>
      <c r="F504" s="379"/>
      <c r="G504" s="379"/>
      <c r="H504" s="379"/>
      <c r="I504" s="379"/>
      <c r="J504" s="379"/>
      <c r="K504" s="379"/>
      <c r="L504" s="379"/>
      <c r="M504" s="379"/>
      <c r="N504" s="379"/>
      <c r="O504" s="379"/>
      <c r="P504" s="379"/>
      <c r="Q504" s="379"/>
      <c r="R504" s="379"/>
      <c r="S504" s="379"/>
      <c r="T504" s="379"/>
      <c r="U504" s="379"/>
      <c r="W504" s="379"/>
    </row>
    <row r="505" customFormat="false" ht="14.25" hidden="false" customHeight="false" outlineLevel="0" collapsed="false">
      <c r="A505" s="379"/>
      <c r="B505" s="379"/>
      <c r="C505" s="379"/>
      <c r="D505" s="379"/>
      <c r="E505" s="379"/>
      <c r="F505" s="379"/>
      <c r="G505" s="379"/>
      <c r="H505" s="379"/>
      <c r="I505" s="379"/>
      <c r="J505" s="379"/>
      <c r="K505" s="379"/>
      <c r="L505" s="379"/>
      <c r="M505" s="379"/>
      <c r="N505" s="379"/>
      <c r="O505" s="379"/>
      <c r="P505" s="379"/>
      <c r="Q505" s="379"/>
      <c r="R505" s="379"/>
      <c r="S505" s="379"/>
      <c r="T505" s="379"/>
      <c r="U505" s="379"/>
      <c r="W505" s="379"/>
    </row>
    <row r="506" customFormat="false" ht="14.25" hidden="false" customHeight="false" outlineLevel="0" collapsed="false">
      <c r="A506" s="379"/>
      <c r="B506" s="379"/>
      <c r="C506" s="379"/>
      <c r="D506" s="379"/>
      <c r="E506" s="379"/>
      <c r="F506" s="379"/>
      <c r="G506" s="379"/>
      <c r="H506" s="379"/>
      <c r="I506" s="379"/>
      <c r="J506" s="379"/>
      <c r="K506" s="379"/>
      <c r="L506" s="379"/>
      <c r="M506" s="379"/>
      <c r="N506" s="379"/>
      <c r="O506" s="379"/>
      <c r="P506" s="379"/>
      <c r="Q506" s="379"/>
      <c r="R506" s="379"/>
      <c r="S506" s="379"/>
      <c r="T506" s="379"/>
      <c r="U506" s="379"/>
      <c r="W506" s="379"/>
    </row>
    <row r="507" customFormat="false" ht="14.25" hidden="false" customHeight="false" outlineLevel="0" collapsed="false">
      <c r="A507" s="379"/>
      <c r="B507" s="379"/>
      <c r="C507" s="379"/>
      <c r="D507" s="379"/>
      <c r="E507" s="379"/>
      <c r="F507" s="379"/>
      <c r="G507" s="379"/>
      <c r="H507" s="379"/>
      <c r="I507" s="379"/>
      <c r="J507" s="379"/>
      <c r="K507" s="379"/>
      <c r="L507" s="379"/>
      <c r="M507" s="379"/>
      <c r="N507" s="379"/>
      <c r="O507" s="379"/>
      <c r="P507" s="379"/>
      <c r="Q507" s="379"/>
      <c r="R507" s="379"/>
      <c r="S507" s="379"/>
      <c r="T507" s="379"/>
      <c r="U507" s="379"/>
      <c r="W507" s="379"/>
    </row>
    <row r="508" customFormat="false" ht="14.25" hidden="false" customHeight="false" outlineLevel="0" collapsed="false">
      <c r="A508" s="379"/>
      <c r="B508" s="379"/>
      <c r="C508" s="379"/>
      <c r="D508" s="379"/>
      <c r="E508" s="379"/>
      <c r="F508" s="379"/>
      <c r="G508" s="379"/>
      <c r="H508" s="379"/>
      <c r="I508" s="379"/>
      <c r="J508" s="379"/>
      <c r="K508" s="379"/>
      <c r="L508" s="379"/>
      <c r="M508" s="379"/>
      <c r="N508" s="379"/>
      <c r="O508" s="379"/>
      <c r="P508" s="379"/>
      <c r="Q508" s="379"/>
      <c r="R508" s="379"/>
      <c r="S508" s="379"/>
      <c r="T508" s="379"/>
      <c r="U508" s="379"/>
      <c r="W508" s="379"/>
    </row>
    <row r="509" customFormat="false" ht="14.25" hidden="false" customHeight="false" outlineLevel="0" collapsed="false">
      <c r="A509" s="379"/>
      <c r="B509" s="379"/>
      <c r="C509" s="379"/>
      <c r="D509" s="379"/>
      <c r="E509" s="379"/>
      <c r="F509" s="379"/>
      <c r="G509" s="379"/>
      <c r="H509" s="379"/>
      <c r="I509" s="379"/>
      <c r="J509" s="379"/>
      <c r="K509" s="379"/>
      <c r="L509" s="379"/>
      <c r="M509" s="379"/>
      <c r="N509" s="379"/>
      <c r="O509" s="379"/>
      <c r="P509" s="379"/>
      <c r="Q509" s="379"/>
      <c r="R509" s="379"/>
      <c r="S509" s="379"/>
      <c r="T509" s="379"/>
      <c r="U509" s="379"/>
      <c r="W509" s="379"/>
    </row>
    <row r="510" customFormat="false" ht="14.25" hidden="false" customHeight="false" outlineLevel="0" collapsed="false">
      <c r="A510" s="379"/>
      <c r="B510" s="379"/>
      <c r="C510" s="379"/>
      <c r="D510" s="379"/>
      <c r="E510" s="379"/>
      <c r="F510" s="379"/>
      <c r="G510" s="379"/>
      <c r="H510" s="379"/>
      <c r="I510" s="379"/>
      <c r="J510" s="379"/>
      <c r="K510" s="379"/>
      <c r="L510" s="379"/>
      <c r="M510" s="379"/>
      <c r="N510" s="379"/>
      <c r="O510" s="379"/>
      <c r="P510" s="379"/>
      <c r="Q510" s="379"/>
      <c r="R510" s="379"/>
      <c r="S510" s="379"/>
      <c r="T510" s="379"/>
      <c r="U510" s="379"/>
      <c r="W510" s="379"/>
    </row>
    <row r="511" customFormat="false" ht="14.25" hidden="false" customHeight="false" outlineLevel="0" collapsed="false">
      <c r="A511" s="379"/>
      <c r="B511" s="379"/>
      <c r="C511" s="379"/>
      <c r="D511" s="379"/>
      <c r="E511" s="379"/>
      <c r="F511" s="379"/>
      <c r="G511" s="379"/>
      <c r="H511" s="379"/>
      <c r="I511" s="379"/>
      <c r="J511" s="379"/>
      <c r="K511" s="379"/>
      <c r="L511" s="379"/>
      <c r="M511" s="379"/>
      <c r="N511" s="379"/>
      <c r="O511" s="379"/>
      <c r="P511" s="379"/>
      <c r="Q511" s="379"/>
      <c r="R511" s="379"/>
      <c r="S511" s="379"/>
      <c r="T511" s="379"/>
      <c r="U511" s="379"/>
      <c r="W511" s="379"/>
    </row>
    <row r="512" customFormat="false" ht="14.25" hidden="false" customHeight="false" outlineLevel="0" collapsed="false">
      <c r="A512" s="379"/>
      <c r="B512" s="379"/>
      <c r="C512" s="379"/>
      <c r="D512" s="379"/>
      <c r="E512" s="379"/>
      <c r="F512" s="379"/>
      <c r="G512" s="379"/>
      <c r="H512" s="379"/>
      <c r="I512" s="379"/>
      <c r="J512" s="379"/>
      <c r="K512" s="379"/>
      <c r="L512" s="379"/>
      <c r="M512" s="379"/>
      <c r="N512" s="379"/>
      <c r="O512" s="379"/>
      <c r="P512" s="379"/>
      <c r="Q512" s="379"/>
      <c r="R512" s="379"/>
      <c r="S512" s="379"/>
      <c r="T512" s="379"/>
      <c r="U512" s="379"/>
      <c r="W512" s="379"/>
    </row>
    <row r="513" customFormat="false" ht="14.25" hidden="false" customHeight="false" outlineLevel="0" collapsed="false">
      <c r="A513" s="379"/>
      <c r="B513" s="379"/>
      <c r="C513" s="379"/>
      <c r="D513" s="379"/>
      <c r="E513" s="379"/>
      <c r="F513" s="379"/>
      <c r="G513" s="379"/>
      <c r="H513" s="379"/>
      <c r="I513" s="379"/>
      <c r="J513" s="379"/>
      <c r="K513" s="379"/>
      <c r="L513" s="379"/>
      <c r="M513" s="379"/>
      <c r="N513" s="379"/>
      <c r="O513" s="379"/>
      <c r="P513" s="379"/>
      <c r="Q513" s="379"/>
      <c r="R513" s="379"/>
      <c r="S513" s="379"/>
      <c r="T513" s="379"/>
      <c r="U513" s="379"/>
      <c r="W513" s="379"/>
    </row>
    <row r="514" customFormat="false" ht="14.25" hidden="false" customHeight="false" outlineLevel="0" collapsed="false">
      <c r="A514" s="379"/>
      <c r="B514" s="379"/>
      <c r="C514" s="379"/>
      <c r="D514" s="379"/>
      <c r="E514" s="379"/>
      <c r="F514" s="379"/>
      <c r="G514" s="379"/>
      <c r="H514" s="379"/>
      <c r="I514" s="379"/>
      <c r="J514" s="379"/>
      <c r="K514" s="379"/>
      <c r="L514" s="379"/>
      <c r="M514" s="379"/>
      <c r="N514" s="379"/>
      <c r="O514" s="379"/>
      <c r="P514" s="379"/>
      <c r="Q514" s="379"/>
      <c r="R514" s="379"/>
      <c r="S514" s="379"/>
      <c r="T514" s="379"/>
      <c r="U514" s="379"/>
      <c r="W514" s="379"/>
    </row>
    <row r="515" customFormat="false" ht="14.25" hidden="false" customHeight="false" outlineLevel="0" collapsed="false">
      <c r="A515" s="379"/>
      <c r="B515" s="379"/>
      <c r="C515" s="379"/>
      <c r="D515" s="379"/>
      <c r="E515" s="379"/>
      <c r="F515" s="379"/>
      <c r="G515" s="379"/>
      <c r="H515" s="379"/>
      <c r="I515" s="379"/>
      <c r="J515" s="379"/>
      <c r="K515" s="379"/>
      <c r="L515" s="379"/>
      <c r="M515" s="379"/>
      <c r="N515" s="379"/>
      <c r="O515" s="379"/>
      <c r="P515" s="379"/>
      <c r="Q515" s="379"/>
      <c r="R515" s="379"/>
      <c r="S515" s="379"/>
      <c r="T515" s="379"/>
      <c r="U515" s="379"/>
      <c r="W515" s="379"/>
    </row>
    <row r="516" customFormat="false" ht="14.25" hidden="false" customHeight="false" outlineLevel="0" collapsed="false">
      <c r="A516" s="379"/>
      <c r="B516" s="379"/>
      <c r="C516" s="379"/>
      <c r="D516" s="379"/>
      <c r="E516" s="379"/>
      <c r="F516" s="379"/>
      <c r="G516" s="379"/>
      <c r="H516" s="379"/>
      <c r="I516" s="379"/>
      <c r="J516" s="379"/>
      <c r="K516" s="379"/>
      <c r="L516" s="379"/>
      <c r="M516" s="379"/>
      <c r="N516" s="379"/>
      <c r="O516" s="379"/>
      <c r="P516" s="379"/>
      <c r="Q516" s="379"/>
      <c r="R516" s="379"/>
      <c r="S516" s="379"/>
      <c r="T516" s="379"/>
      <c r="U516" s="379"/>
      <c r="W516" s="379"/>
    </row>
    <row r="517" customFormat="false" ht="14.25" hidden="false" customHeight="false" outlineLevel="0" collapsed="false">
      <c r="A517" s="379"/>
      <c r="B517" s="379"/>
      <c r="C517" s="379"/>
      <c r="D517" s="379"/>
      <c r="E517" s="379"/>
      <c r="F517" s="379"/>
      <c r="G517" s="379"/>
      <c r="H517" s="379"/>
      <c r="I517" s="379"/>
      <c r="J517" s="379"/>
      <c r="K517" s="379"/>
      <c r="L517" s="379"/>
      <c r="M517" s="379"/>
      <c r="N517" s="379"/>
      <c r="O517" s="379"/>
      <c r="P517" s="379"/>
      <c r="Q517" s="379"/>
      <c r="R517" s="379"/>
      <c r="S517" s="379"/>
      <c r="T517" s="379"/>
      <c r="U517" s="379"/>
      <c r="W517" s="379"/>
    </row>
    <row r="518" customFormat="false" ht="14.25" hidden="false" customHeight="false" outlineLevel="0" collapsed="false">
      <c r="A518" s="379"/>
      <c r="B518" s="379"/>
      <c r="C518" s="379"/>
      <c r="D518" s="379"/>
      <c r="E518" s="379"/>
      <c r="F518" s="379"/>
      <c r="G518" s="379"/>
      <c r="H518" s="379"/>
      <c r="I518" s="379"/>
      <c r="J518" s="379"/>
      <c r="K518" s="379"/>
      <c r="L518" s="379"/>
      <c r="M518" s="379"/>
      <c r="N518" s="379"/>
      <c r="O518" s="379"/>
      <c r="P518" s="379"/>
      <c r="Q518" s="379"/>
      <c r="R518" s="379"/>
      <c r="S518" s="379"/>
      <c r="T518" s="379"/>
      <c r="U518" s="379"/>
      <c r="W518" s="379"/>
    </row>
    <row r="519" customFormat="false" ht="14.25" hidden="false" customHeight="false" outlineLevel="0" collapsed="false">
      <c r="A519" s="379"/>
      <c r="B519" s="379"/>
      <c r="C519" s="379"/>
      <c r="D519" s="379"/>
      <c r="E519" s="379"/>
      <c r="F519" s="379"/>
      <c r="G519" s="379"/>
      <c r="H519" s="379"/>
      <c r="I519" s="379"/>
      <c r="J519" s="379"/>
      <c r="K519" s="379"/>
      <c r="L519" s="379"/>
      <c r="M519" s="379"/>
      <c r="N519" s="379"/>
      <c r="O519" s="379"/>
      <c r="P519" s="379"/>
      <c r="Q519" s="379"/>
      <c r="R519" s="379"/>
      <c r="S519" s="379"/>
      <c r="T519" s="379"/>
      <c r="U519" s="379"/>
      <c r="W519" s="379"/>
    </row>
    <row r="520" customFormat="false" ht="14.25" hidden="false" customHeight="false" outlineLevel="0" collapsed="false">
      <c r="A520" s="379"/>
      <c r="B520" s="379"/>
      <c r="C520" s="379"/>
      <c r="D520" s="379"/>
      <c r="E520" s="379"/>
      <c r="F520" s="379"/>
      <c r="G520" s="379"/>
      <c r="H520" s="379"/>
      <c r="I520" s="379"/>
      <c r="J520" s="379"/>
      <c r="K520" s="379"/>
      <c r="L520" s="379"/>
      <c r="M520" s="379"/>
      <c r="N520" s="379"/>
      <c r="O520" s="379"/>
      <c r="P520" s="379"/>
      <c r="Q520" s="379"/>
      <c r="R520" s="379"/>
      <c r="S520" s="379"/>
      <c r="T520" s="379"/>
      <c r="U520" s="379"/>
      <c r="W520" s="379"/>
    </row>
    <row r="521" customFormat="false" ht="14.25" hidden="false" customHeight="false" outlineLevel="0" collapsed="false">
      <c r="A521" s="379"/>
      <c r="B521" s="379"/>
      <c r="C521" s="379"/>
      <c r="D521" s="379"/>
      <c r="E521" s="379"/>
      <c r="F521" s="379"/>
      <c r="G521" s="379"/>
      <c r="H521" s="379"/>
      <c r="I521" s="379"/>
      <c r="J521" s="379"/>
      <c r="K521" s="379"/>
      <c r="L521" s="379"/>
      <c r="M521" s="379"/>
      <c r="N521" s="379"/>
      <c r="O521" s="379"/>
      <c r="P521" s="379"/>
      <c r="Q521" s="379"/>
      <c r="R521" s="379"/>
      <c r="S521" s="379"/>
      <c r="T521" s="379"/>
      <c r="U521" s="379"/>
      <c r="W521" s="379"/>
    </row>
    <row r="522" customFormat="false" ht="14.25" hidden="false" customHeight="false" outlineLevel="0" collapsed="false">
      <c r="A522" s="379"/>
      <c r="B522" s="379"/>
      <c r="C522" s="379"/>
      <c r="D522" s="379"/>
      <c r="E522" s="379"/>
      <c r="F522" s="379"/>
      <c r="G522" s="379"/>
      <c r="H522" s="379"/>
      <c r="I522" s="379"/>
      <c r="J522" s="379"/>
      <c r="K522" s="379"/>
      <c r="L522" s="379"/>
      <c r="M522" s="379"/>
      <c r="N522" s="379"/>
      <c r="O522" s="379"/>
      <c r="P522" s="379"/>
      <c r="Q522" s="379"/>
      <c r="R522" s="379"/>
      <c r="S522" s="379"/>
      <c r="T522" s="379"/>
      <c r="U522" s="379"/>
      <c r="W522" s="379"/>
    </row>
    <row r="523" customFormat="false" ht="14.25" hidden="false" customHeight="false" outlineLevel="0" collapsed="false">
      <c r="A523" s="379"/>
      <c r="B523" s="379"/>
      <c r="C523" s="379"/>
      <c r="D523" s="379"/>
      <c r="E523" s="379"/>
      <c r="F523" s="379"/>
      <c r="G523" s="379"/>
      <c r="H523" s="379"/>
      <c r="I523" s="379"/>
      <c r="J523" s="379"/>
      <c r="K523" s="379"/>
      <c r="L523" s="379"/>
      <c r="M523" s="379"/>
      <c r="N523" s="379"/>
      <c r="O523" s="379"/>
      <c r="P523" s="379"/>
      <c r="Q523" s="379"/>
      <c r="R523" s="379"/>
      <c r="S523" s="379"/>
      <c r="T523" s="379"/>
      <c r="U523" s="379"/>
      <c r="W523" s="379"/>
    </row>
    <row r="524" customFormat="false" ht="14.25" hidden="false" customHeight="false" outlineLevel="0" collapsed="false">
      <c r="A524" s="379"/>
      <c r="B524" s="379"/>
      <c r="C524" s="379"/>
      <c r="D524" s="379"/>
      <c r="E524" s="379"/>
      <c r="F524" s="379"/>
      <c r="G524" s="379"/>
      <c r="H524" s="379"/>
      <c r="I524" s="379"/>
      <c r="J524" s="379"/>
      <c r="K524" s="379"/>
      <c r="L524" s="379"/>
      <c r="M524" s="379"/>
      <c r="N524" s="379"/>
      <c r="O524" s="379"/>
      <c r="P524" s="379"/>
      <c r="Q524" s="379"/>
      <c r="R524" s="379"/>
      <c r="S524" s="379"/>
      <c r="T524" s="379"/>
      <c r="U524" s="379"/>
      <c r="W524" s="379"/>
    </row>
    <row r="525" customFormat="false" ht="14.25" hidden="false" customHeight="false" outlineLevel="0" collapsed="false">
      <c r="A525" s="379"/>
      <c r="B525" s="379"/>
      <c r="C525" s="379"/>
      <c r="D525" s="379"/>
      <c r="E525" s="379"/>
      <c r="F525" s="379"/>
      <c r="G525" s="379"/>
      <c r="H525" s="379"/>
      <c r="I525" s="379"/>
      <c r="J525" s="379"/>
      <c r="K525" s="379"/>
      <c r="L525" s="379"/>
      <c r="M525" s="379"/>
      <c r="N525" s="379"/>
      <c r="O525" s="379"/>
      <c r="P525" s="379"/>
      <c r="Q525" s="379"/>
      <c r="R525" s="379"/>
      <c r="S525" s="379"/>
      <c r="T525" s="379"/>
      <c r="U525" s="379"/>
      <c r="W525" s="379"/>
    </row>
    <row r="526" customFormat="false" ht="14.25" hidden="false" customHeight="false" outlineLevel="0" collapsed="false">
      <c r="A526" s="379"/>
      <c r="B526" s="379"/>
      <c r="C526" s="379"/>
      <c r="D526" s="379"/>
      <c r="E526" s="379"/>
      <c r="F526" s="379"/>
      <c r="G526" s="379"/>
      <c r="H526" s="379"/>
      <c r="I526" s="379"/>
      <c r="J526" s="379"/>
      <c r="K526" s="379"/>
      <c r="L526" s="379"/>
      <c r="M526" s="379"/>
      <c r="N526" s="379"/>
      <c r="O526" s="379"/>
      <c r="P526" s="379"/>
      <c r="Q526" s="379"/>
      <c r="R526" s="379"/>
      <c r="S526" s="379"/>
      <c r="T526" s="379"/>
      <c r="U526" s="379"/>
      <c r="W526" s="379"/>
    </row>
    <row r="527" customFormat="false" ht="14.25" hidden="false" customHeight="false" outlineLevel="0" collapsed="false">
      <c r="A527" s="379"/>
      <c r="B527" s="379"/>
      <c r="C527" s="379"/>
      <c r="D527" s="379"/>
      <c r="E527" s="379"/>
      <c r="F527" s="379"/>
      <c r="G527" s="379"/>
      <c r="H527" s="379"/>
      <c r="I527" s="379"/>
      <c r="J527" s="379"/>
      <c r="K527" s="379"/>
      <c r="L527" s="379"/>
      <c r="M527" s="379"/>
      <c r="N527" s="379"/>
      <c r="O527" s="379"/>
      <c r="P527" s="379"/>
      <c r="Q527" s="379"/>
      <c r="R527" s="379"/>
      <c r="S527" s="379"/>
      <c r="T527" s="379"/>
      <c r="U527" s="379"/>
      <c r="W527" s="379"/>
    </row>
    <row r="528" customFormat="false" ht="14.25" hidden="false" customHeight="false" outlineLevel="0" collapsed="false">
      <c r="A528" s="379"/>
      <c r="B528" s="379"/>
      <c r="C528" s="379"/>
      <c r="D528" s="379"/>
      <c r="E528" s="379"/>
      <c r="F528" s="379"/>
      <c r="G528" s="379"/>
      <c r="H528" s="379"/>
      <c r="I528" s="379"/>
      <c r="J528" s="379"/>
      <c r="K528" s="379"/>
      <c r="L528" s="379"/>
      <c r="M528" s="379"/>
      <c r="N528" s="379"/>
      <c r="O528" s="379"/>
      <c r="P528" s="379"/>
      <c r="Q528" s="379"/>
      <c r="R528" s="379"/>
      <c r="S528" s="379"/>
      <c r="T528" s="379"/>
      <c r="U528" s="379"/>
      <c r="W528" s="379"/>
    </row>
    <row r="529" customFormat="false" ht="14.25" hidden="false" customHeight="false" outlineLevel="0" collapsed="false">
      <c r="A529" s="379"/>
      <c r="B529" s="379"/>
      <c r="C529" s="379"/>
      <c r="D529" s="379"/>
      <c r="E529" s="379"/>
      <c r="F529" s="379"/>
      <c r="G529" s="379"/>
      <c r="H529" s="379"/>
      <c r="I529" s="379"/>
      <c r="J529" s="379"/>
      <c r="K529" s="379"/>
      <c r="L529" s="379"/>
      <c r="M529" s="379"/>
      <c r="N529" s="379"/>
      <c r="O529" s="379"/>
      <c r="P529" s="379"/>
      <c r="Q529" s="379"/>
      <c r="R529" s="379"/>
      <c r="S529" s="379"/>
      <c r="T529" s="379"/>
      <c r="U529" s="379"/>
      <c r="W529" s="379"/>
    </row>
    <row r="530" customFormat="false" ht="14.25" hidden="false" customHeight="false" outlineLevel="0" collapsed="false">
      <c r="A530" s="379"/>
      <c r="B530" s="379"/>
      <c r="C530" s="379"/>
      <c r="D530" s="379"/>
      <c r="E530" s="379"/>
      <c r="F530" s="379"/>
      <c r="G530" s="379"/>
      <c r="H530" s="379"/>
      <c r="I530" s="379"/>
      <c r="J530" s="379"/>
      <c r="K530" s="379"/>
      <c r="L530" s="379"/>
      <c r="M530" s="379"/>
      <c r="N530" s="379"/>
      <c r="O530" s="379"/>
      <c r="P530" s="379"/>
      <c r="Q530" s="379"/>
      <c r="R530" s="379"/>
      <c r="S530" s="379"/>
      <c r="T530" s="379"/>
      <c r="U530" s="379"/>
      <c r="W530" s="379"/>
    </row>
    <row r="531" customFormat="false" ht="14.25" hidden="false" customHeight="false" outlineLevel="0" collapsed="false">
      <c r="A531" s="379"/>
      <c r="B531" s="379"/>
      <c r="C531" s="379"/>
      <c r="D531" s="379"/>
      <c r="E531" s="379"/>
      <c r="F531" s="379"/>
      <c r="G531" s="379"/>
      <c r="H531" s="379"/>
      <c r="I531" s="379"/>
      <c r="J531" s="379"/>
      <c r="K531" s="379"/>
      <c r="L531" s="379"/>
      <c r="M531" s="379"/>
      <c r="N531" s="379"/>
      <c r="O531" s="379"/>
      <c r="P531" s="379"/>
      <c r="Q531" s="379"/>
      <c r="R531" s="379"/>
      <c r="S531" s="379"/>
      <c r="T531" s="379"/>
      <c r="U531" s="379"/>
      <c r="W531" s="379"/>
    </row>
    <row r="532" customFormat="false" ht="14.25" hidden="false" customHeight="false" outlineLevel="0" collapsed="false">
      <c r="A532" s="379"/>
      <c r="B532" s="379"/>
      <c r="C532" s="379"/>
      <c r="D532" s="379"/>
      <c r="E532" s="379"/>
      <c r="F532" s="379"/>
      <c r="G532" s="379"/>
      <c r="H532" s="379"/>
      <c r="I532" s="379"/>
      <c r="J532" s="379"/>
      <c r="K532" s="379"/>
      <c r="L532" s="379"/>
      <c r="M532" s="379"/>
      <c r="N532" s="379"/>
      <c r="O532" s="379"/>
      <c r="P532" s="379"/>
      <c r="Q532" s="379"/>
      <c r="R532" s="379"/>
      <c r="S532" s="379"/>
      <c r="T532" s="379"/>
      <c r="U532" s="379"/>
      <c r="W532" s="379"/>
    </row>
    <row r="533" customFormat="false" ht="14.25" hidden="false" customHeight="false" outlineLevel="0" collapsed="false">
      <c r="A533" s="379"/>
      <c r="B533" s="379"/>
      <c r="C533" s="379"/>
      <c r="D533" s="379"/>
      <c r="E533" s="379"/>
      <c r="F533" s="379"/>
      <c r="G533" s="379"/>
      <c r="H533" s="379"/>
      <c r="I533" s="379"/>
      <c r="J533" s="379"/>
      <c r="K533" s="379"/>
      <c r="L533" s="379"/>
      <c r="M533" s="379"/>
      <c r="N533" s="379"/>
      <c r="O533" s="379"/>
      <c r="P533" s="379"/>
      <c r="Q533" s="379"/>
      <c r="R533" s="379"/>
      <c r="S533" s="379"/>
      <c r="T533" s="379"/>
      <c r="U533" s="379"/>
      <c r="W533" s="379"/>
    </row>
    <row r="534" customFormat="false" ht="14.25" hidden="false" customHeight="false" outlineLevel="0" collapsed="false">
      <c r="A534" s="379"/>
      <c r="B534" s="379"/>
      <c r="C534" s="379"/>
      <c r="D534" s="379"/>
      <c r="E534" s="379"/>
      <c r="F534" s="379"/>
      <c r="G534" s="379"/>
      <c r="H534" s="379"/>
      <c r="I534" s="379"/>
      <c r="J534" s="379"/>
      <c r="K534" s="379"/>
      <c r="L534" s="379"/>
      <c r="M534" s="379"/>
      <c r="N534" s="379"/>
      <c r="O534" s="379"/>
      <c r="P534" s="379"/>
      <c r="Q534" s="379"/>
      <c r="R534" s="379"/>
      <c r="S534" s="379"/>
      <c r="T534" s="379"/>
      <c r="U534" s="379"/>
      <c r="W534" s="379"/>
    </row>
    <row r="535" customFormat="false" ht="14.25" hidden="false" customHeight="false" outlineLevel="0" collapsed="false">
      <c r="A535" s="379"/>
      <c r="B535" s="379"/>
      <c r="C535" s="379"/>
      <c r="D535" s="379"/>
      <c r="E535" s="379"/>
      <c r="F535" s="379"/>
      <c r="G535" s="379"/>
      <c r="H535" s="379"/>
      <c r="I535" s="379"/>
      <c r="J535" s="379"/>
      <c r="K535" s="379"/>
      <c r="L535" s="379"/>
      <c r="M535" s="379"/>
      <c r="N535" s="379"/>
      <c r="O535" s="379"/>
      <c r="P535" s="379"/>
      <c r="Q535" s="379"/>
      <c r="R535" s="379"/>
      <c r="S535" s="379"/>
      <c r="T535" s="379"/>
      <c r="U535" s="379"/>
      <c r="W535" s="379"/>
    </row>
    <row r="536" customFormat="false" ht="14.25" hidden="false" customHeight="false" outlineLevel="0" collapsed="false">
      <c r="A536" s="379"/>
      <c r="B536" s="379"/>
      <c r="C536" s="379"/>
      <c r="D536" s="379"/>
      <c r="E536" s="379"/>
      <c r="F536" s="379"/>
      <c r="G536" s="379"/>
      <c r="H536" s="379"/>
      <c r="I536" s="379"/>
      <c r="J536" s="379"/>
      <c r="K536" s="379"/>
      <c r="L536" s="379"/>
      <c r="M536" s="379"/>
      <c r="N536" s="379"/>
      <c r="O536" s="379"/>
      <c r="P536" s="379"/>
      <c r="Q536" s="379"/>
      <c r="R536" s="379"/>
      <c r="S536" s="379"/>
      <c r="T536" s="379"/>
      <c r="U536" s="379"/>
      <c r="W536" s="379"/>
    </row>
    <row r="537" customFormat="false" ht="14.25" hidden="false" customHeight="false" outlineLevel="0" collapsed="false">
      <c r="A537" s="379"/>
      <c r="B537" s="379"/>
      <c r="C537" s="379"/>
      <c r="D537" s="379"/>
      <c r="E537" s="379"/>
      <c r="F537" s="379"/>
      <c r="G537" s="379"/>
      <c r="H537" s="379"/>
      <c r="I537" s="379"/>
      <c r="J537" s="379"/>
      <c r="K537" s="379"/>
      <c r="L537" s="379"/>
      <c r="M537" s="379"/>
      <c r="N537" s="379"/>
      <c r="O537" s="379"/>
      <c r="P537" s="379"/>
      <c r="Q537" s="379"/>
      <c r="R537" s="379"/>
      <c r="S537" s="379"/>
      <c r="T537" s="379"/>
      <c r="U537" s="379"/>
      <c r="W537" s="379"/>
    </row>
    <row r="538" customFormat="false" ht="14.25" hidden="false" customHeight="false" outlineLevel="0" collapsed="false">
      <c r="A538" s="379"/>
      <c r="B538" s="379"/>
      <c r="C538" s="379"/>
      <c r="D538" s="379"/>
      <c r="E538" s="379"/>
      <c r="F538" s="379"/>
      <c r="G538" s="379"/>
      <c r="H538" s="379"/>
      <c r="I538" s="379"/>
      <c r="J538" s="379"/>
      <c r="K538" s="379"/>
      <c r="L538" s="379"/>
      <c r="M538" s="379"/>
      <c r="N538" s="379"/>
      <c r="O538" s="379"/>
      <c r="P538" s="379"/>
      <c r="Q538" s="379"/>
      <c r="R538" s="379"/>
      <c r="S538" s="379"/>
      <c r="T538" s="379"/>
      <c r="U538" s="379"/>
      <c r="W538" s="379"/>
    </row>
    <row r="539" customFormat="false" ht="14.25" hidden="false" customHeight="false" outlineLevel="0" collapsed="false">
      <c r="A539" s="379"/>
      <c r="B539" s="379"/>
      <c r="C539" s="379"/>
      <c r="D539" s="379"/>
      <c r="E539" s="379"/>
      <c r="F539" s="379"/>
      <c r="G539" s="379"/>
      <c r="H539" s="379"/>
      <c r="I539" s="379"/>
      <c r="J539" s="379"/>
      <c r="K539" s="379"/>
      <c r="L539" s="379"/>
      <c r="M539" s="379"/>
      <c r="N539" s="379"/>
      <c r="O539" s="379"/>
      <c r="P539" s="379"/>
      <c r="Q539" s="379"/>
      <c r="R539" s="379"/>
      <c r="S539" s="379"/>
      <c r="T539" s="379"/>
      <c r="U539" s="379"/>
      <c r="W539" s="379"/>
    </row>
    <row r="540" customFormat="false" ht="14.25" hidden="false" customHeight="false" outlineLevel="0" collapsed="false">
      <c r="A540" s="379"/>
      <c r="B540" s="379"/>
      <c r="C540" s="379"/>
      <c r="D540" s="379"/>
      <c r="E540" s="379"/>
      <c r="F540" s="379"/>
      <c r="G540" s="379"/>
      <c r="H540" s="379"/>
      <c r="I540" s="379"/>
      <c r="J540" s="379"/>
      <c r="K540" s="379"/>
      <c r="L540" s="379"/>
      <c r="M540" s="379"/>
      <c r="N540" s="379"/>
      <c r="O540" s="379"/>
      <c r="P540" s="379"/>
      <c r="Q540" s="379"/>
      <c r="R540" s="379"/>
      <c r="S540" s="379"/>
      <c r="T540" s="379"/>
      <c r="U540" s="379"/>
      <c r="W540" s="379"/>
    </row>
    <row r="541" customFormat="false" ht="14.25" hidden="false" customHeight="false" outlineLevel="0" collapsed="false">
      <c r="A541" s="379"/>
      <c r="B541" s="379"/>
      <c r="C541" s="379"/>
      <c r="D541" s="379"/>
      <c r="E541" s="379"/>
      <c r="F541" s="379"/>
      <c r="G541" s="379"/>
      <c r="H541" s="379"/>
      <c r="I541" s="379"/>
      <c r="J541" s="379"/>
      <c r="K541" s="379"/>
      <c r="L541" s="379"/>
      <c r="M541" s="379"/>
      <c r="N541" s="379"/>
      <c r="O541" s="379"/>
      <c r="P541" s="379"/>
      <c r="Q541" s="379"/>
      <c r="R541" s="379"/>
      <c r="S541" s="379"/>
      <c r="T541" s="379"/>
      <c r="U541" s="379"/>
      <c r="W541" s="379"/>
    </row>
    <row r="542" customFormat="false" ht="14.25" hidden="false" customHeight="false" outlineLevel="0" collapsed="false">
      <c r="A542" s="379"/>
      <c r="B542" s="379"/>
      <c r="C542" s="379"/>
      <c r="D542" s="379"/>
      <c r="E542" s="379"/>
      <c r="F542" s="379"/>
      <c r="G542" s="379"/>
      <c r="H542" s="379"/>
      <c r="I542" s="379"/>
      <c r="J542" s="379"/>
      <c r="K542" s="379"/>
      <c r="L542" s="379"/>
      <c r="M542" s="379"/>
      <c r="N542" s="379"/>
      <c r="O542" s="379"/>
      <c r="P542" s="379"/>
      <c r="Q542" s="379"/>
      <c r="R542" s="379"/>
      <c r="S542" s="379"/>
      <c r="T542" s="379"/>
      <c r="U542" s="379"/>
      <c r="W542" s="379"/>
    </row>
    <row r="543" customFormat="false" ht="14.25" hidden="false" customHeight="false" outlineLevel="0" collapsed="false">
      <c r="A543" s="379"/>
      <c r="B543" s="379"/>
      <c r="C543" s="379"/>
      <c r="D543" s="379"/>
      <c r="E543" s="379"/>
      <c r="F543" s="379"/>
      <c r="G543" s="379"/>
      <c r="H543" s="379"/>
      <c r="I543" s="379"/>
      <c r="J543" s="379"/>
      <c r="K543" s="379"/>
      <c r="L543" s="379"/>
      <c r="M543" s="379"/>
      <c r="N543" s="379"/>
      <c r="O543" s="379"/>
      <c r="P543" s="379"/>
      <c r="Q543" s="379"/>
      <c r="R543" s="379"/>
      <c r="S543" s="379"/>
      <c r="T543" s="379"/>
      <c r="U543" s="379"/>
      <c r="W543" s="379"/>
    </row>
    <row r="544" customFormat="false" ht="14.25" hidden="false" customHeight="false" outlineLevel="0" collapsed="false">
      <c r="A544" s="379"/>
      <c r="B544" s="379"/>
      <c r="C544" s="379"/>
      <c r="D544" s="379"/>
      <c r="E544" s="379"/>
      <c r="F544" s="379"/>
      <c r="G544" s="379"/>
      <c r="H544" s="379"/>
      <c r="I544" s="379"/>
      <c r="J544" s="379"/>
      <c r="K544" s="379"/>
      <c r="L544" s="379"/>
      <c r="M544" s="379"/>
      <c r="N544" s="379"/>
      <c r="O544" s="379"/>
      <c r="P544" s="379"/>
      <c r="Q544" s="379"/>
      <c r="R544" s="379"/>
      <c r="S544" s="379"/>
      <c r="T544" s="379"/>
      <c r="U544" s="379"/>
      <c r="W544" s="379"/>
    </row>
    <row r="545" customFormat="false" ht="14.25" hidden="false" customHeight="false" outlineLevel="0" collapsed="false">
      <c r="A545" s="379"/>
      <c r="B545" s="379"/>
      <c r="C545" s="379"/>
      <c r="D545" s="379"/>
      <c r="E545" s="379"/>
      <c r="F545" s="379"/>
      <c r="G545" s="379"/>
      <c r="H545" s="379"/>
      <c r="I545" s="379"/>
      <c r="J545" s="379"/>
      <c r="K545" s="379"/>
      <c r="L545" s="379"/>
      <c r="M545" s="379"/>
      <c r="N545" s="379"/>
      <c r="O545" s="379"/>
      <c r="P545" s="379"/>
      <c r="Q545" s="379"/>
      <c r="R545" s="379"/>
      <c r="S545" s="379"/>
      <c r="T545" s="379"/>
      <c r="U545" s="379"/>
      <c r="W545" s="379"/>
    </row>
    <row r="546" customFormat="false" ht="14.25" hidden="false" customHeight="false" outlineLevel="0" collapsed="false">
      <c r="A546" s="379"/>
      <c r="B546" s="379"/>
      <c r="C546" s="379"/>
      <c r="D546" s="379"/>
      <c r="E546" s="379"/>
      <c r="F546" s="379"/>
      <c r="G546" s="379"/>
      <c r="H546" s="379"/>
      <c r="I546" s="379"/>
      <c r="J546" s="379"/>
      <c r="K546" s="379"/>
      <c r="L546" s="379"/>
      <c r="M546" s="379"/>
      <c r="N546" s="379"/>
      <c r="O546" s="379"/>
      <c r="P546" s="379"/>
      <c r="Q546" s="379"/>
      <c r="R546" s="379"/>
      <c r="S546" s="379"/>
      <c r="T546" s="379"/>
      <c r="U546" s="379"/>
      <c r="W546" s="379"/>
    </row>
    <row r="547" customFormat="false" ht="14.25" hidden="false" customHeight="false" outlineLevel="0" collapsed="false">
      <c r="A547" s="379"/>
      <c r="B547" s="379"/>
      <c r="C547" s="379"/>
      <c r="D547" s="379"/>
      <c r="E547" s="379"/>
      <c r="F547" s="379"/>
      <c r="G547" s="379"/>
      <c r="H547" s="379"/>
      <c r="I547" s="379"/>
      <c r="J547" s="379"/>
      <c r="K547" s="379"/>
      <c r="L547" s="379"/>
      <c r="M547" s="379"/>
      <c r="N547" s="379"/>
      <c r="O547" s="379"/>
      <c r="P547" s="379"/>
      <c r="Q547" s="379"/>
      <c r="R547" s="379"/>
      <c r="S547" s="379"/>
      <c r="T547" s="379"/>
      <c r="U547" s="379"/>
      <c r="W547" s="379"/>
    </row>
    <row r="548" customFormat="false" ht="14.25" hidden="false" customHeight="false" outlineLevel="0" collapsed="false">
      <c r="A548" s="379"/>
      <c r="B548" s="379"/>
      <c r="C548" s="379"/>
      <c r="D548" s="379"/>
      <c r="E548" s="379"/>
      <c r="F548" s="379"/>
      <c r="G548" s="379"/>
      <c r="H548" s="379"/>
      <c r="I548" s="379"/>
      <c r="J548" s="379"/>
      <c r="K548" s="379"/>
      <c r="L548" s="379"/>
      <c r="M548" s="379"/>
      <c r="N548" s="379"/>
      <c r="O548" s="379"/>
      <c r="P548" s="379"/>
      <c r="Q548" s="379"/>
      <c r="R548" s="379"/>
      <c r="S548" s="379"/>
      <c r="T548" s="379"/>
      <c r="U548" s="379"/>
      <c r="W548" s="379"/>
    </row>
    <row r="549" customFormat="false" ht="14.25" hidden="false" customHeight="false" outlineLevel="0" collapsed="false">
      <c r="A549" s="379"/>
      <c r="B549" s="379"/>
      <c r="C549" s="379"/>
      <c r="D549" s="379"/>
      <c r="E549" s="379"/>
      <c r="F549" s="379"/>
      <c r="G549" s="379"/>
      <c r="H549" s="379"/>
      <c r="I549" s="379"/>
      <c r="J549" s="379"/>
      <c r="K549" s="379"/>
      <c r="L549" s="379"/>
      <c r="M549" s="379"/>
      <c r="N549" s="379"/>
      <c r="O549" s="379"/>
      <c r="P549" s="379"/>
      <c r="Q549" s="379"/>
      <c r="R549" s="379"/>
      <c r="S549" s="379"/>
      <c r="T549" s="379"/>
      <c r="U549" s="379"/>
      <c r="W549" s="379"/>
    </row>
    <row r="550" customFormat="false" ht="14.25" hidden="false" customHeight="false" outlineLevel="0" collapsed="false">
      <c r="A550" s="379"/>
      <c r="B550" s="379"/>
      <c r="C550" s="379"/>
      <c r="D550" s="379"/>
      <c r="E550" s="379"/>
      <c r="F550" s="379"/>
      <c r="G550" s="379"/>
      <c r="H550" s="379"/>
      <c r="I550" s="379"/>
      <c r="J550" s="379"/>
      <c r="K550" s="379"/>
      <c r="L550" s="379"/>
      <c r="M550" s="379"/>
      <c r="N550" s="379"/>
      <c r="O550" s="379"/>
      <c r="P550" s="379"/>
      <c r="Q550" s="379"/>
      <c r="R550" s="379"/>
      <c r="S550" s="379"/>
      <c r="T550" s="379"/>
      <c r="U550" s="379"/>
      <c r="W550" s="379"/>
    </row>
    <row r="551" customFormat="false" ht="14.25" hidden="false" customHeight="false" outlineLevel="0" collapsed="false">
      <c r="A551" s="379"/>
      <c r="B551" s="379"/>
      <c r="C551" s="379"/>
      <c r="D551" s="379"/>
      <c r="E551" s="379"/>
      <c r="F551" s="379"/>
      <c r="G551" s="379"/>
      <c r="H551" s="379"/>
      <c r="I551" s="379"/>
      <c r="J551" s="379"/>
      <c r="K551" s="379"/>
      <c r="L551" s="379"/>
      <c r="M551" s="379"/>
      <c r="N551" s="379"/>
      <c r="O551" s="379"/>
      <c r="P551" s="379"/>
      <c r="Q551" s="379"/>
      <c r="R551" s="379"/>
      <c r="S551" s="379"/>
      <c r="T551" s="379"/>
      <c r="U551" s="379"/>
      <c r="W551" s="379"/>
    </row>
    <row r="552" customFormat="false" ht="14.25" hidden="false" customHeight="false" outlineLevel="0" collapsed="false">
      <c r="A552" s="379"/>
      <c r="B552" s="379"/>
      <c r="C552" s="379"/>
      <c r="D552" s="379"/>
      <c r="E552" s="379"/>
      <c r="F552" s="379"/>
      <c r="G552" s="379"/>
      <c r="H552" s="379"/>
      <c r="I552" s="379"/>
      <c r="J552" s="379"/>
      <c r="K552" s="379"/>
      <c r="L552" s="379"/>
      <c r="M552" s="379"/>
      <c r="N552" s="379"/>
      <c r="O552" s="379"/>
      <c r="P552" s="379"/>
      <c r="Q552" s="379"/>
      <c r="R552" s="379"/>
      <c r="S552" s="379"/>
      <c r="T552" s="379"/>
      <c r="U552" s="379"/>
      <c r="W552" s="379"/>
    </row>
    <row r="553" customFormat="false" ht="14.25" hidden="false" customHeight="false" outlineLevel="0" collapsed="false">
      <c r="A553" s="379"/>
      <c r="B553" s="379"/>
      <c r="C553" s="379"/>
      <c r="D553" s="379"/>
      <c r="E553" s="379"/>
      <c r="F553" s="379"/>
      <c r="G553" s="379"/>
      <c r="H553" s="379"/>
      <c r="I553" s="379"/>
      <c r="J553" s="379"/>
      <c r="K553" s="379"/>
      <c r="L553" s="379"/>
      <c r="M553" s="379"/>
      <c r="N553" s="379"/>
      <c r="O553" s="379"/>
      <c r="P553" s="379"/>
      <c r="Q553" s="379"/>
      <c r="R553" s="379"/>
      <c r="S553" s="379"/>
      <c r="T553" s="379"/>
      <c r="U553" s="379"/>
      <c r="W553" s="379"/>
    </row>
    <row r="554" customFormat="false" ht="14.25" hidden="false" customHeight="false" outlineLevel="0" collapsed="false">
      <c r="A554" s="379"/>
      <c r="B554" s="379"/>
      <c r="C554" s="379"/>
      <c r="D554" s="379"/>
      <c r="E554" s="379"/>
      <c r="F554" s="379"/>
      <c r="G554" s="379"/>
      <c r="H554" s="379"/>
      <c r="I554" s="379"/>
      <c r="J554" s="379"/>
      <c r="K554" s="379"/>
      <c r="L554" s="379"/>
      <c r="M554" s="379"/>
      <c r="N554" s="379"/>
      <c r="O554" s="379"/>
      <c r="P554" s="379"/>
      <c r="Q554" s="379"/>
      <c r="R554" s="379"/>
      <c r="S554" s="379"/>
      <c r="T554" s="379"/>
      <c r="U554" s="379"/>
      <c r="W554" s="379"/>
    </row>
    <row r="555" customFormat="false" ht="14.25" hidden="false" customHeight="false" outlineLevel="0" collapsed="false">
      <c r="A555" s="379"/>
      <c r="B555" s="379"/>
      <c r="C555" s="379"/>
      <c r="D555" s="379"/>
      <c r="E555" s="379"/>
      <c r="F555" s="379"/>
      <c r="G555" s="379"/>
      <c r="H555" s="379"/>
      <c r="I555" s="379"/>
      <c r="J555" s="379"/>
      <c r="K555" s="379"/>
      <c r="L555" s="379"/>
      <c r="M555" s="379"/>
      <c r="N555" s="379"/>
      <c r="O555" s="379"/>
      <c r="P555" s="379"/>
      <c r="Q555" s="379"/>
      <c r="R555" s="379"/>
      <c r="S555" s="379"/>
      <c r="T555" s="379"/>
      <c r="U555" s="379"/>
      <c r="W555" s="379"/>
    </row>
    <row r="556" customFormat="false" ht="14.25" hidden="false" customHeight="false" outlineLevel="0" collapsed="false">
      <c r="A556" s="379"/>
      <c r="B556" s="379"/>
      <c r="C556" s="379"/>
      <c r="D556" s="379"/>
      <c r="E556" s="379"/>
      <c r="F556" s="379"/>
      <c r="G556" s="379"/>
      <c r="H556" s="379"/>
      <c r="I556" s="379"/>
      <c r="J556" s="379"/>
      <c r="K556" s="379"/>
      <c r="L556" s="379"/>
      <c r="M556" s="379"/>
      <c r="N556" s="379"/>
      <c r="O556" s="379"/>
      <c r="P556" s="379"/>
      <c r="Q556" s="379"/>
      <c r="R556" s="379"/>
      <c r="S556" s="379"/>
      <c r="T556" s="379"/>
      <c r="U556" s="379"/>
      <c r="W556" s="379"/>
    </row>
    <row r="557" customFormat="false" ht="14.25" hidden="false" customHeight="false" outlineLevel="0" collapsed="false">
      <c r="A557" s="379"/>
      <c r="B557" s="379"/>
      <c r="C557" s="379"/>
      <c r="D557" s="379"/>
      <c r="E557" s="379"/>
      <c r="F557" s="379"/>
      <c r="G557" s="379"/>
      <c r="H557" s="379"/>
      <c r="I557" s="379"/>
      <c r="J557" s="379"/>
      <c r="K557" s="379"/>
      <c r="L557" s="379"/>
      <c r="M557" s="379"/>
      <c r="N557" s="379"/>
      <c r="O557" s="379"/>
      <c r="P557" s="379"/>
      <c r="Q557" s="379"/>
      <c r="R557" s="379"/>
      <c r="S557" s="379"/>
      <c r="T557" s="379"/>
      <c r="U557" s="379"/>
      <c r="W557" s="379"/>
    </row>
    <row r="558" customFormat="false" ht="14.25" hidden="false" customHeight="false" outlineLevel="0" collapsed="false">
      <c r="A558" s="379"/>
      <c r="B558" s="379"/>
      <c r="C558" s="379"/>
      <c r="D558" s="379"/>
      <c r="E558" s="379"/>
      <c r="F558" s="379"/>
      <c r="G558" s="379"/>
      <c r="H558" s="379"/>
      <c r="I558" s="379"/>
      <c r="J558" s="379"/>
      <c r="K558" s="379"/>
      <c r="L558" s="379"/>
      <c r="M558" s="379"/>
      <c r="N558" s="379"/>
      <c r="O558" s="379"/>
      <c r="P558" s="379"/>
      <c r="Q558" s="379"/>
      <c r="R558" s="379"/>
      <c r="S558" s="379"/>
      <c r="T558" s="379"/>
      <c r="U558" s="379"/>
      <c r="W558" s="379"/>
    </row>
    <row r="559" customFormat="false" ht="14.25" hidden="false" customHeight="false" outlineLevel="0" collapsed="false">
      <c r="A559" s="379"/>
      <c r="B559" s="379"/>
      <c r="C559" s="379"/>
      <c r="D559" s="379"/>
      <c r="E559" s="379"/>
      <c r="F559" s="379"/>
      <c r="G559" s="379"/>
      <c r="H559" s="379"/>
      <c r="I559" s="379"/>
      <c r="J559" s="379"/>
      <c r="K559" s="379"/>
      <c r="L559" s="379"/>
      <c r="M559" s="379"/>
      <c r="N559" s="379"/>
      <c r="O559" s="379"/>
      <c r="P559" s="379"/>
      <c r="Q559" s="379"/>
      <c r="R559" s="379"/>
      <c r="S559" s="379"/>
      <c r="T559" s="379"/>
      <c r="U559" s="379"/>
      <c r="W559" s="379"/>
    </row>
    <row r="560" customFormat="false" ht="14.25" hidden="false" customHeight="false" outlineLevel="0" collapsed="false">
      <c r="A560" s="379"/>
      <c r="B560" s="379"/>
      <c r="C560" s="379"/>
      <c r="D560" s="379"/>
      <c r="E560" s="379"/>
      <c r="F560" s="379"/>
      <c r="G560" s="379"/>
      <c r="H560" s="379"/>
      <c r="I560" s="379"/>
      <c r="J560" s="379"/>
      <c r="K560" s="379"/>
      <c r="L560" s="379"/>
      <c r="M560" s="379"/>
      <c r="N560" s="379"/>
      <c r="O560" s="379"/>
      <c r="P560" s="379"/>
      <c r="Q560" s="379"/>
      <c r="R560" s="379"/>
      <c r="S560" s="379"/>
      <c r="T560" s="379"/>
      <c r="U560" s="379"/>
      <c r="W560" s="379"/>
    </row>
    <row r="561" customFormat="false" ht="14.25" hidden="false" customHeight="false" outlineLevel="0" collapsed="false">
      <c r="A561" s="379"/>
      <c r="B561" s="379"/>
      <c r="C561" s="379"/>
      <c r="D561" s="379"/>
      <c r="E561" s="379"/>
      <c r="F561" s="379"/>
      <c r="G561" s="379"/>
      <c r="H561" s="379"/>
      <c r="I561" s="379"/>
      <c r="J561" s="379"/>
      <c r="K561" s="379"/>
      <c r="L561" s="379"/>
      <c r="M561" s="379"/>
      <c r="N561" s="379"/>
      <c r="O561" s="379"/>
      <c r="P561" s="379"/>
      <c r="Q561" s="379"/>
      <c r="R561" s="379"/>
      <c r="S561" s="379"/>
      <c r="T561" s="379"/>
      <c r="U561" s="379"/>
      <c r="W561" s="379"/>
    </row>
    <row r="562" customFormat="false" ht="14.25" hidden="false" customHeight="false" outlineLevel="0" collapsed="false">
      <c r="A562" s="379"/>
      <c r="B562" s="379"/>
      <c r="C562" s="379"/>
      <c r="D562" s="379"/>
      <c r="E562" s="379"/>
      <c r="F562" s="379"/>
      <c r="G562" s="379"/>
      <c r="H562" s="379"/>
      <c r="I562" s="379"/>
      <c r="J562" s="379"/>
      <c r="K562" s="379"/>
      <c r="L562" s="379"/>
      <c r="M562" s="379"/>
      <c r="N562" s="379"/>
      <c r="O562" s="379"/>
      <c r="P562" s="379"/>
      <c r="Q562" s="379"/>
      <c r="R562" s="379"/>
      <c r="S562" s="379"/>
      <c r="T562" s="379"/>
      <c r="U562" s="379"/>
      <c r="W562" s="379"/>
    </row>
    <row r="563" customFormat="false" ht="14.25" hidden="false" customHeight="false" outlineLevel="0" collapsed="false">
      <c r="A563" s="379"/>
      <c r="B563" s="379"/>
      <c r="C563" s="379"/>
      <c r="D563" s="379"/>
      <c r="E563" s="379"/>
      <c r="F563" s="379"/>
      <c r="G563" s="379"/>
      <c r="H563" s="379"/>
      <c r="I563" s="379"/>
      <c r="J563" s="379"/>
      <c r="K563" s="379"/>
      <c r="L563" s="379"/>
      <c r="M563" s="379"/>
      <c r="N563" s="379"/>
      <c r="O563" s="379"/>
      <c r="P563" s="379"/>
      <c r="Q563" s="379"/>
      <c r="R563" s="379"/>
      <c r="S563" s="379"/>
      <c r="T563" s="379"/>
      <c r="U563" s="379"/>
      <c r="W563" s="379"/>
    </row>
    <row r="564" customFormat="false" ht="14.25" hidden="false" customHeight="false" outlineLevel="0" collapsed="false">
      <c r="A564" s="379"/>
      <c r="B564" s="379"/>
      <c r="C564" s="379"/>
      <c r="D564" s="379"/>
      <c r="E564" s="379"/>
      <c r="F564" s="379"/>
      <c r="G564" s="379"/>
      <c r="H564" s="379"/>
      <c r="I564" s="379"/>
      <c r="J564" s="379"/>
      <c r="K564" s="379"/>
      <c r="L564" s="379"/>
      <c r="M564" s="379"/>
      <c r="N564" s="379"/>
      <c r="O564" s="379"/>
      <c r="P564" s="379"/>
      <c r="Q564" s="379"/>
      <c r="R564" s="379"/>
      <c r="S564" s="379"/>
      <c r="T564" s="379"/>
      <c r="U564" s="379"/>
      <c r="W564" s="379"/>
    </row>
    <row r="565" customFormat="false" ht="14.25" hidden="false" customHeight="false" outlineLevel="0" collapsed="false">
      <c r="A565" s="379"/>
      <c r="B565" s="379"/>
      <c r="C565" s="379"/>
      <c r="D565" s="379"/>
      <c r="E565" s="379"/>
      <c r="F565" s="379"/>
      <c r="G565" s="379"/>
      <c r="H565" s="379"/>
      <c r="I565" s="379"/>
      <c r="J565" s="379"/>
      <c r="K565" s="379"/>
      <c r="L565" s="379"/>
      <c r="M565" s="379"/>
      <c r="N565" s="379"/>
      <c r="O565" s="379"/>
      <c r="P565" s="379"/>
      <c r="Q565" s="379"/>
      <c r="R565" s="379"/>
      <c r="S565" s="379"/>
      <c r="T565" s="379"/>
      <c r="U565" s="379"/>
      <c r="W565" s="379"/>
    </row>
    <row r="566" customFormat="false" ht="14.25" hidden="false" customHeight="false" outlineLevel="0" collapsed="false">
      <c r="A566" s="379"/>
      <c r="B566" s="379"/>
      <c r="C566" s="379"/>
      <c r="D566" s="379"/>
      <c r="E566" s="379"/>
      <c r="F566" s="379"/>
      <c r="G566" s="379"/>
      <c r="H566" s="379"/>
      <c r="I566" s="379"/>
      <c r="J566" s="379"/>
      <c r="K566" s="379"/>
      <c r="L566" s="379"/>
      <c r="M566" s="379"/>
      <c r="N566" s="379"/>
      <c r="O566" s="379"/>
      <c r="P566" s="379"/>
      <c r="Q566" s="379"/>
      <c r="R566" s="379"/>
      <c r="S566" s="379"/>
      <c r="T566" s="379"/>
      <c r="U566" s="379"/>
      <c r="W566" s="379"/>
    </row>
    <row r="567" customFormat="false" ht="14.25" hidden="false" customHeight="false" outlineLevel="0" collapsed="false">
      <c r="A567" s="379"/>
      <c r="B567" s="379"/>
      <c r="C567" s="379"/>
      <c r="D567" s="379"/>
      <c r="E567" s="379"/>
      <c r="F567" s="379"/>
      <c r="G567" s="379"/>
      <c r="H567" s="379"/>
      <c r="I567" s="379"/>
      <c r="J567" s="379"/>
      <c r="K567" s="379"/>
      <c r="L567" s="379"/>
      <c r="M567" s="379"/>
      <c r="N567" s="379"/>
      <c r="O567" s="379"/>
      <c r="P567" s="379"/>
      <c r="Q567" s="379"/>
      <c r="R567" s="379"/>
      <c r="S567" s="379"/>
      <c r="T567" s="379"/>
      <c r="U567" s="379"/>
      <c r="W567" s="379"/>
    </row>
    <row r="568" customFormat="false" ht="14.25" hidden="false" customHeight="false" outlineLevel="0" collapsed="false">
      <c r="A568" s="379"/>
      <c r="B568" s="379"/>
      <c r="C568" s="379"/>
      <c r="D568" s="379"/>
      <c r="E568" s="379"/>
      <c r="F568" s="379"/>
      <c r="G568" s="379"/>
      <c r="H568" s="379"/>
      <c r="I568" s="379"/>
      <c r="J568" s="379"/>
      <c r="K568" s="379"/>
      <c r="L568" s="379"/>
      <c r="M568" s="379"/>
      <c r="N568" s="379"/>
      <c r="O568" s="379"/>
      <c r="P568" s="379"/>
      <c r="Q568" s="379"/>
      <c r="R568" s="379"/>
      <c r="S568" s="379"/>
      <c r="T568" s="379"/>
      <c r="U568" s="379"/>
      <c r="W568" s="379"/>
    </row>
    <row r="569" customFormat="false" ht="14.25" hidden="false" customHeight="false" outlineLevel="0" collapsed="false">
      <c r="A569" s="379"/>
      <c r="B569" s="379"/>
      <c r="C569" s="379"/>
      <c r="D569" s="379"/>
      <c r="E569" s="379"/>
      <c r="F569" s="379"/>
      <c r="G569" s="379"/>
      <c r="H569" s="379"/>
      <c r="I569" s="379"/>
      <c r="J569" s="379"/>
      <c r="K569" s="379"/>
      <c r="L569" s="379"/>
      <c r="M569" s="379"/>
      <c r="N569" s="379"/>
      <c r="O569" s="379"/>
      <c r="P569" s="379"/>
      <c r="Q569" s="379"/>
      <c r="R569" s="379"/>
      <c r="S569" s="379"/>
      <c r="T569" s="379"/>
      <c r="U569" s="379"/>
      <c r="W569" s="379"/>
    </row>
    <row r="570" customFormat="false" ht="14.25" hidden="false" customHeight="false" outlineLevel="0" collapsed="false">
      <c r="A570" s="379"/>
      <c r="B570" s="379"/>
      <c r="C570" s="379"/>
      <c r="D570" s="379"/>
      <c r="E570" s="379"/>
      <c r="F570" s="379"/>
      <c r="G570" s="379"/>
      <c r="H570" s="379"/>
      <c r="I570" s="379"/>
      <c r="J570" s="379"/>
      <c r="K570" s="379"/>
      <c r="L570" s="379"/>
      <c r="M570" s="379"/>
      <c r="N570" s="379"/>
      <c r="O570" s="379"/>
      <c r="P570" s="379"/>
      <c r="Q570" s="379"/>
      <c r="R570" s="379"/>
      <c r="S570" s="379"/>
      <c r="T570" s="379"/>
      <c r="U570" s="379"/>
      <c r="W570" s="379"/>
    </row>
    <row r="571" customFormat="false" ht="14.25" hidden="false" customHeight="false" outlineLevel="0" collapsed="false">
      <c r="A571" s="379"/>
      <c r="B571" s="379"/>
      <c r="C571" s="379"/>
      <c r="D571" s="379"/>
      <c r="E571" s="379"/>
      <c r="F571" s="379"/>
      <c r="G571" s="379"/>
      <c r="H571" s="379"/>
      <c r="I571" s="379"/>
      <c r="J571" s="379"/>
      <c r="K571" s="379"/>
      <c r="L571" s="379"/>
      <c r="M571" s="379"/>
      <c r="N571" s="379"/>
      <c r="O571" s="379"/>
      <c r="P571" s="379"/>
      <c r="Q571" s="379"/>
      <c r="R571" s="379"/>
      <c r="S571" s="379"/>
      <c r="T571" s="379"/>
      <c r="U571" s="379"/>
      <c r="W571" s="379"/>
    </row>
    <row r="572" customFormat="false" ht="14.25" hidden="false" customHeight="false" outlineLevel="0" collapsed="false">
      <c r="A572" s="379"/>
      <c r="B572" s="379"/>
      <c r="C572" s="379"/>
      <c r="D572" s="379"/>
      <c r="E572" s="379"/>
      <c r="F572" s="379"/>
      <c r="G572" s="379"/>
      <c r="H572" s="379"/>
      <c r="I572" s="379"/>
      <c r="J572" s="379"/>
      <c r="K572" s="379"/>
      <c r="L572" s="379"/>
      <c r="M572" s="379"/>
      <c r="N572" s="379"/>
      <c r="O572" s="379"/>
      <c r="P572" s="379"/>
      <c r="Q572" s="379"/>
      <c r="R572" s="379"/>
      <c r="S572" s="379"/>
      <c r="T572" s="379"/>
      <c r="U572" s="379"/>
      <c r="W572" s="379"/>
    </row>
    <row r="573" customFormat="false" ht="14.25" hidden="false" customHeight="false" outlineLevel="0" collapsed="false">
      <c r="A573" s="379"/>
      <c r="B573" s="379"/>
      <c r="C573" s="379"/>
      <c r="D573" s="379"/>
      <c r="E573" s="379"/>
      <c r="F573" s="379"/>
      <c r="G573" s="379"/>
      <c r="H573" s="379"/>
      <c r="I573" s="379"/>
      <c r="J573" s="379"/>
      <c r="K573" s="379"/>
      <c r="L573" s="379"/>
      <c r="M573" s="379"/>
      <c r="N573" s="379"/>
      <c r="O573" s="379"/>
      <c r="P573" s="379"/>
      <c r="Q573" s="379"/>
      <c r="R573" s="379"/>
      <c r="S573" s="379"/>
      <c r="T573" s="379"/>
      <c r="U573" s="379"/>
      <c r="W573" s="379"/>
    </row>
    <row r="574" customFormat="false" ht="14.25" hidden="false" customHeight="false" outlineLevel="0" collapsed="false">
      <c r="A574" s="379"/>
      <c r="B574" s="379"/>
      <c r="C574" s="379"/>
      <c r="D574" s="379"/>
      <c r="E574" s="379"/>
      <c r="F574" s="379"/>
      <c r="G574" s="379"/>
      <c r="H574" s="379"/>
      <c r="I574" s="379"/>
      <c r="J574" s="379"/>
      <c r="K574" s="379"/>
      <c r="L574" s="379"/>
      <c r="M574" s="379"/>
      <c r="N574" s="379"/>
      <c r="O574" s="379"/>
      <c r="P574" s="379"/>
      <c r="Q574" s="379"/>
      <c r="R574" s="379"/>
      <c r="S574" s="379"/>
      <c r="T574" s="379"/>
      <c r="U574" s="379"/>
      <c r="W574" s="379"/>
    </row>
    <row r="575" customFormat="false" ht="14.25" hidden="false" customHeight="false" outlineLevel="0" collapsed="false">
      <c r="A575" s="379"/>
      <c r="B575" s="379"/>
      <c r="C575" s="379"/>
      <c r="D575" s="379"/>
      <c r="E575" s="379"/>
      <c r="F575" s="379"/>
      <c r="G575" s="379"/>
      <c r="H575" s="379"/>
      <c r="I575" s="379"/>
      <c r="J575" s="379"/>
      <c r="K575" s="379"/>
      <c r="L575" s="379"/>
      <c r="M575" s="379"/>
      <c r="N575" s="379"/>
      <c r="O575" s="379"/>
      <c r="P575" s="379"/>
      <c r="Q575" s="379"/>
      <c r="R575" s="379"/>
      <c r="S575" s="379"/>
      <c r="T575" s="379"/>
      <c r="U575" s="379"/>
      <c r="W575" s="379"/>
    </row>
    <row r="576" customFormat="false" ht="14.25" hidden="false" customHeight="false" outlineLevel="0" collapsed="false">
      <c r="A576" s="379"/>
      <c r="B576" s="379"/>
      <c r="C576" s="379"/>
      <c r="D576" s="379"/>
      <c r="E576" s="379"/>
      <c r="F576" s="379"/>
      <c r="G576" s="379"/>
      <c r="H576" s="379"/>
      <c r="I576" s="379"/>
      <c r="J576" s="379"/>
      <c r="K576" s="379"/>
      <c r="L576" s="379"/>
      <c r="M576" s="379"/>
      <c r="N576" s="379"/>
      <c r="O576" s="379"/>
      <c r="P576" s="379"/>
      <c r="Q576" s="379"/>
      <c r="R576" s="379"/>
      <c r="S576" s="379"/>
      <c r="T576" s="379"/>
      <c r="U576" s="379"/>
      <c r="W576" s="379"/>
    </row>
    <row r="577" customFormat="false" ht="14.25" hidden="false" customHeight="false" outlineLevel="0" collapsed="false">
      <c r="A577" s="379"/>
      <c r="B577" s="379"/>
      <c r="C577" s="379"/>
      <c r="D577" s="379"/>
      <c r="E577" s="379"/>
      <c r="F577" s="379"/>
      <c r="G577" s="379"/>
      <c r="H577" s="379"/>
      <c r="I577" s="379"/>
      <c r="J577" s="379"/>
      <c r="K577" s="379"/>
      <c r="L577" s="379"/>
      <c r="M577" s="379"/>
      <c r="N577" s="379"/>
      <c r="O577" s="379"/>
      <c r="P577" s="379"/>
      <c r="Q577" s="379"/>
      <c r="R577" s="379"/>
      <c r="S577" s="379"/>
      <c r="T577" s="379"/>
      <c r="U577" s="379"/>
      <c r="W577" s="379"/>
    </row>
    <row r="578" customFormat="false" ht="14.25" hidden="false" customHeight="false" outlineLevel="0" collapsed="false">
      <c r="A578" s="379"/>
      <c r="B578" s="379"/>
      <c r="C578" s="379"/>
      <c r="D578" s="379"/>
      <c r="E578" s="379"/>
      <c r="F578" s="379"/>
      <c r="G578" s="379"/>
      <c r="H578" s="379"/>
      <c r="I578" s="379"/>
      <c r="J578" s="379"/>
      <c r="K578" s="379"/>
      <c r="L578" s="379"/>
      <c r="M578" s="379"/>
      <c r="N578" s="379"/>
      <c r="O578" s="379"/>
      <c r="P578" s="379"/>
      <c r="Q578" s="379"/>
      <c r="R578" s="379"/>
      <c r="S578" s="379"/>
      <c r="T578" s="379"/>
      <c r="U578" s="379"/>
      <c r="W578" s="379"/>
    </row>
    <row r="579" customFormat="false" ht="14.25" hidden="false" customHeight="false" outlineLevel="0" collapsed="false">
      <c r="A579" s="379"/>
      <c r="B579" s="379"/>
      <c r="C579" s="379"/>
      <c r="D579" s="379"/>
      <c r="E579" s="379"/>
      <c r="F579" s="379"/>
      <c r="G579" s="379"/>
      <c r="H579" s="379"/>
      <c r="I579" s="379"/>
      <c r="J579" s="379"/>
      <c r="K579" s="379"/>
      <c r="L579" s="379"/>
      <c r="M579" s="379"/>
      <c r="N579" s="379"/>
      <c r="O579" s="379"/>
      <c r="P579" s="379"/>
      <c r="Q579" s="379"/>
      <c r="R579" s="379"/>
      <c r="S579" s="379"/>
      <c r="T579" s="379"/>
      <c r="U579" s="379"/>
      <c r="W579" s="379"/>
    </row>
    <row r="580" customFormat="false" ht="14.25" hidden="false" customHeight="false" outlineLevel="0" collapsed="false">
      <c r="A580" s="379"/>
      <c r="B580" s="379"/>
      <c r="C580" s="379"/>
      <c r="D580" s="379"/>
      <c r="E580" s="379"/>
      <c r="F580" s="379"/>
      <c r="G580" s="379"/>
      <c r="H580" s="379"/>
      <c r="I580" s="379"/>
      <c r="J580" s="379"/>
      <c r="K580" s="379"/>
      <c r="L580" s="379"/>
      <c r="M580" s="379"/>
      <c r="N580" s="379"/>
      <c r="O580" s="379"/>
      <c r="P580" s="379"/>
      <c r="Q580" s="379"/>
      <c r="R580" s="379"/>
      <c r="S580" s="379"/>
      <c r="T580" s="379"/>
      <c r="U580" s="379"/>
      <c r="W580" s="379"/>
    </row>
    <row r="581" customFormat="false" ht="14.25" hidden="false" customHeight="false" outlineLevel="0" collapsed="false">
      <c r="A581" s="379"/>
      <c r="B581" s="379"/>
      <c r="C581" s="379"/>
      <c r="D581" s="379"/>
      <c r="E581" s="379"/>
      <c r="F581" s="379"/>
      <c r="G581" s="379"/>
      <c r="H581" s="379"/>
      <c r="I581" s="379"/>
      <c r="J581" s="379"/>
      <c r="K581" s="379"/>
      <c r="L581" s="379"/>
      <c r="M581" s="379"/>
      <c r="N581" s="379"/>
      <c r="O581" s="379"/>
      <c r="P581" s="379"/>
      <c r="Q581" s="379"/>
      <c r="R581" s="379"/>
      <c r="S581" s="379"/>
      <c r="T581" s="379"/>
      <c r="U581" s="379"/>
      <c r="W581" s="379"/>
    </row>
    <row r="582" customFormat="false" ht="14.25" hidden="false" customHeight="false" outlineLevel="0" collapsed="false">
      <c r="A582" s="379"/>
      <c r="B582" s="379"/>
      <c r="C582" s="379"/>
      <c r="D582" s="379"/>
      <c r="E582" s="379"/>
      <c r="F582" s="379"/>
      <c r="G582" s="379"/>
      <c r="H582" s="379"/>
      <c r="I582" s="379"/>
      <c r="J582" s="379"/>
      <c r="K582" s="379"/>
      <c r="L582" s="379"/>
      <c r="M582" s="379"/>
      <c r="N582" s="379"/>
      <c r="O582" s="379"/>
      <c r="P582" s="379"/>
      <c r="Q582" s="379"/>
      <c r="R582" s="379"/>
      <c r="S582" s="379"/>
      <c r="T582" s="379"/>
      <c r="U582" s="379"/>
      <c r="W582" s="379"/>
    </row>
    <row r="583" customFormat="false" ht="14.25" hidden="false" customHeight="false" outlineLevel="0" collapsed="false">
      <c r="A583" s="379"/>
      <c r="B583" s="379"/>
      <c r="C583" s="379"/>
      <c r="D583" s="379"/>
      <c r="E583" s="379"/>
      <c r="F583" s="379"/>
      <c r="G583" s="379"/>
      <c r="H583" s="379"/>
      <c r="I583" s="379"/>
      <c r="J583" s="379"/>
      <c r="K583" s="379"/>
      <c r="L583" s="379"/>
      <c r="M583" s="379"/>
      <c r="N583" s="379"/>
      <c r="O583" s="379"/>
      <c r="P583" s="379"/>
      <c r="Q583" s="379"/>
      <c r="R583" s="379"/>
      <c r="S583" s="379"/>
      <c r="T583" s="379"/>
      <c r="U583" s="379"/>
      <c r="W583" s="379"/>
    </row>
    <row r="584" customFormat="false" ht="14.25" hidden="false" customHeight="false" outlineLevel="0" collapsed="false">
      <c r="A584" s="379"/>
      <c r="B584" s="379"/>
      <c r="C584" s="379"/>
      <c r="D584" s="379"/>
      <c r="E584" s="379"/>
      <c r="F584" s="379"/>
      <c r="G584" s="379"/>
      <c r="H584" s="379"/>
      <c r="I584" s="379"/>
      <c r="J584" s="379"/>
      <c r="K584" s="379"/>
      <c r="L584" s="379"/>
      <c r="M584" s="379"/>
      <c r="N584" s="379"/>
      <c r="O584" s="379"/>
      <c r="P584" s="379"/>
      <c r="Q584" s="379"/>
      <c r="R584" s="379"/>
      <c r="S584" s="379"/>
      <c r="T584" s="379"/>
      <c r="U584" s="379"/>
      <c r="W584" s="379"/>
    </row>
    <row r="585" customFormat="false" ht="14.25" hidden="false" customHeight="false" outlineLevel="0" collapsed="false">
      <c r="A585" s="379"/>
      <c r="B585" s="379"/>
      <c r="C585" s="379"/>
      <c r="D585" s="379"/>
      <c r="E585" s="379"/>
      <c r="F585" s="379"/>
      <c r="G585" s="379"/>
      <c r="H585" s="379"/>
      <c r="I585" s="379"/>
      <c r="J585" s="379"/>
      <c r="K585" s="379"/>
      <c r="L585" s="379"/>
      <c r="M585" s="379"/>
      <c r="N585" s="379"/>
      <c r="O585" s="379"/>
      <c r="P585" s="379"/>
      <c r="Q585" s="379"/>
      <c r="R585" s="379"/>
      <c r="S585" s="379"/>
      <c r="T585" s="379"/>
      <c r="U585" s="379"/>
      <c r="W585" s="379"/>
    </row>
    <row r="586" customFormat="false" ht="14.25" hidden="false" customHeight="false" outlineLevel="0" collapsed="false">
      <c r="A586" s="379"/>
      <c r="B586" s="379"/>
      <c r="C586" s="379"/>
      <c r="D586" s="379"/>
      <c r="E586" s="379"/>
      <c r="F586" s="379"/>
      <c r="G586" s="379"/>
      <c r="H586" s="379"/>
      <c r="I586" s="379"/>
      <c r="J586" s="379"/>
      <c r="K586" s="379"/>
      <c r="L586" s="379"/>
      <c r="M586" s="379"/>
      <c r="N586" s="379"/>
      <c r="O586" s="379"/>
      <c r="P586" s="379"/>
      <c r="Q586" s="379"/>
      <c r="R586" s="379"/>
      <c r="S586" s="379"/>
      <c r="T586" s="379"/>
      <c r="U586" s="379"/>
      <c r="W586" s="379"/>
    </row>
    <row r="587" customFormat="false" ht="14.25" hidden="false" customHeight="false" outlineLevel="0" collapsed="false">
      <c r="A587" s="379"/>
      <c r="B587" s="379"/>
      <c r="C587" s="379"/>
      <c r="D587" s="379"/>
      <c r="E587" s="379"/>
      <c r="F587" s="379"/>
      <c r="G587" s="379"/>
      <c r="H587" s="379"/>
      <c r="I587" s="379"/>
      <c r="J587" s="379"/>
      <c r="K587" s="379"/>
      <c r="L587" s="379"/>
      <c r="M587" s="379"/>
      <c r="N587" s="379"/>
      <c r="O587" s="379"/>
      <c r="P587" s="379"/>
      <c r="Q587" s="379"/>
      <c r="R587" s="379"/>
      <c r="S587" s="379"/>
      <c r="T587" s="379"/>
      <c r="U587" s="379"/>
      <c r="W587" s="379"/>
    </row>
    <row r="588" customFormat="false" ht="14.25" hidden="false" customHeight="false" outlineLevel="0" collapsed="false">
      <c r="A588" s="379"/>
      <c r="B588" s="379"/>
      <c r="C588" s="379"/>
      <c r="D588" s="379"/>
      <c r="E588" s="379"/>
      <c r="F588" s="379"/>
      <c r="G588" s="379"/>
      <c r="H588" s="379"/>
      <c r="I588" s="379"/>
      <c r="J588" s="379"/>
      <c r="K588" s="379"/>
      <c r="L588" s="379"/>
      <c r="M588" s="379"/>
      <c r="N588" s="379"/>
      <c r="O588" s="379"/>
      <c r="P588" s="379"/>
      <c r="Q588" s="379"/>
      <c r="R588" s="379"/>
      <c r="S588" s="379"/>
      <c r="T588" s="379"/>
      <c r="U588" s="379"/>
      <c r="W588" s="379"/>
    </row>
    <row r="589" customFormat="false" ht="14.25" hidden="false" customHeight="false" outlineLevel="0" collapsed="false">
      <c r="A589" s="379"/>
      <c r="B589" s="379"/>
      <c r="C589" s="379"/>
      <c r="D589" s="379"/>
      <c r="E589" s="379"/>
      <c r="F589" s="379"/>
      <c r="G589" s="379"/>
      <c r="H589" s="379"/>
      <c r="I589" s="379"/>
      <c r="J589" s="379"/>
      <c r="K589" s="379"/>
      <c r="L589" s="379"/>
      <c r="M589" s="379"/>
      <c r="N589" s="379"/>
      <c r="O589" s="379"/>
      <c r="P589" s="379"/>
      <c r="Q589" s="379"/>
      <c r="R589" s="379"/>
      <c r="S589" s="379"/>
      <c r="T589" s="379"/>
      <c r="U589" s="379"/>
      <c r="W589" s="379"/>
    </row>
    <row r="590" customFormat="false" ht="14.25" hidden="false" customHeight="false" outlineLevel="0" collapsed="false">
      <c r="A590" s="379"/>
      <c r="B590" s="379"/>
      <c r="C590" s="379"/>
      <c r="D590" s="379"/>
      <c r="E590" s="379"/>
      <c r="F590" s="379"/>
      <c r="G590" s="379"/>
      <c r="H590" s="379"/>
      <c r="I590" s="379"/>
      <c r="J590" s="379"/>
      <c r="K590" s="379"/>
      <c r="L590" s="379"/>
      <c r="M590" s="379"/>
      <c r="N590" s="379"/>
      <c r="O590" s="379"/>
      <c r="P590" s="379"/>
      <c r="Q590" s="379"/>
      <c r="R590" s="379"/>
      <c r="S590" s="379"/>
      <c r="T590" s="379"/>
      <c r="U590" s="379"/>
      <c r="W590" s="379"/>
    </row>
    <row r="591" customFormat="false" ht="14.25" hidden="false" customHeight="false" outlineLevel="0" collapsed="false">
      <c r="A591" s="379"/>
      <c r="B591" s="379"/>
      <c r="C591" s="379"/>
      <c r="D591" s="379"/>
      <c r="E591" s="379"/>
      <c r="F591" s="379"/>
      <c r="G591" s="379"/>
      <c r="H591" s="379"/>
      <c r="I591" s="379"/>
      <c r="J591" s="379"/>
      <c r="K591" s="379"/>
      <c r="L591" s="379"/>
      <c r="M591" s="379"/>
      <c r="N591" s="379"/>
      <c r="O591" s="379"/>
      <c r="P591" s="379"/>
      <c r="Q591" s="379"/>
      <c r="R591" s="379"/>
      <c r="S591" s="379"/>
      <c r="T591" s="379"/>
      <c r="U591" s="379"/>
      <c r="W591" s="379"/>
    </row>
    <row r="592" customFormat="false" ht="14.25" hidden="false" customHeight="false" outlineLevel="0" collapsed="false">
      <c r="A592" s="379"/>
      <c r="B592" s="379"/>
      <c r="C592" s="379"/>
      <c r="D592" s="379"/>
      <c r="E592" s="379"/>
      <c r="F592" s="379"/>
      <c r="G592" s="379"/>
      <c r="H592" s="379"/>
      <c r="I592" s="379"/>
      <c r="J592" s="379"/>
      <c r="K592" s="379"/>
      <c r="L592" s="379"/>
      <c r="M592" s="379"/>
      <c r="N592" s="379"/>
      <c r="O592" s="379"/>
      <c r="P592" s="379"/>
      <c r="Q592" s="379"/>
      <c r="R592" s="379"/>
      <c r="S592" s="379"/>
      <c r="T592" s="379"/>
      <c r="U592" s="379"/>
      <c r="W592" s="379"/>
    </row>
    <row r="593" customFormat="false" ht="14.25" hidden="false" customHeight="false" outlineLevel="0" collapsed="false">
      <c r="A593" s="379"/>
      <c r="B593" s="379"/>
      <c r="C593" s="379"/>
      <c r="D593" s="379"/>
      <c r="E593" s="379"/>
      <c r="F593" s="379"/>
      <c r="G593" s="379"/>
      <c r="H593" s="379"/>
      <c r="I593" s="379"/>
      <c r="J593" s="379"/>
      <c r="K593" s="379"/>
      <c r="L593" s="379"/>
      <c r="M593" s="379"/>
      <c r="N593" s="379"/>
      <c r="O593" s="379"/>
      <c r="P593" s="379"/>
      <c r="Q593" s="379"/>
      <c r="R593" s="379"/>
      <c r="S593" s="379"/>
      <c r="T593" s="379"/>
      <c r="U593" s="379"/>
      <c r="W593" s="379"/>
    </row>
    <row r="594" customFormat="false" ht="14.25" hidden="false" customHeight="false" outlineLevel="0" collapsed="false">
      <c r="A594" s="379"/>
      <c r="B594" s="379"/>
      <c r="C594" s="379"/>
      <c r="D594" s="379"/>
      <c r="E594" s="379"/>
      <c r="F594" s="379"/>
      <c r="G594" s="379"/>
      <c r="H594" s="379"/>
      <c r="I594" s="379"/>
      <c r="J594" s="379"/>
      <c r="K594" s="379"/>
      <c r="L594" s="379"/>
      <c r="M594" s="379"/>
      <c r="N594" s="379"/>
      <c r="O594" s="379"/>
      <c r="P594" s="379"/>
      <c r="Q594" s="379"/>
      <c r="R594" s="379"/>
      <c r="S594" s="379"/>
      <c r="T594" s="379"/>
      <c r="U594" s="379"/>
      <c r="W594" s="379"/>
    </row>
    <row r="595" customFormat="false" ht="14.25" hidden="false" customHeight="false" outlineLevel="0" collapsed="false">
      <c r="A595" s="379"/>
      <c r="B595" s="379"/>
      <c r="C595" s="379"/>
      <c r="D595" s="379"/>
      <c r="E595" s="379"/>
      <c r="F595" s="379"/>
      <c r="G595" s="379"/>
      <c r="H595" s="379"/>
      <c r="I595" s="379"/>
      <c r="J595" s="379"/>
      <c r="K595" s="379"/>
      <c r="L595" s="379"/>
      <c r="M595" s="379"/>
      <c r="N595" s="379"/>
      <c r="O595" s="379"/>
      <c r="P595" s="379"/>
      <c r="Q595" s="379"/>
      <c r="R595" s="379"/>
      <c r="S595" s="379"/>
      <c r="T595" s="379"/>
      <c r="U595" s="379"/>
      <c r="W595" s="379"/>
    </row>
    <row r="596" customFormat="false" ht="14.25" hidden="false" customHeight="false" outlineLevel="0" collapsed="false">
      <c r="A596" s="379"/>
      <c r="B596" s="379"/>
      <c r="C596" s="379"/>
      <c r="D596" s="379"/>
      <c r="E596" s="379"/>
      <c r="F596" s="379"/>
      <c r="G596" s="379"/>
      <c r="H596" s="379"/>
      <c r="I596" s="379"/>
      <c r="J596" s="379"/>
      <c r="K596" s="379"/>
      <c r="L596" s="379"/>
      <c r="M596" s="379"/>
      <c r="N596" s="379"/>
      <c r="O596" s="379"/>
      <c r="P596" s="379"/>
      <c r="Q596" s="379"/>
      <c r="R596" s="379"/>
      <c r="S596" s="379"/>
      <c r="T596" s="379"/>
      <c r="U596" s="379"/>
      <c r="W596" s="379"/>
    </row>
    <row r="597" customFormat="false" ht="14.25" hidden="false" customHeight="false" outlineLevel="0" collapsed="false">
      <c r="A597" s="379"/>
      <c r="B597" s="379"/>
      <c r="C597" s="379"/>
      <c r="D597" s="379"/>
      <c r="E597" s="379"/>
      <c r="F597" s="379"/>
      <c r="G597" s="379"/>
      <c r="H597" s="379"/>
      <c r="I597" s="379"/>
      <c r="J597" s="379"/>
      <c r="K597" s="379"/>
      <c r="L597" s="379"/>
      <c r="M597" s="379"/>
      <c r="N597" s="379"/>
      <c r="O597" s="379"/>
      <c r="P597" s="379"/>
      <c r="Q597" s="379"/>
      <c r="R597" s="379"/>
      <c r="S597" s="379"/>
      <c r="T597" s="379"/>
      <c r="U597" s="379"/>
      <c r="W597" s="379"/>
    </row>
    <row r="598" customFormat="false" ht="14.25" hidden="false" customHeight="false" outlineLevel="0" collapsed="false">
      <c r="A598" s="379"/>
      <c r="B598" s="379"/>
      <c r="C598" s="379"/>
      <c r="D598" s="379"/>
      <c r="E598" s="379"/>
      <c r="F598" s="379"/>
      <c r="G598" s="379"/>
      <c r="H598" s="379"/>
      <c r="I598" s="379"/>
      <c r="J598" s="379"/>
      <c r="K598" s="379"/>
      <c r="L598" s="379"/>
      <c r="M598" s="379"/>
      <c r="N598" s="379"/>
      <c r="O598" s="379"/>
      <c r="P598" s="379"/>
      <c r="Q598" s="379"/>
      <c r="R598" s="379"/>
      <c r="S598" s="379"/>
      <c r="T598" s="379"/>
      <c r="U598" s="379"/>
      <c r="W598" s="379"/>
    </row>
    <row r="599" customFormat="false" ht="14.25" hidden="false" customHeight="false" outlineLevel="0" collapsed="false">
      <c r="A599" s="379"/>
      <c r="B599" s="379"/>
      <c r="C599" s="379"/>
      <c r="D599" s="379"/>
      <c r="E599" s="379"/>
      <c r="F599" s="379"/>
      <c r="G599" s="379"/>
      <c r="H599" s="379"/>
      <c r="I599" s="379"/>
      <c r="J599" s="379"/>
      <c r="K599" s="379"/>
      <c r="L599" s="379"/>
      <c r="M599" s="379"/>
      <c r="N599" s="379"/>
      <c r="O599" s="379"/>
      <c r="P599" s="379"/>
      <c r="Q599" s="379"/>
      <c r="R599" s="379"/>
      <c r="S599" s="379"/>
      <c r="T599" s="379"/>
      <c r="U599" s="379"/>
      <c r="W599" s="379"/>
    </row>
    <row r="600" customFormat="false" ht="14.25" hidden="false" customHeight="false" outlineLevel="0" collapsed="false">
      <c r="A600" s="379"/>
      <c r="B600" s="379"/>
      <c r="C600" s="379"/>
      <c r="D600" s="379"/>
      <c r="E600" s="379"/>
      <c r="F600" s="379"/>
      <c r="G600" s="379"/>
      <c r="H600" s="379"/>
      <c r="I600" s="379"/>
      <c r="J600" s="379"/>
      <c r="K600" s="379"/>
      <c r="L600" s="379"/>
      <c r="M600" s="379"/>
      <c r="N600" s="379"/>
      <c r="O600" s="379"/>
      <c r="P600" s="379"/>
      <c r="Q600" s="379"/>
      <c r="R600" s="379"/>
      <c r="S600" s="379"/>
      <c r="T600" s="379"/>
      <c r="U600" s="379"/>
      <c r="W600" s="379"/>
    </row>
    <row r="601" customFormat="false" ht="14.25" hidden="false" customHeight="false" outlineLevel="0" collapsed="false">
      <c r="A601" s="379"/>
      <c r="B601" s="379"/>
      <c r="C601" s="379"/>
      <c r="D601" s="379"/>
      <c r="E601" s="379"/>
      <c r="F601" s="379"/>
      <c r="G601" s="379"/>
      <c r="H601" s="379"/>
      <c r="I601" s="379"/>
      <c r="J601" s="379"/>
      <c r="K601" s="379"/>
      <c r="L601" s="379"/>
      <c r="M601" s="379"/>
      <c r="N601" s="379"/>
      <c r="O601" s="379"/>
      <c r="P601" s="379"/>
      <c r="Q601" s="379"/>
      <c r="R601" s="379"/>
      <c r="S601" s="379"/>
      <c r="T601" s="379"/>
      <c r="U601" s="379"/>
      <c r="W601" s="379"/>
    </row>
    <row r="602" customFormat="false" ht="14.25" hidden="false" customHeight="false" outlineLevel="0" collapsed="false">
      <c r="A602" s="379"/>
      <c r="B602" s="379"/>
      <c r="C602" s="379"/>
      <c r="D602" s="379"/>
      <c r="E602" s="379"/>
      <c r="F602" s="379"/>
      <c r="G602" s="379"/>
      <c r="H602" s="379"/>
      <c r="I602" s="379"/>
      <c r="J602" s="379"/>
      <c r="K602" s="379"/>
      <c r="L602" s="379"/>
      <c r="M602" s="379"/>
      <c r="N602" s="379"/>
      <c r="O602" s="379"/>
      <c r="P602" s="379"/>
      <c r="Q602" s="379"/>
      <c r="R602" s="379"/>
      <c r="S602" s="379"/>
      <c r="T602" s="379"/>
      <c r="U602" s="379"/>
      <c r="W602" s="379"/>
    </row>
    <row r="603" customFormat="false" ht="14.25" hidden="false" customHeight="false" outlineLevel="0" collapsed="false">
      <c r="A603" s="379"/>
      <c r="B603" s="379"/>
      <c r="C603" s="379"/>
      <c r="D603" s="379"/>
      <c r="E603" s="379"/>
      <c r="F603" s="379"/>
      <c r="G603" s="379"/>
      <c r="H603" s="379"/>
      <c r="I603" s="379"/>
      <c r="J603" s="379"/>
      <c r="K603" s="379"/>
      <c r="L603" s="379"/>
      <c r="M603" s="379"/>
      <c r="N603" s="379"/>
      <c r="O603" s="379"/>
      <c r="P603" s="379"/>
      <c r="Q603" s="379"/>
      <c r="R603" s="379"/>
      <c r="S603" s="379"/>
      <c r="T603" s="379"/>
      <c r="U603" s="379"/>
      <c r="W603" s="379"/>
    </row>
    <row r="604" customFormat="false" ht="14.25" hidden="false" customHeight="false" outlineLevel="0" collapsed="false">
      <c r="A604" s="379"/>
      <c r="B604" s="379"/>
      <c r="C604" s="379"/>
      <c r="D604" s="379"/>
      <c r="E604" s="379"/>
      <c r="F604" s="379"/>
      <c r="G604" s="379"/>
      <c r="H604" s="379"/>
      <c r="I604" s="379"/>
      <c r="J604" s="379"/>
      <c r="K604" s="379"/>
      <c r="L604" s="379"/>
      <c r="M604" s="379"/>
      <c r="N604" s="379"/>
      <c r="O604" s="379"/>
      <c r="P604" s="379"/>
      <c r="Q604" s="379"/>
      <c r="R604" s="379"/>
      <c r="S604" s="379"/>
      <c r="T604" s="379"/>
      <c r="U604" s="379"/>
      <c r="W604" s="379"/>
    </row>
    <row r="605" customFormat="false" ht="14.25" hidden="false" customHeight="false" outlineLevel="0" collapsed="false">
      <c r="A605" s="379"/>
      <c r="B605" s="379"/>
      <c r="C605" s="379"/>
      <c r="D605" s="379"/>
      <c r="E605" s="379"/>
      <c r="F605" s="379"/>
      <c r="G605" s="379"/>
      <c r="H605" s="379"/>
      <c r="I605" s="379"/>
      <c r="J605" s="379"/>
      <c r="K605" s="379"/>
      <c r="L605" s="379"/>
      <c r="M605" s="379"/>
      <c r="N605" s="379"/>
      <c r="O605" s="379"/>
      <c r="P605" s="379"/>
      <c r="Q605" s="379"/>
      <c r="R605" s="379"/>
      <c r="S605" s="379"/>
      <c r="T605" s="379"/>
      <c r="U605" s="379"/>
      <c r="W605" s="379"/>
    </row>
    <row r="606" customFormat="false" ht="14.25" hidden="false" customHeight="false" outlineLevel="0" collapsed="false">
      <c r="A606" s="379"/>
      <c r="B606" s="379"/>
      <c r="C606" s="379"/>
      <c r="D606" s="379"/>
      <c r="E606" s="379"/>
      <c r="F606" s="379"/>
      <c r="G606" s="379"/>
      <c r="H606" s="379"/>
      <c r="I606" s="379"/>
      <c r="J606" s="379"/>
      <c r="K606" s="379"/>
      <c r="L606" s="379"/>
      <c r="M606" s="379"/>
      <c r="N606" s="379"/>
      <c r="O606" s="379"/>
      <c r="P606" s="379"/>
      <c r="Q606" s="379"/>
      <c r="R606" s="379"/>
      <c r="S606" s="379"/>
      <c r="T606" s="379"/>
      <c r="U606" s="379"/>
      <c r="W606" s="379"/>
    </row>
    <row r="607" customFormat="false" ht="14.25" hidden="false" customHeight="false" outlineLevel="0" collapsed="false">
      <c r="A607" s="379"/>
      <c r="B607" s="379"/>
      <c r="C607" s="379"/>
      <c r="D607" s="379"/>
      <c r="E607" s="379"/>
      <c r="F607" s="379"/>
      <c r="G607" s="379"/>
      <c r="H607" s="379"/>
      <c r="I607" s="379"/>
      <c r="J607" s="379"/>
      <c r="K607" s="379"/>
      <c r="L607" s="379"/>
      <c r="M607" s="379"/>
      <c r="N607" s="379"/>
      <c r="O607" s="379"/>
      <c r="P607" s="379"/>
      <c r="Q607" s="379"/>
      <c r="R607" s="379"/>
      <c r="S607" s="379"/>
      <c r="T607" s="379"/>
      <c r="U607" s="379"/>
      <c r="W607" s="379"/>
    </row>
    <row r="608" customFormat="false" ht="14.25" hidden="false" customHeight="false" outlineLevel="0" collapsed="false">
      <c r="A608" s="379"/>
      <c r="B608" s="379"/>
      <c r="C608" s="379"/>
      <c r="D608" s="379"/>
      <c r="E608" s="379"/>
      <c r="F608" s="379"/>
      <c r="G608" s="379"/>
      <c r="H608" s="379"/>
      <c r="I608" s="379"/>
      <c r="J608" s="379"/>
      <c r="K608" s="379"/>
      <c r="L608" s="379"/>
      <c r="M608" s="379"/>
      <c r="N608" s="379"/>
      <c r="O608" s="379"/>
      <c r="P608" s="379"/>
      <c r="Q608" s="379"/>
      <c r="R608" s="379"/>
      <c r="S608" s="379"/>
      <c r="T608" s="379"/>
      <c r="U608" s="379"/>
      <c r="W608" s="379"/>
    </row>
    <row r="609" customFormat="false" ht="14.25" hidden="false" customHeight="false" outlineLevel="0" collapsed="false">
      <c r="A609" s="379"/>
      <c r="B609" s="379"/>
      <c r="C609" s="379"/>
      <c r="D609" s="379"/>
      <c r="E609" s="379"/>
      <c r="F609" s="379"/>
      <c r="G609" s="379"/>
      <c r="H609" s="379"/>
      <c r="I609" s="379"/>
      <c r="J609" s="379"/>
      <c r="K609" s="379"/>
      <c r="L609" s="379"/>
      <c r="M609" s="379"/>
      <c r="N609" s="379"/>
      <c r="O609" s="379"/>
      <c r="P609" s="379"/>
      <c r="Q609" s="379"/>
      <c r="R609" s="379"/>
      <c r="S609" s="379"/>
      <c r="T609" s="379"/>
      <c r="U609" s="379"/>
      <c r="W609" s="379"/>
    </row>
    <row r="610" customFormat="false" ht="14.25" hidden="false" customHeight="false" outlineLevel="0" collapsed="false">
      <c r="A610" s="379"/>
      <c r="B610" s="379"/>
      <c r="C610" s="379"/>
      <c r="D610" s="379"/>
      <c r="E610" s="379"/>
      <c r="F610" s="379"/>
      <c r="G610" s="379"/>
      <c r="H610" s="379"/>
      <c r="I610" s="379"/>
      <c r="J610" s="379"/>
      <c r="K610" s="379"/>
      <c r="L610" s="379"/>
      <c r="M610" s="379"/>
      <c r="N610" s="379"/>
      <c r="O610" s="379"/>
      <c r="P610" s="379"/>
      <c r="Q610" s="379"/>
      <c r="R610" s="379"/>
      <c r="S610" s="379"/>
      <c r="T610" s="379"/>
      <c r="U610" s="379"/>
      <c r="W610" s="379"/>
    </row>
    <row r="611" customFormat="false" ht="14.25" hidden="false" customHeight="false" outlineLevel="0" collapsed="false">
      <c r="A611" s="379"/>
      <c r="B611" s="379"/>
      <c r="C611" s="379"/>
      <c r="D611" s="379"/>
      <c r="E611" s="379"/>
      <c r="F611" s="379"/>
      <c r="G611" s="379"/>
      <c r="H611" s="379"/>
      <c r="I611" s="379"/>
      <c r="J611" s="379"/>
      <c r="K611" s="379"/>
      <c r="L611" s="379"/>
      <c r="M611" s="379"/>
      <c r="N611" s="379"/>
      <c r="O611" s="379"/>
      <c r="P611" s="379"/>
      <c r="Q611" s="379"/>
      <c r="R611" s="379"/>
      <c r="S611" s="379"/>
      <c r="T611" s="379"/>
      <c r="U611" s="379"/>
      <c r="W611" s="379"/>
    </row>
    <row r="612" customFormat="false" ht="14.25" hidden="false" customHeight="false" outlineLevel="0" collapsed="false">
      <c r="A612" s="379"/>
      <c r="B612" s="379"/>
      <c r="C612" s="379"/>
      <c r="D612" s="379"/>
      <c r="E612" s="379"/>
      <c r="F612" s="379"/>
      <c r="G612" s="379"/>
      <c r="H612" s="379"/>
      <c r="I612" s="379"/>
      <c r="J612" s="379"/>
      <c r="K612" s="379"/>
      <c r="L612" s="379"/>
      <c r="M612" s="379"/>
      <c r="N612" s="379"/>
      <c r="O612" s="379"/>
      <c r="P612" s="379"/>
      <c r="Q612" s="379"/>
      <c r="R612" s="379"/>
      <c r="S612" s="379"/>
      <c r="T612" s="379"/>
      <c r="U612" s="379"/>
      <c r="W612" s="379"/>
    </row>
    <row r="613" customFormat="false" ht="14.25" hidden="false" customHeight="false" outlineLevel="0" collapsed="false">
      <c r="A613" s="379"/>
      <c r="B613" s="379"/>
      <c r="C613" s="379"/>
      <c r="D613" s="379"/>
      <c r="E613" s="379"/>
      <c r="F613" s="379"/>
      <c r="G613" s="379"/>
      <c r="H613" s="379"/>
      <c r="I613" s="379"/>
      <c r="J613" s="379"/>
      <c r="K613" s="379"/>
      <c r="L613" s="379"/>
      <c r="M613" s="379"/>
      <c r="N613" s="379"/>
      <c r="O613" s="379"/>
      <c r="P613" s="379"/>
      <c r="Q613" s="379"/>
      <c r="R613" s="379"/>
      <c r="S613" s="379"/>
      <c r="T613" s="379"/>
      <c r="U613" s="379"/>
      <c r="W613" s="379"/>
    </row>
    <row r="614" customFormat="false" ht="14.25" hidden="false" customHeight="false" outlineLevel="0" collapsed="false">
      <c r="A614" s="379"/>
      <c r="B614" s="379"/>
      <c r="C614" s="379"/>
      <c r="D614" s="379"/>
      <c r="E614" s="379"/>
      <c r="F614" s="379"/>
      <c r="G614" s="379"/>
      <c r="H614" s="379"/>
      <c r="I614" s="379"/>
      <c r="J614" s="379"/>
      <c r="K614" s="379"/>
      <c r="L614" s="379"/>
      <c r="M614" s="379"/>
      <c r="N614" s="379"/>
      <c r="O614" s="379"/>
      <c r="P614" s="379"/>
      <c r="Q614" s="379"/>
      <c r="R614" s="379"/>
      <c r="S614" s="379"/>
      <c r="T614" s="379"/>
      <c r="U614" s="379"/>
      <c r="W614" s="379"/>
    </row>
    <row r="615" customFormat="false" ht="14.25" hidden="false" customHeight="false" outlineLevel="0" collapsed="false">
      <c r="A615" s="379"/>
      <c r="B615" s="379"/>
      <c r="C615" s="379"/>
      <c r="D615" s="379"/>
      <c r="E615" s="379"/>
      <c r="F615" s="379"/>
      <c r="G615" s="379"/>
      <c r="H615" s="379"/>
      <c r="I615" s="379"/>
      <c r="J615" s="379"/>
      <c r="K615" s="379"/>
      <c r="L615" s="379"/>
      <c r="M615" s="379"/>
      <c r="N615" s="379"/>
      <c r="O615" s="379"/>
      <c r="P615" s="379"/>
      <c r="Q615" s="379"/>
      <c r="R615" s="379"/>
      <c r="S615" s="379"/>
      <c r="T615" s="379"/>
      <c r="U615" s="379"/>
      <c r="W615" s="379"/>
    </row>
    <row r="616" customFormat="false" ht="14.25" hidden="false" customHeight="false" outlineLevel="0" collapsed="false">
      <c r="A616" s="379"/>
      <c r="B616" s="379"/>
      <c r="C616" s="379"/>
      <c r="D616" s="379"/>
      <c r="E616" s="379"/>
      <c r="F616" s="379"/>
      <c r="G616" s="379"/>
      <c r="H616" s="379"/>
      <c r="I616" s="379"/>
      <c r="J616" s="379"/>
      <c r="K616" s="379"/>
      <c r="L616" s="379"/>
      <c r="M616" s="379"/>
      <c r="N616" s="379"/>
      <c r="O616" s="379"/>
      <c r="P616" s="379"/>
      <c r="Q616" s="379"/>
      <c r="R616" s="379"/>
      <c r="S616" s="379"/>
      <c r="T616" s="379"/>
      <c r="U616" s="379"/>
      <c r="W616" s="379"/>
    </row>
    <row r="617" customFormat="false" ht="14.25" hidden="false" customHeight="false" outlineLevel="0" collapsed="false">
      <c r="A617" s="379"/>
      <c r="B617" s="379"/>
      <c r="C617" s="379"/>
      <c r="D617" s="379"/>
      <c r="E617" s="379"/>
      <c r="F617" s="379"/>
      <c r="G617" s="379"/>
      <c r="H617" s="379"/>
      <c r="I617" s="379"/>
      <c r="J617" s="379"/>
      <c r="K617" s="379"/>
      <c r="L617" s="379"/>
      <c r="M617" s="379"/>
      <c r="N617" s="379"/>
      <c r="O617" s="379"/>
      <c r="P617" s="379"/>
      <c r="Q617" s="379"/>
      <c r="R617" s="379"/>
      <c r="S617" s="379"/>
      <c r="T617" s="379"/>
      <c r="U617" s="379"/>
      <c r="W617" s="379"/>
    </row>
    <row r="618" customFormat="false" ht="14.25" hidden="false" customHeight="false" outlineLevel="0" collapsed="false">
      <c r="A618" s="379"/>
      <c r="B618" s="379"/>
      <c r="C618" s="379"/>
      <c r="D618" s="379"/>
      <c r="E618" s="379"/>
      <c r="F618" s="379"/>
      <c r="G618" s="379"/>
      <c r="H618" s="379"/>
      <c r="I618" s="379"/>
      <c r="J618" s="379"/>
      <c r="K618" s="379"/>
      <c r="L618" s="379"/>
      <c r="M618" s="379"/>
      <c r="N618" s="379"/>
      <c r="O618" s="379"/>
      <c r="P618" s="379"/>
      <c r="Q618" s="379"/>
      <c r="R618" s="379"/>
      <c r="S618" s="379"/>
      <c r="T618" s="379"/>
      <c r="U618" s="379"/>
      <c r="W618" s="379"/>
    </row>
    <row r="619" customFormat="false" ht="14.25" hidden="false" customHeight="false" outlineLevel="0" collapsed="false">
      <c r="A619" s="379"/>
      <c r="B619" s="379"/>
      <c r="C619" s="379"/>
      <c r="D619" s="379"/>
      <c r="E619" s="379"/>
      <c r="F619" s="379"/>
      <c r="G619" s="379"/>
      <c r="H619" s="379"/>
      <c r="I619" s="379"/>
      <c r="J619" s="379"/>
      <c r="K619" s="379"/>
      <c r="L619" s="379"/>
      <c r="M619" s="379"/>
      <c r="N619" s="379"/>
      <c r="O619" s="379"/>
      <c r="P619" s="379"/>
      <c r="Q619" s="379"/>
      <c r="R619" s="379"/>
      <c r="S619" s="379"/>
      <c r="T619" s="379"/>
      <c r="U619" s="379"/>
      <c r="W619" s="379"/>
    </row>
    <row r="620" customFormat="false" ht="14.25" hidden="false" customHeight="false" outlineLevel="0" collapsed="false">
      <c r="A620" s="379"/>
      <c r="B620" s="379"/>
      <c r="C620" s="379"/>
      <c r="D620" s="379"/>
      <c r="E620" s="379"/>
      <c r="F620" s="379"/>
      <c r="G620" s="379"/>
      <c r="H620" s="379"/>
      <c r="I620" s="379"/>
      <c r="J620" s="379"/>
      <c r="K620" s="379"/>
      <c r="L620" s="379"/>
      <c r="M620" s="379"/>
      <c r="N620" s="379"/>
      <c r="O620" s="379"/>
      <c r="P620" s="379"/>
      <c r="Q620" s="379"/>
      <c r="R620" s="379"/>
      <c r="S620" s="379"/>
      <c r="T620" s="379"/>
      <c r="U620" s="379"/>
      <c r="W620" s="379"/>
    </row>
    <row r="621" customFormat="false" ht="14.25" hidden="false" customHeight="false" outlineLevel="0" collapsed="false">
      <c r="A621" s="379"/>
      <c r="B621" s="379"/>
      <c r="C621" s="379"/>
      <c r="D621" s="379"/>
      <c r="E621" s="379"/>
      <c r="F621" s="379"/>
      <c r="G621" s="379"/>
      <c r="H621" s="379"/>
      <c r="I621" s="379"/>
      <c r="J621" s="379"/>
      <c r="K621" s="379"/>
      <c r="L621" s="379"/>
      <c r="M621" s="379"/>
      <c r="N621" s="379"/>
      <c r="O621" s="379"/>
      <c r="P621" s="379"/>
      <c r="Q621" s="379"/>
      <c r="R621" s="379"/>
      <c r="S621" s="379"/>
      <c r="T621" s="379"/>
      <c r="U621" s="379"/>
      <c r="W621" s="379"/>
    </row>
    <row r="622" customFormat="false" ht="14.25" hidden="false" customHeight="false" outlineLevel="0" collapsed="false">
      <c r="A622" s="379"/>
      <c r="B622" s="379"/>
      <c r="C622" s="379"/>
      <c r="D622" s="379"/>
      <c r="E622" s="379"/>
      <c r="F622" s="379"/>
      <c r="G622" s="379"/>
      <c r="H622" s="379"/>
      <c r="I622" s="379"/>
      <c r="J622" s="379"/>
      <c r="K622" s="379"/>
      <c r="L622" s="379"/>
      <c r="M622" s="379"/>
      <c r="N622" s="379"/>
      <c r="O622" s="379"/>
      <c r="P622" s="379"/>
      <c r="Q622" s="379"/>
      <c r="R622" s="379"/>
      <c r="S622" s="379"/>
      <c r="T622" s="379"/>
      <c r="U622" s="379"/>
      <c r="W622" s="379"/>
    </row>
    <row r="623" customFormat="false" ht="14.25" hidden="false" customHeight="false" outlineLevel="0" collapsed="false">
      <c r="A623" s="379"/>
      <c r="B623" s="379"/>
      <c r="C623" s="379"/>
      <c r="D623" s="379"/>
      <c r="E623" s="379"/>
      <c r="F623" s="379"/>
      <c r="G623" s="379"/>
      <c r="H623" s="379"/>
      <c r="I623" s="379"/>
      <c r="J623" s="379"/>
      <c r="K623" s="379"/>
      <c r="L623" s="379"/>
      <c r="M623" s="379"/>
      <c r="N623" s="379"/>
      <c r="O623" s="379"/>
      <c r="P623" s="379"/>
      <c r="Q623" s="379"/>
      <c r="R623" s="379"/>
      <c r="S623" s="379"/>
      <c r="T623" s="379"/>
      <c r="U623" s="379"/>
      <c r="W623" s="379"/>
    </row>
    <row r="624" customFormat="false" ht="14.25" hidden="false" customHeight="false" outlineLevel="0" collapsed="false">
      <c r="A624" s="379"/>
      <c r="B624" s="379"/>
      <c r="C624" s="379"/>
      <c r="D624" s="379"/>
      <c r="E624" s="379"/>
      <c r="F624" s="379"/>
      <c r="G624" s="379"/>
      <c r="H624" s="379"/>
      <c r="I624" s="379"/>
      <c r="J624" s="379"/>
      <c r="K624" s="379"/>
      <c r="L624" s="379"/>
      <c r="M624" s="379"/>
      <c r="N624" s="379"/>
      <c r="O624" s="379"/>
      <c r="P624" s="379"/>
      <c r="Q624" s="379"/>
      <c r="R624" s="379"/>
      <c r="S624" s="379"/>
      <c r="T624" s="379"/>
      <c r="U624" s="379"/>
      <c r="W624" s="379"/>
    </row>
    <row r="625" customFormat="false" ht="14.25" hidden="false" customHeight="false" outlineLevel="0" collapsed="false">
      <c r="A625" s="379"/>
      <c r="B625" s="379"/>
      <c r="C625" s="379"/>
      <c r="D625" s="379"/>
      <c r="E625" s="379"/>
      <c r="F625" s="379"/>
      <c r="G625" s="379"/>
      <c r="H625" s="379"/>
      <c r="I625" s="379"/>
      <c r="J625" s="379"/>
      <c r="K625" s="379"/>
      <c r="L625" s="379"/>
      <c r="M625" s="379"/>
      <c r="N625" s="379"/>
      <c r="O625" s="379"/>
      <c r="P625" s="379"/>
      <c r="Q625" s="379"/>
      <c r="R625" s="379"/>
      <c r="S625" s="379"/>
      <c r="T625" s="379"/>
      <c r="U625" s="379"/>
      <c r="W625" s="379"/>
    </row>
    <row r="626" customFormat="false" ht="14.25" hidden="false" customHeight="false" outlineLevel="0" collapsed="false">
      <c r="A626" s="379"/>
      <c r="B626" s="379"/>
      <c r="C626" s="379"/>
      <c r="D626" s="379"/>
      <c r="E626" s="379"/>
      <c r="F626" s="379"/>
      <c r="G626" s="379"/>
      <c r="H626" s="379"/>
      <c r="I626" s="379"/>
      <c r="J626" s="379"/>
      <c r="K626" s="379"/>
      <c r="L626" s="379"/>
      <c r="M626" s="379"/>
      <c r="N626" s="379"/>
      <c r="O626" s="379"/>
      <c r="P626" s="379"/>
      <c r="Q626" s="379"/>
      <c r="R626" s="379"/>
      <c r="S626" s="379"/>
      <c r="T626" s="379"/>
      <c r="U626" s="379"/>
      <c r="W626" s="379"/>
    </row>
    <row r="627" customFormat="false" ht="14.25" hidden="false" customHeight="false" outlineLevel="0" collapsed="false">
      <c r="A627" s="379"/>
      <c r="B627" s="379"/>
      <c r="C627" s="379"/>
      <c r="D627" s="379"/>
      <c r="E627" s="379"/>
      <c r="F627" s="379"/>
      <c r="G627" s="379"/>
      <c r="H627" s="379"/>
      <c r="I627" s="379"/>
      <c r="J627" s="379"/>
      <c r="K627" s="379"/>
      <c r="L627" s="379"/>
      <c r="M627" s="379"/>
      <c r="N627" s="379"/>
      <c r="O627" s="379"/>
      <c r="P627" s="379"/>
      <c r="Q627" s="379"/>
      <c r="R627" s="379"/>
      <c r="S627" s="379"/>
      <c r="T627" s="379"/>
      <c r="U627" s="379"/>
      <c r="W627" s="379"/>
    </row>
    <row r="628" customFormat="false" ht="14.25" hidden="false" customHeight="false" outlineLevel="0" collapsed="false">
      <c r="A628" s="379"/>
      <c r="B628" s="379"/>
      <c r="C628" s="379"/>
      <c r="D628" s="379"/>
      <c r="E628" s="379"/>
      <c r="F628" s="379"/>
      <c r="G628" s="379"/>
      <c r="H628" s="379"/>
      <c r="I628" s="379"/>
      <c r="J628" s="379"/>
      <c r="K628" s="379"/>
      <c r="L628" s="379"/>
      <c r="M628" s="379"/>
      <c r="N628" s="379"/>
      <c r="O628" s="379"/>
      <c r="P628" s="379"/>
      <c r="Q628" s="379"/>
      <c r="R628" s="379"/>
      <c r="S628" s="379"/>
      <c r="T628" s="379"/>
      <c r="U628" s="379"/>
      <c r="W628" s="379"/>
    </row>
    <row r="629" customFormat="false" ht="14.25" hidden="false" customHeight="false" outlineLevel="0" collapsed="false">
      <c r="A629" s="379"/>
      <c r="B629" s="379"/>
      <c r="C629" s="379"/>
      <c r="D629" s="379"/>
      <c r="E629" s="379"/>
      <c r="F629" s="379"/>
      <c r="G629" s="379"/>
      <c r="H629" s="379"/>
      <c r="I629" s="379"/>
      <c r="J629" s="379"/>
      <c r="K629" s="379"/>
      <c r="L629" s="379"/>
      <c r="M629" s="379"/>
      <c r="N629" s="379"/>
      <c r="O629" s="379"/>
      <c r="P629" s="379"/>
      <c r="Q629" s="379"/>
      <c r="R629" s="379"/>
      <c r="S629" s="379"/>
      <c r="T629" s="379"/>
      <c r="U629" s="379"/>
      <c r="W629" s="379"/>
    </row>
    <row r="630" customFormat="false" ht="14.25" hidden="false" customHeight="false" outlineLevel="0" collapsed="false">
      <c r="A630" s="379"/>
      <c r="B630" s="379"/>
      <c r="C630" s="379"/>
      <c r="D630" s="379"/>
      <c r="E630" s="379"/>
      <c r="F630" s="379"/>
      <c r="G630" s="379"/>
      <c r="H630" s="379"/>
      <c r="I630" s="379"/>
      <c r="J630" s="379"/>
      <c r="K630" s="379"/>
      <c r="L630" s="379"/>
      <c r="M630" s="379"/>
      <c r="N630" s="379"/>
      <c r="O630" s="379"/>
      <c r="P630" s="379"/>
      <c r="Q630" s="379"/>
      <c r="R630" s="379"/>
      <c r="S630" s="379"/>
      <c r="T630" s="379"/>
      <c r="U630" s="379"/>
      <c r="W630" s="379"/>
    </row>
    <row r="631" customFormat="false" ht="14.25" hidden="false" customHeight="false" outlineLevel="0" collapsed="false">
      <c r="A631" s="379"/>
      <c r="B631" s="379"/>
      <c r="C631" s="379"/>
      <c r="D631" s="379"/>
      <c r="E631" s="379"/>
      <c r="F631" s="379"/>
      <c r="G631" s="379"/>
      <c r="H631" s="379"/>
      <c r="I631" s="379"/>
      <c r="J631" s="379"/>
      <c r="K631" s="379"/>
      <c r="L631" s="379"/>
      <c r="M631" s="379"/>
      <c r="N631" s="379"/>
      <c r="O631" s="379"/>
      <c r="P631" s="379"/>
      <c r="Q631" s="379"/>
      <c r="R631" s="379"/>
      <c r="S631" s="379"/>
      <c r="T631" s="379"/>
      <c r="U631" s="379"/>
      <c r="W631" s="379"/>
    </row>
    <row r="632" customFormat="false" ht="14.25" hidden="false" customHeight="false" outlineLevel="0" collapsed="false">
      <c r="A632" s="379"/>
      <c r="B632" s="379"/>
      <c r="C632" s="379"/>
      <c r="D632" s="379"/>
      <c r="E632" s="379"/>
      <c r="F632" s="379"/>
      <c r="G632" s="379"/>
      <c r="H632" s="379"/>
      <c r="I632" s="379"/>
      <c r="J632" s="379"/>
      <c r="K632" s="379"/>
      <c r="L632" s="379"/>
      <c r="M632" s="379"/>
      <c r="N632" s="379"/>
      <c r="O632" s="379"/>
      <c r="P632" s="379"/>
      <c r="Q632" s="379"/>
      <c r="R632" s="379"/>
      <c r="S632" s="379"/>
      <c r="T632" s="379"/>
      <c r="U632" s="379"/>
      <c r="W632" s="379"/>
    </row>
    <row r="633" customFormat="false" ht="14.25" hidden="false" customHeight="false" outlineLevel="0" collapsed="false">
      <c r="A633" s="379"/>
      <c r="B633" s="379"/>
      <c r="C633" s="379"/>
      <c r="D633" s="379"/>
      <c r="E633" s="379"/>
      <c r="F633" s="379"/>
      <c r="G633" s="379"/>
      <c r="H633" s="379"/>
      <c r="I633" s="379"/>
      <c r="J633" s="379"/>
      <c r="K633" s="379"/>
      <c r="L633" s="379"/>
      <c r="M633" s="379"/>
      <c r="N633" s="379"/>
      <c r="O633" s="379"/>
      <c r="P633" s="379"/>
      <c r="Q633" s="379"/>
      <c r="R633" s="379"/>
      <c r="S633" s="379"/>
      <c r="T633" s="379"/>
      <c r="U633" s="379"/>
      <c r="W633" s="379"/>
    </row>
    <row r="634" customFormat="false" ht="14.25" hidden="false" customHeight="false" outlineLevel="0" collapsed="false">
      <c r="A634" s="379"/>
      <c r="B634" s="379"/>
      <c r="C634" s="379"/>
      <c r="D634" s="379"/>
      <c r="E634" s="379"/>
      <c r="F634" s="379"/>
      <c r="G634" s="379"/>
      <c r="H634" s="379"/>
      <c r="I634" s="379"/>
      <c r="J634" s="379"/>
      <c r="K634" s="379"/>
      <c r="L634" s="379"/>
      <c r="M634" s="379"/>
      <c r="N634" s="379"/>
      <c r="O634" s="379"/>
      <c r="P634" s="379"/>
      <c r="Q634" s="379"/>
      <c r="R634" s="379"/>
      <c r="S634" s="379"/>
      <c r="T634" s="379"/>
      <c r="U634" s="379"/>
      <c r="W634" s="379"/>
    </row>
    <row r="635" customFormat="false" ht="14.25" hidden="false" customHeight="false" outlineLevel="0" collapsed="false">
      <c r="A635" s="379"/>
      <c r="B635" s="379"/>
      <c r="C635" s="379"/>
      <c r="D635" s="379"/>
      <c r="E635" s="379"/>
      <c r="F635" s="379"/>
      <c r="G635" s="379"/>
      <c r="H635" s="379"/>
      <c r="I635" s="379"/>
      <c r="J635" s="379"/>
      <c r="K635" s="379"/>
      <c r="L635" s="379"/>
      <c r="M635" s="379"/>
      <c r="N635" s="379"/>
      <c r="O635" s="379"/>
      <c r="P635" s="379"/>
      <c r="Q635" s="379"/>
      <c r="R635" s="379"/>
      <c r="S635" s="379"/>
      <c r="T635" s="379"/>
      <c r="U635" s="379"/>
      <c r="W635" s="379"/>
    </row>
    <row r="636" customFormat="false" ht="14.25" hidden="false" customHeight="false" outlineLevel="0" collapsed="false">
      <c r="A636" s="379"/>
      <c r="B636" s="379"/>
      <c r="C636" s="379"/>
      <c r="D636" s="379"/>
      <c r="E636" s="379"/>
      <c r="F636" s="379"/>
      <c r="G636" s="379"/>
      <c r="H636" s="379"/>
      <c r="I636" s="379"/>
      <c r="J636" s="379"/>
      <c r="K636" s="379"/>
      <c r="L636" s="379"/>
      <c r="M636" s="379"/>
      <c r="N636" s="379"/>
      <c r="O636" s="379"/>
      <c r="P636" s="379"/>
      <c r="Q636" s="379"/>
      <c r="R636" s="379"/>
      <c r="S636" s="379"/>
      <c r="T636" s="379"/>
      <c r="U636" s="379"/>
      <c r="W636" s="379"/>
    </row>
    <row r="637" customFormat="false" ht="14.25" hidden="false" customHeight="false" outlineLevel="0" collapsed="false">
      <c r="A637" s="379"/>
      <c r="B637" s="379"/>
      <c r="C637" s="379"/>
      <c r="D637" s="379"/>
      <c r="E637" s="379"/>
      <c r="F637" s="379"/>
      <c r="G637" s="379"/>
      <c r="H637" s="379"/>
      <c r="I637" s="379"/>
      <c r="J637" s="379"/>
      <c r="K637" s="379"/>
      <c r="L637" s="379"/>
      <c r="M637" s="379"/>
      <c r="N637" s="379"/>
      <c r="O637" s="379"/>
      <c r="P637" s="379"/>
      <c r="Q637" s="379"/>
      <c r="R637" s="379"/>
      <c r="S637" s="379"/>
      <c r="T637" s="379"/>
      <c r="U637" s="379"/>
      <c r="W637" s="379"/>
    </row>
    <row r="638" customFormat="false" ht="14.25" hidden="false" customHeight="false" outlineLevel="0" collapsed="false">
      <c r="A638" s="379"/>
      <c r="B638" s="379"/>
      <c r="C638" s="379"/>
      <c r="D638" s="379"/>
      <c r="E638" s="379"/>
      <c r="F638" s="379"/>
      <c r="G638" s="379"/>
      <c r="H638" s="379"/>
      <c r="I638" s="379"/>
      <c r="J638" s="379"/>
      <c r="K638" s="379"/>
      <c r="L638" s="379"/>
      <c r="M638" s="379"/>
      <c r="N638" s="379"/>
      <c r="O638" s="379"/>
      <c r="P638" s="379"/>
      <c r="Q638" s="379"/>
      <c r="R638" s="379"/>
      <c r="S638" s="379"/>
      <c r="T638" s="379"/>
      <c r="U638" s="379"/>
      <c r="W638" s="379"/>
    </row>
    <row r="639" customFormat="false" ht="14.25" hidden="false" customHeight="false" outlineLevel="0" collapsed="false">
      <c r="A639" s="379"/>
      <c r="B639" s="379"/>
      <c r="C639" s="379"/>
      <c r="D639" s="379"/>
      <c r="E639" s="379"/>
      <c r="F639" s="379"/>
      <c r="G639" s="379"/>
      <c r="H639" s="379"/>
      <c r="I639" s="379"/>
      <c r="J639" s="379"/>
      <c r="K639" s="379"/>
      <c r="L639" s="379"/>
      <c r="M639" s="379"/>
      <c r="N639" s="379"/>
      <c r="O639" s="379"/>
      <c r="P639" s="379"/>
      <c r="Q639" s="379"/>
      <c r="R639" s="379"/>
      <c r="S639" s="379"/>
      <c r="T639" s="379"/>
      <c r="U639" s="379"/>
      <c r="W639" s="379"/>
    </row>
    <row r="640" customFormat="false" ht="14.25" hidden="false" customHeight="false" outlineLevel="0" collapsed="false">
      <c r="A640" s="379"/>
      <c r="B640" s="379"/>
      <c r="C640" s="379"/>
      <c r="D640" s="379"/>
      <c r="E640" s="379"/>
      <c r="F640" s="379"/>
      <c r="G640" s="379"/>
      <c r="H640" s="379"/>
      <c r="I640" s="379"/>
      <c r="J640" s="379"/>
      <c r="K640" s="379"/>
      <c r="L640" s="379"/>
      <c r="M640" s="379"/>
      <c r="N640" s="379"/>
      <c r="O640" s="379"/>
      <c r="P640" s="379"/>
      <c r="Q640" s="379"/>
      <c r="R640" s="379"/>
      <c r="S640" s="379"/>
      <c r="T640" s="379"/>
      <c r="U640" s="379"/>
      <c r="W640" s="379"/>
    </row>
    <row r="641" customFormat="false" ht="14.25" hidden="false" customHeight="false" outlineLevel="0" collapsed="false">
      <c r="A641" s="379"/>
      <c r="B641" s="379"/>
      <c r="C641" s="379"/>
      <c r="D641" s="379"/>
      <c r="E641" s="379"/>
      <c r="F641" s="379"/>
      <c r="G641" s="379"/>
      <c r="H641" s="379"/>
      <c r="I641" s="379"/>
      <c r="J641" s="379"/>
      <c r="K641" s="379"/>
      <c r="L641" s="379"/>
      <c r="M641" s="379"/>
      <c r="N641" s="379"/>
      <c r="O641" s="379"/>
      <c r="P641" s="379"/>
      <c r="Q641" s="379"/>
      <c r="R641" s="379"/>
      <c r="S641" s="379"/>
      <c r="T641" s="379"/>
      <c r="U641" s="379"/>
      <c r="W641" s="379"/>
    </row>
    <row r="642" customFormat="false" ht="14.25" hidden="false" customHeight="false" outlineLevel="0" collapsed="false">
      <c r="A642" s="379"/>
      <c r="B642" s="379"/>
      <c r="C642" s="379"/>
      <c r="D642" s="379"/>
      <c r="E642" s="379"/>
      <c r="F642" s="379"/>
      <c r="G642" s="379"/>
      <c r="H642" s="379"/>
      <c r="I642" s="379"/>
      <c r="J642" s="379"/>
      <c r="K642" s="379"/>
      <c r="L642" s="379"/>
      <c r="M642" s="379"/>
      <c r="N642" s="379"/>
      <c r="O642" s="379"/>
      <c r="P642" s="379"/>
      <c r="Q642" s="379"/>
      <c r="R642" s="379"/>
      <c r="S642" s="379"/>
      <c r="T642" s="379"/>
      <c r="U642" s="379"/>
      <c r="W642" s="379"/>
    </row>
    <row r="643" customFormat="false" ht="14.25" hidden="false" customHeight="false" outlineLevel="0" collapsed="false">
      <c r="A643" s="379"/>
      <c r="B643" s="379"/>
      <c r="C643" s="379"/>
      <c r="D643" s="379"/>
      <c r="E643" s="379"/>
      <c r="F643" s="379"/>
      <c r="G643" s="379"/>
      <c r="H643" s="379"/>
      <c r="I643" s="379"/>
      <c r="J643" s="379"/>
      <c r="K643" s="379"/>
      <c r="L643" s="379"/>
      <c r="M643" s="379"/>
      <c r="N643" s="379"/>
      <c r="O643" s="379"/>
      <c r="P643" s="379"/>
      <c r="Q643" s="379"/>
      <c r="R643" s="379"/>
      <c r="S643" s="379"/>
      <c r="T643" s="379"/>
      <c r="U643" s="379"/>
      <c r="W643" s="379"/>
    </row>
    <row r="644" customFormat="false" ht="14.25" hidden="false" customHeight="false" outlineLevel="0" collapsed="false">
      <c r="A644" s="379"/>
      <c r="B644" s="379"/>
      <c r="C644" s="379"/>
      <c r="D644" s="379"/>
      <c r="E644" s="379"/>
      <c r="F644" s="379"/>
      <c r="G644" s="379"/>
      <c r="H644" s="379"/>
      <c r="I644" s="379"/>
      <c r="J644" s="379"/>
      <c r="K644" s="379"/>
      <c r="L644" s="379"/>
      <c r="M644" s="379"/>
      <c r="N644" s="379"/>
      <c r="O644" s="379"/>
      <c r="P644" s="379"/>
      <c r="Q644" s="379"/>
      <c r="R644" s="379"/>
      <c r="S644" s="379"/>
      <c r="T644" s="379"/>
      <c r="U644" s="379"/>
      <c r="W644" s="379"/>
    </row>
    <row r="645" customFormat="false" ht="14.25" hidden="false" customHeight="false" outlineLevel="0" collapsed="false">
      <c r="A645" s="379"/>
      <c r="B645" s="379"/>
      <c r="C645" s="379"/>
      <c r="D645" s="379"/>
      <c r="E645" s="379"/>
      <c r="F645" s="379"/>
      <c r="G645" s="379"/>
      <c r="H645" s="379"/>
      <c r="I645" s="379"/>
      <c r="J645" s="379"/>
      <c r="K645" s="379"/>
      <c r="L645" s="379"/>
      <c r="M645" s="379"/>
      <c r="N645" s="379"/>
      <c r="O645" s="379"/>
      <c r="P645" s="379"/>
      <c r="Q645" s="379"/>
      <c r="R645" s="379"/>
      <c r="S645" s="379"/>
      <c r="T645" s="379"/>
      <c r="U645" s="379"/>
      <c r="W645" s="379"/>
    </row>
    <row r="646" customFormat="false" ht="14.25" hidden="false" customHeight="false" outlineLevel="0" collapsed="false">
      <c r="A646" s="379"/>
      <c r="B646" s="379"/>
      <c r="C646" s="379"/>
      <c r="D646" s="379"/>
      <c r="E646" s="379"/>
      <c r="F646" s="379"/>
      <c r="G646" s="379"/>
      <c r="H646" s="379"/>
      <c r="I646" s="379"/>
      <c r="J646" s="379"/>
      <c r="K646" s="379"/>
      <c r="L646" s="379"/>
      <c r="M646" s="379"/>
      <c r="N646" s="379"/>
      <c r="O646" s="379"/>
      <c r="P646" s="379"/>
      <c r="Q646" s="379"/>
      <c r="R646" s="379"/>
      <c r="S646" s="379"/>
      <c r="T646" s="379"/>
      <c r="U646" s="379"/>
      <c r="W646" s="379"/>
    </row>
    <row r="647" customFormat="false" ht="14.25" hidden="false" customHeight="false" outlineLevel="0" collapsed="false">
      <c r="A647" s="379"/>
      <c r="B647" s="379"/>
      <c r="C647" s="379"/>
      <c r="D647" s="379"/>
      <c r="E647" s="379"/>
      <c r="F647" s="379"/>
      <c r="G647" s="379"/>
      <c r="H647" s="379"/>
      <c r="I647" s="379"/>
      <c r="J647" s="379"/>
      <c r="K647" s="379"/>
      <c r="L647" s="379"/>
      <c r="M647" s="379"/>
      <c r="N647" s="379"/>
      <c r="O647" s="379"/>
      <c r="P647" s="379"/>
      <c r="Q647" s="379"/>
      <c r="R647" s="379"/>
      <c r="S647" s="379"/>
      <c r="T647" s="379"/>
      <c r="U647" s="379"/>
      <c r="W647" s="379"/>
    </row>
    <row r="648" customFormat="false" ht="14.25" hidden="false" customHeight="false" outlineLevel="0" collapsed="false">
      <c r="A648" s="379"/>
      <c r="B648" s="379"/>
      <c r="C648" s="379"/>
      <c r="D648" s="379"/>
      <c r="E648" s="379"/>
      <c r="F648" s="379"/>
      <c r="G648" s="379"/>
      <c r="H648" s="379"/>
      <c r="I648" s="379"/>
      <c r="J648" s="379"/>
      <c r="K648" s="379"/>
      <c r="L648" s="379"/>
      <c r="M648" s="379"/>
      <c r="N648" s="379"/>
      <c r="O648" s="379"/>
      <c r="P648" s="379"/>
      <c r="Q648" s="379"/>
      <c r="R648" s="379"/>
      <c r="S648" s="379"/>
      <c r="T648" s="379"/>
      <c r="U648" s="379"/>
      <c r="W648" s="379"/>
    </row>
    <row r="649" customFormat="false" ht="14.25" hidden="false" customHeight="false" outlineLevel="0" collapsed="false">
      <c r="A649" s="379"/>
      <c r="B649" s="379"/>
      <c r="C649" s="379"/>
      <c r="D649" s="379"/>
      <c r="E649" s="379"/>
      <c r="F649" s="379"/>
      <c r="G649" s="379"/>
      <c r="H649" s="379"/>
      <c r="I649" s="379"/>
      <c r="J649" s="379"/>
      <c r="K649" s="379"/>
      <c r="L649" s="379"/>
      <c r="M649" s="379"/>
      <c r="N649" s="379"/>
      <c r="O649" s="379"/>
      <c r="P649" s="379"/>
      <c r="Q649" s="379"/>
      <c r="R649" s="379"/>
      <c r="S649" s="379"/>
      <c r="T649" s="379"/>
      <c r="U649" s="379"/>
      <c r="W649" s="379"/>
    </row>
    <row r="650" customFormat="false" ht="14.25" hidden="false" customHeight="false" outlineLevel="0" collapsed="false">
      <c r="A650" s="379"/>
      <c r="B650" s="379"/>
      <c r="C650" s="379"/>
      <c r="D650" s="379"/>
      <c r="E650" s="379"/>
      <c r="F650" s="379"/>
      <c r="G650" s="379"/>
      <c r="H650" s="379"/>
      <c r="I650" s="379"/>
      <c r="J650" s="379"/>
      <c r="K650" s="379"/>
      <c r="L650" s="379"/>
      <c r="M650" s="379"/>
      <c r="N650" s="379"/>
      <c r="O650" s="379"/>
      <c r="P650" s="379"/>
      <c r="Q650" s="379"/>
      <c r="R650" s="379"/>
      <c r="S650" s="379"/>
      <c r="T650" s="379"/>
      <c r="U650" s="379"/>
      <c r="W650" s="379"/>
    </row>
    <row r="651" customFormat="false" ht="14.25" hidden="false" customHeight="false" outlineLevel="0" collapsed="false">
      <c r="A651" s="379"/>
      <c r="B651" s="379"/>
      <c r="C651" s="379"/>
      <c r="D651" s="379"/>
      <c r="E651" s="379"/>
      <c r="F651" s="379"/>
      <c r="G651" s="379"/>
      <c r="H651" s="379"/>
      <c r="I651" s="379"/>
      <c r="J651" s="379"/>
      <c r="K651" s="379"/>
      <c r="L651" s="379"/>
      <c r="M651" s="379"/>
      <c r="N651" s="379"/>
      <c r="O651" s="379"/>
      <c r="P651" s="379"/>
      <c r="Q651" s="379"/>
      <c r="R651" s="379"/>
      <c r="S651" s="379"/>
      <c r="T651" s="379"/>
      <c r="U651" s="379"/>
      <c r="W651" s="379"/>
    </row>
    <row r="652" customFormat="false" ht="14.25" hidden="false" customHeight="false" outlineLevel="0" collapsed="false">
      <c r="A652" s="379"/>
      <c r="B652" s="379"/>
      <c r="C652" s="379"/>
      <c r="D652" s="379"/>
      <c r="E652" s="379"/>
      <c r="F652" s="379"/>
      <c r="G652" s="379"/>
      <c r="H652" s="379"/>
      <c r="I652" s="379"/>
      <c r="J652" s="379"/>
      <c r="K652" s="379"/>
      <c r="L652" s="379"/>
      <c r="M652" s="379"/>
      <c r="N652" s="379"/>
      <c r="O652" s="379"/>
      <c r="P652" s="379"/>
      <c r="Q652" s="379"/>
      <c r="R652" s="379"/>
      <c r="S652" s="379"/>
      <c r="T652" s="379"/>
      <c r="U652" s="379"/>
      <c r="W652" s="379"/>
    </row>
    <row r="653" customFormat="false" ht="14.25" hidden="false" customHeight="false" outlineLevel="0" collapsed="false">
      <c r="A653" s="379"/>
      <c r="B653" s="379"/>
      <c r="C653" s="379"/>
      <c r="D653" s="379"/>
      <c r="E653" s="379"/>
      <c r="F653" s="379"/>
      <c r="G653" s="379"/>
      <c r="H653" s="379"/>
      <c r="I653" s="379"/>
      <c r="J653" s="379"/>
      <c r="K653" s="379"/>
      <c r="L653" s="379"/>
      <c r="M653" s="379"/>
      <c r="N653" s="379"/>
      <c r="O653" s="379"/>
      <c r="P653" s="379"/>
      <c r="Q653" s="379"/>
      <c r="R653" s="379"/>
      <c r="S653" s="379"/>
      <c r="T653" s="379"/>
      <c r="U653" s="379"/>
      <c r="W653" s="379"/>
    </row>
    <row r="654" customFormat="false" ht="14.25" hidden="false" customHeight="false" outlineLevel="0" collapsed="false">
      <c r="A654" s="379"/>
      <c r="B654" s="379"/>
      <c r="C654" s="379"/>
      <c r="D654" s="379"/>
      <c r="E654" s="379"/>
      <c r="F654" s="379"/>
      <c r="G654" s="379"/>
      <c r="H654" s="379"/>
      <c r="I654" s="379"/>
      <c r="J654" s="379"/>
      <c r="K654" s="379"/>
      <c r="L654" s="379"/>
      <c r="M654" s="379"/>
      <c r="N654" s="379"/>
      <c r="O654" s="379"/>
      <c r="P654" s="379"/>
      <c r="Q654" s="379"/>
      <c r="R654" s="379"/>
      <c r="S654" s="379"/>
      <c r="T654" s="379"/>
      <c r="U654" s="379"/>
      <c r="W654" s="379"/>
    </row>
    <row r="655" customFormat="false" ht="14.25" hidden="false" customHeight="false" outlineLevel="0" collapsed="false">
      <c r="A655" s="379"/>
      <c r="B655" s="379"/>
      <c r="C655" s="379"/>
      <c r="D655" s="379"/>
      <c r="E655" s="379"/>
      <c r="F655" s="379"/>
      <c r="G655" s="379"/>
      <c r="H655" s="379"/>
      <c r="I655" s="379"/>
      <c r="J655" s="379"/>
      <c r="K655" s="379"/>
      <c r="L655" s="379"/>
      <c r="M655" s="379"/>
      <c r="N655" s="379"/>
      <c r="O655" s="379"/>
      <c r="P655" s="379"/>
      <c r="Q655" s="379"/>
      <c r="R655" s="379"/>
      <c r="S655" s="379"/>
      <c r="T655" s="379"/>
      <c r="U655" s="379"/>
      <c r="W655" s="379"/>
    </row>
    <row r="656" customFormat="false" ht="14.25" hidden="false" customHeight="false" outlineLevel="0" collapsed="false">
      <c r="A656" s="379"/>
      <c r="B656" s="379"/>
      <c r="C656" s="379"/>
      <c r="D656" s="379"/>
      <c r="E656" s="379"/>
      <c r="F656" s="379"/>
      <c r="G656" s="379"/>
      <c r="H656" s="379"/>
      <c r="I656" s="379"/>
      <c r="J656" s="379"/>
      <c r="K656" s="379"/>
      <c r="L656" s="379"/>
      <c r="M656" s="379"/>
      <c r="N656" s="379"/>
      <c r="O656" s="379"/>
      <c r="P656" s="379"/>
      <c r="Q656" s="379"/>
      <c r="R656" s="379"/>
      <c r="S656" s="379"/>
      <c r="T656" s="379"/>
      <c r="U656" s="379"/>
      <c r="W656" s="379"/>
    </row>
    <row r="657" customFormat="false" ht="14.25" hidden="false" customHeight="false" outlineLevel="0" collapsed="false">
      <c r="A657" s="379"/>
      <c r="B657" s="379"/>
      <c r="C657" s="379"/>
      <c r="D657" s="379"/>
      <c r="E657" s="379"/>
      <c r="F657" s="379"/>
      <c r="G657" s="379"/>
      <c r="H657" s="379"/>
      <c r="I657" s="379"/>
      <c r="J657" s="379"/>
      <c r="K657" s="379"/>
      <c r="L657" s="379"/>
      <c r="M657" s="379"/>
      <c r="N657" s="379"/>
      <c r="O657" s="379"/>
      <c r="P657" s="379"/>
      <c r="Q657" s="379"/>
      <c r="R657" s="379"/>
      <c r="S657" s="379"/>
      <c r="T657" s="379"/>
      <c r="U657" s="379"/>
      <c r="W657" s="379"/>
    </row>
    <row r="658" customFormat="false" ht="14.25" hidden="false" customHeight="false" outlineLevel="0" collapsed="false">
      <c r="A658" s="379"/>
      <c r="B658" s="379"/>
      <c r="C658" s="379"/>
      <c r="D658" s="379"/>
      <c r="E658" s="379"/>
      <c r="F658" s="379"/>
      <c r="G658" s="379"/>
      <c r="H658" s="379"/>
      <c r="I658" s="379"/>
      <c r="J658" s="379"/>
      <c r="K658" s="379"/>
      <c r="L658" s="379"/>
      <c r="M658" s="379"/>
      <c r="N658" s="379"/>
      <c r="O658" s="379"/>
      <c r="P658" s="379"/>
      <c r="Q658" s="379"/>
      <c r="R658" s="379"/>
      <c r="S658" s="379"/>
      <c r="T658" s="379"/>
      <c r="U658" s="379"/>
      <c r="W658" s="379"/>
    </row>
    <row r="659" customFormat="false" ht="14.25" hidden="false" customHeight="false" outlineLevel="0" collapsed="false">
      <c r="A659" s="379"/>
      <c r="B659" s="379"/>
      <c r="C659" s="379"/>
      <c r="D659" s="379"/>
      <c r="E659" s="379"/>
      <c r="F659" s="379"/>
      <c r="G659" s="379"/>
      <c r="H659" s="379"/>
      <c r="I659" s="379"/>
      <c r="J659" s="379"/>
      <c r="K659" s="379"/>
      <c r="L659" s="379"/>
      <c r="M659" s="379"/>
      <c r="N659" s="379"/>
      <c r="O659" s="379"/>
      <c r="P659" s="379"/>
      <c r="Q659" s="379"/>
      <c r="R659" s="379"/>
      <c r="S659" s="379"/>
      <c r="T659" s="379"/>
      <c r="U659" s="379"/>
      <c r="W659" s="379"/>
    </row>
    <row r="660" customFormat="false" ht="14.25" hidden="false" customHeight="false" outlineLevel="0" collapsed="false">
      <c r="A660" s="379"/>
      <c r="B660" s="379"/>
      <c r="C660" s="379"/>
      <c r="D660" s="379"/>
      <c r="E660" s="379"/>
      <c r="F660" s="379"/>
      <c r="G660" s="379"/>
      <c r="H660" s="379"/>
      <c r="I660" s="379"/>
      <c r="J660" s="379"/>
      <c r="K660" s="379"/>
      <c r="L660" s="379"/>
      <c r="M660" s="379"/>
      <c r="N660" s="379"/>
      <c r="O660" s="379"/>
      <c r="P660" s="379"/>
      <c r="Q660" s="379"/>
      <c r="R660" s="379"/>
      <c r="S660" s="379"/>
      <c r="T660" s="379"/>
      <c r="U660" s="379"/>
      <c r="W660" s="379"/>
    </row>
    <row r="661" customFormat="false" ht="14.25" hidden="false" customHeight="false" outlineLevel="0" collapsed="false">
      <c r="A661" s="379"/>
      <c r="B661" s="379"/>
      <c r="C661" s="379"/>
      <c r="D661" s="379"/>
      <c r="E661" s="379"/>
      <c r="F661" s="379"/>
      <c r="G661" s="379"/>
      <c r="H661" s="379"/>
      <c r="I661" s="379"/>
      <c r="J661" s="379"/>
      <c r="K661" s="379"/>
      <c r="L661" s="379"/>
      <c r="M661" s="379"/>
      <c r="N661" s="379"/>
      <c r="O661" s="379"/>
      <c r="P661" s="379"/>
      <c r="Q661" s="379"/>
      <c r="R661" s="379"/>
      <c r="S661" s="379"/>
      <c r="T661" s="379"/>
      <c r="U661" s="379"/>
      <c r="W661" s="379"/>
    </row>
    <row r="662" customFormat="false" ht="14.25" hidden="false" customHeight="false" outlineLevel="0" collapsed="false">
      <c r="A662" s="379"/>
      <c r="B662" s="379"/>
      <c r="C662" s="379"/>
      <c r="D662" s="379"/>
      <c r="E662" s="379"/>
      <c r="F662" s="379"/>
      <c r="G662" s="379"/>
      <c r="H662" s="379"/>
      <c r="I662" s="379"/>
      <c r="J662" s="379"/>
      <c r="K662" s="379"/>
      <c r="L662" s="379"/>
      <c r="M662" s="379"/>
      <c r="N662" s="379"/>
      <c r="O662" s="379"/>
      <c r="P662" s="379"/>
      <c r="Q662" s="379"/>
      <c r="R662" s="379"/>
      <c r="S662" s="379"/>
      <c r="T662" s="379"/>
      <c r="U662" s="379"/>
      <c r="W662" s="379"/>
    </row>
    <row r="663" customFormat="false" ht="14.25" hidden="false" customHeight="false" outlineLevel="0" collapsed="false">
      <c r="A663" s="379"/>
      <c r="B663" s="379"/>
      <c r="C663" s="379"/>
      <c r="D663" s="379"/>
      <c r="E663" s="379"/>
      <c r="F663" s="379"/>
      <c r="G663" s="379"/>
      <c r="H663" s="379"/>
      <c r="I663" s="379"/>
      <c r="J663" s="379"/>
      <c r="K663" s="379"/>
      <c r="L663" s="379"/>
      <c r="M663" s="379"/>
      <c r="N663" s="379"/>
      <c r="O663" s="379"/>
      <c r="P663" s="379"/>
      <c r="Q663" s="379"/>
      <c r="R663" s="379"/>
      <c r="S663" s="379"/>
      <c r="T663" s="379"/>
      <c r="U663" s="379"/>
      <c r="W663" s="379"/>
    </row>
    <row r="664" customFormat="false" ht="14.25" hidden="false" customHeight="false" outlineLevel="0" collapsed="false">
      <c r="A664" s="379"/>
      <c r="B664" s="379"/>
      <c r="C664" s="379"/>
      <c r="D664" s="379"/>
      <c r="E664" s="379"/>
      <c r="F664" s="379"/>
      <c r="G664" s="379"/>
      <c r="H664" s="379"/>
      <c r="I664" s="379"/>
      <c r="J664" s="379"/>
      <c r="K664" s="379"/>
      <c r="L664" s="379"/>
      <c r="M664" s="379"/>
      <c r="N664" s="379"/>
      <c r="O664" s="379"/>
      <c r="P664" s="379"/>
      <c r="Q664" s="379"/>
      <c r="R664" s="379"/>
      <c r="S664" s="379"/>
      <c r="T664" s="379"/>
      <c r="U664" s="379"/>
      <c r="W664" s="379"/>
    </row>
    <row r="665" customFormat="false" ht="14.25" hidden="false" customHeight="false" outlineLevel="0" collapsed="false">
      <c r="A665" s="379"/>
      <c r="B665" s="379"/>
      <c r="C665" s="379"/>
      <c r="D665" s="379"/>
      <c r="E665" s="379"/>
      <c r="F665" s="379"/>
      <c r="G665" s="379"/>
      <c r="H665" s="379"/>
      <c r="I665" s="379"/>
      <c r="J665" s="379"/>
      <c r="K665" s="379"/>
      <c r="L665" s="379"/>
      <c r="M665" s="379"/>
      <c r="N665" s="379"/>
      <c r="O665" s="379"/>
      <c r="P665" s="379"/>
      <c r="Q665" s="379"/>
      <c r="R665" s="379"/>
      <c r="S665" s="379"/>
      <c r="T665" s="379"/>
      <c r="U665" s="379"/>
      <c r="W665" s="379"/>
    </row>
    <row r="666" customFormat="false" ht="14.25" hidden="false" customHeight="false" outlineLevel="0" collapsed="false">
      <c r="A666" s="379"/>
      <c r="B666" s="379"/>
      <c r="C666" s="379"/>
      <c r="D666" s="379"/>
      <c r="E666" s="379"/>
      <c r="F666" s="379"/>
      <c r="G666" s="379"/>
      <c r="H666" s="379"/>
      <c r="I666" s="379"/>
      <c r="J666" s="379"/>
      <c r="K666" s="379"/>
      <c r="L666" s="379"/>
      <c r="M666" s="379"/>
      <c r="N666" s="379"/>
      <c r="O666" s="379"/>
      <c r="P666" s="379"/>
      <c r="Q666" s="379"/>
      <c r="R666" s="379"/>
      <c r="S666" s="379"/>
      <c r="T666" s="379"/>
      <c r="U666" s="379"/>
      <c r="W666" s="379"/>
    </row>
    <row r="667" customFormat="false" ht="14.25" hidden="false" customHeight="false" outlineLevel="0" collapsed="false">
      <c r="A667" s="379"/>
      <c r="B667" s="379"/>
      <c r="C667" s="379"/>
      <c r="D667" s="379"/>
      <c r="E667" s="379"/>
      <c r="F667" s="379"/>
      <c r="G667" s="379"/>
      <c r="H667" s="379"/>
      <c r="I667" s="379"/>
      <c r="J667" s="379"/>
      <c r="K667" s="379"/>
      <c r="L667" s="379"/>
      <c r="M667" s="379"/>
      <c r="N667" s="379"/>
      <c r="O667" s="379"/>
      <c r="P667" s="379"/>
      <c r="Q667" s="379"/>
      <c r="R667" s="379"/>
      <c r="S667" s="379"/>
      <c r="T667" s="379"/>
      <c r="U667" s="379"/>
      <c r="W667" s="379"/>
    </row>
    <row r="668" customFormat="false" ht="14.25" hidden="false" customHeight="false" outlineLevel="0" collapsed="false">
      <c r="A668" s="379"/>
      <c r="B668" s="379"/>
      <c r="C668" s="379"/>
      <c r="D668" s="379"/>
      <c r="E668" s="379"/>
      <c r="F668" s="379"/>
      <c r="G668" s="379"/>
      <c r="H668" s="379"/>
      <c r="I668" s="379"/>
      <c r="J668" s="379"/>
      <c r="K668" s="379"/>
      <c r="L668" s="379"/>
      <c r="M668" s="379"/>
      <c r="N668" s="379"/>
      <c r="O668" s="379"/>
      <c r="P668" s="379"/>
      <c r="Q668" s="379"/>
      <c r="R668" s="379"/>
      <c r="S668" s="379"/>
      <c r="T668" s="379"/>
      <c r="U668" s="379"/>
      <c r="W668" s="379"/>
    </row>
    <row r="669" customFormat="false" ht="14.25" hidden="false" customHeight="false" outlineLevel="0" collapsed="false">
      <c r="A669" s="379"/>
      <c r="B669" s="379"/>
      <c r="C669" s="379"/>
      <c r="D669" s="379"/>
      <c r="E669" s="379"/>
      <c r="F669" s="379"/>
      <c r="G669" s="379"/>
      <c r="H669" s="379"/>
      <c r="I669" s="379"/>
      <c r="J669" s="379"/>
      <c r="K669" s="379"/>
      <c r="L669" s="379"/>
      <c r="M669" s="379"/>
      <c r="N669" s="379"/>
      <c r="O669" s="379"/>
      <c r="P669" s="379"/>
      <c r="Q669" s="379"/>
      <c r="R669" s="379"/>
      <c r="S669" s="379"/>
      <c r="T669" s="379"/>
      <c r="U669" s="379"/>
      <c r="W669" s="379"/>
    </row>
    <row r="670" customFormat="false" ht="14.25" hidden="false" customHeight="false" outlineLevel="0" collapsed="false">
      <c r="A670" s="379"/>
      <c r="B670" s="379"/>
      <c r="C670" s="379"/>
      <c r="D670" s="379"/>
      <c r="E670" s="379"/>
      <c r="F670" s="379"/>
      <c r="G670" s="379"/>
      <c r="H670" s="379"/>
      <c r="I670" s="379"/>
      <c r="J670" s="379"/>
      <c r="K670" s="379"/>
      <c r="L670" s="379"/>
      <c r="M670" s="379"/>
      <c r="N670" s="379"/>
      <c r="O670" s="379"/>
      <c r="P670" s="379"/>
      <c r="Q670" s="379"/>
      <c r="R670" s="379"/>
      <c r="S670" s="379"/>
      <c r="T670" s="379"/>
      <c r="U670" s="379"/>
      <c r="W670" s="379"/>
    </row>
    <row r="671" customFormat="false" ht="14.25" hidden="false" customHeight="false" outlineLevel="0" collapsed="false">
      <c r="A671" s="379"/>
      <c r="B671" s="379"/>
      <c r="C671" s="379"/>
      <c r="D671" s="379"/>
      <c r="E671" s="379"/>
      <c r="F671" s="379"/>
      <c r="G671" s="379"/>
      <c r="H671" s="379"/>
      <c r="I671" s="379"/>
      <c r="J671" s="379"/>
      <c r="K671" s="379"/>
      <c r="L671" s="379"/>
      <c r="M671" s="379"/>
      <c r="N671" s="379"/>
      <c r="O671" s="379"/>
      <c r="P671" s="379"/>
      <c r="Q671" s="379"/>
      <c r="R671" s="379"/>
      <c r="S671" s="379"/>
      <c r="T671" s="379"/>
      <c r="U671" s="379"/>
      <c r="W671" s="379"/>
    </row>
    <row r="672" customFormat="false" ht="14.25" hidden="false" customHeight="false" outlineLevel="0" collapsed="false">
      <c r="A672" s="379"/>
      <c r="B672" s="379"/>
      <c r="C672" s="379"/>
      <c r="D672" s="379"/>
      <c r="E672" s="379"/>
      <c r="F672" s="379"/>
      <c r="G672" s="379"/>
      <c r="H672" s="379"/>
      <c r="I672" s="379"/>
      <c r="J672" s="379"/>
      <c r="K672" s="379"/>
      <c r="L672" s="379"/>
      <c r="M672" s="379"/>
      <c r="N672" s="379"/>
      <c r="O672" s="379"/>
      <c r="P672" s="379"/>
      <c r="Q672" s="379"/>
      <c r="R672" s="379"/>
      <c r="S672" s="379"/>
      <c r="T672" s="379"/>
      <c r="U672" s="379"/>
      <c r="W672" s="379"/>
    </row>
    <row r="673" customFormat="false" ht="14.25" hidden="false" customHeight="false" outlineLevel="0" collapsed="false">
      <c r="A673" s="379"/>
      <c r="B673" s="379"/>
      <c r="C673" s="379"/>
      <c r="D673" s="379"/>
      <c r="E673" s="379"/>
      <c r="F673" s="379"/>
      <c r="G673" s="379"/>
      <c r="H673" s="379"/>
      <c r="I673" s="379"/>
      <c r="J673" s="379"/>
      <c r="K673" s="379"/>
      <c r="L673" s="379"/>
      <c r="M673" s="379"/>
      <c r="N673" s="379"/>
      <c r="O673" s="379"/>
      <c r="P673" s="379"/>
      <c r="Q673" s="379"/>
      <c r="R673" s="379"/>
      <c r="S673" s="379"/>
      <c r="T673" s="379"/>
      <c r="U673" s="379"/>
      <c r="W673" s="379"/>
    </row>
    <row r="674" customFormat="false" ht="14.25" hidden="false" customHeight="false" outlineLevel="0" collapsed="false">
      <c r="A674" s="379"/>
      <c r="B674" s="379"/>
      <c r="C674" s="379"/>
      <c r="D674" s="379"/>
      <c r="E674" s="379"/>
      <c r="F674" s="379"/>
      <c r="G674" s="379"/>
      <c r="H674" s="379"/>
      <c r="I674" s="379"/>
      <c r="J674" s="379"/>
      <c r="K674" s="379"/>
      <c r="L674" s="379"/>
      <c r="M674" s="379"/>
      <c r="N674" s="379"/>
      <c r="O674" s="379"/>
      <c r="P674" s="379"/>
      <c r="Q674" s="379"/>
      <c r="R674" s="379"/>
      <c r="S674" s="379"/>
      <c r="T674" s="379"/>
      <c r="U674" s="379"/>
      <c r="W674" s="379"/>
    </row>
    <row r="675" customFormat="false" ht="14.25" hidden="false" customHeight="false" outlineLevel="0" collapsed="false">
      <c r="A675" s="379"/>
      <c r="B675" s="379"/>
      <c r="C675" s="379"/>
      <c r="D675" s="379"/>
      <c r="E675" s="379"/>
      <c r="F675" s="379"/>
      <c r="G675" s="379"/>
      <c r="H675" s="379"/>
      <c r="I675" s="379"/>
      <c r="J675" s="379"/>
      <c r="K675" s="379"/>
      <c r="L675" s="379"/>
      <c r="M675" s="379"/>
      <c r="N675" s="379"/>
      <c r="O675" s="379"/>
      <c r="P675" s="379"/>
      <c r="Q675" s="379"/>
      <c r="R675" s="379"/>
      <c r="S675" s="379"/>
      <c r="T675" s="379"/>
      <c r="U675" s="379"/>
      <c r="W675" s="379"/>
    </row>
    <row r="676" customFormat="false" ht="14.25" hidden="false" customHeight="false" outlineLevel="0" collapsed="false">
      <c r="A676" s="379"/>
      <c r="B676" s="379"/>
      <c r="C676" s="379"/>
      <c r="D676" s="379"/>
      <c r="E676" s="379"/>
      <c r="F676" s="379"/>
      <c r="G676" s="379"/>
      <c r="H676" s="379"/>
      <c r="I676" s="379"/>
      <c r="J676" s="379"/>
      <c r="K676" s="379"/>
      <c r="L676" s="379"/>
      <c r="M676" s="379"/>
      <c r="N676" s="379"/>
      <c r="O676" s="379"/>
      <c r="P676" s="379"/>
      <c r="Q676" s="379"/>
      <c r="R676" s="379"/>
      <c r="S676" s="379"/>
      <c r="T676" s="379"/>
      <c r="U676" s="379"/>
      <c r="W676" s="379"/>
    </row>
    <row r="677" customFormat="false" ht="14.25" hidden="false" customHeight="false" outlineLevel="0" collapsed="false">
      <c r="A677" s="379"/>
      <c r="B677" s="379"/>
      <c r="C677" s="379"/>
      <c r="D677" s="379"/>
      <c r="E677" s="379"/>
      <c r="F677" s="379"/>
      <c r="G677" s="379"/>
      <c r="H677" s="379"/>
      <c r="I677" s="379"/>
      <c r="J677" s="379"/>
      <c r="K677" s="379"/>
      <c r="L677" s="379"/>
      <c r="M677" s="379"/>
      <c r="N677" s="379"/>
      <c r="O677" s="379"/>
      <c r="P677" s="379"/>
      <c r="Q677" s="379"/>
      <c r="R677" s="379"/>
      <c r="S677" s="379"/>
      <c r="T677" s="379"/>
      <c r="U677" s="379"/>
      <c r="W677" s="379"/>
    </row>
    <row r="678" customFormat="false" ht="14.25" hidden="false" customHeight="false" outlineLevel="0" collapsed="false">
      <c r="A678" s="379"/>
      <c r="B678" s="379"/>
      <c r="C678" s="379"/>
      <c r="D678" s="379"/>
      <c r="E678" s="379"/>
      <c r="F678" s="379"/>
      <c r="G678" s="379"/>
      <c r="H678" s="379"/>
      <c r="I678" s="379"/>
      <c r="J678" s="379"/>
      <c r="K678" s="379"/>
      <c r="L678" s="379"/>
      <c r="M678" s="379"/>
      <c r="N678" s="379"/>
      <c r="O678" s="379"/>
      <c r="P678" s="379"/>
      <c r="Q678" s="379"/>
      <c r="R678" s="379"/>
      <c r="S678" s="379"/>
      <c r="T678" s="379"/>
      <c r="U678" s="379"/>
      <c r="W678" s="379"/>
    </row>
    <row r="679" customFormat="false" ht="14.25" hidden="false" customHeight="false" outlineLevel="0" collapsed="false">
      <c r="A679" s="379"/>
      <c r="B679" s="379"/>
      <c r="C679" s="379"/>
      <c r="D679" s="379"/>
      <c r="E679" s="379"/>
      <c r="F679" s="379"/>
      <c r="G679" s="379"/>
      <c r="H679" s="379"/>
      <c r="I679" s="379"/>
      <c r="J679" s="379"/>
      <c r="K679" s="379"/>
      <c r="L679" s="379"/>
      <c r="M679" s="379"/>
      <c r="N679" s="379"/>
      <c r="O679" s="379"/>
      <c r="P679" s="379"/>
      <c r="Q679" s="379"/>
      <c r="R679" s="379"/>
      <c r="S679" s="379"/>
      <c r="T679" s="379"/>
      <c r="U679" s="379"/>
      <c r="W679" s="379"/>
    </row>
    <row r="680" customFormat="false" ht="14.25" hidden="false" customHeight="false" outlineLevel="0" collapsed="false">
      <c r="A680" s="379"/>
      <c r="B680" s="379"/>
      <c r="C680" s="379"/>
      <c r="D680" s="379"/>
      <c r="E680" s="379"/>
      <c r="F680" s="379"/>
      <c r="G680" s="379"/>
      <c r="H680" s="379"/>
      <c r="I680" s="379"/>
      <c r="J680" s="379"/>
      <c r="K680" s="379"/>
      <c r="L680" s="379"/>
      <c r="M680" s="379"/>
      <c r="N680" s="379"/>
      <c r="O680" s="379"/>
      <c r="P680" s="379"/>
      <c r="Q680" s="379"/>
      <c r="R680" s="379"/>
      <c r="S680" s="379"/>
      <c r="T680" s="379"/>
      <c r="U680" s="379"/>
      <c r="W680" s="379"/>
    </row>
    <row r="681" customFormat="false" ht="14.25" hidden="false" customHeight="false" outlineLevel="0" collapsed="false">
      <c r="A681" s="379"/>
      <c r="B681" s="379"/>
      <c r="C681" s="379"/>
      <c r="D681" s="379"/>
      <c r="E681" s="379"/>
      <c r="F681" s="379"/>
      <c r="G681" s="379"/>
      <c r="H681" s="379"/>
      <c r="I681" s="379"/>
      <c r="J681" s="379"/>
      <c r="K681" s="379"/>
      <c r="L681" s="379"/>
      <c r="M681" s="379"/>
      <c r="N681" s="379"/>
      <c r="O681" s="379"/>
      <c r="P681" s="379"/>
      <c r="Q681" s="379"/>
      <c r="R681" s="379"/>
      <c r="S681" s="379"/>
      <c r="T681" s="379"/>
      <c r="U681" s="379"/>
      <c r="W681" s="379"/>
    </row>
    <row r="682" customFormat="false" ht="14.25" hidden="false" customHeight="false" outlineLevel="0" collapsed="false">
      <c r="A682" s="379"/>
      <c r="B682" s="379"/>
      <c r="C682" s="379"/>
      <c r="D682" s="379"/>
      <c r="E682" s="379"/>
      <c r="F682" s="379"/>
      <c r="G682" s="379"/>
      <c r="H682" s="379"/>
      <c r="I682" s="379"/>
      <c r="J682" s="379"/>
      <c r="K682" s="379"/>
      <c r="L682" s="379"/>
      <c r="M682" s="379"/>
      <c r="N682" s="379"/>
      <c r="O682" s="379"/>
      <c r="P682" s="379"/>
      <c r="Q682" s="379"/>
      <c r="R682" s="379"/>
      <c r="S682" s="379"/>
      <c r="T682" s="379"/>
      <c r="U682" s="379"/>
      <c r="W682" s="379"/>
    </row>
    <row r="683" customFormat="false" ht="14.25" hidden="false" customHeight="false" outlineLevel="0" collapsed="false">
      <c r="A683" s="379"/>
      <c r="B683" s="379"/>
      <c r="C683" s="379"/>
      <c r="D683" s="379"/>
      <c r="E683" s="379"/>
      <c r="F683" s="379"/>
      <c r="G683" s="379"/>
      <c r="H683" s="379"/>
      <c r="I683" s="379"/>
      <c r="J683" s="379"/>
      <c r="K683" s="379"/>
      <c r="L683" s="379"/>
      <c r="M683" s="379"/>
      <c r="N683" s="379"/>
      <c r="O683" s="379"/>
      <c r="P683" s="379"/>
      <c r="Q683" s="379"/>
      <c r="R683" s="379"/>
      <c r="S683" s="379"/>
      <c r="T683" s="379"/>
      <c r="U683" s="379"/>
      <c r="W683" s="379"/>
    </row>
    <row r="684" customFormat="false" ht="14.25" hidden="false" customHeight="false" outlineLevel="0" collapsed="false">
      <c r="A684" s="379"/>
      <c r="B684" s="379"/>
      <c r="C684" s="379"/>
      <c r="D684" s="379"/>
      <c r="E684" s="379"/>
      <c r="F684" s="379"/>
      <c r="G684" s="379"/>
      <c r="H684" s="379"/>
      <c r="I684" s="379"/>
      <c r="J684" s="379"/>
      <c r="K684" s="379"/>
      <c r="L684" s="379"/>
      <c r="M684" s="379"/>
      <c r="N684" s="379"/>
      <c r="O684" s="379"/>
      <c r="P684" s="379"/>
      <c r="Q684" s="379"/>
      <c r="R684" s="379"/>
      <c r="S684" s="379"/>
      <c r="T684" s="379"/>
      <c r="U684" s="379"/>
      <c r="W684" s="379"/>
    </row>
  </sheetData>
  <mergeCells count="1">
    <mergeCell ref="B111:E111"/>
  </mergeCells>
  <conditionalFormatting sqref="S69">
    <cfRule type="cellIs" priority="2" operator="lessThan" aboveAverage="0" equalAverage="0" bottom="0" percent="0" rank="0" text="" dxfId="487">
      <formula>MAX(S63:S64)</formula>
    </cfRule>
  </conditionalFormatting>
  <conditionalFormatting sqref="T69">
    <cfRule type="cellIs" priority="3" operator="lessThan" aboveAverage="0" equalAverage="0" bottom="0" percent="0" rank="0" text="" dxfId="488">
      <formula>MAX(T63:T64)</formula>
    </cfRule>
  </conditionalFormatting>
  <conditionalFormatting sqref="T80">
    <cfRule type="expression" priority="4" aboveAverage="0" equalAverage="0" bottom="0" percent="0" rank="0" text="" dxfId="489">
      <formula>T81&gt;T83</formula>
    </cfRule>
  </conditionalFormatting>
  <conditionalFormatting sqref="T75">
    <cfRule type="cellIs" priority="5" operator="lessThan" aboveAverage="0" equalAverage="0" bottom="0" percent="0" rank="0" text="" dxfId="490">
      <formula>T66</formula>
    </cfRule>
  </conditionalFormatting>
  <conditionalFormatting sqref="T74">
    <cfRule type="cellIs" priority="6" operator="lessThan" aboveAverage="0" equalAverage="0" bottom="0" percent="0" rank="0" text="" dxfId="491">
      <formula>T66</formula>
    </cfRule>
  </conditionalFormatting>
  <conditionalFormatting sqref="T71">
    <cfRule type="cellIs" priority="7" operator="lessThan" aboveAverage="0" equalAverage="0" bottom="0" percent="0" rank="0" text="" dxfId="492">
      <formula>MAX(T64:T65)</formula>
    </cfRule>
  </conditionalFormatting>
  <conditionalFormatting sqref="R69">
    <cfRule type="cellIs" priority="8" operator="lessThan" aboveAverage="0" equalAverage="0" bottom="0" percent="0" rank="0" text="" dxfId="493">
      <formula>MAX(R63:R64)</formula>
    </cfRule>
  </conditionalFormatting>
  <conditionalFormatting sqref="G69">
    <cfRule type="cellIs" priority="9" operator="lessThan" aboveAverage="0" equalAverage="0" bottom="0" percent="0" rank="0" text="" dxfId="494">
      <formula>MAX(G63:G64)</formula>
    </cfRule>
  </conditionalFormatting>
  <conditionalFormatting sqref="Q69">
    <cfRule type="cellIs" priority="10" operator="lessThan" aboveAverage="0" equalAverage="0" bottom="0" percent="0" rank="0" text="" dxfId="495">
      <formula>MAX(Q63:Q64)</formula>
    </cfRule>
  </conditionalFormatting>
  <conditionalFormatting sqref="H69">
    <cfRule type="cellIs" priority="11" operator="lessThan" aboveAverage="0" equalAverage="0" bottom="0" percent="0" rank="0" text="" dxfId="496">
      <formula>MAX(H63:H64)</formula>
    </cfRule>
  </conditionalFormatting>
  <conditionalFormatting sqref="F69">
    <cfRule type="cellIs" priority="12" operator="lessThan" aboveAverage="0" equalAverage="0" bottom="0" percent="0" rank="0" text="" dxfId="497">
      <formula>MAX(F63:F64)</formula>
    </cfRule>
  </conditionalFormatting>
  <conditionalFormatting sqref="K69">
    <cfRule type="cellIs" priority="13" operator="lessThan" aboveAverage="0" equalAverage="0" bottom="0" percent="0" rank="0" text="" dxfId="498">
      <formula>MAX(K63:K64)</formula>
    </cfRule>
  </conditionalFormatting>
  <conditionalFormatting sqref="E69 L69:P69 I69:J69">
    <cfRule type="cellIs" priority="14" operator="lessThan" aboveAverage="0" equalAverage="0" bottom="0" percent="0" rank="0" text="" dxfId="499">
      <formula>MAX(E63:E64)</formula>
    </cfRule>
  </conditionalFormatting>
  <conditionalFormatting sqref="S80">
    <cfRule type="expression" priority="15" aboveAverage="0" equalAverage="0" bottom="0" percent="0" rank="0" text="" dxfId="500">
      <formula>S81&gt;S83</formula>
    </cfRule>
  </conditionalFormatting>
  <conditionalFormatting sqref="C80">
    <cfRule type="expression" priority="16" aboveAverage="0" equalAverage="0" bottom="0" percent="0" rank="0" text="" dxfId="501">
      <formula>C81&gt;C83</formula>
    </cfRule>
  </conditionalFormatting>
  <conditionalFormatting sqref="R80">
    <cfRule type="expression" priority="17" aboveAverage="0" equalAverage="0" bottom="0" percent="0" rank="0" text="" dxfId="502">
      <formula>R81&gt;R83</formula>
    </cfRule>
  </conditionalFormatting>
  <conditionalFormatting sqref="G80">
    <cfRule type="expression" priority="18" aboveAverage="0" equalAverage="0" bottom="0" percent="0" rank="0" text="" dxfId="503">
      <formula>G81&gt;G83</formula>
    </cfRule>
  </conditionalFormatting>
  <conditionalFormatting sqref="Q80">
    <cfRule type="expression" priority="19" aboveAverage="0" equalAverage="0" bottom="0" percent="0" rank="0" text="" dxfId="504">
      <formula>Q81&gt;Q83</formula>
    </cfRule>
  </conditionalFormatting>
  <conditionalFormatting sqref="H80">
    <cfRule type="expression" priority="20" aboveAverage="0" equalAverage="0" bottom="0" percent="0" rank="0" text="" dxfId="505">
      <formula>H81&gt;H83</formula>
    </cfRule>
  </conditionalFormatting>
  <conditionalFormatting sqref="F80">
    <cfRule type="expression" priority="21" aboveAverage="0" equalAverage="0" bottom="0" percent="0" rank="0" text="" dxfId="506">
      <formula>F81&gt;F83</formula>
    </cfRule>
  </conditionalFormatting>
  <conditionalFormatting sqref="K80">
    <cfRule type="expression" priority="22" aboveAverage="0" equalAverage="0" bottom="0" percent="0" rank="0" text="" dxfId="507">
      <formula>K81&gt;K83</formula>
    </cfRule>
  </conditionalFormatting>
  <conditionalFormatting sqref="B80">
    <cfRule type="expression" priority="23" aboveAverage="0" equalAverage="0" bottom="0" percent="0" rank="0" text="" dxfId="508">
      <formula>B81&gt;B83</formula>
    </cfRule>
  </conditionalFormatting>
  <conditionalFormatting sqref="D80:E80 L80:P80 I80:J80">
    <cfRule type="expression" priority="24" aboveAverage="0" equalAverage="0" bottom="0" percent="0" rank="0" text="" dxfId="509">
      <formula>D81&gt;D83</formula>
    </cfRule>
  </conditionalFormatting>
  <conditionalFormatting sqref="AQ80">
    <cfRule type="expression" priority="25" aboveAverage="0" equalAverage="0" bottom="0" percent="0" rank="0" text="" dxfId="510">
      <formula>AQ81&gt;AQ83</formula>
    </cfRule>
  </conditionalFormatting>
  <conditionalFormatting sqref="AQ80">
    <cfRule type="expression" priority="26" aboveAverage="0" equalAverage="0" bottom="0" percent="0" rank="0" text="" dxfId="511">
      <formula>AQ81&gt;AQ83</formula>
    </cfRule>
  </conditionalFormatting>
  <conditionalFormatting sqref="AP80">
    <cfRule type="expression" priority="27" aboveAverage="0" equalAverage="0" bottom="0" percent="0" rank="0" text="" dxfId="512">
      <formula>AP81&gt;AP83</formula>
    </cfRule>
  </conditionalFormatting>
  <conditionalFormatting sqref="AO80">
    <cfRule type="expression" priority="28" aboveAverage="0" equalAverage="0" bottom="0" percent="0" rank="0" text="" dxfId="513">
      <formula>AO81&gt;AO83</formula>
    </cfRule>
  </conditionalFormatting>
  <conditionalFormatting sqref="W80">
    <cfRule type="expression" priority="29" aboveAverage="0" equalAverage="0" bottom="0" percent="0" rank="0" text="" dxfId="514">
      <formula>W81&gt;W83</formula>
    </cfRule>
  </conditionalFormatting>
  <conditionalFormatting sqref="Z80:AN80">
    <cfRule type="expression" priority="30" aboveAverage="0" equalAverage="0" bottom="0" percent="0" rank="0" text="" dxfId="515">
      <formula>Z81&gt;Z83</formula>
    </cfRule>
  </conditionalFormatting>
  <conditionalFormatting sqref="U80:V80 X80">
    <cfRule type="expression" priority="31" aboveAverage="0" equalAverage="0" bottom="0" percent="0" rank="0" text="" dxfId="516">
      <formula>U81&gt;U83</formula>
    </cfRule>
  </conditionalFormatting>
  <conditionalFormatting sqref="Y80">
    <cfRule type="expression" priority="32" aboveAverage="0" equalAverage="0" bottom="0" percent="0" rank="0" text="" dxfId="517">
      <formula>Y81&gt;Y83</formula>
    </cfRule>
  </conditionalFormatting>
  <conditionalFormatting sqref="S75">
    <cfRule type="cellIs" priority="33" operator="lessThan" aboveAverage="0" equalAverage="0" bottom="0" percent="0" rank="0" text="" dxfId="518">
      <formula>S66</formula>
    </cfRule>
  </conditionalFormatting>
  <conditionalFormatting sqref="C75">
    <cfRule type="cellIs" priority="34" operator="lessThan" aboveAverage="0" equalAverage="0" bottom="0" percent="0" rank="0" text="" dxfId="519">
      <formula>C66</formula>
    </cfRule>
  </conditionalFormatting>
  <conditionalFormatting sqref="R75">
    <cfRule type="cellIs" priority="35" operator="lessThan" aboveAverage="0" equalAverage="0" bottom="0" percent="0" rank="0" text="" dxfId="520">
      <formula>R66</formula>
    </cfRule>
  </conditionalFormatting>
  <conditionalFormatting sqref="G75">
    <cfRule type="cellIs" priority="36" operator="lessThan" aboveAverage="0" equalAverage="0" bottom="0" percent="0" rank="0" text="" dxfId="521">
      <formula>G66</formula>
    </cfRule>
  </conditionalFormatting>
  <conditionalFormatting sqref="Q75">
    <cfRule type="cellIs" priority="37" operator="lessThan" aboveAverage="0" equalAverage="0" bottom="0" percent="0" rank="0" text="" dxfId="522">
      <formula>Q66</formula>
    </cfRule>
  </conditionalFormatting>
  <conditionalFormatting sqref="H75">
    <cfRule type="cellIs" priority="38" operator="lessThan" aboveAverage="0" equalAverage="0" bottom="0" percent="0" rank="0" text="" dxfId="523">
      <formula>H66</formula>
    </cfRule>
  </conditionalFormatting>
  <conditionalFormatting sqref="F75">
    <cfRule type="cellIs" priority="39" operator="lessThan" aboveAverage="0" equalAverage="0" bottom="0" percent="0" rank="0" text="" dxfId="524">
      <formula>F66</formula>
    </cfRule>
  </conditionalFormatting>
  <conditionalFormatting sqref="K75">
    <cfRule type="cellIs" priority="40" operator="lessThan" aboveAverage="0" equalAverage="0" bottom="0" percent="0" rank="0" text="" dxfId="525">
      <formula>K66</formula>
    </cfRule>
  </conditionalFormatting>
  <conditionalFormatting sqref="B75">
    <cfRule type="cellIs" priority="41" operator="lessThan" aboveAverage="0" equalAverage="0" bottom="0" percent="0" rank="0" text="" dxfId="526">
      <formula>B66</formula>
    </cfRule>
  </conditionalFormatting>
  <conditionalFormatting sqref="D75:E75 L75:P75 I75:J75">
    <cfRule type="cellIs" priority="42" operator="lessThan" aboveAverage="0" equalAverage="0" bottom="0" percent="0" rank="0" text="" dxfId="527">
      <formula>D66</formula>
    </cfRule>
  </conditionalFormatting>
  <conditionalFormatting sqref="AQ75">
    <cfRule type="cellIs" priority="43" operator="lessThan" aboveAverage="0" equalAverage="0" bottom="0" percent="0" rank="0" text="" dxfId="528">
      <formula>AQ66</formula>
    </cfRule>
  </conditionalFormatting>
  <conditionalFormatting sqref="AP75">
    <cfRule type="cellIs" priority="44" operator="lessThan" aboveAverage="0" equalAverage="0" bottom="0" percent="0" rank="0" text="" dxfId="529">
      <formula>AP66</formula>
    </cfRule>
  </conditionalFormatting>
  <conditionalFormatting sqref="AO75">
    <cfRule type="cellIs" priority="45" operator="lessThan" aboveAverage="0" equalAverage="0" bottom="0" percent="0" rank="0" text="" dxfId="530">
      <formula>AO66</formula>
    </cfRule>
  </conditionalFormatting>
  <conditionalFormatting sqref="W75">
    <cfRule type="cellIs" priority="46" operator="lessThan" aboveAverage="0" equalAverage="0" bottom="0" percent="0" rank="0" text="" dxfId="531">
      <formula>W66</formula>
    </cfRule>
  </conditionalFormatting>
  <conditionalFormatting sqref="Z75:AN75">
    <cfRule type="cellIs" priority="47" operator="lessThan" aboveAverage="0" equalAverage="0" bottom="0" percent="0" rank="0" text="" dxfId="532">
      <formula>Z66</formula>
    </cfRule>
  </conditionalFormatting>
  <conditionalFormatting sqref="U75:V75 X75">
    <cfRule type="cellIs" priority="48" operator="lessThan" aboveAverage="0" equalAverage="0" bottom="0" percent="0" rank="0" text="" dxfId="533">
      <formula>U66</formula>
    </cfRule>
  </conditionalFormatting>
  <conditionalFormatting sqref="Y75">
    <cfRule type="cellIs" priority="49" operator="lessThan" aboveAverage="0" equalAverage="0" bottom="0" percent="0" rank="0" text="" dxfId="534">
      <formula>Y66</formula>
    </cfRule>
  </conditionalFormatting>
  <conditionalFormatting sqref="S74">
    <cfRule type="cellIs" priority="50" operator="lessThan" aboveAverage="0" equalAverage="0" bottom="0" percent="0" rank="0" text="" dxfId="535">
      <formula>S66</formula>
    </cfRule>
  </conditionalFormatting>
  <conditionalFormatting sqref="C74">
    <cfRule type="cellIs" priority="51" operator="lessThan" aboveAverage="0" equalAverage="0" bottom="0" percent="0" rank="0" text="" dxfId="536">
      <formula>C66</formula>
    </cfRule>
  </conditionalFormatting>
  <conditionalFormatting sqref="R74">
    <cfRule type="cellIs" priority="52" operator="lessThan" aboveAverage="0" equalAverage="0" bottom="0" percent="0" rank="0" text="" dxfId="537">
      <formula>R66</formula>
    </cfRule>
  </conditionalFormatting>
  <conditionalFormatting sqref="G74">
    <cfRule type="cellIs" priority="53" operator="lessThan" aboveAverage="0" equalAverage="0" bottom="0" percent="0" rank="0" text="" dxfId="538">
      <formula>G66</formula>
    </cfRule>
  </conditionalFormatting>
  <conditionalFormatting sqref="Q74">
    <cfRule type="cellIs" priority="54" operator="lessThan" aboveAverage="0" equalAverage="0" bottom="0" percent="0" rank="0" text="" dxfId="539">
      <formula>Q66</formula>
    </cfRule>
  </conditionalFormatting>
  <conditionalFormatting sqref="H74">
    <cfRule type="cellIs" priority="55" operator="lessThan" aboveAverage="0" equalAverage="0" bottom="0" percent="0" rank="0" text="" dxfId="540">
      <formula>H66</formula>
    </cfRule>
  </conditionalFormatting>
  <conditionalFormatting sqref="F74">
    <cfRule type="cellIs" priority="56" operator="lessThan" aboveAverage="0" equalAverage="0" bottom="0" percent="0" rank="0" text="" dxfId="541">
      <formula>F66</formula>
    </cfRule>
  </conditionalFormatting>
  <conditionalFormatting sqref="K74">
    <cfRule type="cellIs" priority="57" operator="lessThan" aboveAverage="0" equalAverage="0" bottom="0" percent="0" rank="0" text="" dxfId="542">
      <formula>K66</formula>
    </cfRule>
  </conditionalFormatting>
  <conditionalFormatting sqref="B74">
    <cfRule type="cellIs" priority="58" operator="lessThan" aboveAverage="0" equalAverage="0" bottom="0" percent="0" rank="0" text="" dxfId="543">
      <formula>B66</formula>
    </cfRule>
  </conditionalFormatting>
  <conditionalFormatting sqref="D74:E74 L74:P74 I74:J74">
    <cfRule type="cellIs" priority="59" operator="lessThan" aboveAverage="0" equalAverage="0" bottom="0" percent="0" rank="0" text="" dxfId="544">
      <formula>D66</formula>
    </cfRule>
  </conditionalFormatting>
  <conditionalFormatting sqref="AQ74">
    <cfRule type="cellIs" priority="60" operator="lessThan" aboveAverage="0" equalAverage="0" bottom="0" percent="0" rank="0" text="" dxfId="545">
      <formula>AQ66</formula>
    </cfRule>
  </conditionalFormatting>
  <conditionalFormatting sqref="AP74">
    <cfRule type="cellIs" priority="61" operator="lessThan" aboveAverage="0" equalAverage="0" bottom="0" percent="0" rank="0" text="" dxfId="546">
      <formula>AP66</formula>
    </cfRule>
  </conditionalFormatting>
  <conditionalFormatting sqref="AO74">
    <cfRule type="cellIs" priority="62" operator="lessThan" aboveAverage="0" equalAverage="0" bottom="0" percent="0" rank="0" text="" dxfId="547">
      <formula>AO66</formula>
    </cfRule>
  </conditionalFormatting>
  <conditionalFormatting sqref="W74">
    <cfRule type="cellIs" priority="63" operator="lessThan" aboveAverage="0" equalAverage="0" bottom="0" percent="0" rank="0" text="" dxfId="548">
      <formula>W66</formula>
    </cfRule>
  </conditionalFormatting>
  <conditionalFormatting sqref="Z74:AN74">
    <cfRule type="cellIs" priority="64" operator="lessThan" aboveAverage="0" equalAverage="0" bottom="0" percent="0" rank="0" text="" dxfId="549">
      <formula>Z66</formula>
    </cfRule>
  </conditionalFormatting>
  <conditionalFormatting sqref="U74:V74 X74">
    <cfRule type="cellIs" priority="65" operator="lessThan" aboveAverage="0" equalAverage="0" bottom="0" percent="0" rank="0" text="" dxfId="550">
      <formula>U66</formula>
    </cfRule>
  </conditionalFormatting>
  <conditionalFormatting sqref="Y74">
    <cfRule type="cellIs" priority="66" operator="lessThan" aboveAverage="0" equalAverage="0" bottom="0" percent="0" rank="0" text="" dxfId="551">
      <formula>Y66</formula>
    </cfRule>
  </conditionalFormatting>
  <conditionalFormatting sqref="AE72">
    <cfRule type="cellIs" priority="67" operator="lessThan" aboveAverage="0" equalAverage="0" bottom="0" percent="0" rank="0" text="" dxfId="552">
      <formula>AE64</formula>
    </cfRule>
  </conditionalFormatting>
  <conditionalFormatting sqref="S71">
    <cfRule type="cellIs" priority="68" operator="lessThan" aboveAverage="0" equalAverage="0" bottom="0" percent="0" rank="0" text="" dxfId="553">
      <formula>MAX(S64:S65)</formula>
    </cfRule>
  </conditionalFormatting>
  <conditionalFormatting sqref="C71">
    <cfRule type="cellIs" priority="69" operator="lessThan" aboveAverage="0" equalAverage="0" bottom="0" percent="0" rank="0" text="" dxfId="554">
      <formula>MAX(C64:C65)</formula>
    </cfRule>
  </conditionalFormatting>
  <conditionalFormatting sqref="R71">
    <cfRule type="cellIs" priority="70" operator="lessThan" aboveAverage="0" equalAverage="0" bottom="0" percent="0" rank="0" text="" dxfId="555">
      <formula>MAX(R64:R65)</formula>
    </cfRule>
  </conditionalFormatting>
  <conditionalFormatting sqref="G71">
    <cfRule type="cellIs" priority="71" operator="lessThan" aboveAverage="0" equalAverage="0" bottom="0" percent="0" rank="0" text="" dxfId="556">
      <formula>MAX(G64:G65)</formula>
    </cfRule>
  </conditionalFormatting>
  <conditionalFormatting sqref="Q71">
    <cfRule type="cellIs" priority="72" operator="lessThan" aboveAverage="0" equalAverage="0" bottom="0" percent="0" rank="0" text="" dxfId="557">
      <formula>MAX(Q64:Q65)</formula>
    </cfRule>
  </conditionalFormatting>
  <conditionalFormatting sqref="H71">
    <cfRule type="cellIs" priority="73" operator="lessThan" aboveAverage="0" equalAverage="0" bottom="0" percent="0" rank="0" text="" dxfId="558">
      <formula>MAX(H64:H65)</formula>
    </cfRule>
  </conditionalFormatting>
  <conditionalFormatting sqref="F71">
    <cfRule type="cellIs" priority="74" operator="lessThan" aboveAverage="0" equalAverage="0" bottom="0" percent="0" rank="0" text="" dxfId="559">
      <formula>MAX(F64:F65)</formula>
    </cfRule>
  </conditionalFormatting>
  <conditionalFormatting sqref="K71">
    <cfRule type="cellIs" priority="75" operator="lessThan" aboveAverage="0" equalAverage="0" bottom="0" percent="0" rank="0" text="" dxfId="560">
      <formula>MAX(K64:K65)</formula>
    </cfRule>
  </conditionalFormatting>
  <conditionalFormatting sqref="B71">
    <cfRule type="cellIs" priority="76" operator="lessThan" aboveAverage="0" equalAverage="0" bottom="0" percent="0" rank="0" text="" dxfId="561">
      <formula>MAX(B64:B65)</formula>
    </cfRule>
  </conditionalFormatting>
  <conditionalFormatting sqref="D71:E71 L71:P71 I71:J71">
    <cfRule type="cellIs" priority="77" operator="lessThan" aboveAverage="0" equalAverage="0" bottom="0" percent="0" rank="0" text="" dxfId="562">
      <formula>MAX(D64:D65)</formula>
    </cfRule>
  </conditionalFormatting>
  <conditionalFormatting sqref="AQ71">
    <cfRule type="cellIs" priority="78" operator="lessThan" aboveAverage="0" equalAverage="0" bottom="0" percent="0" rank="0" text="" dxfId="563">
      <formula>MAX(AQ64:AQ65)</formula>
    </cfRule>
  </conditionalFormatting>
  <conditionalFormatting sqref="AP71">
    <cfRule type="cellIs" priority="79" operator="lessThan" aboveAverage="0" equalAverage="0" bottom="0" percent="0" rank="0" text="" dxfId="564">
      <formula>MAX(AP64:AP65)</formula>
    </cfRule>
  </conditionalFormatting>
  <conditionalFormatting sqref="AO71">
    <cfRule type="cellIs" priority="80" operator="lessThan" aboveAverage="0" equalAverage="0" bottom="0" percent="0" rank="0" text="" dxfId="565">
      <formula>MAX(AO64:AO65)</formula>
    </cfRule>
  </conditionalFormatting>
  <conditionalFormatting sqref="W71">
    <cfRule type="cellIs" priority="81" operator="lessThan" aboveAverage="0" equalAverage="0" bottom="0" percent="0" rank="0" text="" dxfId="566">
      <formula>MAX(W64:W65)</formula>
    </cfRule>
  </conditionalFormatting>
  <conditionalFormatting sqref="Z71:AN71">
    <cfRule type="cellIs" priority="82" operator="lessThan" aboveAverage="0" equalAverage="0" bottom="0" percent="0" rank="0" text="" dxfId="567">
      <formula>MAX(Z64:Z65)</formula>
    </cfRule>
  </conditionalFormatting>
  <conditionalFormatting sqref="X71 U71:V71">
    <cfRule type="cellIs" priority="83" operator="lessThan" aboveAverage="0" equalAverage="0" bottom="0" percent="0" rank="0" text="" dxfId="568">
      <formula>MAX(U64:U65)</formula>
    </cfRule>
  </conditionalFormatting>
  <conditionalFormatting sqref="Y71">
    <cfRule type="cellIs" priority="84" operator="lessThan" aboveAverage="0" equalAverage="0" bottom="0" percent="0" rank="0" text="" dxfId="569">
      <formula>MAX(Y64:Y65)</formula>
    </cfRule>
  </conditionalFormatting>
  <conditionalFormatting sqref="T95">
    <cfRule type="expression" priority="85" aboveAverage="0" equalAverage="0" bottom="0" percent="0" rank="0" text="" dxfId="570">
      <formula>T95&lt;T94</formula>
    </cfRule>
  </conditionalFormatting>
  <conditionalFormatting sqref="T92">
    <cfRule type="duplicateValues" priority="86" aboveAverage="0" equalAverage="0" bottom="0" percent="0" rank="0" text="" dxfId="571"/>
  </conditionalFormatting>
  <conditionalFormatting sqref="T89:T91">
    <cfRule type="duplicateValues" priority="87" aboveAverage="0" equalAverage="0" bottom="0" percent="0" rank="0" text="" dxfId="572"/>
  </conditionalFormatting>
  <conditionalFormatting sqref="B102:U102">
    <cfRule type="cellIs" priority="88" operator="equal" aboveAverage="0" equalAverage="0" bottom="0" percent="0" rank="0" text="" dxfId="573">
      <formula>0</formula>
    </cfRule>
  </conditionalFormatting>
  <conditionalFormatting sqref="W95">
    <cfRule type="expression" priority="89" aboveAverage="0" equalAverage="0" bottom="0" percent="0" rank="0" text="" dxfId="574">
      <formula>W95&lt;W94</formula>
    </cfRule>
  </conditionalFormatting>
  <conditionalFormatting sqref="W92">
    <cfRule type="duplicateValues" priority="90" aboveAverage="0" equalAverage="0" bottom="0" percent="0" rank="0" text="" dxfId="575"/>
  </conditionalFormatting>
  <conditionalFormatting sqref="I95:J95">
    <cfRule type="expression" priority="91" aboveAverage="0" equalAverage="0" bottom="0" percent="0" rank="0" text="" dxfId="576">
      <formula>I95&lt;I94</formula>
    </cfRule>
  </conditionalFormatting>
  <conditionalFormatting sqref="X95:AA95 B95:H95 K95:S95 U95:V95">
    <cfRule type="expression" priority="92" aboveAverage="0" equalAverage="0" bottom="0" percent="0" rank="0" text="" dxfId="577">
      <formula>B95&lt;B94</formula>
    </cfRule>
  </conditionalFormatting>
  <conditionalFormatting sqref="AA89">
    <cfRule type="duplicateValues" priority="93" aboveAverage="0" equalAverage="0" bottom="0" percent="0" rank="0" text="" dxfId="578"/>
  </conditionalFormatting>
  <conditionalFormatting sqref="AA89:AA92">
    <cfRule type="duplicateValues" priority="94" aboveAverage="0" equalAverage="0" bottom="0" percent="0" rank="0" text="" dxfId="579"/>
    <cfRule type="duplicateValues" priority="95" aboveAverage="0" equalAverage="0" bottom="0" percent="0" rank="0" text="" dxfId="580"/>
  </conditionalFormatting>
  <conditionalFormatting sqref="Q92">
    <cfRule type="duplicateValues" priority="96" aboveAverage="0" equalAverage="0" bottom="0" percent="0" rank="0" text="" dxfId="581"/>
  </conditionalFormatting>
  <conditionalFormatting sqref="Q92">
    <cfRule type="duplicateValues" priority="97" aboveAverage="0" equalAverage="0" bottom="0" percent="0" rank="0" text="" dxfId="582"/>
  </conditionalFormatting>
  <conditionalFormatting sqref="X89:Y92">
    <cfRule type="duplicateValues" priority="98" aboveAverage="0" equalAverage="0" bottom="0" percent="0" rank="0" text="" dxfId="583"/>
  </conditionalFormatting>
  <conditionalFormatting sqref="X89:Z92">
    <cfRule type="duplicateValues" priority="99" aboveAverage="0" equalAverage="0" bottom="0" percent="0" rank="0" text="" dxfId="584"/>
  </conditionalFormatting>
  <conditionalFormatting sqref="C92">
    <cfRule type="duplicateValues" priority="100" aboveAverage="0" equalAverage="0" bottom="0" percent="0" rank="0" text="" dxfId="585"/>
  </conditionalFormatting>
  <conditionalFormatting sqref="F92">
    <cfRule type="duplicateValues" priority="101" aboveAverage="0" equalAverage="0" bottom="0" percent="0" rank="0" text="" dxfId="586"/>
  </conditionalFormatting>
  <conditionalFormatting sqref="C92:F92">
    <cfRule type="duplicateValues" priority="102" aboveAverage="0" equalAverage="0" bottom="0" percent="0" rank="0" text="" dxfId="587"/>
  </conditionalFormatting>
  <conditionalFormatting sqref="N92 D92:F92">
    <cfRule type="duplicateValues" priority="103" aboveAverage="0" equalAverage="0" bottom="0" percent="0" rank="0" text="" dxfId="588"/>
  </conditionalFormatting>
  <conditionalFormatting sqref="O92:P92">
    <cfRule type="duplicateValues" priority="104" aboveAverage="0" equalAverage="0" bottom="0" percent="0" rank="0" text="" dxfId="589"/>
  </conditionalFormatting>
  <conditionalFormatting sqref="X89:Z92 R92:S92 G92:N92 U92:V92">
    <cfRule type="duplicateValues" priority="105" aboveAverage="0" equalAverage="0" bottom="0" percent="0" rank="0" text="" dxfId="590"/>
  </conditionalFormatting>
  <conditionalFormatting sqref="B92:F92 U89:W91 B89:S91">
    <cfRule type="duplicateValues" priority="106" aboveAverage="0" equalAverage="0" bottom="0" percent="0" rank="0" text="" dxfId="591"/>
  </conditionalFormatting>
  <dataValidations count="2">
    <dataValidation allowBlank="true" errorStyle="stop" operator="between" showDropDown="false" showErrorMessage="true" showInputMessage="true" sqref="B95:AA95" type="list">
      <formula1>"0.18,0.25,0.37,0.55,0.75,1.1,1.5,2.2,3,4,5.5,7.5,11,15,18.5,22,30,37,45,55,75,90,110,132,160,185,200,220,250,280,315,355,400,450,500,560,630,710,800,900,1000,1120,1250,1400"</formula1>
      <formula2>0</formula2>
    </dataValidation>
    <dataValidation allowBlank="true" errorStyle="stop" operator="between" showDropDown="false" showErrorMessage="true" showInputMessage="true" sqref="B99:XFD99" type="list">
      <formula1>"G,H,W,F,T,TH,TA,WTH"</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01" r:id="rId4" name="Button 1">
              <controlPr defaultSize="0" print="false" autoFill="0" autoPict="0">
                <anchor moveWithCells="true" sizeWithCells="false">
                  <from>
                    <xdr:col>0</xdr:col>
                    <xdr:colOff>1379520</xdr:colOff>
                    <xdr:row>0</xdr:row>
                    <xdr:rowOff>30600</xdr:rowOff>
                  </from>
                  <to>
                    <xdr:col>1</xdr:col>
                    <xdr:colOff>-997920</xdr:colOff>
                    <xdr:row>1</xdr:row>
                    <xdr:rowOff>-53280</xdr:rowOff>
                  </to>
                </anchor>
              </controlPr>
            </control>
          </mc:Choice>
        </mc:AlternateContent>
      </controls>
    </mc:Choice>
  </mc:AlternateConten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CJ118"/>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1" ySplit="3" topLeftCell="AT4" activePane="bottomRight" state="frozen"/>
      <selection pane="topLeft" activeCell="A1" activeCellId="0" sqref="A1"/>
      <selection pane="topRight" activeCell="AT1" activeCellId="0" sqref="AT1"/>
      <selection pane="bottomLeft" activeCell="A4" activeCellId="0" sqref="A4"/>
      <selection pane="bottomRight" activeCell="AZ66" activeCellId="0" sqref="1:1048576"/>
    </sheetView>
  </sheetViews>
  <sheetFormatPr defaultColWidth="9.00390625" defaultRowHeight="15" zeroHeight="false" outlineLevelRow="0" outlineLevelCol="0"/>
  <cols>
    <col collapsed="false" customWidth="true" hidden="false" outlineLevel="0" max="1" min="1" style="379" width="38.5"/>
    <col collapsed="false" customWidth="true" hidden="false" outlineLevel="0" max="9" min="2" style="449" width="13.63"/>
    <col collapsed="false" customWidth="true" hidden="false" outlineLevel="0" max="10" min="10" style="449" width="15.37"/>
    <col collapsed="false" customWidth="true" hidden="false" outlineLevel="0" max="11" min="11" style="449" width="15.5"/>
    <col collapsed="false" customWidth="true" hidden="false" outlineLevel="0" max="16" min="12" style="449" width="13.63"/>
    <col collapsed="false" customWidth="true" hidden="false" outlineLevel="0" max="17" min="17" style="449" width="15.5"/>
    <col collapsed="false" customWidth="true" hidden="false" outlineLevel="0" max="18" min="18" style="379" width="14.25"/>
    <col collapsed="false" customWidth="true" hidden="false" outlineLevel="0" max="19" min="19" style="379" width="13.63"/>
    <col collapsed="false" customWidth="true" hidden="false" outlineLevel="0" max="20" min="20" style="379" width="14.25"/>
    <col collapsed="false" customWidth="true" hidden="false" outlineLevel="0" max="21" min="21" style="379" width="13.63"/>
    <col collapsed="false" customWidth="true" hidden="false" outlineLevel="0" max="22" min="22" style="379" width="14.25"/>
    <col collapsed="false" customWidth="true" hidden="false" outlineLevel="0" max="23" min="23" style="379" width="13.63"/>
    <col collapsed="false" customWidth="true" hidden="false" outlineLevel="0" max="24" min="24" style="379" width="14.25"/>
    <col collapsed="false" customWidth="true" hidden="false" outlineLevel="0" max="25" min="25" style="379" width="13.63"/>
    <col collapsed="false" customWidth="true" hidden="false" outlineLevel="0" max="26" min="26" style="379" width="14.25"/>
    <col collapsed="false" customWidth="true" hidden="false" outlineLevel="0" max="27" min="27" style="379" width="13.63"/>
    <col collapsed="false" customWidth="true" hidden="false" outlineLevel="0" max="28" min="28" style="379" width="14.25"/>
    <col collapsed="false" customWidth="true" hidden="false" outlineLevel="0" max="29" min="29" style="379" width="13.63"/>
    <col collapsed="false" customWidth="true" hidden="false" outlineLevel="0" max="30" min="30" style="379" width="14.25"/>
    <col collapsed="false" customWidth="true" hidden="false" outlineLevel="0" max="31" min="31" style="379" width="13.63"/>
    <col collapsed="false" customWidth="true" hidden="false" outlineLevel="0" max="32" min="32" style="379" width="14.25"/>
    <col collapsed="false" customWidth="true" hidden="false" outlineLevel="0" max="33" min="33" style="379" width="13.63"/>
    <col collapsed="false" customWidth="true" hidden="false" outlineLevel="0" max="34" min="34" style="379" width="14.25"/>
    <col collapsed="false" customWidth="true" hidden="false" outlineLevel="0" max="35" min="35" style="379" width="13.63"/>
    <col collapsed="false" customWidth="true" hidden="false" outlineLevel="0" max="36" min="36" style="379" width="14.25"/>
    <col collapsed="false" customWidth="true" hidden="false" outlineLevel="0" max="37" min="37" style="379" width="13.63"/>
    <col collapsed="false" customWidth="true" hidden="false" outlineLevel="0" max="38" min="38" style="379" width="14.25"/>
    <col collapsed="false" customWidth="true" hidden="false" outlineLevel="0" max="39" min="39" style="379" width="13.63"/>
    <col collapsed="false" customWidth="true" hidden="false" outlineLevel="0" max="40" min="40" style="379" width="14.25"/>
    <col collapsed="false" customWidth="true" hidden="false" outlineLevel="0" max="41" min="41" style="379" width="13.63"/>
    <col collapsed="false" customWidth="true" hidden="false" outlineLevel="0" max="42" min="42" style="379" width="14.25"/>
    <col collapsed="false" customWidth="true" hidden="false" outlineLevel="0" max="43" min="43" style="379" width="13.63"/>
    <col collapsed="false" customWidth="true" hidden="false" outlineLevel="0" max="44" min="44" style="379" width="14.25"/>
    <col collapsed="false" customWidth="true" hidden="false" outlineLevel="0" max="45" min="45" style="379" width="13.63"/>
    <col collapsed="false" customWidth="true" hidden="false" outlineLevel="0" max="46" min="46" style="379" width="14.25"/>
    <col collapsed="false" customWidth="true" hidden="false" outlineLevel="0" max="47" min="47" style="379" width="13.63"/>
    <col collapsed="false" customWidth="true" hidden="false" outlineLevel="0" max="48" min="48" style="379" width="14.25"/>
    <col collapsed="false" customWidth="true" hidden="false" outlineLevel="0" max="49" min="49" style="379" width="13.63"/>
    <col collapsed="false" customWidth="true" hidden="false" outlineLevel="0" max="50" min="50" style="379" width="14.25"/>
    <col collapsed="false" customWidth="true" hidden="false" outlineLevel="0" max="51" min="51" style="379" width="13.63"/>
    <col collapsed="false" customWidth="true" hidden="false" outlineLevel="0" max="52" min="52" style="379" width="14.25"/>
    <col collapsed="false" customWidth="true" hidden="false" outlineLevel="0" max="53" min="53" style="379" width="13.63"/>
    <col collapsed="false" customWidth="true" hidden="false" outlineLevel="0" max="54" min="54" style="379" width="14.25"/>
    <col collapsed="false" customWidth="true" hidden="false" outlineLevel="0" max="55" min="55" style="379" width="13.63"/>
    <col collapsed="false" customWidth="true" hidden="false" outlineLevel="0" max="56" min="56" style="379" width="14.25"/>
    <col collapsed="false" customWidth="true" hidden="false" outlineLevel="0" max="57" min="57" style="379" width="13.63"/>
    <col collapsed="false" customWidth="true" hidden="false" outlineLevel="0" max="58" min="58" style="379" width="14.25"/>
    <col collapsed="false" customWidth="true" hidden="false" outlineLevel="0" max="59" min="59" style="379" width="13.63"/>
    <col collapsed="false" customWidth="true" hidden="false" outlineLevel="0" max="60" min="60" style="379" width="14.25"/>
    <col collapsed="false" customWidth="true" hidden="false" outlineLevel="0" max="61" min="61" style="379" width="13.63"/>
    <col collapsed="false" customWidth="true" hidden="false" outlineLevel="0" max="62" min="62" style="379" width="14.25"/>
    <col collapsed="false" customWidth="true" hidden="false" outlineLevel="0" max="63" min="63" style="379" width="13.63"/>
    <col collapsed="false" customWidth="true" hidden="false" outlineLevel="0" max="64" min="64" style="379" width="14.25"/>
    <col collapsed="false" customWidth="true" hidden="false" outlineLevel="0" max="65" min="65" style="379" width="13.63"/>
    <col collapsed="false" customWidth="true" hidden="false" outlineLevel="0" max="66" min="66" style="379" width="14.25"/>
    <col collapsed="false" customWidth="true" hidden="false" outlineLevel="0" max="67" min="67" style="379" width="13.63"/>
    <col collapsed="false" customWidth="true" hidden="false" outlineLevel="0" max="68" min="68" style="379" width="14.25"/>
    <col collapsed="false" customWidth="true" hidden="false" outlineLevel="0" max="69" min="69" style="379" width="13.63"/>
    <col collapsed="false" customWidth="true" hidden="false" outlineLevel="0" max="70" min="70" style="379" width="14.25"/>
    <col collapsed="false" customWidth="true" hidden="false" outlineLevel="0" max="71" min="71" style="379" width="13.63"/>
    <col collapsed="false" customWidth="true" hidden="false" outlineLevel="0" max="72" min="72" style="379" width="14.25"/>
    <col collapsed="false" customWidth="true" hidden="false" outlineLevel="0" max="73" min="73" style="379" width="13.63"/>
    <col collapsed="false" customWidth="true" hidden="false" outlineLevel="0" max="74" min="74" style="379" width="14.25"/>
    <col collapsed="false" customWidth="true" hidden="false" outlineLevel="0" max="75" min="75" style="379" width="13.63"/>
    <col collapsed="false" customWidth="true" hidden="false" outlineLevel="0" max="76" min="76" style="379" width="14.25"/>
    <col collapsed="false" customWidth="true" hidden="false" outlineLevel="0" max="77" min="77" style="379" width="13.63"/>
    <col collapsed="false" customWidth="true" hidden="false" outlineLevel="0" max="78" min="78" style="379" width="14.25"/>
    <col collapsed="false" customWidth="true" hidden="false" outlineLevel="0" max="79" min="79" style="379" width="13.63"/>
    <col collapsed="false" customWidth="true" hidden="false" outlineLevel="0" max="80" min="80" style="379" width="14.25"/>
    <col collapsed="false" customWidth="true" hidden="false" outlineLevel="0" max="81" min="81" style="379" width="13.63"/>
    <col collapsed="false" customWidth="true" hidden="false" outlineLevel="0" max="82" min="82" style="379" width="14.25"/>
    <col collapsed="false" customWidth="true" hidden="false" outlineLevel="0" max="83" min="83" style="379" width="13.63"/>
    <col collapsed="false" customWidth="true" hidden="false" outlineLevel="0" max="84" min="84" style="379" width="14.25"/>
    <col collapsed="false" customWidth="true" hidden="false" outlineLevel="0" max="85" min="85" style="379" width="13.63"/>
    <col collapsed="false" customWidth="true" hidden="false" outlineLevel="0" max="86" min="86" style="379" width="14.25"/>
    <col collapsed="false" customWidth="true" hidden="false" outlineLevel="0" max="87" min="87" style="379" width="13.63"/>
    <col collapsed="false" customWidth="false" hidden="false" outlineLevel="0" max="88" min="88" style="381" width="9"/>
    <col collapsed="false" customWidth="false" hidden="false" outlineLevel="0" max="16384" min="89" style="379" width="9"/>
  </cols>
  <sheetData>
    <row r="1" s="578" customFormat="true" ht="15" hidden="false" customHeight="false" outlineLevel="0" collapsed="false">
      <c r="A1" s="443" t="s">
        <v>389</v>
      </c>
      <c r="B1" s="574" t="str">
        <f aca="false">'安全阀选型(基础设计)'!B2:C2</f>
        <v>132-PSV-0701A/B</v>
      </c>
      <c r="C1" s="574"/>
      <c r="D1" s="574" t="str">
        <f aca="false">'安全阀选型(基础设计)'!D2:E2</f>
        <v>132-PSV-0702AB</v>
      </c>
      <c r="E1" s="574"/>
      <c r="F1" s="574" t="str">
        <f aca="false">'安全阀选型(基础设计)'!F2:G2</f>
        <v>132-PSV-1101A/B</v>
      </c>
      <c r="G1" s="574"/>
      <c r="H1" s="574" t="str">
        <f aca="false">'安全阀选型(基础设计)'!H2:I2</f>
        <v>132-PSV-1301A/B</v>
      </c>
      <c r="I1" s="574"/>
      <c r="J1" s="574" t="str">
        <f aca="false">'安全阀选型(基础设计)'!J2:K2</f>
        <v>132-PSV-1801A/B</v>
      </c>
      <c r="K1" s="574"/>
      <c r="L1" s="575" t="str">
        <f aca="false">'安全阀选型(基础设计)'!L2:M2</f>
        <v>132-PSV-2001A/B</v>
      </c>
      <c r="M1" s="575"/>
      <c r="N1" s="574" t="str">
        <f aca="false">'安全阀选型(基础设计)'!N2:O2</f>
        <v>132-PSV-2101A/B</v>
      </c>
      <c r="O1" s="574"/>
      <c r="P1" s="574" t="str">
        <f aca="false">'安全阀选型(基础设计)'!P2:Q2</f>
        <v>132-PSV-2401A/B</v>
      </c>
      <c r="Q1" s="574"/>
      <c r="R1" s="574" t="str">
        <f aca="false">'安全阀选型(基础设计)'!R2:S2</f>
        <v>132-PSV-2501</v>
      </c>
      <c r="S1" s="574"/>
      <c r="T1" s="574" t="str">
        <f aca="false">'安全阀选型(基础设计)'!T2:U2</f>
        <v>132-PSV-2502</v>
      </c>
      <c r="U1" s="574"/>
      <c r="V1" s="574" t="str">
        <f aca="false">'安全阀选型(基础设计)'!V2:W2</f>
        <v>132-PSV-2601</v>
      </c>
      <c r="W1" s="574"/>
      <c r="X1" s="574" t="str">
        <f aca="false">'安全阀选型(基础设计)'!X2:Y2</f>
        <v>132-PSV-2602</v>
      </c>
      <c r="Y1" s="574"/>
      <c r="Z1" s="574" t="str">
        <f aca="false">'安全阀选型(基础设计)'!Z2:AA2</f>
        <v>132-PSV-2201</v>
      </c>
      <c r="AA1" s="574"/>
      <c r="AB1" s="576" t="str">
        <f aca="false">'安全阀选型(基础设计)'!AB2:AC2</f>
        <v>132-PSV-2801</v>
      </c>
      <c r="AC1" s="576"/>
      <c r="AD1" s="574" t="str">
        <f aca="false">'安全阀选型(基础设计)'!AD2:AE2</f>
        <v>132-PSV-3001</v>
      </c>
      <c r="AE1" s="574"/>
      <c r="AF1" s="574" t="str">
        <f aca="false">'安全阀选型(基础设计)'!AF2:AG2</f>
        <v>132-PSV-3002</v>
      </c>
      <c r="AG1" s="574"/>
      <c r="AH1" s="574" t="str">
        <f aca="false">'安全阀选型(基础设计)'!AH2:AI2</f>
        <v>132-PSV-3201A/B</v>
      </c>
      <c r="AI1" s="574"/>
      <c r="AJ1" s="574" t="str">
        <f aca="false">'安全阀选型(基础设计)'!AJ2:AK2</f>
        <v>132-PSV-3301A/B</v>
      </c>
      <c r="AK1" s="574"/>
      <c r="AL1" s="574" t="str">
        <f aca="false">'安全阀选型(基础设计)'!AL2:AM2</f>
        <v>132-PSV-3701A/B</v>
      </c>
      <c r="AM1" s="574"/>
      <c r="AN1" s="575" t="str">
        <f aca="false">'安全阀选型(基础设计)'!AN2:AO2</f>
        <v>132-PSV-3702A/B</v>
      </c>
      <c r="AO1" s="575"/>
      <c r="AP1" s="574" t="str">
        <f aca="false">'安全阀选型(基础设计)'!AP2:AQ2</f>
        <v>132-PSV-4201A/B</v>
      </c>
      <c r="AQ1" s="574"/>
      <c r="AR1" s="574" t="str">
        <f aca="false">'安全阀选型(基础设计)'!AR2:AS2</f>
        <v>132-PSV-4601A/B</v>
      </c>
      <c r="AS1" s="574"/>
      <c r="AT1" s="574" t="str">
        <f aca="false">'安全阀选型(基础设计)'!AT2:AU2</f>
        <v>132-PSV-5101A/B</v>
      </c>
      <c r="AU1" s="574"/>
      <c r="AV1" s="574" t="str">
        <f aca="false">'安全阀选型(基础设计)'!AV2:AW2</f>
        <v>132-PSV-5501A/B</v>
      </c>
      <c r="AW1" s="574"/>
      <c r="AX1" s="574" t="str">
        <f aca="false">'安全阀选型(基础设计)'!AX2:AY2</f>
        <v>132-PSV-5601</v>
      </c>
      <c r="AY1" s="574"/>
      <c r="AZ1" s="577" t="s">
        <v>1094</v>
      </c>
      <c r="BA1" s="577"/>
      <c r="BB1" s="575"/>
      <c r="BC1" s="575"/>
      <c r="BD1" s="575"/>
      <c r="BE1" s="575"/>
      <c r="BF1" s="575"/>
      <c r="BG1" s="575"/>
      <c r="BH1" s="575"/>
      <c r="BI1" s="575"/>
      <c r="BJ1" s="575"/>
      <c r="BK1" s="575"/>
      <c r="BL1" s="575"/>
      <c r="BM1" s="575"/>
      <c r="BN1" s="575"/>
      <c r="BO1" s="575"/>
      <c r="BP1" s="575"/>
      <c r="BQ1" s="575"/>
      <c r="BR1" s="575"/>
      <c r="BS1" s="575"/>
      <c r="BT1" s="575"/>
      <c r="BU1" s="575"/>
      <c r="BV1" s="575"/>
      <c r="BW1" s="575"/>
      <c r="BX1" s="575"/>
      <c r="BY1" s="575"/>
      <c r="BZ1" s="575"/>
      <c r="CA1" s="575"/>
      <c r="CB1" s="575"/>
      <c r="CC1" s="575"/>
      <c r="CD1" s="575"/>
      <c r="CE1" s="575"/>
      <c r="CF1" s="575"/>
      <c r="CG1" s="575"/>
      <c r="CH1" s="575"/>
      <c r="CI1" s="575"/>
    </row>
    <row r="2" s="578" customFormat="true" ht="15" hidden="false" customHeight="false" outlineLevel="0" collapsed="false">
      <c r="A2" s="579" t="s">
        <v>1095</v>
      </c>
      <c r="B2" s="580" t="str">
        <f aca="false">'安全阀选型(基础设计)'!B3:C3</f>
        <v>加氢进料缓冲罐顶安全阀</v>
      </c>
      <c r="C2" s="580"/>
      <c r="D2" s="580" t="s">
        <v>1096</v>
      </c>
      <c r="E2" s="580"/>
      <c r="F2" s="580" t="str">
        <f aca="false">'安全阀选型(基础设计)'!F3:G3</f>
        <v>1#加氢反应器顶安全阀</v>
      </c>
      <c r="G2" s="580"/>
      <c r="H2" s="580" t="str">
        <f aca="false">'安全阀选型(基础设计)'!H3:I3</f>
        <v>循环泵冲洗液罐顶安全阀</v>
      </c>
      <c r="I2" s="580"/>
      <c r="J2" s="580" t="str">
        <f aca="false">'安全阀选型(基础设计)'!J3:K3</f>
        <v>冷低分罐顶安全阀</v>
      </c>
      <c r="K2" s="580"/>
      <c r="L2" s="580" t="str">
        <f aca="false">'安全阀选型(基础设计)'!L3:M3</f>
        <v>汽提塔顶回流罐安全阀</v>
      </c>
      <c r="M2" s="580"/>
      <c r="N2" s="580" t="str">
        <f aca="false">'安全阀选型(基础设计)'!N3:O3</f>
        <v>预闪蒸罐顶安全阀</v>
      </c>
      <c r="O2" s="580"/>
      <c r="P2" s="580" t="str">
        <f aca="false">'安全阀选型(基础设计)'!P3:Q3</f>
        <v>分馏塔顶回流罐安全阀</v>
      </c>
      <c r="Q2" s="580"/>
      <c r="R2" s="580" t="str">
        <f aca="false">'安全阀选型(基础设计)'!R3:S3</f>
        <v>分一中低压蒸汽发生器安全阀一</v>
      </c>
      <c r="S2" s="580"/>
      <c r="T2" s="580" t="str">
        <f aca="false">'安全阀选型(基础设计)'!T3:U3</f>
        <v>分一中低压蒸汽发生器安全阀二</v>
      </c>
      <c r="U2" s="580"/>
      <c r="V2" s="580" t="str">
        <f aca="false">'安全阀选型(基础设计)'!V3:W3</f>
        <v>分一低低压蒸汽发生器安全阀一</v>
      </c>
      <c r="W2" s="580"/>
      <c r="X2" s="580" t="str">
        <f aca="false">'安全阀选型(基础设计)'!X3:Y3</f>
        <v>分一中低低压蒸汽发生器安全阀二</v>
      </c>
      <c r="Y2" s="580"/>
      <c r="Z2" s="580" t="str">
        <f aca="false">'安全阀选型(基础设计)'!Z3:AA3</f>
        <v>低压蒸汽安全阀</v>
      </c>
      <c r="AA2" s="580"/>
      <c r="AB2" s="576" t="str">
        <f aca="false">'安全阀选型(基础设计)'!AB3:AC3</f>
        <v>柴油/锅炉给水换热器管程泄放阀</v>
      </c>
      <c r="AC2" s="576"/>
      <c r="AD2" s="580" t="str">
        <f aca="false">'安全阀选型(基础设计)'!AD3:AE3</f>
        <v>加氢蜡油/低压蒸汽发生器安全阀一</v>
      </c>
      <c r="AE2" s="580"/>
      <c r="AF2" s="580" t="str">
        <f aca="false">'安全阀选型(基础设计)'!AF3:AG3</f>
        <v>加氢蜡油/低压蒸汽发生器安全阀二</v>
      </c>
      <c r="AG2" s="580"/>
      <c r="AH2" s="580" t="str">
        <f aca="false">'安全阀选型(基础设计)'!AH3:AI3</f>
        <v>注水罐顶安全阀</v>
      </c>
      <c r="AI2" s="580"/>
      <c r="AJ2" s="580" t="str">
        <f aca="false">'安全阀选型(基础设计)'!AJ3:AK3</f>
        <v>新氢缓冲罐顶安全阀</v>
      </c>
      <c r="AK2" s="580"/>
      <c r="AL2" s="580" t="str">
        <f aca="false">'安全阀选型(基础设计)'!AL3:AM3</f>
        <v>低分气脱硫塔顶安全阀</v>
      </c>
      <c r="AM2" s="580"/>
      <c r="AN2" s="580" t="str">
        <f aca="false">'安全阀选型(基础设计)'!AN3:AO3</f>
        <v>贫胺液罐顶安全阀</v>
      </c>
      <c r="AO2" s="580"/>
      <c r="AP2" s="580" t="str">
        <f aca="false">'安全阀选型(基础设计)'!AP3:AQ3</f>
        <v>原料油缓冲罐顶安全阀</v>
      </c>
      <c r="AQ2" s="580"/>
      <c r="AR2" s="580" t="str">
        <f aca="false">'安全阀选型(基础设计)'!AR3:AS3</f>
        <v>压缩机区污油罐安全阀</v>
      </c>
      <c r="AS2" s="580"/>
      <c r="AT2" s="580" t="str">
        <f aca="false">'安全阀选型(基础设计)'!AT3:AU3</f>
        <v>硫化剂罐安全阀</v>
      </c>
      <c r="AU2" s="580"/>
      <c r="AV2" s="580" t="str">
        <f aca="false">'安全阀选型(基础设计)'!AV3:AW3</f>
        <v>燃料气分液罐安全阀</v>
      </c>
      <c r="AW2" s="580"/>
      <c r="AX2" s="580" t="str">
        <f aca="false">'安全阀选型(基础设计)'!AX3:AY3</f>
        <v>净化风罐安全阀</v>
      </c>
      <c r="AY2" s="580"/>
      <c r="AZ2" s="581" t="s">
        <v>1097</v>
      </c>
      <c r="BA2" s="581"/>
      <c r="BB2" s="580"/>
      <c r="BC2" s="580"/>
      <c r="BD2" s="580"/>
      <c r="BE2" s="580"/>
      <c r="BF2" s="580"/>
      <c r="BG2" s="580"/>
      <c r="BH2" s="580"/>
      <c r="BI2" s="580"/>
      <c r="BJ2" s="580"/>
      <c r="BK2" s="580"/>
      <c r="BL2" s="580"/>
      <c r="BM2" s="580"/>
      <c r="BN2" s="580"/>
      <c r="BO2" s="580"/>
      <c r="BP2" s="580"/>
      <c r="BQ2" s="580"/>
      <c r="BR2" s="580"/>
      <c r="BS2" s="580"/>
      <c r="BT2" s="580"/>
      <c r="BU2" s="580"/>
      <c r="BV2" s="580"/>
      <c r="BW2" s="580"/>
      <c r="BX2" s="580"/>
      <c r="BY2" s="580"/>
      <c r="BZ2" s="580"/>
      <c r="CA2" s="580"/>
      <c r="CB2" s="580"/>
      <c r="CC2" s="580"/>
      <c r="CD2" s="580"/>
      <c r="CE2" s="580"/>
      <c r="CF2" s="580"/>
      <c r="CG2" s="580"/>
      <c r="CH2" s="580"/>
      <c r="CI2" s="580"/>
      <c r="CJ2" s="582"/>
    </row>
    <row r="3" s="578" customFormat="true" ht="15" hidden="false" customHeight="false" outlineLevel="0" collapsed="false">
      <c r="A3" s="579" t="s">
        <v>1098</v>
      </c>
      <c r="B3" s="580" t="str">
        <f aca="false">'安全阀选型(基础设计)'!B4:C4</f>
        <v>加氢进料缓冲罐D-101顶</v>
      </c>
      <c r="C3" s="580"/>
      <c r="D3" s="580" t="str">
        <f aca="false">'安全阀选型(基础设计)'!D4:E4</f>
        <v>CHARGE PUMP P-101</v>
      </c>
      <c r="E3" s="580"/>
      <c r="F3" s="580" t="str">
        <f aca="false">'安全阀选型(基础设计)'!F4:G4</f>
        <v>1#加氢反应器顶</v>
      </c>
      <c r="G3" s="580"/>
      <c r="H3" s="580" t="str">
        <f aca="false">'安全阀选型(基础设计)'!H4:I4</f>
        <v>D-109</v>
      </c>
      <c r="I3" s="580"/>
      <c r="J3" s="580" t="str">
        <f aca="false">'安全阀选型(基础设计)'!J4:K4</f>
        <v>D-103</v>
      </c>
      <c r="K3" s="580"/>
      <c r="L3" s="580" t="str">
        <f aca="false">'安全阀选型(基础设计)'!L4:M4</f>
        <v>D-201</v>
      </c>
      <c r="M3" s="580"/>
      <c r="N3" s="580" t="str">
        <f aca="false">'安全阀选型(基础设计)'!N4:O4</f>
        <v>D-202</v>
      </c>
      <c r="O3" s="580"/>
      <c r="P3" s="580" t="str">
        <f aca="false">'安全阀选型(基础设计)'!P4:Q4</f>
        <v>D-203</v>
      </c>
      <c r="Q3" s="580"/>
      <c r="R3" s="580" t="str">
        <f aca="false">'安全阀选型(基础设计)'!R4:S4</f>
        <v>E-206</v>
      </c>
      <c r="S3" s="580"/>
      <c r="T3" s="580" t="str">
        <f aca="false">'安全阀选型(基础设计)'!T4:U4</f>
        <v>E-206</v>
      </c>
      <c r="U3" s="580"/>
      <c r="V3" s="580" t="str">
        <f aca="false">'安全阀选型(基础设计)'!V4:W4</f>
        <v>E-207</v>
      </c>
      <c r="W3" s="580"/>
      <c r="X3" s="580" t="str">
        <f aca="false">'安全阀选型(基础设计)'!X4:Y4</f>
        <v>E-207</v>
      </c>
      <c r="Y3" s="580"/>
      <c r="Z3" s="580" t="str">
        <f aca="false">'安全阀选型(基础设计)'!Z4:AA4</f>
        <v>管线LS-02605上</v>
      </c>
      <c r="AA3" s="580"/>
      <c r="AB3" s="576" t="str">
        <f aca="false">'安全阀选型(基础设计)'!AB4:AC4</f>
        <v>E-205 TUBE SIDE</v>
      </c>
      <c r="AC3" s="576"/>
      <c r="AD3" s="580" t="str">
        <f aca="false">'安全阀选型(基础设计)'!AD4:AE4</f>
        <v>E-106 SHELL SIDE</v>
      </c>
      <c r="AE3" s="580"/>
      <c r="AF3" s="580" t="str">
        <f aca="false">'安全阀选型(基础设计)'!AF4:AG4</f>
        <v>E-106 SHELL SIDE</v>
      </c>
      <c r="AG3" s="580"/>
      <c r="AH3" s="580" t="str">
        <f aca="false">'安全阀选型(基础设计)'!AH4:AI4</f>
        <v>D-104</v>
      </c>
      <c r="AI3" s="580"/>
      <c r="AJ3" s="580" t="str">
        <f aca="false">'安全阀选型(基础设计)'!AJ4:AK4</f>
        <v>D-105</v>
      </c>
      <c r="AK3" s="580"/>
      <c r="AL3" s="580" t="str">
        <f aca="false">'安全阀选型(基础设计)'!AL4:AM4</f>
        <v>C-301</v>
      </c>
      <c r="AM3" s="580"/>
      <c r="AN3" s="580" t="str">
        <f aca="false">'安全阀选型(基础设计)'!AN4:AO4</f>
        <v>D-300</v>
      </c>
      <c r="AO3" s="580"/>
      <c r="AP3" s="580" t="str">
        <f aca="false">'安全阀选型(基础设计)'!AP4:AQ4</f>
        <v>原料油缓冲罐D-110顶</v>
      </c>
      <c r="AQ3" s="580"/>
      <c r="AR3" s="580" t="str">
        <f aca="false">'安全阀选型(基础设计)'!AR4:AS4</f>
        <v>压缩机区污油罐顶</v>
      </c>
      <c r="AS3" s="580"/>
      <c r="AT3" s="580" t="str">
        <f aca="false">'安全阀选型(基础设计)'!AT4:AU4</f>
        <v>硫化剂罐顶</v>
      </c>
      <c r="AU3" s="580"/>
      <c r="AV3" s="580" t="str">
        <f aca="false">'安全阀选型(基础设计)'!AV4:AW4</f>
        <v>燃料气分液罐顶</v>
      </c>
      <c r="AW3" s="580"/>
      <c r="AX3" s="580" t="str">
        <f aca="false">'安全阀选型(基础设计)'!AX4:AY4</f>
        <v>净化风罐V-403顶</v>
      </c>
      <c r="AY3" s="580"/>
      <c r="AZ3" s="581" t="s">
        <v>1099</v>
      </c>
      <c r="BA3" s="581"/>
      <c r="BB3" s="580"/>
      <c r="BC3" s="580"/>
      <c r="BD3" s="580"/>
      <c r="BE3" s="580"/>
      <c r="BF3" s="580"/>
      <c r="BG3" s="580"/>
      <c r="BH3" s="580"/>
      <c r="BI3" s="580"/>
      <c r="BJ3" s="580"/>
      <c r="BK3" s="580"/>
      <c r="BL3" s="580"/>
      <c r="BM3" s="580"/>
      <c r="BN3" s="580"/>
      <c r="BO3" s="580"/>
      <c r="BP3" s="580"/>
      <c r="BQ3" s="580"/>
      <c r="BR3" s="580"/>
      <c r="BS3" s="580"/>
      <c r="BT3" s="580"/>
      <c r="BU3" s="580"/>
      <c r="BV3" s="580"/>
      <c r="BW3" s="580"/>
      <c r="BX3" s="580"/>
      <c r="BY3" s="580"/>
      <c r="BZ3" s="580"/>
      <c r="CA3" s="580"/>
      <c r="CB3" s="580"/>
      <c r="CC3" s="580"/>
      <c r="CD3" s="580"/>
      <c r="CE3" s="580"/>
      <c r="CF3" s="580"/>
      <c r="CG3" s="580"/>
      <c r="CH3" s="580"/>
      <c r="CI3" s="580"/>
      <c r="CJ3" s="582"/>
    </row>
    <row r="4" s="578" customFormat="true" ht="15" hidden="false" customHeight="false" outlineLevel="0" collapsed="false">
      <c r="A4" s="579" t="s">
        <v>1100</v>
      </c>
      <c r="B4" s="580" t="s">
        <v>1101</v>
      </c>
      <c r="C4" s="580"/>
      <c r="D4" s="580" t="s">
        <v>1102</v>
      </c>
      <c r="E4" s="580"/>
      <c r="F4" s="580" t="s">
        <v>1103</v>
      </c>
      <c r="G4" s="580"/>
      <c r="H4" s="580" t="s">
        <v>678</v>
      </c>
      <c r="I4" s="580"/>
      <c r="J4" s="580" t="str">
        <f aca="false">'安全阀选型(基础设计)'!J5:K5</f>
        <v>轻烃,柴油, H2S，H2</v>
      </c>
      <c r="K4" s="580"/>
      <c r="L4" s="580" t="str">
        <f aca="false">'安全阀选型(基础设计)'!L5:M5</f>
        <v>油汽、H20、H2S</v>
      </c>
      <c r="M4" s="580"/>
      <c r="N4" s="580" t="str">
        <f aca="false">'安全阀选型(基础设计)'!N5:O5</f>
        <v>油气、蜡油</v>
      </c>
      <c r="O4" s="580"/>
      <c r="P4" s="580" t="str">
        <f aca="false">'安全阀选型(基础设计)'!P5:Q5</f>
        <v>石脑油</v>
      </c>
      <c r="Q4" s="580"/>
      <c r="R4" s="580" t="str">
        <f aca="false">'安全阀选型(基础设计)'!R5:S5</f>
        <v>中压蒸气</v>
      </c>
      <c r="S4" s="580"/>
      <c r="T4" s="580" t="str">
        <f aca="false">'安全阀选型(基础设计)'!T5:U5</f>
        <v>中压蒸气</v>
      </c>
      <c r="U4" s="580"/>
      <c r="V4" s="580" t="str">
        <f aca="false">'安全阀选型(基础设计)'!V5:W5</f>
        <v>低压蒸气</v>
      </c>
      <c r="W4" s="580"/>
      <c r="X4" s="580" t="str">
        <f aca="false">'安全阀选型(基础设计)'!X5:Y5</f>
        <v>低压蒸气</v>
      </c>
      <c r="Y4" s="580"/>
      <c r="Z4" s="580" t="str">
        <f aca="false">'安全阀选型(基础设计)'!Z5:AA5</f>
        <v>低压蒸气</v>
      </c>
      <c r="AA4" s="580"/>
      <c r="AB4" s="576" t="str">
        <f aca="false">'安全阀选型(基础设计)'!AB5:AC5</f>
        <v>热水</v>
      </c>
      <c r="AC4" s="576"/>
      <c r="AD4" s="580" t="str">
        <f aca="false">'安全阀选型(基础设计)'!AD5:AE5</f>
        <v>中压蒸气</v>
      </c>
      <c r="AE4" s="580"/>
      <c r="AF4" s="580" t="str">
        <f aca="false">'安全阀选型(基础设计)'!AF5:AG5</f>
        <v>中压蒸气</v>
      </c>
      <c r="AG4" s="580"/>
      <c r="AH4" s="580" t="s">
        <v>1104</v>
      </c>
      <c r="AI4" s="580"/>
      <c r="AJ4" s="580" t="str">
        <f aca="false">'安全阀选型(基础设计)'!AJ5:AK5</f>
        <v>H2</v>
      </c>
      <c r="AK4" s="580"/>
      <c r="AL4" s="580" t="str">
        <f aca="false">'安全阀选型(基础设计)'!AL5:AM5</f>
        <v>脱硫低分气</v>
      </c>
      <c r="AM4" s="580"/>
      <c r="AN4" s="580" t="str">
        <f aca="false">'安全阀选型(基础设计)'!AN5:AO5</f>
        <v>油气</v>
      </c>
      <c r="AO4" s="580"/>
      <c r="AP4" s="580" t="s">
        <v>1101</v>
      </c>
      <c r="AQ4" s="580"/>
      <c r="AR4" s="580" t="str">
        <f aca="false">'安全阀选型(基础设计)'!AR5:AS5</f>
        <v>氮气</v>
      </c>
      <c r="AS4" s="580"/>
      <c r="AT4" s="580" t="str">
        <f aca="false">'安全阀选型(基础设计)'!AT5:AU5</f>
        <v>氮气</v>
      </c>
      <c r="AU4" s="580"/>
      <c r="AV4" s="580" t="str">
        <f aca="false">'安全阀选型(基础设计)'!AV5:AW5</f>
        <v>燃料气</v>
      </c>
      <c r="AW4" s="580"/>
      <c r="AX4" s="580" t="str">
        <f aca="false">'安全阀选型(基础设计)'!AX5:AY5</f>
        <v>净化风</v>
      </c>
      <c r="AY4" s="580"/>
      <c r="AZ4" s="581" t="s">
        <v>798</v>
      </c>
      <c r="BA4" s="581"/>
      <c r="BB4" s="580"/>
      <c r="BC4" s="580"/>
      <c r="BD4" s="580"/>
      <c r="BE4" s="580"/>
      <c r="BF4" s="580"/>
      <c r="BG4" s="580"/>
      <c r="BH4" s="580"/>
      <c r="BI4" s="580"/>
      <c r="BJ4" s="580"/>
      <c r="BK4" s="580"/>
      <c r="BL4" s="580"/>
      <c r="BM4" s="580"/>
      <c r="BN4" s="580"/>
      <c r="BO4" s="580"/>
      <c r="BP4" s="580"/>
      <c r="BQ4" s="580"/>
      <c r="BR4" s="580"/>
      <c r="BS4" s="580"/>
      <c r="BT4" s="580"/>
      <c r="BU4" s="580"/>
      <c r="BV4" s="580"/>
      <c r="BW4" s="580"/>
      <c r="BX4" s="580"/>
      <c r="BY4" s="580"/>
      <c r="BZ4" s="580"/>
      <c r="CA4" s="580"/>
      <c r="CB4" s="580"/>
      <c r="CC4" s="580"/>
      <c r="CD4" s="580"/>
      <c r="CE4" s="580"/>
      <c r="CF4" s="580"/>
      <c r="CG4" s="580"/>
      <c r="CH4" s="580"/>
      <c r="CI4" s="580"/>
      <c r="CJ4" s="582"/>
    </row>
    <row r="5" s="587" customFormat="true" ht="15" hidden="false" customHeight="false" outlineLevel="0" collapsed="false">
      <c r="A5" s="583" t="s">
        <v>1105</v>
      </c>
      <c r="B5" s="584" t="n">
        <v>200</v>
      </c>
      <c r="C5" s="584"/>
      <c r="D5" s="584" t="n">
        <f aca="false">B5</f>
        <v>200</v>
      </c>
      <c r="E5" s="584"/>
      <c r="F5" s="584" t="n">
        <v>401</v>
      </c>
      <c r="G5" s="584"/>
      <c r="H5" s="584" t="n">
        <v>60</v>
      </c>
      <c r="I5" s="584"/>
      <c r="J5" s="584" t="n">
        <v>200</v>
      </c>
      <c r="K5" s="584"/>
      <c r="L5" s="584" t="n">
        <v>60</v>
      </c>
      <c r="M5" s="584"/>
      <c r="N5" s="584" t="n">
        <v>360</v>
      </c>
      <c r="O5" s="584"/>
      <c r="P5" s="584" t="n">
        <v>60</v>
      </c>
      <c r="Q5" s="584"/>
      <c r="R5" s="584" t="n">
        <v>200</v>
      </c>
      <c r="S5" s="584"/>
      <c r="T5" s="584" t="n">
        <v>200</v>
      </c>
      <c r="U5" s="584"/>
      <c r="V5" s="584" t="n">
        <v>160</v>
      </c>
      <c r="W5" s="584"/>
      <c r="X5" s="584" t="n">
        <v>160</v>
      </c>
      <c r="Y5" s="584"/>
      <c r="Z5" s="584" t="n">
        <v>200</v>
      </c>
      <c r="AA5" s="584"/>
      <c r="AB5" s="585" t="n">
        <v>200</v>
      </c>
      <c r="AC5" s="585"/>
      <c r="AD5" s="584" t="n">
        <v>200</v>
      </c>
      <c r="AE5" s="584"/>
      <c r="AF5" s="584" t="n">
        <v>200</v>
      </c>
      <c r="AG5" s="584"/>
      <c r="AH5" s="584" t="n">
        <v>60</v>
      </c>
      <c r="AI5" s="584"/>
      <c r="AJ5" s="584" t="n">
        <v>40</v>
      </c>
      <c r="AK5" s="584"/>
      <c r="AL5" s="584" t="n">
        <v>60</v>
      </c>
      <c r="AM5" s="584"/>
      <c r="AN5" s="584" t="n">
        <v>60</v>
      </c>
      <c r="AO5" s="584"/>
      <c r="AP5" s="584" t="n">
        <v>120</v>
      </c>
      <c r="AQ5" s="584"/>
      <c r="AR5" s="584" t="n">
        <v>60</v>
      </c>
      <c r="AS5" s="584"/>
      <c r="AT5" s="584" t="n">
        <v>60</v>
      </c>
      <c r="AU5" s="584"/>
      <c r="AV5" s="584" t="n">
        <v>60</v>
      </c>
      <c r="AW5" s="584"/>
      <c r="AX5" s="584" t="n">
        <v>60</v>
      </c>
      <c r="AY5" s="584"/>
      <c r="AZ5" s="584" t="n">
        <v>285</v>
      </c>
      <c r="BA5" s="584"/>
      <c r="BB5" s="584"/>
      <c r="BC5" s="584"/>
      <c r="BD5" s="584"/>
      <c r="BE5" s="584"/>
      <c r="BF5" s="584"/>
      <c r="BG5" s="584"/>
      <c r="BH5" s="584"/>
      <c r="BI5" s="584"/>
      <c r="BJ5" s="584"/>
      <c r="BK5" s="584"/>
      <c r="BL5" s="584"/>
      <c r="BM5" s="584"/>
      <c r="BN5" s="584"/>
      <c r="BO5" s="584"/>
      <c r="BP5" s="584"/>
      <c r="BQ5" s="584"/>
      <c r="BR5" s="584"/>
      <c r="BS5" s="584"/>
      <c r="BT5" s="584"/>
      <c r="BU5" s="584"/>
      <c r="BV5" s="584"/>
      <c r="BW5" s="584"/>
      <c r="BX5" s="584"/>
      <c r="BY5" s="584"/>
      <c r="BZ5" s="584"/>
      <c r="CA5" s="584"/>
      <c r="CB5" s="584"/>
      <c r="CC5" s="584"/>
      <c r="CD5" s="584"/>
      <c r="CE5" s="584"/>
      <c r="CF5" s="584"/>
      <c r="CG5" s="584"/>
      <c r="CH5" s="584"/>
      <c r="CI5" s="584"/>
      <c r="CJ5" s="586"/>
    </row>
    <row r="6" s="592" customFormat="true" ht="15" hidden="false" customHeight="false" outlineLevel="0" collapsed="false">
      <c r="A6" s="588" t="s">
        <v>1106</v>
      </c>
      <c r="B6" s="589" t="n">
        <f aca="false">'安全阀选型(基础设计)'!B8:C8</f>
        <v>0.6</v>
      </c>
      <c r="C6" s="589"/>
      <c r="D6" s="589" t="n">
        <f aca="false">'安全阀选型(基础设计)'!D8:E8</f>
        <v>1.8</v>
      </c>
      <c r="E6" s="589"/>
      <c r="F6" s="589" t="n">
        <f aca="false">'安全阀选型(基础设计)'!F8:G8</f>
        <v>14.8</v>
      </c>
      <c r="G6" s="589"/>
      <c r="H6" s="589" t="n">
        <f aca="false">'安全阀选型(基础设计)'!H8:I8</f>
        <v>1</v>
      </c>
      <c r="I6" s="589"/>
      <c r="J6" s="589" t="n">
        <f aca="false">'安全阀选型(基础设计)'!J8:K8</f>
        <v>2.9</v>
      </c>
      <c r="K6" s="589"/>
      <c r="L6" s="589" t="n">
        <f aca="false">'安全阀选型(基础设计)'!L8:M8</f>
        <v>1</v>
      </c>
      <c r="M6" s="589"/>
      <c r="N6" s="589" t="n">
        <f aca="false">'安全阀选型(基础设计)'!N8:O8</f>
        <v>0.3</v>
      </c>
      <c r="O6" s="589"/>
      <c r="P6" s="589" t="n">
        <f aca="false">'安全阀选型(基础设计)'!P8:Q8</f>
        <v>0.2</v>
      </c>
      <c r="Q6" s="589"/>
      <c r="R6" s="589" t="n">
        <f aca="false">'安全阀选型(基础设计)'!R8:S8</f>
        <v>1.5</v>
      </c>
      <c r="S6" s="589"/>
      <c r="T6" s="589" t="n">
        <f aca="false">'安全阀选型(基础设计)'!T8:U8</f>
        <v>1.5</v>
      </c>
      <c r="U6" s="589"/>
      <c r="V6" s="589" t="n">
        <f aca="false">'安全阀选型(基础设计)'!V8:W8</f>
        <v>0.5</v>
      </c>
      <c r="W6" s="589"/>
      <c r="X6" s="589" t="n">
        <f aca="false">'安全阀选型(基础设计)'!X8:Y8</f>
        <v>0.5</v>
      </c>
      <c r="Y6" s="589"/>
      <c r="Z6" s="589" t="n">
        <f aca="false">'安全阀选型(基础设计)'!Z8:AA8</f>
        <v>0.35</v>
      </c>
      <c r="AA6" s="589"/>
      <c r="AB6" s="590" t="n">
        <f aca="false">'安全阀选型(基础设计)'!AB8:AC8</f>
        <v>2.6</v>
      </c>
      <c r="AC6" s="590"/>
      <c r="AD6" s="589" t="n">
        <f aca="false">'安全阀选型(基础设计)'!AD8:AE8</f>
        <v>1.5</v>
      </c>
      <c r="AE6" s="589"/>
      <c r="AF6" s="589" t="n">
        <f aca="false">'安全阀选型(基础设计)'!AF8:AG8</f>
        <v>1.5</v>
      </c>
      <c r="AG6" s="589"/>
      <c r="AH6" s="589" t="n">
        <f aca="false">'安全阀选型(基础设计)'!AH8:AI8</f>
        <v>0.6</v>
      </c>
      <c r="AI6" s="589"/>
      <c r="AJ6" s="589" t="n">
        <f aca="false">'安全阀选型(基础设计)'!AJ8:AK8</f>
        <v>2.5</v>
      </c>
      <c r="AK6" s="589"/>
      <c r="AL6" s="589" t="n">
        <f aca="false">'安全阀选型(基础设计)'!AL8:AM8</f>
        <v>3</v>
      </c>
      <c r="AM6" s="589"/>
      <c r="AN6" s="589" t="n">
        <f aca="false">'安全阀选型(基础设计)'!AN8:AO8</f>
        <v>0.6</v>
      </c>
      <c r="AO6" s="589"/>
      <c r="AP6" s="589" t="n">
        <f aca="false">'安全阀选型(基础设计)'!AP8:AQ8</f>
        <v>0.6</v>
      </c>
      <c r="AQ6" s="589"/>
      <c r="AR6" s="589" t="n">
        <f aca="false">'安全阀选型(基础设计)'!AR8:AS8</f>
        <v>0.8</v>
      </c>
      <c r="AS6" s="589"/>
      <c r="AT6" s="589" t="n">
        <f aca="false">'安全阀选型(基础设计)'!AT8:AU8</f>
        <v>0.8</v>
      </c>
      <c r="AU6" s="589"/>
      <c r="AV6" s="589" t="n">
        <f aca="false">'安全阀选型(基础设计)'!AV8:AW8</f>
        <v>0.55</v>
      </c>
      <c r="AW6" s="589"/>
      <c r="AX6" s="589" t="n">
        <f aca="false">'安全阀选型(基础设计)'!AX8:AY8</f>
        <v>0.8</v>
      </c>
      <c r="AY6" s="589"/>
      <c r="AZ6" s="575" t="n">
        <v>3.1</v>
      </c>
      <c r="BA6" s="575"/>
      <c r="BB6" s="575"/>
      <c r="BC6" s="575"/>
      <c r="BD6" s="575"/>
      <c r="BE6" s="575"/>
      <c r="BF6" s="575"/>
      <c r="BG6" s="575"/>
      <c r="BH6" s="575"/>
      <c r="BI6" s="575"/>
      <c r="BJ6" s="575"/>
      <c r="BK6" s="575"/>
      <c r="BL6" s="575"/>
      <c r="BM6" s="575"/>
      <c r="BN6" s="575"/>
      <c r="BO6" s="575"/>
      <c r="BP6" s="575"/>
      <c r="BQ6" s="575"/>
      <c r="BR6" s="575"/>
      <c r="BS6" s="575"/>
      <c r="BT6" s="575"/>
      <c r="BU6" s="575"/>
      <c r="BV6" s="575"/>
      <c r="BW6" s="575"/>
      <c r="BX6" s="575"/>
      <c r="BY6" s="575"/>
      <c r="BZ6" s="575"/>
      <c r="CA6" s="575"/>
      <c r="CB6" s="575"/>
      <c r="CC6" s="575"/>
      <c r="CD6" s="575"/>
      <c r="CE6" s="575"/>
      <c r="CF6" s="575"/>
      <c r="CG6" s="575"/>
      <c r="CH6" s="575"/>
      <c r="CI6" s="575"/>
      <c r="CJ6" s="591"/>
    </row>
    <row r="7" s="593" customFormat="true" ht="15" hidden="false" customHeight="false" outlineLevel="0" collapsed="false">
      <c r="A7" s="593" t="s">
        <v>1107</v>
      </c>
      <c r="B7" s="594" t="n">
        <f aca="false">'安全阀选型(基础设计)'!B7:C7</f>
        <v>1.8</v>
      </c>
      <c r="C7" s="594"/>
      <c r="D7" s="594" t="n">
        <f aca="false">'安全阀选型(基础设计)'!D7:E7</f>
        <v>1.8</v>
      </c>
      <c r="E7" s="594"/>
      <c r="F7" s="594" t="n">
        <f aca="false">'安全阀选型(基础设计)'!F7:G7</f>
        <v>15.7</v>
      </c>
      <c r="G7" s="594"/>
      <c r="H7" s="594" t="n">
        <f aca="false">'安全阀选型(基础设计)'!H7:I7</f>
        <v>1.6</v>
      </c>
      <c r="I7" s="594"/>
      <c r="J7" s="594" t="n">
        <f aca="false">'安全阀选型(基础设计)'!J7:K7</f>
        <v>3.1</v>
      </c>
      <c r="K7" s="594"/>
      <c r="L7" s="594" t="n">
        <f aca="false">'安全阀选型(基础设计)'!L7:M7</f>
        <v>1.2</v>
      </c>
      <c r="M7" s="594"/>
      <c r="N7" s="594" t="n">
        <f aca="false">'安全阀选型(基础设计)'!N7:O7</f>
        <v>0.4</v>
      </c>
      <c r="O7" s="594"/>
      <c r="P7" s="594" t="n">
        <f aca="false">'安全阀选型(基础设计)'!P7:Q7</f>
        <v>0.4</v>
      </c>
      <c r="Q7" s="594"/>
      <c r="R7" s="594" t="n">
        <f aca="false">'安全阀选型(基础设计)'!R7:S7</f>
        <v>1.7</v>
      </c>
      <c r="S7" s="594"/>
      <c r="T7" s="594" t="n">
        <f aca="false">'安全阀选型(基础设计)'!T7:U7</f>
        <v>1.7</v>
      </c>
      <c r="U7" s="594"/>
      <c r="V7" s="594" t="n">
        <f aca="false">'安全阀选型(基础设计)'!V7:W7</f>
        <v>0.7</v>
      </c>
      <c r="W7" s="594"/>
      <c r="X7" s="594" t="n">
        <f aca="false">'安全阀选型(基础设计)'!X7:Y7</f>
        <v>0.7</v>
      </c>
      <c r="Y7" s="594"/>
      <c r="Z7" s="594" t="n">
        <f aca="false">'安全阀选型(基础设计)'!Z7:AA7</f>
        <v>0.4</v>
      </c>
      <c r="AA7" s="594"/>
      <c r="AB7" s="595" t="n">
        <f aca="false">'安全阀选型(基础设计)'!AB7:AC7</f>
        <v>2.8</v>
      </c>
      <c r="AC7" s="595"/>
      <c r="AD7" s="594" t="n">
        <f aca="false">'安全阀选型(基础设计)'!AD7:AE7</f>
        <v>1.7</v>
      </c>
      <c r="AE7" s="594"/>
      <c r="AF7" s="594" t="n">
        <f aca="false">'安全阀选型(基础设计)'!AF7:AG7</f>
        <v>1.7</v>
      </c>
      <c r="AG7" s="594"/>
      <c r="AH7" s="594" t="n">
        <f aca="false">'安全阀选型(基础设计)'!AH7:AI7</f>
        <v>0.9</v>
      </c>
      <c r="AI7" s="594"/>
      <c r="AJ7" s="594" t="n">
        <f aca="false">'安全阀选型(基础设计)'!AJ7:AK7</f>
        <v>2.7</v>
      </c>
      <c r="AK7" s="594"/>
      <c r="AL7" s="594" t="n">
        <f aca="false">'安全阀选型(基础设计)'!AL7:AM7</f>
        <v>3.8</v>
      </c>
      <c r="AM7" s="594"/>
      <c r="AN7" s="594" t="n">
        <f aca="false">'安全阀选型(基础设计)'!AN7:AO7</f>
        <v>1</v>
      </c>
      <c r="AO7" s="594"/>
      <c r="AP7" s="594" t="n">
        <f aca="false">'安全阀选型(基础设计)'!AP7:AQ7</f>
        <v>1.8</v>
      </c>
      <c r="AQ7" s="594"/>
      <c r="AR7" s="594" t="n">
        <f aca="false">'安全阀选型(基础设计)'!AR7:AS7</f>
        <v>0.98</v>
      </c>
      <c r="AS7" s="594"/>
      <c r="AT7" s="594" t="n">
        <f aca="false">'安全阀选型(基础设计)'!AT7:AU7</f>
        <v>0.98</v>
      </c>
      <c r="AU7" s="594"/>
      <c r="AV7" s="594" t="n">
        <f aca="false">'安全阀选型(基础设计)'!AV7:AW7</f>
        <v>0.73</v>
      </c>
      <c r="AW7" s="594"/>
      <c r="AX7" s="594" t="n">
        <f aca="false">'安全阀选型(基础设计)'!AX7:AY7</f>
        <v>0.98</v>
      </c>
      <c r="AY7" s="594"/>
      <c r="AZ7" s="594" t="n">
        <f aca="false">IF(AZ6&lt;&gt;"",IF(RIGHT(AZ4,2)="蒸汽",IF(AZ6&lt;=0.8,AZ6+0.05,IF(AZ6&lt;=5.9,AZ6*1.06,AZ6*1.08)),IF(AZ6&lt;=1.8,AZ6+0.18,IF(AZ6&lt;4,AZ6*1.1,IF(AZ6&lt;8,AZ6+0.4,AZ6*1.05)))),"")</f>
        <v>3.41</v>
      </c>
      <c r="BA7" s="594"/>
      <c r="BB7" s="594" t="str">
        <f aca="false">IF(BB6&lt;&gt;"",IF(RIGHT(BB4,2)="蒸汽",IF(BB6&lt;=0.8,BB6+0.05,IF(BB6&lt;=5.9,BB6*1.06,BB6*1.08)),IF(BB6&lt;=1.8,BB6+0.18,IF(BB6&lt;4,BB6*1.1,IF(BB6&lt;8,BB6+0.4,BB6*1.05)))),"")</f>
        <v/>
      </c>
      <c r="BC7" s="594"/>
      <c r="BD7" s="594" t="str">
        <f aca="false">IF(BD6&lt;&gt;"",IF(RIGHT(BD4,2)="蒸汽",IF(BD6&lt;=0.8,BD6+0.05,IF(BD6&lt;=5.9,BD6*1.06,BD6*1.08)),IF(BD6&lt;=1.8,BD6+0.18,IF(BD6&lt;4,BD6*1.1,IF(BD6&lt;8,BD6+0.4,BD6*1.05)))),"")</f>
        <v/>
      </c>
      <c r="BE7" s="594"/>
      <c r="BF7" s="594" t="str">
        <f aca="false">IF(BF6&lt;&gt;"",IF(RIGHT(BF4,2)="蒸汽",IF(BF6&lt;=0.8,BF6+0.05,IF(BF6&lt;=5.9,BF6*1.06,BF6*1.08)),IF(BF6&lt;=1.8,BF6+0.18,IF(BF6&lt;4,BF6*1.1,IF(BF6&lt;8,BF6+0.4,BF6*1.05)))),"")</f>
        <v/>
      </c>
      <c r="BG7" s="594"/>
      <c r="BH7" s="594" t="str">
        <f aca="false">IF(BH6&lt;&gt;"",IF(RIGHT(BH4,2)="蒸汽",IF(BH6&lt;=0.8,BH6+0.05,IF(BH6&lt;=5.9,BH6*1.06,BH6*1.08)),IF(BH6&lt;=1.8,BH6+0.18,IF(BH6&lt;4,BH6*1.1,IF(BH6&lt;8,BH6+0.4,BH6*1.05)))),"")</f>
        <v/>
      </c>
      <c r="BI7" s="594"/>
      <c r="BJ7" s="594" t="str">
        <f aca="false">IF(BJ6&lt;&gt;"",IF(RIGHT(BJ4,2)="蒸汽",IF(BJ6&lt;=0.8,BJ6+0.05,IF(BJ6&lt;=5.9,BJ6*1.06,BJ6*1.08)),IF(BJ6&lt;=1.8,BJ6+0.18,IF(BJ6&lt;4,BJ6*1.1,IF(BJ6&lt;8,BJ6+0.4,BJ6*1.05)))),"")</f>
        <v/>
      </c>
      <c r="BK7" s="594"/>
      <c r="BL7" s="594" t="str">
        <f aca="false">IF(BL6&lt;&gt;"",IF(RIGHT(BL4,2)="蒸汽",IF(BL6&lt;=0.8,BL6+0.05,IF(BL6&lt;=5.9,BL6*1.06,BL6*1.08)),IF(BL6&lt;=1.8,BL6+0.18,IF(BL6&lt;4,BL6*1.1,IF(BL6&lt;8,BL6+0.4,BL6*1.05)))),"")</f>
        <v/>
      </c>
      <c r="BM7" s="594"/>
      <c r="BN7" s="594" t="str">
        <f aca="false">IF(BN6&lt;&gt;"",IF(RIGHT(BN4,2)="蒸汽",IF(BN6&lt;=0.8,BN6+0.05,IF(BN6&lt;=5.9,BN6*1.06,BN6*1.08)),IF(BN6&lt;=1.8,BN6+0.18,IF(BN6&lt;4,BN6*1.1,IF(BN6&lt;8,BN6+0.4,BN6*1.05)))),"")</f>
        <v/>
      </c>
      <c r="BO7" s="594"/>
      <c r="BP7" s="594" t="str">
        <f aca="false">IF(BP6&lt;&gt;"",IF(RIGHT(BP4,2)="蒸汽",IF(BP6&lt;=0.8,BP6+0.05,IF(BP6&lt;=5.9,BP6*1.06,BP6*1.08)),IF(BP6&lt;=1.8,BP6+0.18,IF(BP6&lt;4,BP6*1.1,IF(BP6&lt;8,BP6+0.4,BP6*1.05)))),"")</f>
        <v/>
      </c>
      <c r="BQ7" s="594"/>
      <c r="BR7" s="594" t="str">
        <f aca="false">IF(BR6&lt;&gt;"",IF(RIGHT(BR4,2)="蒸汽",IF(BR6&lt;=0.8,BR6+0.05,IF(BR6&lt;=5.9,BR6*1.06,BR6*1.08)),IF(BR6&lt;=1.8,BR6+0.18,IF(BR6&lt;4,BR6*1.1,IF(BR6&lt;8,BR6+0.4,BR6*1.05)))),"")</f>
        <v/>
      </c>
      <c r="BS7" s="594"/>
      <c r="BT7" s="594" t="str">
        <f aca="false">IF(BT6&lt;&gt;"",IF(RIGHT(BT4,2)="蒸汽",IF(BT6&lt;=0.8,BT6+0.05,IF(BT6&lt;=5.9,BT6*1.06,BT6*1.08)),IF(BT6&lt;=1.8,BT6+0.18,IF(BT6&lt;4,BT6*1.1,IF(BT6&lt;8,BT6+0.4,BT6*1.05)))),"")</f>
        <v/>
      </c>
      <c r="BU7" s="594"/>
      <c r="BV7" s="594" t="str">
        <f aca="false">IF(BV6&lt;&gt;"",IF(RIGHT(BV4,2)="蒸汽",IF(BV6&lt;=0.8,BV6+0.05,IF(BV6&lt;=5.9,BV6*1.06,BV6*1.08)),IF(BV6&lt;=1.8,BV6+0.18,IF(BV6&lt;4,BV6*1.1,IF(BV6&lt;8,BV6+0.4,BV6*1.05)))),"")</f>
        <v/>
      </c>
      <c r="BW7" s="594"/>
      <c r="BX7" s="594" t="str">
        <f aca="false">IF(BX6&lt;&gt;"",IF(RIGHT(BX4,2)="蒸汽",IF(BX6&lt;=0.8,BX6+0.05,IF(BX6&lt;=5.9,BX6*1.06,BX6*1.08)),IF(BX6&lt;=1.8,BX6+0.18,IF(BX6&lt;4,BX6*1.1,IF(BX6&lt;8,BX6+0.4,BX6*1.05)))),"")</f>
        <v/>
      </c>
      <c r="BY7" s="594"/>
      <c r="BZ7" s="594" t="str">
        <f aca="false">IF(BZ6&lt;&gt;"",IF(RIGHT(BZ4,2)="蒸汽",IF(BZ6&lt;=0.8,BZ6+0.05,IF(BZ6&lt;=5.9,BZ6*1.06,BZ6*1.08)),IF(BZ6&lt;=1.8,BZ6+0.18,IF(BZ6&lt;4,BZ6*1.1,IF(BZ6&lt;8,BZ6+0.4,BZ6*1.05)))),"")</f>
        <v/>
      </c>
      <c r="CA7" s="594"/>
      <c r="CB7" s="594" t="str">
        <f aca="false">IF(CB6&lt;&gt;"",IF(RIGHT(CB4,2)="蒸汽",IF(CB6&lt;=0.8,CB6+0.05,IF(CB6&lt;=5.9,CB6*1.06,CB6*1.08)),IF(CB6&lt;=1.8,CB6+0.18,IF(CB6&lt;4,CB6*1.1,IF(CB6&lt;8,CB6+0.4,CB6*1.05)))),"")</f>
        <v/>
      </c>
      <c r="CC7" s="594"/>
      <c r="CD7" s="594" t="str">
        <f aca="false">IF(CD6&lt;&gt;"",IF(RIGHT(CD4,2)="蒸汽",IF(CD6&lt;=0.8,CD6+0.05,IF(CD6&lt;=5.9,CD6*1.06,CD6*1.08)),IF(CD6&lt;=1.8,CD6+0.18,IF(CD6&lt;4,CD6*1.1,IF(CD6&lt;8,CD6+0.4,CD6*1.05)))),"")</f>
        <v/>
      </c>
      <c r="CE7" s="594"/>
      <c r="CF7" s="594" t="str">
        <f aca="false">IF(CF6&lt;&gt;"",IF(RIGHT(CF4,2)="蒸汽",IF(CF6&lt;=0.8,CF6+0.05,IF(CF6&lt;=5.9,CF6*1.06,CF6*1.08)),IF(CF6&lt;=1.8,CF6+0.18,IF(CF6&lt;4,CF6*1.1,IF(CF6&lt;8,CF6+0.4,CF6*1.05)))),"")</f>
        <v/>
      </c>
      <c r="CG7" s="594"/>
      <c r="CH7" s="594" t="str">
        <f aca="false">IF(CH6&lt;&gt;"",IF(RIGHT(CH4,2)="蒸汽",IF(CH6&lt;=0.8,CH6+0.05,IF(CH6&lt;=5.9,CH6*1.06,CH6*1.08)),IF(CH6&lt;=1.8,CH6+0.18,IF(CH6&lt;4,CH6*1.1,IF(CH6&lt;8,CH6+0.4,CH6*1.05)))),"")</f>
        <v/>
      </c>
      <c r="CI7" s="594"/>
      <c r="CJ7" s="596"/>
    </row>
    <row r="8" s="593" customFormat="true" ht="15" hidden="false" customHeight="false" outlineLevel="0" collapsed="false">
      <c r="A8" s="593" t="s">
        <v>1108</v>
      </c>
      <c r="B8" s="594" t="n">
        <f aca="false">IF(B7&lt;&gt;"",B7,"")</f>
        <v>1.8</v>
      </c>
      <c r="C8" s="594"/>
      <c r="D8" s="594" t="n">
        <f aca="false">IF(D7&lt;&gt;"",D7,"")</f>
        <v>1.8</v>
      </c>
      <c r="E8" s="594"/>
      <c r="F8" s="594" t="n">
        <f aca="false">IF(F7&lt;&gt;"",F7,"")</f>
        <v>15.7</v>
      </c>
      <c r="G8" s="594"/>
      <c r="H8" s="594" t="n">
        <f aca="false">IF(H7&lt;&gt;"",H7,"")</f>
        <v>1.6</v>
      </c>
      <c r="I8" s="594"/>
      <c r="J8" s="594" t="n">
        <f aca="false">IF(J7&lt;&gt;"",J7,"")</f>
        <v>3.1</v>
      </c>
      <c r="K8" s="594"/>
      <c r="L8" s="594" t="n">
        <f aca="false">IF(L7&lt;&gt;"",L7,"")</f>
        <v>1.2</v>
      </c>
      <c r="M8" s="594"/>
      <c r="N8" s="594" t="n">
        <f aca="false">IF(N7&lt;&gt;"",N7,"")</f>
        <v>0.4</v>
      </c>
      <c r="O8" s="594"/>
      <c r="P8" s="594" t="n">
        <f aca="false">IF(P7&lt;&gt;"",P7,"")</f>
        <v>0.4</v>
      </c>
      <c r="Q8" s="594"/>
      <c r="R8" s="594" t="n">
        <f aca="false">IF(R7&lt;&gt;"",R7,"")</f>
        <v>1.7</v>
      </c>
      <c r="S8" s="594"/>
      <c r="T8" s="594" t="n">
        <f aca="false">IF(T7&lt;&gt;"",T7,"")</f>
        <v>1.7</v>
      </c>
      <c r="U8" s="594"/>
      <c r="V8" s="594" t="n">
        <f aca="false">IF(V7&lt;&gt;"",V7,"")</f>
        <v>0.7</v>
      </c>
      <c r="W8" s="594"/>
      <c r="X8" s="594" t="n">
        <f aca="false">IF(X7&lt;&gt;"",X7,"")</f>
        <v>0.7</v>
      </c>
      <c r="Y8" s="594"/>
      <c r="Z8" s="594" t="n">
        <f aca="false">IF(Z7&lt;&gt;"",Z7,"")</f>
        <v>0.4</v>
      </c>
      <c r="AA8" s="594"/>
      <c r="AB8" s="595" t="n">
        <f aca="false">IF(AB7&lt;&gt;"",AB7,"")</f>
        <v>2.8</v>
      </c>
      <c r="AC8" s="595"/>
      <c r="AD8" s="594" t="n">
        <f aca="false">IF(AD7&lt;&gt;"",AD7,"")</f>
        <v>1.7</v>
      </c>
      <c r="AE8" s="594"/>
      <c r="AF8" s="594" t="n">
        <f aca="false">IF(AF7&lt;&gt;"",AF7,"")</f>
        <v>1.7</v>
      </c>
      <c r="AG8" s="594"/>
      <c r="AH8" s="594" t="n">
        <f aca="false">IF(AH7&lt;&gt;"",AH7,"")</f>
        <v>0.9</v>
      </c>
      <c r="AI8" s="594"/>
      <c r="AJ8" s="594" t="n">
        <f aca="false">IF(AJ7&lt;&gt;"",AJ7,"")</f>
        <v>2.7</v>
      </c>
      <c r="AK8" s="594"/>
      <c r="AL8" s="594" t="n">
        <f aca="false">IF(AL7&lt;&gt;"",AL7,"")</f>
        <v>3.8</v>
      </c>
      <c r="AM8" s="594"/>
      <c r="AN8" s="594" t="n">
        <f aca="false">IF(AN7&lt;&gt;"",AN7,"")</f>
        <v>1</v>
      </c>
      <c r="AO8" s="594"/>
      <c r="AP8" s="594" t="n">
        <f aca="false">IF(AP7&lt;&gt;"",AP7,"")</f>
        <v>1.8</v>
      </c>
      <c r="AQ8" s="594"/>
      <c r="AR8" s="594" t="n">
        <f aca="false">IF(AR7&lt;&gt;"",AR7,"")</f>
        <v>0.98</v>
      </c>
      <c r="AS8" s="594"/>
      <c r="AT8" s="594" t="n">
        <f aca="false">IF(AT7&lt;&gt;"",AT7,"")</f>
        <v>0.98</v>
      </c>
      <c r="AU8" s="594"/>
      <c r="AV8" s="594" t="n">
        <f aca="false">IF(AV7&lt;&gt;"",AV7,"")</f>
        <v>0.73</v>
      </c>
      <c r="AW8" s="594"/>
      <c r="AX8" s="594" t="n">
        <f aca="false">IF(AX7&lt;&gt;"",AX7,"")</f>
        <v>0.98</v>
      </c>
      <c r="AY8" s="594"/>
      <c r="AZ8" s="594" t="n">
        <f aca="false">IF(AZ7&lt;&gt;"",AZ7,"")</f>
        <v>3.41</v>
      </c>
      <c r="BA8" s="594"/>
      <c r="BB8" s="594" t="str">
        <f aca="false">IF(BB7&lt;&gt;"",BB7,"")</f>
        <v/>
      </c>
      <c r="BC8" s="594"/>
      <c r="BD8" s="594" t="str">
        <f aca="false">IF(BD7&lt;&gt;"",BD7,"")</f>
        <v/>
      </c>
      <c r="BE8" s="594"/>
      <c r="BF8" s="594" t="str">
        <f aca="false">IF(BF7&lt;&gt;"",BF7,"")</f>
        <v/>
      </c>
      <c r="BG8" s="594"/>
      <c r="BH8" s="594" t="str">
        <f aca="false">IF(BH7&lt;&gt;"",BH7,"")</f>
        <v/>
      </c>
      <c r="BI8" s="594"/>
      <c r="BJ8" s="594" t="str">
        <f aca="false">IF(BJ7&lt;&gt;"",BJ7,"")</f>
        <v/>
      </c>
      <c r="BK8" s="594"/>
      <c r="BL8" s="594" t="str">
        <f aca="false">IF(BL7&lt;&gt;"",BL7,"")</f>
        <v/>
      </c>
      <c r="BM8" s="594"/>
      <c r="BN8" s="594" t="str">
        <f aca="false">IF(BN7&lt;&gt;"",BN7,"")</f>
        <v/>
      </c>
      <c r="BO8" s="594"/>
      <c r="BP8" s="594" t="str">
        <f aca="false">IF(BP7&lt;&gt;"",BP7,"")</f>
        <v/>
      </c>
      <c r="BQ8" s="594"/>
      <c r="BR8" s="594" t="str">
        <f aca="false">IF(BR7&lt;&gt;"",BR7,"")</f>
        <v/>
      </c>
      <c r="BS8" s="594"/>
      <c r="BT8" s="594" t="str">
        <f aca="false">IF(BT7&lt;&gt;"",BT7,"")</f>
        <v/>
      </c>
      <c r="BU8" s="594"/>
      <c r="BV8" s="594" t="str">
        <f aca="false">IF(BV7&lt;&gt;"",BV7,"")</f>
        <v/>
      </c>
      <c r="BW8" s="594"/>
      <c r="BX8" s="594" t="str">
        <f aca="false">IF(BX7&lt;&gt;"",BX7,"")</f>
        <v/>
      </c>
      <c r="BY8" s="594"/>
      <c r="BZ8" s="594" t="str">
        <f aca="false">IF(BZ7&lt;&gt;"",BZ7,"")</f>
        <v/>
      </c>
      <c r="CA8" s="594"/>
      <c r="CB8" s="594" t="str">
        <f aca="false">IF(CB7&lt;&gt;"",CB7,"")</f>
        <v/>
      </c>
      <c r="CC8" s="594"/>
      <c r="CD8" s="594" t="str">
        <f aca="false">IF(CD7&lt;&gt;"",CD7,"")</f>
        <v/>
      </c>
      <c r="CE8" s="594"/>
      <c r="CF8" s="594" t="str">
        <f aca="false">IF(CF7&lt;&gt;"",CF7,"")</f>
        <v/>
      </c>
      <c r="CG8" s="594"/>
      <c r="CH8" s="594" t="str">
        <f aca="false">IF(CH7&lt;&gt;"",CH7,"")</f>
        <v/>
      </c>
      <c r="CI8" s="594"/>
      <c r="CJ8" s="596"/>
    </row>
    <row r="9" s="599" customFormat="true" ht="15" hidden="false" customHeight="false" outlineLevel="0" collapsed="false">
      <c r="A9" s="597" t="s">
        <v>1109</v>
      </c>
      <c r="B9" s="575" t="n">
        <f aca="false">'安全阀选型(基础设计)'!B12:C12+0.1</f>
        <v>0.25</v>
      </c>
      <c r="C9" s="575"/>
      <c r="D9" s="575" t="n">
        <f aca="false">'安全阀选型(基础设计)'!D12:E12+0.1</f>
        <v>0.5</v>
      </c>
      <c r="E9" s="575"/>
      <c r="F9" s="575" t="n">
        <f aca="false">'安全阀选型(基础设计)'!F12:G12+0.1</f>
        <v>3.09</v>
      </c>
      <c r="G9" s="575"/>
      <c r="H9" s="575" t="n">
        <f aca="false">'安全阀选型(基础设计)'!H12:I12+0.1</f>
        <v>0.25</v>
      </c>
      <c r="I9" s="575"/>
      <c r="J9" s="575" t="n">
        <f aca="false">'安全阀选型(基础设计)'!J12:K12+0.1</f>
        <v>0.25</v>
      </c>
      <c r="K9" s="575"/>
      <c r="L9" s="575" t="n">
        <f aca="false">'安全阀选型(基础设计)'!L12:M12+0.1</f>
        <v>0.25</v>
      </c>
      <c r="M9" s="575"/>
      <c r="N9" s="575" t="n">
        <f aca="false">'安全阀选型(基础设计)'!N12:O12+0.1</f>
        <v>0.25</v>
      </c>
      <c r="O9" s="575"/>
      <c r="P9" s="575" t="n">
        <f aca="false">'安全阀选型(基础设计)'!P12:Q12+0.1</f>
        <v>0.25</v>
      </c>
      <c r="Q9" s="575"/>
      <c r="R9" s="575" t="n">
        <f aca="false">'安全阀选型(基础设计)'!R12:S12+0.1</f>
        <v>0.1</v>
      </c>
      <c r="S9" s="575"/>
      <c r="T9" s="575" t="n">
        <f aca="false">'安全阀选型(基础设计)'!T12:U12+0.1</f>
        <v>0.1</v>
      </c>
      <c r="U9" s="575"/>
      <c r="V9" s="575" t="n">
        <f aca="false">'安全阀选型(基础设计)'!V12:W12+0.1</f>
        <v>0.1</v>
      </c>
      <c r="W9" s="575"/>
      <c r="X9" s="575" t="n">
        <f aca="false">'安全阀选型(基础设计)'!X12:Y12+0.1</f>
        <v>0.1</v>
      </c>
      <c r="Y9" s="575"/>
      <c r="Z9" s="575" t="n">
        <f aca="false">'安全阀选型(基础设计)'!Z12:AA12+0.1</f>
        <v>0.1</v>
      </c>
      <c r="AA9" s="575"/>
      <c r="AB9" s="576" t="n">
        <f aca="false">'安全阀选型(基础设计)'!AB12:AC12+0.1</f>
        <v>0.1</v>
      </c>
      <c r="AC9" s="576"/>
      <c r="AD9" s="575" t="n">
        <f aca="false">'安全阀选型(基础设计)'!AD12:AE12+0.1</f>
        <v>0.1</v>
      </c>
      <c r="AE9" s="575"/>
      <c r="AF9" s="575" t="n">
        <f aca="false">'安全阀选型(基础设计)'!AF12:AG12+0.1</f>
        <v>0.1</v>
      </c>
      <c r="AG9" s="575"/>
      <c r="AH9" s="575" t="n">
        <f aca="false">'安全阀选型(基础设计)'!AH12:AI12+0.1</f>
        <v>0.25</v>
      </c>
      <c r="AI9" s="575"/>
      <c r="AJ9" s="575" t="n">
        <f aca="false">'安全阀选型(基础设计)'!AJ12:AK12+0.1</f>
        <v>0.5</v>
      </c>
      <c r="AK9" s="575"/>
      <c r="AL9" s="575" t="n">
        <f aca="false">'安全阀选型(基础设计)'!AL12:AM12+0.1</f>
        <v>0.5</v>
      </c>
      <c r="AM9" s="575"/>
      <c r="AN9" s="575" t="n">
        <f aca="false">'安全阀选型(基础设计)'!AN12:AO12+0.1</f>
        <v>0.25</v>
      </c>
      <c r="AO9" s="575"/>
      <c r="AP9" s="575" t="n">
        <f aca="false">'安全阀选型(基础设计)'!AP12:AQ12+0.1</f>
        <v>0.25</v>
      </c>
      <c r="AQ9" s="575"/>
      <c r="AR9" s="575" t="n">
        <f aca="false">'安全阀选型(基础设计)'!AR12:AS12+0.1</f>
        <v>0.25</v>
      </c>
      <c r="AS9" s="575"/>
      <c r="AT9" s="575" t="n">
        <f aca="false">'安全阀选型(基础设计)'!AT12:AU12+0.1</f>
        <v>0.25</v>
      </c>
      <c r="AU9" s="575"/>
      <c r="AV9" s="575" t="n">
        <f aca="false">'安全阀选型(基础设计)'!AV12:AW12+0.1</f>
        <v>0.25</v>
      </c>
      <c r="AW9" s="575"/>
      <c r="AX9" s="575" t="n">
        <f aca="false">'安全阀选型(基础设计)'!AX12:AY12+0.1</f>
        <v>0.1</v>
      </c>
      <c r="AY9" s="575"/>
      <c r="AZ9" s="575" t="n">
        <v>3.01</v>
      </c>
      <c r="BA9" s="575"/>
      <c r="BB9" s="575"/>
      <c r="BC9" s="575"/>
      <c r="BD9" s="575"/>
      <c r="BE9" s="575"/>
      <c r="BF9" s="575"/>
      <c r="BG9" s="575"/>
      <c r="BH9" s="575"/>
      <c r="BI9" s="575"/>
      <c r="BJ9" s="575"/>
      <c r="BK9" s="575"/>
      <c r="BL9" s="575"/>
      <c r="BM9" s="575"/>
      <c r="BN9" s="575"/>
      <c r="BO9" s="575"/>
      <c r="BP9" s="575"/>
      <c r="BQ9" s="575"/>
      <c r="BR9" s="575"/>
      <c r="BS9" s="575"/>
      <c r="BT9" s="575"/>
      <c r="BU9" s="575"/>
      <c r="BV9" s="575"/>
      <c r="BW9" s="575"/>
      <c r="BX9" s="575"/>
      <c r="BY9" s="575"/>
      <c r="BZ9" s="575"/>
      <c r="CA9" s="575"/>
      <c r="CB9" s="575"/>
      <c r="CC9" s="575"/>
      <c r="CD9" s="575"/>
      <c r="CE9" s="575"/>
      <c r="CF9" s="575"/>
      <c r="CG9" s="575"/>
      <c r="CH9" s="575"/>
      <c r="CI9" s="575"/>
      <c r="CJ9" s="598"/>
    </row>
    <row r="10" s="443" customFormat="true" ht="15" hidden="false" customHeight="false" outlineLevel="0" collapsed="false">
      <c r="A10" s="600" t="s">
        <v>1110</v>
      </c>
      <c r="B10" s="601"/>
      <c r="C10" s="601"/>
      <c r="D10" s="601"/>
      <c r="E10" s="601"/>
      <c r="F10" s="601"/>
      <c r="G10" s="601"/>
      <c r="H10" s="601"/>
      <c r="I10" s="601"/>
      <c r="J10" s="601"/>
      <c r="K10" s="601"/>
      <c r="L10" s="601"/>
      <c r="M10" s="601"/>
      <c r="N10" s="601"/>
      <c r="O10" s="601"/>
      <c r="P10" s="601"/>
      <c r="Q10" s="601"/>
      <c r="V10" s="575" t="n">
        <f aca="false">V5-184</f>
        <v>-24</v>
      </c>
      <c r="W10" s="575"/>
      <c r="X10" s="584"/>
      <c r="Y10" s="584"/>
      <c r="Z10" s="584"/>
      <c r="AA10" s="584"/>
      <c r="AB10" s="585"/>
      <c r="AC10" s="585"/>
      <c r="AD10" s="584"/>
      <c r="AE10" s="584"/>
      <c r="AF10" s="584"/>
      <c r="AG10" s="584"/>
      <c r="AH10" s="584"/>
      <c r="AI10" s="584"/>
      <c r="AJ10" s="584"/>
      <c r="AK10" s="584"/>
      <c r="AL10" s="584"/>
      <c r="AM10" s="584"/>
      <c r="AN10" s="584"/>
      <c r="AO10" s="584"/>
      <c r="AP10" s="584"/>
      <c r="AQ10" s="584"/>
      <c r="AR10" s="584"/>
      <c r="AS10" s="584"/>
      <c r="AT10" s="584"/>
      <c r="AU10" s="584"/>
      <c r="AV10" s="584"/>
      <c r="AW10" s="584"/>
      <c r="AX10" s="584"/>
      <c r="AY10" s="584"/>
      <c r="AZ10" s="584"/>
      <c r="BA10" s="584"/>
      <c r="BB10" s="584"/>
      <c r="BC10" s="584"/>
      <c r="BD10" s="584"/>
      <c r="BE10" s="584"/>
      <c r="BF10" s="584"/>
      <c r="BG10" s="584"/>
      <c r="BH10" s="584"/>
      <c r="BI10" s="584"/>
      <c r="BJ10" s="584"/>
      <c r="BK10" s="584"/>
      <c r="BL10" s="584"/>
      <c r="BM10" s="584"/>
      <c r="BN10" s="584"/>
      <c r="BO10" s="584"/>
      <c r="BP10" s="584"/>
      <c r="BQ10" s="584"/>
      <c r="BR10" s="584"/>
      <c r="BS10" s="584"/>
      <c r="BT10" s="584"/>
      <c r="BU10" s="584"/>
      <c r="BV10" s="584"/>
      <c r="BW10" s="584"/>
      <c r="BX10" s="584"/>
      <c r="BY10" s="584"/>
      <c r="BZ10" s="584"/>
      <c r="CA10" s="584"/>
      <c r="CB10" s="584"/>
      <c r="CC10" s="584"/>
      <c r="CD10" s="584"/>
      <c r="CE10" s="584"/>
      <c r="CF10" s="584"/>
      <c r="CG10" s="584"/>
      <c r="CH10" s="584"/>
      <c r="CI10" s="584"/>
      <c r="CJ10" s="385"/>
    </row>
    <row r="11" s="443" customFormat="true" ht="15" hidden="false" customHeight="false" outlineLevel="0" collapsed="false">
      <c r="A11" s="602" t="s">
        <v>1111</v>
      </c>
      <c r="B11" s="603"/>
      <c r="C11" s="603"/>
      <c r="D11" s="603"/>
      <c r="E11" s="603"/>
      <c r="F11" s="603"/>
      <c r="G11" s="603"/>
      <c r="H11" s="603"/>
      <c r="I11" s="603"/>
      <c r="J11" s="603"/>
      <c r="K11" s="603"/>
      <c r="L11" s="603"/>
      <c r="M11" s="603"/>
      <c r="N11" s="603"/>
      <c r="O11" s="603"/>
      <c r="P11" s="603"/>
      <c r="Q11" s="603"/>
      <c r="AB11" s="604"/>
      <c r="AC11" s="604"/>
      <c r="CJ11" s="385"/>
    </row>
    <row r="12" s="609" customFormat="true" ht="15" hidden="false" customHeight="false" outlineLevel="0" collapsed="false">
      <c r="A12" s="605" t="s">
        <v>1112</v>
      </c>
      <c r="B12" s="606" t="n">
        <f aca="false">'安全阀选型(基础设计)'!B15:C15</f>
        <v>109.18</v>
      </c>
      <c r="C12" s="606"/>
      <c r="D12" s="606" t="n">
        <f aca="false">'安全阀选型(基础设计)'!D15:E15</f>
        <v>185</v>
      </c>
      <c r="E12" s="606"/>
      <c r="F12" s="606" t="n">
        <f aca="false">'安全阀选型(基础设计)'!F15:G15</f>
        <v>400.58</v>
      </c>
      <c r="G12" s="606"/>
      <c r="H12" s="606" t="n">
        <f aca="false">'安全阀选型(基础设计)'!H15:I15</f>
        <v>456.5</v>
      </c>
      <c r="I12" s="606"/>
      <c r="J12" s="606" t="n">
        <f aca="false">'安全阀选型(基础设计)'!J15:K15</f>
        <v>40</v>
      </c>
      <c r="K12" s="606"/>
      <c r="L12" s="606" t="n">
        <f aca="false">'安全阀选型(基础设计)'!L15:M15</f>
        <v>489.91</v>
      </c>
      <c r="M12" s="606"/>
      <c r="N12" s="606" t="n">
        <f aca="false">'安全阀选型(基础设计)'!N15:O15</f>
        <v>455.7</v>
      </c>
      <c r="O12" s="606"/>
      <c r="P12" s="606" t="n">
        <f aca="false">'安全阀选型(基础设计)'!P15:Q15</f>
        <v>427.39</v>
      </c>
      <c r="Q12" s="606"/>
      <c r="R12" s="606" t="n">
        <f aca="false">'安全阀选型(基础设计)'!R15:S15</f>
        <v>216.25</v>
      </c>
      <c r="S12" s="606"/>
      <c r="T12" s="606" t="n">
        <f aca="false">'安全阀选型(基础设计)'!T15:U15</f>
        <v>216.254</v>
      </c>
      <c r="U12" s="606"/>
      <c r="V12" s="606" t="n">
        <f aca="false">'安全阀选型(基础设计)'!V15:W15</f>
        <v>177.59</v>
      </c>
      <c r="W12" s="606"/>
      <c r="X12" s="606" t="n">
        <f aca="false">'安全阀选型(基础设计)'!X15:Y15</f>
        <v>177.59</v>
      </c>
      <c r="Y12" s="606"/>
      <c r="Z12" s="606" t="n">
        <f aca="false">'安全阀选型(基础设计)'!Z15:AA15</f>
        <v>221</v>
      </c>
      <c r="AA12" s="606"/>
      <c r="AB12" s="607" t="str">
        <f aca="false">'安全阀选型(基础设计)'!AB15:AC15</f>
        <v>227.33</v>
      </c>
      <c r="AC12" s="607"/>
      <c r="AD12" s="606" t="n">
        <f aca="false">'安全阀选型(基础设计)'!AD15:AE15</f>
        <v>216.25</v>
      </c>
      <c r="AE12" s="606"/>
      <c r="AF12" s="606" t="n">
        <f aca="false">'安全阀选型(基础设计)'!AF15:AG15</f>
        <v>216.25</v>
      </c>
      <c r="AG12" s="606"/>
      <c r="AH12" s="606" t="n">
        <f aca="false">'安全阀选型(基础设计)'!AH15:AI15</f>
        <v>93.25</v>
      </c>
      <c r="AI12" s="606"/>
      <c r="AJ12" s="606" t="n">
        <f aca="false">'安全阀选型(基础设计)'!AJ15:AK15</f>
        <v>40</v>
      </c>
      <c r="AK12" s="606"/>
      <c r="AL12" s="606" t="n">
        <f aca="false">'安全阀选型(基础设计)'!AL15:AM15</f>
        <v>55.88</v>
      </c>
      <c r="AM12" s="606"/>
      <c r="AN12" s="606" t="n">
        <f aca="false">'安全阀选型(基础设计)'!AN15:AO15</f>
        <v>192.01</v>
      </c>
      <c r="AO12" s="606"/>
      <c r="AP12" s="606" t="n">
        <f aca="false">'安全阀选型(基础设计)'!AP15:AQ15</f>
        <v>109.18</v>
      </c>
      <c r="AQ12" s="606"/>
      <c r="AR12" s="606" t="n">
        <f aca="false">'安全阀选型(基础设计)'!AR15:AS15</f>
        <v>40</v>
      </c>
      <c r="AS12" s="606"/>
      <c r="AT12" s="606" t="n">
        <f aca="false">'安全阀选型(基础设计)'!AT15:AU15</f>
        <v>40</v>
      </c>
      <c r="AU12" s="606"/>
      <c r="AV12" s="606" t="n">
        <f aca="false">'安全阀选型(基础设计)'!AV15:AW15</f>
        <v>40</v>
      </c>
      <c r="AW12" s="606"/>
      <c r="AX12" s="606" t="n">
        <f aca="false">'安全阀选型(基础设计)'!AX15:AY15</f>
        <v>40</v>
      </c>
      <c r="AY12" s="606"/>
      <c r="AZ12" s="606" t="n">
        <f aca="false">AZ5</f>
        <v>285</v>
      </c>
      <c r="BA12" s="606"/>
      <c r="BB12" s="606"/>
      <c r="BC12" s="606"/>
      <c r="BD12" s="606"/>
      <c r="BE12" s="606"/>
      <c r="BF12" s="606"/>
      <c r="BG12" s="606"/>
      <c r="BH12" s="606"/>
      <c r="BI12" s="606"/>
      <c r="BJ12" s="606"/>
      <c r="BK12" s="606"/>
      <c r="BL12" s="606"/>
      <c r="BM12" s="606"/>
      <c r="BN12" s="606"/>
      <c r="BO12" s="606"/>
      <c r="BP12" s="606"/>
      <c r="BQ12" s="606"/>
      <c r="BR12" s="606"/>
      <c r="BS12" s="606"/>
      <c r="BT12" s="606"/>
      <c r="BU12" s="606"/>
      <c r="BV12" s="606"/>
      <c r="BW12" s="606"/>
      <c r="BX12" s="606"/>
      <c r="BY12" s="606"/>
      <c r="BZ12" s="606"/>
      <c r="CA12" s="606"/>
      <c r="CB12" s="606"/>
      <c r="CC12" s="606"/>
      <c r="CD12" s="606"/>
      <c r="CE12" s="606"/>
      <c r="CF12" s="606"/>
      <c r="CG12" s="606"/>
      <c r="CH12" s="606"/>
      <c r="CI12" s="606"/>
      <c r="CJ12" s="608"/>
    </row>
    <row r="13" s="610" customFormat="true" ht="15" hidden="false" customHeight="false" outlineLevel="0" collapsed="false">
      <c r="A13" s="610" t="s">
        <v>1113</v>
      </c>
      <c r="B13" s="611" t="n">
        <f aca="false">IF(B12&lt;&gt;"",B12+273.15,"")</f>
        <v>382.33</v>
      </c>
      <c r="C13" s="611"/>
      <c r="D13" s="611" t="n">
        <f aca="false">IF(D12&lt;&gt;"",D12+273.15,"")</f>
        <v>458.15</v>
      </c>
      <c r="E13" s="611"/>
      <c r="F13" s="611" t="n">
        <f aca="false">IF(F12&lt;&gt;"",F12+273.15,"")</f>
        <v>673.73</v>
      </c>
      <c r="G13" s="611"/>
      <c r="H13" s="611" t="n">
        <f aca="false">IF(H12&lt;&gt;"",H12+273.15,"")</f>
        <v>729.65</v>
      </c>
      <c r="I13" s="611"/>
      <c r="J13" s="611" t="n">
        <f aca="false">IF(J12&lt;&gt;"",J12+273.15,"")</f>
        <v>313.15</v>
      </c>
      <c r="K13" s="611"/>
      <c r="L13" s="611" t="n">
        <f aca="false">IF(L12&lt;&gt;"",L12+273.15,"")</f>
        <v>763.06</v>
      </c>
      <c r="M13" s="611"/>
      <c r="N13" s="611" t="n">
        <f aca="false">IF(N12&lt;&gt;"",N12+273.15,"")</f>
        <v>728.85</v>
      </c>
      <c r="O13" s="611"/>
      <c r="P13" s="611" t="n">
        <f aca="false">IF(P12&lt;&gt;"",P12+273.15,"")</f>
        <v>700.54</v>
      </c>
      <c r="Q13" s="611"/>
      <c r="R13" s="611" t="n">
        <f aca="false">IF(R12&lt;&gt;"",R12+273.15,"")</f>
        <v>489.4</v>
      </c>
      <c r="S13" s="611"/>
      <c r="T13" s="611" t="n">
        <f aca="false">IF(T12&lt;&gt;"",T12+273.15,"")</f>
        <v>489.404</v>
      </c>
      <c r="U13" s="611"/>
      <c r="V13" s="611" t="n">
        <f aca="false">IF(V12&lt;&gt;"",V12+273.15,"")</f>
        <v>450.74</v>
      </c>
      <c r="W13" s="611"/>
      <c r="X13" s="611" t="n">
        <f aca="false">IF(X12&lt;&gt;"",X12+273.15,"")</f>
        <v>450.74</v>
      </c>
      <c r="Y13" s="611"/>
      <c r="Z13" s="611" t="n">
        <f aca="false">IF(Z12&lt;&gt;"",Z12+273.15,"")</f>
        <v>494.15</v>
      </c>
      <c r="AA13" s="611"/>
      <c r="AB13" s="612" t="n">
        <f aca="false">IF(AB12&lt;&gt;"",AB12+273.15,"")</f>
        <v>500.48</v>
      </c>
      <c r="AC13" s="612"/>
      <c r="AD13" s="611" t="n">
        <f aca="false">IF(AD12&lt;&gt;"",AD12+273.15,"")</f>
        <v>489.4</v>
      </c>
      <c r="AE13" s="611"/>
      <c r="AF13" s="611" t="n">
        <f aca="false">IF(AF12&lt;&gt;"",AF12+273.15,"")</f>
        <v>489.4</v>
      </c>
      <c r="AG13" s="611"/>
      <c r="AH13" s="611" t="n">
        <f aca="false">IF(AH12&lt;&gt;"",AH12+273.15,"")</f>
        <v>366.4</v>
      </c>
      <c r="AI13" s="611"/>
      <c r="AJ13" s="611" t="n">
        <f aca="false">IF(AJ12&lt;&gt;"",AJ12+273.15,"")</f>
        <v>313.15</v>
      </c>
      <c r="AK13" s="611"/>
      <c r="AL13" s="611" t="n">
        <f aca="false">IF(AL12&lt;&gt;"",AL12+273.15,"")</f>
        <v>329.03</v>
      </c>
      <c r="AM13" s="611"/>
      <c r="AN13" s="611" t="n">
        <f aca="false">IF(AN12&lt;&gt;"",AN12+273.15,"")</f>
        <v>465.16</v>
      </c>
      <c r="AO13" s="611"/>
      <c r="AP13" s="611" t="n">
        <f aca="false">IF(AP12&lt;&gt;"",AP12+273.15,"")</f>
        <v>382.33</v>
      </c>
      <c r="AQ13" s="611"/>
      <c r="AR13" s="611" t="n">
        <f aca="false">IF(AR12&lt;&gt;"",AR12+273.15,"")</f>
        <v>313.15</v>
      </c>
      <c r="AS13" s="611"/>
      <c r="AT13" s="611" t="n">
        <f aca="false">IF(AT12&lt;&gt;"",AT12+273.15,"")</f>
        <v>313.15</v>
      </c>
      <c r="AU13" s="611"/>
      <c r="AV13" s="611" t="n">
        <f aca="false">IF(AV12&lt;&gt;"",AV12+273.15,"")</f>
        <v>313.15</v>
      </c>
      <c r="AW13" s="611"/>
      <c r="AX13" s="611" t="n">
        <f aca="false">IF(AX12&lt;&gt;"",AX12+273.15,"")</f>
        <v>313.15</v>
      </c>
      <c r="AY13" s="611"/>
      <c r="AZ13" s="611" t="n">
        <f aca="false">IF(AZ12&lt;&gt;"",AZ12+273.15,"")</f>
        <v>558.15</v>
      </c>
      <c r="BA13" s="611"/>
      <c r="BB13" s="611" t="str">
        <f aca="false">IF(BB12&lt;&gt;"",BB12+273.15,"")</f>
        <v/>
      </c>
      <c r="BC13" s="611"/>
      <c r="BD13" s="611" t="str">
        <f aca="false">IF(BD12&lt;&gt;"",BD12+273.15,"")</f>
        <v/>
      </c>
      <c r="BE13" s="611"/>
      <c r="BF13" s="611" t="str">
        <f aca="false">IF(BF12&lt;&gt;"",BF12+273.15,"")</f>
        <v/>
      </c>
      <c r="BG13" s="611"/>
      <c r="BH13" s="611" t="str">
        <f aca="false">IF(BH12&lt;&gt;"",BH12+273.15,"")</f>
        <v/>
      </c>
      <c r="BI13" s="611"/>
      <c r="BJ13" s="611" t="str">
        <f aca="false">IF(BJ12&lt;&gt;"",BJ12+273.15,"")</f>
        <v/>
      </c>
      <c r="BK13" s="611"/>
      <c r="BL13" s="611" t="str">
        <f aca="false">IF(BL12&lt;&gt;"",BL12+273.15,"")</f>
        <v/>
      </c>
      <c r="BM13" s="611"/>
      <c r="BN13" s="611" t="str">
        <f aca="false">IF(BN12&lt;&gt;"",BN12+273.15,"")</f>
        <v/>
      </c>
      <c r="BO13" s="611"/>
      <c r="BP13" s="611" t="str">
        <f aca="false">IF(BP12&lt;&gt;"",BP12+273.15,"")</f>
        <v/>
      </c>
      <c r="BQ13" s="611"/>
      <c r="BR13" s="611" t="str">
        <f aca="false">IF(BR12&lt;&gt;"",BR12+273.15,"")</f>
        <v/>
      </c>
      <c r="BS13" s="611"/>
      <c r="BT13" s="611" t="str">
        <f aca="false">IF(BT12&lt;&gt;"",BT12+273.15,"")</f>
        <v/>
      </c>
      <c r="BU13" s="611"/>
      <c r="BV13" s="611" t="str">
        <f aca="false">IF(BV12&lt;&gt;"",BV12+273.15,"")</f>
        <v/>
      </c>
      <c r="BW13" s="611"/>
      <c r="BX13" s="611" t="str">
        <f aca="false">IF(BX12&lt;&gt;"",BX12+273.15,"")</f>
        <v/>
      </c>
      <c r="BY13" s="611"/>
      <c r="BZ13" s="611" t="str">
        <f aca="false">IF(BZ12&lt;&gt;"",BZ12+273.15,"")</f>
        <v/>
      </c>
      <c r="CA13" s="611"/>
      <c r="CB13" s="611" t="str">
        <f aca="false">IF(CB12&lt;&gt;"",CB12+273.15,"")</f>
        <v/>
      </c>
      <c r="CC13" s="611"/>
      <c r="CD13" s="611" t="str">
        <f aca="false">IF(CD12&lt;&gt;"",CD12+273.15,"")</f>
        <v/>
      </c>
      <c r="CE13" s="611"/>
      <c r="CF13" s="611" t="str">
        <f aca="false">IF(CF12&lt;&gt;"",CF12+273.15,"")</f>
        <v/>
      </c>
      <c r="CG13" s="611"/>
      <c r="CH13" s="611" t="str">
        <f aca="false">IF(CH12&lt;&gt;"",CH12+273.15,"")</f>
        <v/>
      </c>
      <c r="CI13" s="611"/>
      <c r="CJ13" s="428"/>
    </row>
    <row r="14" s="596" customFormat="true" ht="15" hidden="false" customHeight="false" outlineLevel="0" collapsed="false">
      <c r="A14" s="613" t="s">
        <v>1114</v>
      </c>
      <c r="B14" s="614" t="n">
        <f aca="false">IF(B8&lt;&gt;"",0.1*B8,"")</f>
        <v>0.18</v>
      </c>
      <c r="C14" s="614"/>
      <c r="D14" s="614" t="n">
        <f aca="false">IF(D8&lt;&gt;"",0.1*D8,"")</f>
        <v>0.18</v>
      </c>
      <c r="E14" s="614"/>
      <c r="F14" s="614" t="n">
        <f aca="false">IF(F8&lt;&gt;"",0.1*F8,"")</f>
        <v>1.57</v>
      </c>
      <c r="G14" s="614"/>
      <c r="H14" s="614" t="n">
        <f aca="false">IF(H8&lt;&gt;"",0.1*H8,"")</f>
        <v>0.16</v>
      </c>
      <c r="I14" s="614"/>
      <c r="J14" s="614" t="n">
        <f aca="false">IF(J8&lt;&gt;"",0.1*J8,"")</f>
        <v>0.31</v>
      </c>
      <c r="K14" s="614"/>
      <c r="L14" s="614" t="n">
        <f aca="false">IF(L8&lt;&gt;"",0.1*L8,"")</f>
        <v>0.12</v>
      </c>
      <c r="M14" s="614"/>
      <c r="N14" s="614" t="n">
        <f aca="false">IF(N8&lt;&gt;"",0.1*N8,"")</f>
        <v>0.04</v>
      </c>
      <c r="O14" s="614"/>
      <c r="P14" s="614" t="n">
        <f aca="false">IF(P8&lt;&gt;"",0.1*P8,"")</f>
        <v>0.04</v>
      </c>
      <c r="Q14" s="614"/>
      <c r="R14" s="614" t="n">
        <f aca="false">IF(R8&lt;&gt;"",0.1*R8,"")</f>
        <v>0.17</v>
      </c>
      <c r="S14" s="614"/>
      <c r="T14" s="614" t="n">
        <f aca="false">IF(T8&lt;&gt;"",0.1*T8,"")</f>
        <v>0.17</v>
      </c>
      <c r="U14" s="614"/>
      <c r="V14" s="614" t="n">
        <f aca="false">IF(V8&lt;&gt;"",0.1*V8,"")</f>
        <v>0.07</v>
      </c>
      <c r="W14" s="614"/>
      <c r="X14" s="614" t="n">
        <f aca="false">IF(X8&lt;&gt;"",0.1*X8,"")</f>
        <v>0.07</v>
      </c>
      <c r="Y14" s="614"/>
      <c r="Z14" s="614" t="n">
        <f aca="false">IF(Z8&lt;&gt;"",0.1*Z8,"")</f>
        <v>0.04</v>
      </c>
      <c r="AA14" s="614"/>
      <c r="AB14" s="615" t="n">
        <f aca="false">IF(AB8&lt;&gt;"",0.1*AB8,"")</f>
        <v>0.28</v>
      </c>
      <c r="AC14" s="615"/>
      <c r="AD14" s="614" t="n">
        <f aca="false">IF(AD8&lt;&gt;"",0.1*AD8,"")</f>
        <v>0.17</v>
      </c>
      <c r="AE14" s="614"/>
      <c r="AF14" s="614" t="n">
        <f aca="false">IF(AF8&lt;&gt;"",0.1*AF8,"")</f>
        <v>0.17</v>
      </c>
      <c r="AG14" s="614"/>
      <c r="AH14" s="614" t="n">
        <f aca="false">IF(AH8&lt;&gt;"",0.1*AH8,"")</f>
        <v>0.09</v>
      </c>
      <c r="AI14" s="614"/>
      <c r="AJ14" s="614" t="n">
        <f aca="false">IF(AJ8&lt;&gt;"",0.1*AJ8,"")</f>
        <v>0.27</v>
      </c>
      <c r="AK14" s="614"/>
      <c r="AL14" s="614" t="n">
        <f aca="false">IF(AL8&lt;&gt;"",0.1*AL8,"")</f>
        <v>0.38</v>
      </c>
      <c r="AM14" s="614"/>
      <c r="AN14" s="614" t="n">
        <f aca="false">IF(AN8&lt;&gt;"",0.1*AN8,"")</f>
        <v>0.1</v>
      </c>
      <c r="AO14" s="614"/>
      <c r="AP14" s="614" t="n">
        <f aca="false">IF(AP8&lt;&gt;"",0.1*AP8,"")</f>
        <v>0.18</v>
      </c>
      <c r="AQ14" s="614"/>
      <c r="AR14" s="614" t="n">
        <f aca="false">IF(AR8&lt;&gt;"",0.1*AR8,"")</f>
        <v>0.098</v>
      </c>
      <c r="AS14" s="614"/>
      <c r="AT14" s="614" t="n">
        <f aca="false">IF(AT8&lt;&gt;"",0.1*AT8,"")</f>
        <v>0.098</v>
      </c>
      <c r="AU14" s="614"/>
      <c r="AV14" s="614" t="n">
        <f aca="false">IF(AV8&lt;&gt;"",0.1*AV8,"")</f>
        <v>0.073</v>
      </c>
      <c r="AW14" s="614"/>
      <c r="AX14" s="614" t="n">
        <f aca="false">IF(AX8&lt;&gt;"",0.1*AX8,"")</f>
        <v>0.098</v>
      </c>
      <c r="AY14" s="614"/>
      <c r="AZ14" s="614" t="n">
        <f aca="false">IF(AZ8&lt;&gt;"",0.1*AZ8,"")</f>
        <v>0.341</v>
      </c>
      <c r="BA14" s="614"/>
      <c r="BB14" s="614" t="str">
        <f aca="false">IF(BB8&lt;&gt;"",0.1*BB8,"")</f>
        <v/>
      </c>
      <c r="BC14" s="614"/>
      <c r="BD14" s="614" t="str">
        <f aca="false">IF(BD8&lt;&gt;"",0.1*BD8,"")</f>
        <v/>
      </c>
      <c r="BE14" s="614"/>
      <c r="BF14" s="614" t="str">
        <f aca="false">IF(BF8&lt;&gt;"",0.1*BF8,"")</f>
        <v/>
      </c>
      <c r="BG14" s="614"/>
      <c r="BH14" s="614" t="str">
        <f aca="false">IF(BH8&lt;&gt;"",0.1*BH8,"")</f>
        <v/>
      </c>
      <c r="BI14" s="614"/>
      <c r="BJ14" s="614" t="str">
        <f aca="false">IF(BJ8&lt;&gt;"",0.1*BJ8,"")</f>
        <v/>
      </c>
      <c r="BK14" s="614"/>
      <c r="BL14" s="614" t="str">
        <f aca="false">IF(BL8&lt;&gt;"",0.1*BL8,"")</f>
        <v/>
      </c>
      <c r="BM14" s="614"/>
      <c r="BN14" s="614" t="str">
        <f aca="false">IF(BN8&lt;&gt;"",0.1*BN8,"")</f>
        <v/>
      </c>
      <c r="BO14" s="614"/>
      <c r="BP14" s="614" t="str">
        <f aca="false">IF(BP8&lt;&gt;"",0.1*BP8,"")</f>
        <v/>
      </c>
      <c r="BQ14" s="614"/>
      <c r="BR14" s="614" t="str">
        <f aca="false">IF(BR8&lt;&gt;"",0.1*BR8,"")</f>
        <v/>
      </c>
      <c r="BS14" s="614"/>
      <c r="BT14" s="614" t="str">
        <f aca="false">IF(BT8&lt;&gt;"",0.1*BT8,"")</f>
        <v/>
      </c>
      <c r="BU14" s="614"/>
      <c r="BV14" s="614" t="str">
        <f aca="false">IF(BV8&lt;&gt;"",0.1*BV8,"")</f>
        <v/>
      </c>
      <c r="BW14" s="614"/>
      <c r="BX14" s="614" t="str">
        <f aca="false">IF(BX8&lt;&gt;"",0.1*BX8,"")</f>
        <v/>
      </c>
      <c r="BY14" s="614"/>
      <c r="BZ14" s="614" t="str">
        <f aca="false">IF(BZ8&lt;&gt;"",0.1*BZ8,"")</f>
        <v/>
      </c>
      <c r="CA14" s="614"/>
      <c r="CB14" s="614" t="str">
        <f aca="false">IF(CB8&lt;&gt;"",0.1*CB8,"")</f>
        <v/>
      </c>
      <c r="CC14" s="614"/>
      <c r="CD14" s="614" t="str">
        <f aca="false">IF(CD8&lt;&gt;"",0.1*CD8,"")</f>
        <v/>
      </c>
      <c r="CE14" s="614"/>
      <c r="CF14" s="614" t="str">
        <f aca="false">IF(CF8&lt;&gt;"",0.1*CF8,"")</f>
        <v/>
      </c>
      <c r="CG14" s="614"/>
      <c r="CH14" s="614" t="str">
        <f aca="false">IF(CH8&lt;&gt;"",0.1*CH8,"")</f>
        <v/>
      </c>
      <c r="CI14" s="614"/>
    </row>
    <row r="15" s="596" customFormat="true" ht="15" hidden="false" customHeight="false" outlineLevel="0" collapsed="false">
      <c r="A15" s="613" t="s">
        <v>1115</v>
      </c>
      <c r="B15" s="614" t="n">
        <f aca="false">IF(B8&lt;&gt;"",B8+B14+0.1,"")</f>
        <v>2.08</v>
      </c>
      <c r="C15" s="614"/>
      <c r="D15" s="614" t="n">
        <f aca="false">IF(D8&lt;&gt;"",D8+D14+0.1,"")</f>
        <v>2.08</v>
      </c>
      <c r="E15" s="614"/>
      <c r="F15" s="614" t="n">
        <f aca="false">IF(F8&lt;&gt;"",F8+F14+0.1,"")</f>
        <v>17.37</v>
      </c>
      <c r="G15" s="614"/>
      <c r="H15" s="614" t="n">
        <f aca="false">IF(H8&lt;&gt;"",H8+H14+0.1,"")</f>
        <v>1.86</v>
      </c>
      <c r="I15" s="614"/>
      <c r="J15" s="614" t="n">
        <f aca="false">IF(J8&lt;&gt;"",J8+J14+0.1,"")</f>
        <v>3.51</v>
      </c>
      <c r="K15" s="614"/>
      <c r="L15" s="614" t="n">
        <f aca="false">IF(L8&lt;&gt;"",L8+L14+0.1,"")</f>
        <v>1.42</v>
      </c>
      <c r="M15" s="614"/>
      <c r="N15" s="614" t="n">
        <f aca="false">IF(N8&lt;&gt;"",N8+N14+0.1,"")</f>
        <v>0.54</v>
      </c>
      <c r="O15" s="614"/>
      <c r="P15" s="614" t="n">
        <f aca="false">IF(P8&lt;&gt;"",P8+P14+0.1,"")</f>
        <v>0.54</v>
      </c>
      <c r="Q15" s="614"/>
      <c r="R15" s="614" t="n">
        <f aca="false">IF(R8&lt;&gt;"",R8+R14+0.1,"")</f>
        <v>1.97</v>
      </c>
      <c r="S15" s="614"/>
      <c r="T15" s="614" t="n">
        <f aca="false">IF(T8&lt;&gt;"",T8+T14+0.1,"")</f>
        <v>1.97</v>
      </c>
      <c r="U15" s="614"/>
      <c r="V15" s="614" t="n">
        <f aca="false">IF(V8&lt;&gt;"",V8+V14+0.1,"")</f>
        <v>0.87</v>
      </c>
      <c r="W15" s="614"/>
      <c r="X15" s="614" t="n">
        <f aca="false">IF(X8&lt;&gt;"",X8+X14+0.1,"")</f>
        <v>0.87</v>
      </c>
      <c r="Y15" s="614"/>
      <c r="Z15" s="614" t="n">
        <f aca="false">IF(Z8&lt;&gt;"",Z8+Z14+0.1,"")</f>
        <v>0.54</v>
      </c>
      <c r="AA15" s="614"/>
      <c r="AB15" s="615" t="n">
        <f aca="false">IF(AB8&lt;&gt;"",AB8+AB14+0.1,"")</f>
        <v>3.18</v>
      </c>
      <c r="AC15" s="615"/>
      <c r="AD15" s="614" t="n">
        <f aca="false">IF(AD8&lt;&gt;"",AD8+AD14+0.1,"")</f>
        <v>1.97</v>
      </c>
      <c r="AE15" s="614"/>
      <c r="AF15" s="614" t="n">
        <f aca="false">IF(AF8&lt;&gt;"",AF8+AF14+0.1,"")</f>
        <v>1.97</v>
      </c>
      <c r="AG15" s="614"/>
      <c r="AH15" s="614" t="n">
        <f aca="false">IF(AH8&lt;&gt;"",AH8+AH14+0.1,"")</f>
        <v>1.09</v>
      </c>
      <c r="AI15" s="614"/>
      <c r="AJ15" s="614" t="n">
        <f aca="false">IF(AJ8&lt;&gt;"",AJ8+AJ14+0.1,"")</f>
        <v>3.07</v>
      </c>
      <c r="AK15" s="614"/>
      <c r="AL15" s="614" t="n">
        <f aca="false">IF(AL8&lt;&gt;"",AL8+AL14+0.1,"")</f>
        <v>4.28</v>
      </c>
      <c r="AM15" s="614"/>
      <c r="AN15" s="614" t="n">
        <f aca="false">IF(AN8&lt;&gt;"",AN8+AN14+0.1,"")</f>
        <v>1.2</v>
      </c>
      <c r="AO15" s="614"/>
      <c r="AP15" s="614" t="n">
        <f aca="false">IF(AP8&lt;&gt;"",AP8+AP14+0.1,"")</f>
        <v>2.08</v>
      </c>
      <c r="AQ15" s="614"/>
      <c r="AR15" s="614" t="n">
        <f aca="false">IF(AR8&lt;&gt;"",AR8+AR14+0.1,"")</f>
        <v>1.178</v>
      </c>
      <c r="AS15" s="614"/>
      <c r="AT15" s="614" t="n">
        <f aca="false">IF(AT8&lt;&gt;"",AT8+AT14+0.1,"")</f>
        <v>1.178</v>
      </c>
      <c r="AU15" s="614"/>
      <c r="AV15" s="614" t="n">
        <f aca="false">IF(AV8&lt;&gt;"",AV8+AV14+0.1,"")</f>
        <v>0.903</v>
      </c>
      <c r="AW15" s="614"/>
      <c r="AX15" s="614" t="n">
        <f aca="false">IF(AX8&lt;&gt;"",AX8+AX14+0.1,"")</f>
        <v>1.178</v>
      </c>
      <c r="AY15" s="614"/>
      <c r="AZ15" s="614" t="n">
        <f aca="false">IF(AZ8&lt;&gt;"",AZ8+AZ14+0.1,"")</f>
        <v>3.851</v>
      </c>
      <c r="BA15" s="614"/>
      <c r="BB15" s="614" t="str">
        <f aca="false">IF(BB8&lt;&gt;"",BB8+BB14+0.1,"")</f>
        <v/>
      </c>
      <c r="BC15" s="614"/>
      <c r="BD15" s="614" t="str">
        <f aca="false">IF(BD8&lt;&gt;"",BD8+BD14+0.1,"")</f>
        <v/>
      </c>
      <c r="BE15" s="614"/>
      <c r="BF15" s="614" t="str">
        <f aca="false">IF(BF8&lt;&gt;"",BF8+BF14+0.1,"")</f>
        <v/>
      </c>
      <c r="BG15" s="614"/>
      <c r="BH15" s="614" t="str">
        <f aca="false">IF(BH8&lt;&gt;"",BH8+BH14+0.1,"")</f>
        <v/>
      </c>
      <c r="BI15" s="614"/>
      <c r="BJ15" s="614" t="str">
        <f aca="false">IF(BJ8&lt;&gt;"",BJ8+BJ14+0.1,"")</f>
        <v/>
      </c>
      <c r="BK15" s="614"/>
      <c r="BL15" s="614" t="str">
        <f aca="false">IF(BL8&lt;&gt;"",BL8+BL14+0.1,"")</f>
        <v/>
      </c>
      <c r="BM15" s="614"/>
      <c r="BN15" s="614" t="str">
        <f aca="false">IF(BN8&lt;&gt;"",BN8+BN14+0.1,"")</f>
        <v/>
      </c>
      <c r="BO15" s="614"/>
      <c r="BP15" s="614" t="str">
        <f aca="false">IF(BP8&lt;&gt;"",BP8+BP14+0.1,"")</f>
        <v/>
      </c>
      <c r="BQ15" s="614"/>
      <c r="BR15" s="614" t="str">
        <f aca="false">IF(BR8&lt;&gt;"",BR8+BR14+0.1,"")</f>
        <v/>
      </c>
      <c r="BS15" s="614"/>
      <c r="BT15" s="614" t="str">
        <f aca="false">IF(BT8&lt;&gt;"",BT8+BT14+0.1,"")</f>
        <v/>
      </c>
      <c r="BU15" s="614"/>
      <c r="BV15" s="614" t="str">
        <f aca="false">IF(BV8&lt;&gt;"",BV8+BV14+0.1,"")</f>
        <v/>
      </c>
      <c r="BW15" s="614"/>
      <c r="BX15" s="614" t="str">
        <f aca="false">IF(BX8&lt;&gt;"",BX8+BX14+0.1,"")</f>
        <v/>
      </c>
      <c r="BY15" s="614"/>
      <c r="BZ15" s="614" t="str">
        <f aca="false">IF(BZ8&lt;&gt;"",BZ8+BZ14+0.1,"")</f>
        <v/>
      </c>
      <c r="CA15" s="614"/>
      <c r="CB15" s="614" t="str">
        <f aca="false">IF(CB8&lt;&gt;"",CB8+CB14+0.1,"")</f>
        <v/>
      </c>
      <c r="CC15" s="614"/>
      <c r="CD15" s="614" t="str">
        <f aca="false">IF(CD8&lt;&gt;"",CD8+CD14+0.1,"")</f>
        <v/>
      </c>
      <c r="CE15" s="614"/>
      <c r="CF15" s="614" t="str">
        <f aca="false">IF(CF8&lt;&gt;"",CF8+CF14+0.1,"")</f>
        <v/>
      </c>
      <c r="CG15" s="614"/>
      <c r="CH15" s="614" t="str">
        <f aca="false">IF(CH8&lt;&gt;"",CH8+CH14+0.1,"")</f>
        <v/>
      </c>
      <c r="CI15" s="614"/>
    </row>
    <row r="16" s="397" customFormat="true" ht="15" hidden="false" customHeight="false" outlineLevel="0" collapsed="false">
      <c r="A16" s="397" t="s">
        <v>1116</v>
      </c>
      <c r="B16" s="616" t="str">
        <f aca="false">IF(OR(B25&lt;&gt;"",C25&lt;&gt;""),IF(B25=0,"液态 Liquid",IF(C25=0,"气态 Gas","气液混相 Gas &amp; Liquid Mixed")),"")</f>
        <v>气态 Gas</v>
      </c>
      <c r="C16" s="616"/>
      <c r="D16" s="616" t="str">
        <f aca="false">IF(OR(D25&lt;&gt;"",E25&lt;&gt;""),IF(D25=0,"液态 Liquid",IF(E25=0,"气态 Gas","气液混相 Gas &amp; Liquid Mixed")),"")</f>
        <v>液态 Liquid</v>
      </c>
      <c r="E16" s="616"/>
      <c r="F16" s="616" t="str">
        <f aca="false">IF(OR(F25&lt;&gt;"",G25&lt;&gt;""),IF(F25=0,"液态 Liquid",IF(G25=0,"气态 Gas","气液混相 Gas &amp; Liquid Mixed")),"")</f>
        <v>气液混相 Gas &amp; Liquid Mixed</v>
      </c>
      <c r="G16" s="616"/>
      <c r="H16" s="616" t="str">
        <f aca="false">IF(OR(H25&lt;&gt;"",I25&lt;&gt;""),IF(H25=0,"液态 Liquid",IF(I25=0,"气态 Gas","气液混相 Gas &amp; Liquid Mixed")),"")</f>
        <v>气态 Gas</v>
      </c>
      <c r="I16" s="616"/>
      <c r="J16" s="616" t="str">
        <f aca="false">IF(OR(J25&lt;&gt;"",K25&lt;&gt;""),IF(J25=0,"液态 Liquid",IF(K25=0,"气态 Gas","气液混相 Gas &amp; Liquid Mixed")),"")</f>
        <v>气态 Gas</v>
      </c>
      <c r="K16" s="616"/>
      <c r="L16" s="616" t="str">
        <f aca="false">IF(OR(L25&lt;&gt;"",M25&lt;&gt;""),IF(L25=0,"液态 Liquid",IF(M25=0,"气态 Gas","气液混相 Gas &amp; Liquid Mixed")),"")</f>
        <v>气态 Gas</v>
      </c>
      <c r="M16" s="616"/>
      <c r="N16" s="616" t="str">
        <f aca="false">IF(OR(N25&lt;&gt;"",O25&lt;&gt;""),IF(N25=0,"液态 Liquid",IF(O25=0,"气态 Gas","气液混相 Gas &amp; Liquid Mixed")),"")</f>
        <v>气态 Gas</v>
      </c>
      <c r="O16" s="616"/>
      <c r="P16" s="616" t="str">
        <f aca="false">IF(OR(P25&lt;&gt;"",Q25&lt;&gt;""),IF(P25=0,"液态 Liquid",IF(Q25=0,"气态 Gas","气液混相 Gas &amp; Liquid Mixed")),"")</f>
        <v>气态 Gas</v>
      </c>
      <c r="Q16" s="616"/>
      <c r="R16" s="616" t="str">
        <f aca="false">IF(OR(R25&lt;&gt;"",S25&lt;&gt;""),IF(R25=0,"液态 Liquid",IF(S25=0,"气态 Gas","气液混相 Gas &amp; Liquid Mixed")),"")</f>
        <v>气态 Gas</v>
      </c>
      <c r="S16" s="616"/>
      <c r="T16" s="616" t="str">
        <f aca="false">IF(OR(T25&lt;&gt;"",U25&lt;&gt;""),IF(T25=0,"液态 Liquid",IF(U25=0,"气态 Gas","气液混相 Gas &amp; Liquid Mixed")),"")</f>
        <v>气态 Gas</v>
      </c>
      <c r="U16" s="616"/>
      <c r="V16" s="616" t="str">
        <f aca="false">IF(OR(V25&lt;&gt;"",W25&lt;&gt;""),IF(V25=0,"液态 Liquid",IF(W25=0,"气态 Gas","气液混相 Gas &amp; Liquid Mixed")),"")</f>
        <v>气态 Gas</v>
      </c>
      <c r="W16" s="616"/>
      <c r="X16" s="616" t="str">
        <f aca="false">IF(OR(X25&lt;&gt;"",Y25&lt;&gt;""),IF(X25=0,"液态 Liquid",IF(Y25=0,"气态 Gas","气液混相 Gas &amp; Liquid Mixed")),"")</f>
        <v>气态 Gas</v>
      </c>
      <c r="Y16" s="616"/>
      <c r="Z16" s="616" t="str">
        <f aca="false">IF(OR(Z25&lt;&gt;"",AA25&lt;&gt;""),IF(Z25=0,"液态 Liquid",IF(AA25=0,"气态 Gas","气液混相 Gas &amp; Liquid Mixed")),"")</f>
        <v>气态 Gas</v>
      </c>
      <c r="AA16" s="616"/>
      <c r="AB16" s="616" t="str">
        <f aca="false">IF(OR(AB25&lt;&gt;"",AC25&lt;&gt;""),IF(AB25=0,"液态 Liquid",IF(AC25=0,"气态 Gas","气液混相 Gas &amp; Liquid Mixed")),"")</f>
        <v>液态 Liquid</v>
      </c>
      <c r="AC16" s="616"/>
      <c r="AD16" s="616" t="str">
        <f aca="false">IF(OR(AD25&lt;&gt;"",AE25&lt;&gt;""),IF(AD25=0,"液态 Liquid",IF(AE25=0,"气态 Gas","气液混相 Gas &amp; Liquid Mixed")),"")</f>
        <v>气态 Gas</v>
      </c>
      <c r="AE16" s="616"/>
      <c r="AF16" s="616" t="str">
        <f aca="false">IF(OR(AF25&lt;&gt;"",AG25&lt;&gt;""),IF(AF25=0,"液态 Liquid",IF(AG25=0,"气态 Gas","气液混相 Gas &amp; Liquid Mixed")),"")</f>
        <v>气态 Gas</v>
      </c>
      <c r="AG16" s="616"/>
      <c r="AH16" s="616" t="str">
        <f aca="false">IF(OR(AH25&lt;&gt;"",AI25&lt;&gt;""),IF(AH25=0,"液态 Liquid",IF(AI25=0,"气态 Gas","气液混相 Gas &amp; Liquid Mixed")),"")</f>
        <v>液态 Liquid</v>
      </c>
      <c r="AI16" s="616"/>
      <c r="AJ16" s="616" t="str">
        <f aca="false">IF(OR(AJ25&lt;&gt;"",AK25&lt;&gt;""),IF(AJ25=0,"液态 Liquid",IF(AK25=0,"气态 Gas","气液混相 Gas &amp; Liquid Mixed")),"")</f>
        <v>气态 Gas</v>
      </c>
      <c r="AK16" s="616"/>
      <c r="AL16" s="616" t="str">
        <f aca="false">IF(OR(AL25&lt;&gt;"",AM25&lt;&gt;""),IF(AL25=0,"液态 Liquid",IF(AM25=0,"气态 Gas","气液混相 Gas &amp; Liquid Mixed")),"")</f>
        <v>气态 Gas</v>
      </c>
      <c r="AM16" s="616"/>
      <c r="AN16" s="616" t="str">
        <f aca="false">IF(OR(AN25&lt;&gt;"",AO25&lt;&gt;""),IF(AN25=0,"液态 Liquid",IF(AO25=0,"气态 Gas","气液混相 Gas &amp; Liquid Mixed")),"")</f>
        <v>气态 Gas</v>
      </c>
      <c r="AO16" s="616"/>
      <c r="AP16" s="616" t="str">
        <f aca="false">IF(OR(AP25&lt;&gt;"",AQ25&lt;&gt;""),IF(AP25=0,"液态 Liquid",IF(AQ25=0,"气态 Gas","气液混相 Gas &amp; Liquid Mixed")),"")</f>
        <v>气态 Gas</v>
      </c>
      <c r="AQ16" s="616"/>
      <c r="AR16" s="616" t="str">
        <f aca="false">IF(OR(AR25&lt;&gt;"",AS25&lt;&gt;""),IF(AR25=0,"液态 Liquid",IF(AS25=0,"气态 Gas","气液混相 Gas &amp; Liquid Mixed")),"")</f>
        <v>气态 Gas</v>
      </c>
      <c r="AS16" s="616"/>
      <c r="AT16" s="616" t="str">
        <f aca="false">IF(OR(AT25&lt;&gt;"",AU25&lt;&gt;""),IF(AT25=0,"液态 Liquid",IF(AU25=0,"气态 Gas","气液混相 Gas &amp; Liquid Mixed")),"")</f>
        <v>气态 Gas</v>
      </c>
      <c r="AU16" s="616"/>
      <c r="AV16" s="616" t="str">
        <f aca="false">IF(OR(AV25&lt;&gt;"",AW25&lt;&gt;""),IF(AV25=0,"液态 Liquid",IF(AW25=0,"气态 Gas","气液混相 Gas &amp; Liquid Mixed")),"")</f>
        <v>气态 Gas</v>
      </c>
      <c r="AW16" s="616"/>
      <c r="AX16" s="616" t="str">
        <f aca="false">IF(OR(AX25&lt;&gt;"",AY25&lt;&gt;""),IF(AX25=0,"液态 Liquid",IF(AY25=0,"气态 Gas","气液混相 Gas &amp; Liquid Mixed")),"")</f>
        <v>气态 Gas</v>
      </c>
      <c r="AY16" s="616"/>
      <c r="AZ16" s="616" t="str">
        <f aca="false">IF(OR(AZ25&lt;&gt;"",BA25&lt;&gt;""),IF(AZ25=0,"液态 Liquid",IF(BA25=0,"气态 Gas","气液混相 Gas &amp; Liquid Mixed")),"")</f>
        <v>液态 Liquid</v>
      </c>
      <c r="BA16" s="616"/>
      <c r="BB16" s="616" t="str">
        <f aca="false">IF(OR(BB25&lt;&gt;"",BC25&lt;&gt;""),IF(BB25=0,"液态 Liquid",IF(BC25=0,"气态 Gas","气液混相 Gas &amp; Liquid Mixed")),"")</f>
        <v/>
      </c>
      <c r="BC16" s="616"/>
      <c r="BD16" s="616" t="str">
        <f aca="false">IF(OR(BD25&lt;&gt;"",BE25&lt;&gt;""),IF(BD25=0,"液态 Liquid",IF(BE25=0,"气态 Gas","气液混相 Gas &amp; Liquid Mixed")),"")</f>
        <v/>
      </c>
      <c r="BE16" s="616"/>
      <c r="BF16" s="616" t="str">
        <f aca="false">IF(OR(BF25&lt;&gt;"",BG25&lt;&gt;""),IF(BF25=0,"液态 Liquid",IF(BG25=0,"气态 Gas","气液混相 Gas &amp; Liquid Mixed")),"")</f>
        <v/>
      </c>
      <c r="BG16" s="616"/>
      <c r="BH16" s="616" t="str">
        <f aca="false">IF(OR(BH25&lt;&gt;"",BI25&lt;&gt;""),IF(BH25=0,"液态 Liquid",IF(BI25=0,"气态 Gas","气液混相 Gas &amp; Liquid Mixed")),"")</f>
        <v/>
      </c>
      <c r="BI16" s="616"/>
      <c r="BJ16" s="616" t="str">
        <f aca="false">IF(OR(BJ25&lt;&gt;"",BK25&lt;&gt;""),IF(BJ25=0,"液态 Liquid",IF(BK25=0,"气态 Gas","气液混相 Gas &amp; Liquid Mixed")),"")</f>
        <v/>
      </c>
      <c r="BK16" s="616"/>
      <c r="BL16" s="616" t="str">
        <f aca="false">IF(OR(BL25&lt;&gt;"",BM25&lt;&gt;""),IF(BL25=0,"液态 Liquid",IF(BM25=0,"气态 Gas","气液混相 Gas &amp; Liquid Mixed")),"")</f>
        <v/>
      </c>
      <c r="BM16" s="616"/>
      <c r="BN16" s="616" t="str">
        <f aca="false">IF(OR(BN25&lt;&gt;"",BO25&lt;&gt;""),IF(BN25=0,"液态 Liquid",IF(BO25=0,"气态 Gas","气液混相 Gas &amp; Liquid Mixed")),"")</f>
        <v/>
      </c>
      <c r="BO16" s="616"/>
      <c r="BP16" s="616" t="str">
        <f aca="false">IF(OR(BP25&lt;&gt;"",BQ25&lt;&gt;""),IF(BP25=0,"液态 Liquid",IF(BQ25=0,"气态 Gas","气液混相 Gas &amp; Liquid Mixed")),"")</f>
        <v/>
      </c>
      <c r="BQ16" s="616"/>
      <c r="BR16" s="616" t="str">
        <f aca="false">IF(OR(BR25&lt;&gt;"",BS25&lt;&gt;""),IF(BR25=0,"液态 Liquid",IF(BS25=0,"气态 Gas","气液混相 Gas &amp; Liquid Mixed")),"")</f>
        <v/>
      </c>
      <c r="BS16" s="616"/>
      <c r="BT16" s="616" t="str">
        <f aca="false">IF(OR(BT25&lt;&gt;"",BU25&lt;&gt;""),IF(BT25=0,"液态 Liquid",IF(BU25=0,"气态 Gas","气液混相 Gas &amp; Liquid Mixed")),"")</f>
        <v/>
      </c>
      <c r="BU16" s="616"/>
      <c r="BV16" s="616" t="str">
        <f aca="false">IF(OR(BV25&lt;&gt;"",BW25&lt;&gt;""),IF(BV25=0,"液态 Liquid",IF(BW25=0,"气态 Gas","气液混相 Gas &amp; Liquid Mixed")),"")</f>
        <v/>
      </c>
      <c r="BW16" s="616"/>
      <c r="BX16" s="616" t="str">
        <f aca="false">IF(OR(BX25&lt;&gt;"",BY25&lt;&gt;""),IF(BX25=0,"液态 Liquid",IF(BY25=0,"气态 Gas","气液混相 Gas &amp; Liquid Mixed")),"")</f>
        <v/>
      </c>
      <c r="BY16" s="616"/>
      <c r="BZ16" s="616" t="str">
        <f aca="false">IF(OR(BZ25&lt;&gt;"",CA25&lt;&gt;""),IF(BZ25=0,"液态 Liquid",IF(CA25=0,"气态 Gas","气液混相 Gas &amp; Liquid Mixed")),"")</f>
        <v/>
      </c>
      <c r="CA16" s="616"/>
      <c r="CB16" s="616" t="str">
        <f aca="false">IF(OR(CB25&lt;&gt;"",CC25&lt;&gt;""),IF(CB25=0,"液态 Liquid",IF(CC25=0,"气态 Gas","气液混相 Gas &amp; Liquid Mixed")),"")</f>
        <v/>
      </c>
      <c r="CC16" s="616"/>
      <c r="CD16" s="616" t="str">
        <f aca="false">IF(OR(CD25&lt;&gt;"",CE25&lt;&gt;""),IF(CD25=0,"液态 Liquid",IF(CE25=0,"气态 Gas","气液混相 Gas &amp; Liquid Mixed")),"")</f>
        <v/>
      </c>
      <c r="CE16" s="616"/>
      <c r="CF16" s="616" t="str">
        <f aca="false">IF(OR(CF25&lt;&gt;"",CG25&lt;&gt;""),IF(CF25=0,"液态 Liquid",IF(CG25=0,"气态 Gas","气液混相 Gas &amp; Liquid Mixed")),"")</f>
        <v/>
      </c>
      <c r="CG16" s="616"/>
      <c r="CH16" s="616" t="str">
        <f aca="false">IF(OR(CH25&lt;&gt;"",CI25&lt;&gt;""),IF(CH25=0,"液态 Liquid",IF(CI25=0,"气态 Gas","气液混相 Gas &amp; Liquid Mixed")),"")</f>
        <v/>
      </c>
      <c r="CI16" s="616"/>
      <c r="CJ16" s="390"/>
    </row>
    <row r="17" s="443" customFormat="true" ht="15" hidden="false" customHeight="false" outlineLevel="0" collapsed="false">
      <c r="A17" s="443" t="s">
        <v>1117</v>
      </c>
      <c r="B17" s="516" t="s">
        <v>1118</v>
      </c>
      <c r="C17" s="516" t="s">
        <v>1119</v>
      </c>
      <c r="D17" s="516" t="s">
        <v>1118</v>
      </c>
      <c r="E17" s="516" t="s">
        <v>1119</v>
      </c>
      <c r="F17" s="516" t="s">
        <v>1118</v>
      </c>
      <c r="G17" s="516" t="s">
        <v>1119</v>
      </c>
      <c r="H17" s="516" t="s">
        <v>1118</v>
      </c>
      <c r="I17" s="516" t="s">
        <v>1119</v>
      </c>
      <c r="J17" s="516" t="s">
        <v>1118</v>
      </c>
      <c r="K17" s="516" t="s">
        <v>1119</v>
      </c>
      <c r="L17" s="516" t="s">
        <v>1118</v>
      </c>
      <c r="M17" s="516" t="s">
        <v>1119</v>
      </c>
      <c r="N17" s="516" t="s">
        <v>1118</v>
      </c>
      <c r="O17" s="516" t="s">
        <v>1119</v>
      </c>
      <c r="P17" s="516" t="s">
        <v>1118</v>
      </c>
      <c r="Q17" s="516" t="s">
        <v>1119</v>
      </c>
      <c r="R17" s="516" t="s">
        <v>1118</v>
      </c>
      <c r="S17" s="516" t="s">
        <v>1119</v>
      </c>
      <c r="T17" s="516" t="s">
        <v>1118</v>
      </c>
      <c r="U17" s="516" t="s">
        <v>1119</v>
      </c>
      <c r="V17" s="516" t="s">
        <v>1118</v>
      </c>
      <c r="W17" s="516" t="s">
        <v>1119</v>
      </c>
      <c r="X17" s="516" t="s">
        <v>1118</v>
      </c>
      <c r="Y17" s="516" t="s">
        <v>1119</v>
      </c>
      <c r="Z17" s="516" t="s">
        <v>1118</v>
      </c>
      <c r="AA17" s="516" t="s">
        <v>1119</v>
      </c>
      <c r="AB17" s="516" t="s">
        <v>1118</v>
      </c>
      <c r="AC17" s="516" t="s">
        <v>1119</v>
      </c>
      <c r="AD17" s="516" t="s">
        <v>1118</v>
      </c>
      <c r="AE17" s="516" t="s">
        <v>1119</v>
      </c>
      <c r="AF17" s="516" t="s">
        <v>1118</v>
      </c>
      <c r="AG17" s="516" t="s">
        <v>1119</v>
      </c>
      <c r="AH17" s="516" t="s">
        <v>1118</v>
      </c>
      <c r="AI17" s="516" t="s">
        <v>1119</v>
      </c>
      <c r="AJ17" s="516" t="s">
        <v>1118</v>
      </c>
      <c r="AK17" s="516" t="s">
        <v>1119</v>
      </c>
      <c r="AL17" s="516" t="s">
        <v>1118</v>
      </c>
      <c r="AM17" s="516" t="s">
        <v>1119</v>
      </c>
      <c r="AN17" s="516" t="s">
        <v>1118</v>
      </c>
      <c r="AO17" s="516" t="s">
        <v>1119</v>
      </c>
      <c r="AP17" s="516" t="s">
        <v>1118</v>
      </c>
      <c r="AQ17" s="516" t="s">
        <v>1119</v>
      </c>
      <c r="AR17" s="516" t="s">
        <v>1118</v>
      </c>
      <c r="AS17" s="516" t="s">
        <v>1119</v>
      </c>
      <c r="AT17" s="516" t="s">
        <v>1118</v>
      </c>
      <c r="AU17" s="516" t="s">
        <v>1119</v>
      </c>
      <c r="AV17" s="516" t="s">
        <v>1118</v>
      </c>
      <c r="AW17" s="516" t="s">
        <v>1119</v>
      </c>
      <c r="AX17" s="516" t="s">
        <v>1118</v>
      </c>
      <c r="AY17" s="516" t="s">
        <v>1119</v>
      </c>
      <c r="AZ17" s="516" t="s">
        <v>1118</v>
      </c>
      <c r="BA17" s="516" t="s">
        <v>1119</v>
      </c>
      <c r="BB17" s="516"/>
      <c r="BC17" s="516"/>
      <c r="BD17" s="516"/>
      <c r="BE17" s="516"/>
      <c r="BF17" s="516"/>
      <c r="BG17" s="516"/>
      <c r="BH17" s="516"/>
      <c r="BI17" s="516"/>
      <c r="BJ17" s="516"/>
      <c r="BK17" s="516"/>
      <c r="BL17" s="516"/>
      <c r="BM17" s="516"/>
      <c r="BN17" s="516"/>
      <c r="BO17" s="516"/>
      <c r="BP17" s="516"/>
      <c r="BQ17" s="516"/>
      <c r="BR17" s="516"/>
      <c r="BS17" s="516"/>
      <c r="BT17" s="516"/>
      <c r="BU17" s="516"/>
      <c r="BV17" s="516"/>
      <c r="BW17" s="516"/>
      <c r="BX17" s="516"/>
      <c r="BY17" s="516"/>
      <c r="BZ17" s="516"/>
      <c r="CA17" s="516"/>
      <c r="CB17" s="516"/>
      <c r="CC17" s="516"/>
      <c r="CD17" s="516"/>
      <c r="CE17" s="516"/>
      <c r="CF17" s="516"/>
      <c r="CG17" s="516"/>
      <c r="CH17" s="516"/>
      <c r="CI17" s="516"/>
      <c r="CJ17" s="385"/>
    </row>
    <row r="18" s="617" customFormat="true" ht="15" hidden="false" customHeight="false" outlineLevel="0" collapsed="false">
      <c r="A18" s="617" t="s">
        <v>1120</v>
      </c>
      <c r="B18" s="618" t="n">
        <v>2.03</v>
      </c>
      <c r="C18" s="619"/>
      <c r="D18" s="619"/>
      <c r="E18" s="619"/>
      <c r="F18" s="618" t="n">
        <f aca="false">'安全阀选型(基础设计)'!F6:G6</f>
        <v>12.71</v>
      </c>
      <c r="G18" s="619"/>
      <c r="H18" s="618" t="n">
        <f aca="false">'安全阀选型(基础设计)'!H6:I6</f>
        <v>219.3</v>
      </c>
      <c r="I18" s="618"/>
      <c r="J18" s="618" t="n">
        <f aca="false">'安全阀选型(基础设计)'!J6:K6</f>
        <v>13.7</v>
      </c>
      <c r="K18" s="618"/>
      <c r="L18" s="618" t="n">
        <f aca="false">'安全阀选型(基础设计)'!L6:M6</f>
        <v>150.97</v>
      </c>
      <c r="M18" s="618"/>
      <c r="N18" s="618" t="n">
        <f aca="false">'安全阀选型(基础设计)'!N6:O6</f>
        <v>247.58</v>
      </c>
      <c r="O18" s="618"/>
      <c r="P18" s="620" t="n">
        <f aca="false">'安全阀选型(基础设计)'!P6:Q6</f>
        <v>218.58</v>
      </c>
      <c r="Q18" s="620"/>
      <c r="R18" s="621" t="n">
        <f aca="false">'安全阀选型(基础设计)'!R6:S6</f>
        <v>18.02</v>
      </c>
      <c r="S18" s="621"/>
      <c r="T18" s="621" t="n">
        <f aca="false">'安全阀选型(基础设计)'!T6:U6</f>
        <v>18.02</v>
      </c>
      <c r="U18" s="622"/>
      <c r="V18" s="621" t="n">
        <f aca="false">'安全阀选型(基础设计)'!V6:W6</f>
        <v>18.02</v>
      </c>
      <c r="W18" s="622"/>
      <c r="X18" s="621" t="n">
        <f aca="false">'安全阀选型(基础设计)'!X6:Y6</f>
        <v>18.02</v>
      </c>
      <c r="Y18" s="622"/>
      <c r="Z18" s="621" t="n">
        <f aca="false">'安全阀选型(基础设计)'!Z6:AA6</f>
        <v>18.02</v>
      </c>
      <c r="AA18" s="622"/>
      <c r="AB18" s="621"/>
      <c r="AC18" s="622"/>
      <c r="AD18" s="621" t="n">
        <f aca="false">'安全阀选型(基础设计)'!AD6:AE6</f>
        <v>18.02</v>
      </c>
      <c r="AE18" s="622"/>
      <c r="AF18" s="621" t="n">
        <f aca="false">'安全阀选型(基础设计)'!AF6:AG6</f>
        <v>18.02</v>
      </c>
      <c r="AG18" s="622"/>
      <c r="AH18" s="621"/>
      <c r="AI18" s="622"/>
      <c r="AJ18" s="621" t="n">
        <f aca="false">'安全阀选型(基础设计)'!AJ6:AK6</f>
        <v>2.03</v>
      </c>
      <c r="AK18" s="622"/>
      <c r="AL18" s="621" t="n">
        <f aca="false">'安全阀选型(基础设计)'!AL6:AM6</f>
        <v>8.69</v>
      </c>
      <c r="AM18" s="622"/>
      <c r="AN18" s="621" t="n">
        <f aca="false">'安全阀选型(基础设计)'!AN6:AO6</f>
        <v>18.24</v>
      </c>
      <c r="AO18" s="622"/>
      <c r="AP18" s="621" t="n">
        <f aca="false">'安全阀选型(基础设计)'!AP6:AQ6</f>
        <v>2.03</v>
      </c>
      <c r="AQ18" s="622"/>
      <c r="AR18" s="621" t="n">
        <f aca="false">'安全阀选型(基础设计)'!AR6:AS6</f>
        <v>28</v>
      </c>
      <c r="AS18" s="622"/>
      <c r="AT18" s="621" t="n">
        <f aca="false">'安全阀选型(基础设计)'!AT6:AU6</f>
        <v>28</v>
      </c>
      <c r="AU18" s="622"/>
      <c r="AV18" s="621" t="n">
        <f aca="false">'安全阀选型(基础设计)'!AV6:AW6</f>
        <v>18.8</v>
      </c>
      <c r="AW18" s="622"/>
      <c r="AX18" s="621" t="n">
        <f aca="false">'安全阀选型(基础设计)'!AX6:AY6</f>
        <v>29</v>
      </c>
      <c r="AY18" s="622"/>
      <c r="AZ18" s="621"/>
      <c r="BA18" s="622"/>
      <c r="BB18" s="621"/>
      <c r="BC18" s="622"/>
      <c r="BD18" s="621"/>
      <c r="BE18" s="622"/>
      <c r="BF18" s="621"/>
      <c r="BG18" s="622"/>
      <c r="BH18" s="621"/>
      <c r="BI18" s="622"/>
      <c r="BJ18" s="621"/>
      <c r="BK18" s="622"/>
      <c r="BL18" s="621"/>
      <c r="BM18" s="622"/>
      <c r="BN18" s="621"/>
      <c r="BO18" s="622"/>
      <c r="BP18" s="621"/>
      <c r="BQ18" s="622"/>
      <c r="BR18" s="621"/>
      <c r="BS18" s="622"/>
      <c r="BT18" s="621"/>
      <c r="BU18" s="622"/>
      <c r="BV18" s="621"/>
      <c r="BW18" s="622"/>
      <c r="BX18" s="621"/>
      <c r="BY18" s="622"/>
      <c r="BZ18" s="621"/>
      <c r="CA18" s="622"/>
      <c r="CB18" s="621"/>
      <c r="CC18" s="622"/>
      <c r="CD18" s="621"/>
      <c r="CE18" s="622"/>
      <c r="CF18" s="621"/>
      <c r="CG18" s="622"/>
      <c r="CH18" s="621"/>
      <c r="CI18" s="622"/>
      <c r="CJ18" s="623"/>
    </row>
    <row r="19" s="624" customFormat="true" ht="15" hidden="false" customHeight="false" outlineLevel="0" collapsed="false">
      <c r="A19" s="624" t="s">
        <v>1121</v>
      </c>
      <c r="B19" s="625" t="n">
        <v>1.041</v>
      </c>
      <c r="C19" s="626"/>
      <c r="D19" s="625"/>
      <c r="E19" s="626"/>
      <c r="F19" s="625" t="n">
        <f aca="false">'安全阀选型(基础设计)'!F19</f>
        <v>1.201</v>
      </c>
      <c r="G19" s="626"/>
      <c r="H19" s="627" t="n">
        <f aca="false">'安全阀选型(基础设计)'!H19</f>
        <v>1.91</v>
      </c>
      <c r="I19" s="626"/>
      <c r="J19" s="627" t="n">
        <f aca="false">'安全阀选型(基础设计)'!J19</f>
        <v>1.35</v>
      </c>
      <c r="K19" s="626"/>
      <c r="L19" s="627" t="n">
        <f aca="false">'安全阀选型(基础设计)'!L19</f>
        <v>1.01</v>
      </c>
      <c r="M19" s="626"/>
      <c r="N19" s="627" t="n">
        <f aca="false">'安全阀选型(基础设计)'!N19</f>
        <v>1.03</v>
      </c>
      <c r="O19" s="626"/>
      <c r="P19" s="628" t="n">
        <f aca="false">'安全阀选型(基础设计)'!P19</f>
        <v>1.03</v>
      </c>
      <c r="Q19" s="626"/>
      <c r="R19" s="627" t="n">
        <f aca="false">'安全阀选型(基础设计)'!R19</f>
        <v>1.49</v>
      </c>
      <c r="S19" s="627"/>
      <c r="T19" s="627" t="n">
        <f aca="false">'安全阀选型(基础设计)'!T19</f>
        <v>1.49</v>
      </c>
      <c r="U19" s="627"/>
      <c r="V19" s="627" t="n">
        <f aca="false">'安全阀选型(基础设计)'!V19</f>
        <v>1.41</v>
      </c>
      <c r="W19" s="627"/>
      <c r="X19" s="627" t="n">
        <f aca="false">'安全阀选型(基础设计)'!X19</f>
        <v>1.41</v>
      </c>
      <c r="Y19" s="627"/>
      <c r="Z19" s="627" t="n">
        <f aca="false">'安全阀选型(基础设计)'!Z19</f>
        <v>1.41</v>
      </c>
      <c r="AA19" s="627"/>
      <c r="AB19" s="627"/>
      <c r="AC19" s="627"/>
      <c r="AD19" s="627" t="n">
        <f aca="false">'安全阀选型(基础设计)'!AD19</f>
        <v>1.45</v>
      </c>
      <c r="AE19" s="627"/>
      <c r="AF19" s="627" t="n">
        <f aca="false">'安全阀选型(基础设计)'!AF19</f>
        <v>1.45</v>
      </c>
      <c r="AG19" s="627"/>
      <c r="AH19" s="627"/>
      <c r="AI19" s="627"/>
      <c r="AJ19" s="627" t="n">
        <f aca="false">'安全阀选型(基础设计)'!AJ19</f>
        <v>1.42</v>
      </c>
      <c r="AK19" s="627"/>
      <c r="AL19" s="627" t="n">
        <f aca="false">'安全阀选型(基础设计)'!AL19</f>
        <v>1.34</v>
      </c>
      <c r="AM19" s="627"/>
      <c r="AN19" s="627" t="n">
        <f aca="false">'安全阀选型(基础设计)'!AN19</f>
        <v>1.42</v>
      </c>
      <c r="AO19" s="627"/>
      <c r="AP19" s="627" t="n">
        <f aca="false">'安全阀选型(基础设计)'!AP19</f>
        <v>1.41</v>
      </c>
      <c r="AQ19" s="627"/>
      <c r="AR19" s="627" t="n">
        <f aca="false">'安全阀选型(基础设计)'!AR19</f>
        <v>1.41</v>
      </c>
      <c r="AS19" s="627"/>
      <c r="AT19" s="627" t="n">
        <f aca="false">'安全阀选型(基础设计)'!AT19</f>
        <v>1.41</v>
      </c>
      <c r="AU19" s="627"/>
      <c r="AV19" s="627" t="n">
        <v>1.288</v>
      </c>
      <c r="AW19" s="627"/>
      <c r="AX19" s="627" t="n">
        <f aca="false">'安全阀选型(基础设计)'!AX19</f>
        <v>1.421</v>
      </c>
      <c r="AY19" s="627"/>
      <c r="AZ19" s="627"/>
      <c r="BA19" s="627"/>
      <c r="BB19" s="627"/>
      <c r="BC19" s="627"/>
      <c r="BD19" s="627"/>
      <c r="BE19" s="627"/>
      <c r="BF19" s="627"/>
      <c r="BG19" s="627"/>
      <c r="BH19" s="627"/>
      <c r="BI19" s="627"/>
      <c r="BJ19" s="627"/>
      <c r="BK19" s="627"/>
      <c r="BL19" s="627"/>
      <c r="BM19" s="627"/>
      <c r="BN19" s="627"/>
      <c r="BO19" s="627"/>
      <c r="BP19" s="627"/>
      <c r="BQ19" s="627"/>
      <c r="BR19" s="627"/>
      <c r="BS19" s="627"/>
      <c r="BT19" s="627"/>
      <c r="BU19" s="627"/>
      <c r="BV19" s="627"/>
      <c r="BW19" s="627"/>
      <c r="BX19" s="627"/>
      <c r="BY19" s="627"/>
      <c r="BZ19" s="627"/>
      <c r="CA19" s="627"/>
      <c r="CB19" s="627"/>
      <c r="CC19" s="627"/>
      <c r="CD19" s="627"/>
      <c r="CE19" s="627"/>
      <c r="CF19" s="627"/>
      <c r="CG19" s="627"/>
      <c r="CH19" s="627"/>
      <c r="CI19" s="627"/>
      <c r="CJ19" s="629"/>
    </row>
    <row r="20" s="630" customFormat="true" ht="15" hidden="false" customHeight="false" outlineLevel="0" collapsed="false">
      <c r="A20" s="630" t="s">
        <v>1122</v>
      </c>
      <c r="B20" s="631" t="n">
        <f aca="false">IF(B19&lt;&gt;"",520*SQRT(B19*(POWER(2/(B19+1),(B19+1)/(B19-1)))),"")</f>
        <v>320.162721942108</v>
      </c>
      <c r="C20" s="631"/>
      <c r="D20" s="631" t="str">
        <f aca="false">IF(D19&lt;&gt;"",520*SQRT(D19*(POWER(2/(D19+1),(D19+1)/(D19-1)))),"")</f>
        <v/>
      </c>
      <c r="E20" s="631"/>
      <c r="F20" s="631" t="n">
        <f aca="false">IF(F19&lt;&gt;"",520*SQRT(F19*(POWER(2/(F19+1),(F19+1)/(F19-1)))),"")</f>
        <v>337.337147096451</v>
      </c>
      <c r="G20" s="631"/>
      <c r="H20" s="631" t="n">
        <f aca="false">IF(H19&lt;&gt;"",520*SQRT(H19*(POWER(2/(H19+1),(H19+1)/(H19-1)))),"")</f>
        <v>394.564681887597</v>
      </c>
      <c r="I20" s="631"/>
      <c r="J20" s="631" t="n">
        <f aca="false">IF(J19&lt;&gt;"",520*SQRT(J19*(POWER(2/(J19+1),(J19+1)/(J19-1)))),"")</f>
        <v>351.595335073394</v>
      </c>
      <c r="K20" s="631"/>
      <c r="L20" s="631" t="n">
        <f aca="false">IF(L19&lt;&gt;"",520*SQRT(L19*(POWER(2/(L19+1),(L19+1)/(L19-1)))),"")</f>
        <v>316.573694069394</v>
      </c>
      <c r="M20" s="631"/>
      <c r="N20" s="631" t="n">
        <f aca="false">IF(N19&lt;&gt;"",520*SQRT(N19*(POWER(2/(N19+1),(N19+1)/(N19-1)))),"")</f>
        <v>318.899760604517</v>
      </c>
      <c r="O20" s="631"/>
      <c r="P20" s="631" t="n">
        <f aca="false">IF(P19&lt;&gt;"",520*SQRT(P19*(POWER(2/(P19+1),(P19+1)/(P19-1)))),"")</f>
        <v>318.899760604517</v>
      </c>
      <c r="Q20" s="631"/>
      <c r="R20" s="631" t="n">
        <f aca="false">IF(R19&lt;&gt;"",520*SQRT(R19*(POWER(2/(R19+1),(R19+1)/(R19-1)))),"")</f>
        <v>363.737967688476</v>
      </c>
      <c r="S20" s="631"/>
      <c r="T20" s="631" t="n">
        <f aca="false">IF(T19&lt;&gt;"",520*SQRT(T19*(POWER(2/(T19+1),(T19+1)/(T19-1)))),"")</f>
        <v>363.737967688476</v>
      </c>
      <c r="U20" s="631"/>
      <c r="V20" s="631" t="n">
        <f aca="false">IF(V19&lt;&gt;"",520*SQRT(V19*(POWER(2/(V19+1),(V19+1)/(V19-1)))),"")</f>
        <v>356.93570525814</v>
      </c>
      <c r="W20" s="631"/>
      <c r="X20" s="631" t="n">
        <f aca="false">IF(X19&lt;&gt;"",520*SQRT(X19*(POWER(2/(X19+1),(X19+1)/(X19-1)))),"")</f>
        <v>356.93570525814</v>
      </c>
      <c r="Y20" s="631"/>
      <c r="Z20" s="631" t="n">
        <f aca="false">IF(Z19&lt;&gt;"",520*SQRT(Z19*(POWER(2/(Z19+1),(Z19+1)/(Z19-1)))),"")</f>
        <v>356.93570525814</v>
      </c>
      <c r="AA20" s="631"/>
      <c r="AB20" s="631" t="str">
        <f aca="false">IF(AB19&lt;&gt;"",520*SQRT(AB19*(POWER(2/(AB19+1),(AB19+1)/(AB19-1)))),"")</f>
        <v/>
      </c>
      <c r="AC20" s="631"/>
      <c r="AD20" s="631" t="n">
        <f aca="false">IF(AD19&lt;&gt;"",520*SQRT(AD19*(POWER(2/(AD19+1),(AD19+1)/(AD19-1)))),"")</f>
        <v>360.380534865121</v>
      </c>
      <c r="AE20" s="631"/>
      <c r="AF20" s="631" t="n">
        <f aca="false">IF(AF19&lt;&gt;"",520*SQRT(AF19*(POWER(2/(AF19+1),(AF19+1)/(AF19-1)))),"")</f>
        <v>360.380534865121</v>
      </c>
      <c r="AG20" s="631"/>
      <c r="AH20" s="631" t="str">
        <f aca="false">IF(AH19&lt;&gt;"",520*SQRT(AH19*(POWER(2/(AH19+1),(AH19+1)/(AH19-1)))),"")</f>
        <v/>
      </c>
      <c r="AI20" s="631"/>
      <c r="AJ20" s="631" t="n">
        <f aca="false">IF(AJ19&lt;&gt;"",520*SQRT(AJ19*(POWER(2/(AJ19+1),(AJ19+1)/(AJ19-1)))),"")</f>
        <v>357.805330341912</v>
      </c>
      <c r="AK20" s="631"/>
      <c r="AL20" s="631" t="n">
        <f aca="false">IF(AL19&lt;&gt;"",520*SQRT(AL19*(POWER(2/(AL19+1),(AL19+1)/(AL19-1)))),"")</f>
        <v>350.684168080492</v>
      </c>
      <c r="AM20" s="631"/>
      <c r="AN20" s="631" t="n">
        <f aca="false">IF(AN19&lt;&gt;"",520*SQRT(AN19*(POWER(2/(AN19+1),(AN19+1)/(AN19-1)))),"")</f>
        <v>357.805330341912</v>
      </c>
      <c r="AO20" s="631"/>
      <c r="AP20" s="631" t="n">
        <f aca="false">IF(AP19&lt;&gt;"",520*SQRT(AP19*(POWER(2/(AP19+1),(AP19+1)/(AP19-1)))),"")</f>
        <v>356.93570525814</v>
      </c>
      <c r="AQ20" s="631"/>
      <c r="AR20" s="631" t="n">
        <f aca="false">IF(AR19&lt;&gt;"",520*SQRT(AR19*(POWER(2/(AR19+1),(AR19+1)/(AR19-1)))),"")</f>
        <v>356.93570525814</v>
      </c>
      <c r="AS20" s="631"/>
      <c r="AT20" s="631" t="n">
        <f aca="false">IF(AT19&lt;&gt;"",520*SQRT(AT19*(POWER(2/(AT19+1),(AT19+1)/(AT19-1)))),"")</f>
        <v>356.93570525814</v>
      </c>
      <c r="AU20" s="631"/>
      <c r="AV20" s="631" t="n">
        <f aca="false">IF(AV19&lt;&gt;"",520*SQRT(AV19*(POWER(2/(AV19+1),(AV19+1)/(AV19-1)))),"")</f>
        <v>345.843901953365</v>
      </c>
      <c r="AW20" s="631"/>
      <c r="AX20" s="631" t="n">
        <f aca="false">IF(AX19&lt;&gt;"",520*SQRT(AX19*(POWER(2/(AX19+1),(AX19+1)/(AX19-1)))),"")</f>
        <v>357.891980691823</v>
      </c>
      <c r="AY20" s="631"/>
      <c r="AZ20" s="631" t="str">
        <f aca="false">IF(AZ19&lt;&gt;"",520*SQRT(AZ19*(POWER(2/(AZ19+1),(AZ19+1)/(AZ19-1)))),"")</f>
        <v/>
      </c>
      <c r="BA20" s="631"/>
      <c r="BB20" s="631" t="str">
        <f aca="false">IF(BB19&lt;&gt;"",520*SQRT(BB19*(POWER(2/(BB19+1),(BB19+1)/(BB19-1)))),"")</f>
        <v/>
      </c>
      <c r="BC20" s="631"/>
      <c r="BD20" s="631" t="str">
        <f aca="false">IF(BD19&lt;&gt;"",520*SQRT(BD19*(POWER(2/(BD19+1),(BD19+1)/(BD19-1)))),"")</f>
        <v/>
      </c>
      <c r="BE20" s="631"/>
      <c r="BF20" s="631" t="str">
        <f aca="false">IF(BF19&lt;&gt;"",520*SQRT(BF19*(POWER(2/(BF19+1),(BF19+1)/(BF19-1)))),"")</f>
        <v/>
      </c>
      <c r="BG20" s="631"/>
      <c r="BH20" s="631" t="str">
        <f aca="false">IF(BH19&lt;&gt;"",520*SQRT(BH19*(POWER(2/(BH19+1),(BH19+1)/(BH19-1)))),"")</f>
        <v/>
      </c>
      <c r="BI20" s="631"/>
      <c r="BJ20" s="631" t="str">
        <f aca="false">IF(BJ19&lt;&gt;"",520*SQRT(BJ19*(POWER(2/(BJ19+1),(BJ19+1)/(BJ19-1)))),"")</f>
        <v/>
      </c>
      <c r="BK20" s="631"/>
      <c r="BL20" s="631" t="str">
        <f aca="false">IF(BL19&lt;&gt;"",520*SQRT(BL19*(POWER(2/(BL19+1),(BL19+1)/(BL19-1)))),"")</f>
        <v/>
      </c>
      <c r="BM20" s="631"/>
      <c r="BN20" s="631" t="str">
        <f aca="false">IF(BN19&lt;&gt;"",520*SQRT(BN19*(POWER(2/(BN19+1),(BN19+1)/(BN19-1)))),"")</f>
        <v/>
      </c>
      <c r="BO20" s="631"/>
      <c r="BP20" s="631" t="str">
        <f aca="false">IF(BP19&lt;&gt;"",520*SQRT(BP19*(POWER(2/(BP19+1),(BP19+1)/(BP19-1)))),"")</f>
        <v/>
      </c>
      <c r="BQ20" s="631"/>
      <c r="BR20" s="631" t="str">
        <f aca="false">IF(BR19&lt;&gt;"",520*SQRT(BR19*(POWER(2/(BR19+1),(BR19+1)/(BR19-1)))),"")</f>
        <v/>
      </c>
      <c r="BS20" s="631"/>
      <c r="BT20" s="631" t="str">
        <f aca="false">IF(BT19&lt;&gt;"",520*SQRT(BT19*(POWER(2/(BT19+1),(BT19+1)/(BT19-1)))),"")</f>
        <v/>
      </c>
      <c r="BU20" s="631"/>
      <c r="BV20" s="631" t="str">
        <f aca="false">IF(BV19&lt;&gt;"",520*SQRT(BV19*(POWER(2/(BV19+1),(BV19+1)/(BV19-1)))),"")</f>
        <v/>
      </c>
      <c r="BW20" s="631"/>
      <c r="BX20" s="631" t="str">
        <f aca="false">IF(BX19&lt;&gt;"",520*SQRT(BX19*(POWER(2/(BX19+1),(BX19+1)/(BX19-1)))),"")</f>
        <v/>
      </c>
      <c r="BY20" s="631"/>
      <c r="BZ20" s="631" t="str">
        <f aca="false">IF(BZ19&lt;&gt;"",520*SQRT(BZ19*(POWER(2/(BZ19+1),(BZ19+1)/(BZ19-1)))),"")</f>
        <v/>
      </c>
      <c r="CA20" s="631"/>
      <c r="CB20" s="631" t="str">
        <f aca="false">IF(CB19&lt;&gt;"",520*SQRT(CB19*(POWER(2/(CB19+1),(CB19+1)/(CB19-1)))),"")</f>
        <v/>
      </c>
      <c r="CC20" s="631"/>
      <c r="CD20" s="631" t="str">
        <f aca="false">IF(CD19&lt;&gt;"",520*SQRT(CD19*(POWER(2/(CD19+1),(CD19+1)/(CD19-1)))),"")</f>
        <v/>
      </c>
      <c r="CE20" s="631"/>
      <c r="CF20" s="631" t="str">
        <f aca="false">IF(CF19&lt;&gt;"",520*SQRT(CF19*(POWER(2/(CF19+1),(CF19+1)/(CF19-1)))),"")</f>
        <v/>
      </c>
      <c r="CG20" s="631"/>
      <c r="CH20" s="631" t="str">
        <f aca="false">IF(CH19&lt;&gt;"",520*SQRT(CH19*(POWER(2/(CH19+1),(CH19+1)/(CH19-1)))),"")</f>
        <v/>
      </c>
      <c r="CI20" s="631"/>
      <c r="CJ20" s="632"/>
    </row>
    <row r="21" s="593" customFormat="true" ht="15" hidden="false" customHeight="false" outlineLevel="0" collapsed="false">
      <c r="A21" s="633" t="s">
        <v>1123</v>
      </c>
      <c r="B21" s="634" t="n">
        <f aca="false">IF(B19&lt;&gt;"",POWER(2/(B19+1),B19/(B19-1))*B15,"")</f>
        <v>1.24250711869586</v>
      </c>
      <c r="C21" s="634"/>
      <c r="D21" s="634" t="str">
        <f aca="false">IF(D19&lt;&gt;"",POWER(2/(D19+1),D19/(D19-1))*D15,"")</f>
        <v/>
      </c>
      <c r="E21" s="634"/>
      <c r="F21" s="634" t="n">
        <f aca="false">IF(F19&lt;&gt;"",POWER(2/(F19+1),F19/(F19-1))*F15,"")</f>
        <v>9.8015354588073</v>
      </c>
      <c r="G21" s="634"/>
      <c r="H21" s="634" t="n">
        <f aca="false">IF(H19&lt;&gt;"",POWER(2/(H19+1),H19/(H19-1))*H15,"")</f>
        <v>0.84660265977371</v>
      </c>
      <c r="I21" s="634"/>
      <c r="J21" s="634" t="n">
        <f aca="false">IF(J19&lt;&gt;"",POWER(2/(J19+1),J19/(J19-1))*J15,"")</f>
        <v>1.88434777655437</v>
      </c>
      <c r="K21" s="634"/>
      <c r="L21" s="634" t="n">
        <f aca="false">IF(L19&lt;&gt;"",POWER(2/(L19+1),L19/(L19-1))*L15,"")</f>
        <v>0.858056937475611</v>
      </c>
      <c r="M21" s="634"/>
      <c r="N21" s="634" t="n">
        <f aca="false">IF(N19&lt;&gt;"",POWER(2/(N19+1),N19/(N19-1))*N15,"")</f>
        <v>0.32388659657053</v>
      </c>
      <c r="O21" s="634"/>
      <c r="P21" s="634" t="n">
        <f aca="false">IF(P19&lt;&gt;"",POWER(2/(P19+1),P19/(P19-1))*P15,"")</f>
        <v>0.32388659657053</v>
      </c>
      <c r="Q21" s="634"/>
      <c r="R21" s="634" t="n">
        <f aca="false">IF(R19&lt;&gt;"",POWER(2/(R19+1),R19/(R19-1))*R15,"")</f>
        <v>1.01175115428854</v>
      </c>
      <c r="S21" s="634"/>
      <c r="T21" s="634" t="n">
        <f aca="false">IF(T19&lt;&gt;"",POWER(2/(T19+1),T19/(T19-1))*T15,"")</f>
        <v>1.01175115428854</v>
      </c>
      <c r="U21" s="634"/>
      <c r="V21" s="634" t="n">
        <f aca="false">IF(V19&lt;&gt;"",POWER(2/(V19+1),V19/(V19-1))*V15,"")</f>
        <v>0.458144864735213</v>
      </c>
      <c r="W21" s="634"/>
      <c r="X21" s="634" t="n">
        <f aca="false">IF(X19&lt;&gt;"",POWER(2/(X19+1),X19/(X19-1))*X15,"")</f>
        <v>0.458144864735213</v>
      </c>
      <c r="Y21" s="634"/>
      <c r="Z21" s="634" t="n">
        <f aca="false">IF(Z19&lt;&gt;"",POWER(2/(Z19+1),Z19/(Z19-1))*Z15,"")</f>
        <v>0.284365778111511</v>
      </c>
      <c r="AA21" s="634"/>
      <c r="AB21" s="634" t="str">
        <f aca="false">IF(AB19&lt;&gt;"",POWER(2/(AB19+1),AB19/(AB19-1))*AB15,"")</f>
        <v/>
      </c>
      <c r="AC21" s="634"/>
      <c r="AD21" s="634" t="n">
        <f aca="false">IF(AD19&lt;&gt;"",POWER(2/(AD19+1),AD19/(AD19-1))*AD15,"")</f>
        <v>1.0244061157723</v>
      </c>
      <c r="AE21" s="634"/>
      <c r="AF21" s="634" t="n">
        <f aca="false">IF(AF19&lt;&gt;"",POWER(2/(AF19+1),AF19/(AF19-1))*AF15,"")</f>
        <v>1.0244061157723</v>
      </c>
      <c r="AG21" s="634"/>
      <c r="AH21" s="634" t="str">
        <f aca="false">IF(AH19&lt;&gt;"",POWER(2/(AH19+1),AH19/(AH19-1))*AH15,"")</f>
        <v/>
      </c>
      <c r="AI21" s="634"/>
      <c r="AJ21" s="634" t="n">
        <f aca="false">IF(AJ19&lt;&gt;"",POWER(2/(AJ19+1),AJ19/(AJ19-1))*AJ15,"")</f>
        <v>1.61155443843516</v>
      </c>
      <c r="AK21" s="634"/>
      <c r="AL21" s="634" t="n">
        <f aca="false">IF(AL19&lt;&gt;"",POWER(2/(AL19+1),AL19/(AL19-1))*AL15,"")</f>
        <v>2.30521403504669</v>
      </c>
      <c r="AM21" s="634"/>
      <c r="AN21" s="634" t="n">
        <f aca="false">IF(AN19&lt;&gt;"",POWER(2/(AN19+1),AN19/(AN19-1))*AN15,"")</f>
        <v>0.629923558997456</v>
      </c>
      <c r="AO21" s="634"/>
      <c r="AP21" s="634" t="n">
        <f aca="false">IF(AP19&lt;&gt;"",POWER(2/(AP19+1),AP19/(AP19-1))*AP15,"")</f>
        <v>1.09533484902212</v>
      </c>
      <c r="AQ21" s="634"/>
      <c r="AR21" s="634" t="n">
        <f aca="false">IF(AR19&lt;&gt;"",POWER(2/(AR19+1),AR19/(AR19-1))*AR15,"")</f>
        <v>0.620338678917334</v>
      </c>
      <c r="AS21" s="634"/>
      <c r="AT21" s="634" t="n">
        <f aca="false">IF(AT19&lt;&gt;"",POWER(2/(AT19+1),AT19/(AT19-1))*AT15,"")</f>
        <v>0.620338678917334</v>
      </c>
      <c r="AU21" s="634"/>
      <c r="AV21" s="634" t="n">
        <f aca="false">IF(AV19&lt;&gt;"",POWER(2/(AV19+1),AV19/(AV19-1))*AV15,"")</f>
        <v>0.494758865937052</v>
      </c>
      <c r="AW21" s="634"/>
      <c r="AX21" s="634" t="n">
        <f aca="false">IF(AX19&lt;&gt;"",POWER(2/(AX19+1),AX19/(AX19-1))*AX15,"")</f>
        <v>0.618179328134845</v>
      </c>
      <c r="AY21" s="634"/>
      <c r="AZ21" s="634" t="str">
        <f aca="false">IF(AZ19&lt;&gt;"",POWER(2/(AZ19+1),AZ19/(AZ19-1))*AZ15,"")</f>
        <v/>
      </c>
      <c r="BA21" s="634"/>
      <c r="BB21" s="634" t="str">
        <f aca="false">IF(BB19&lt;&gt;"",POWER(2/(BB19+1),BB19/(BB19-1))*BB15,"")</f>
        <v/>
      </c>
      <c r="BC21" s="634"/>
      <c r="BD21" s="634" t="str">
        <f aca="false">IF(BD19&lt;&gt;"",POWER(2/(BD19+1),BD19/(BD19-1))*BD15,"")</f>
        <v/>
      </c>
      <c r="BE21" s="634"/>
      <c r="BF21" s="634" t="str">
        <f aca="false">IF(BF19&lt;&gt;"",POWER(2/(BF19+1),BF19/(BF19-1))*BF15,"")</f>
        <v/>
      </c>
      <c r="BG21" s="634"/>
      <c r="BH21" s="634" t="str">
        <f aca="false">IF(BH19&lt;&gt;"",POWER(2/(BH19+1),BH19/(BH19-1))*BH15,"")</f>
        <v/>
      </c>
      <c r="BI21" s="634"/>
      <c r="BJ21" s="634" t="str">
        <f aca="false">IF(BJ19&lt;&gt;"",POWER(2/(BJ19+1),BJ19/(BJ19-1))*BJ15,"")</f>
        <v/>
      </c>
      <c r="BK21" s="634"/>
      <c r="BL21" s="634" t="str">
        <f aca="false">IF(BL19&lt;&gt;"",POWER(2/(BL19+1),BL19/(BL19-1))*BL15,"")</f>
        <v/>
      </c>
      <c r="BM21" s="634"/>
      <c r="BN21" s="634" t="str">
        <f aca="false">IF(BN19&lt;&gt;"",POWER(2/(BN19+1),BN19/(BN19-1))*BN15,"")</f>
        <v/>
      </c>
      <c r="BO21" s="634"/>
      <c r="BP21" s="634" t="str">
        <f aca="false">IF(BP19&lt;&gt;"",POWER(2/(BP19+1),BP19/(BP19-1))*BP15,"")</f>
        <v/>
      </c>
      <c r="BQ21" s="634"/>
      <c r="BR21" s="634" t="str">
        <f aca="false">IF(BR19&lt;&gt;"",POWER(2/(BR19+1),BR19/(BR19-1))*BR15,"")</f>
        <v/>
      </c>
      <c r="BS21" s="634"/>
      <c r="BT21" s="634" t="str">
        <f aca="false">IF(BT19&lt;&gt;"",POWER(2/(BT19+1),BT19/(BT19-1))*BT15,"")</f>
        <v/>
      </c>
      <c r="BU21" s="634"/>
      <c r="BV21" s="634" t="str">
        <f aca="false">IF(BV19&lt;&gt;"",POWER(2/(BV19+1),BV19/(BV19-1))*BV15,"")</f>
        <v/>
      </c>
      <c r="BW21" s="634"/>
      <c r="BX21" s="634" t="str">
        <f aca="false">IF(BX19&lt;&gt;"",POWER(2/(BX19+1),BX19/(BX19-1))*BX15,"")</f>
        <v/>
      </c>
      <c r="BY21" s="634"/>
      <c r="BZ21" s="634" t="str">
        <f aca="false">IF(BZ19&lt;&gt;"",POWER(2/(BZ19+1),BZ19/(BZ19-1))*BZ15,"")</f>
        <v/>
      </c>
      <c r="CA21" s="634"/>
      <c r="CB21" s="634" t="str">
        <f aca="false">IF(CB19&lt;&gt;"",POWER(2/(CB19+1),CB19/(CB19-1))*CB15,"")</f>
        <v/>
      </c>
      <c r="CC21" s="634"/>
      <c r="CD21" s="634" t="str">
        <f aca="false">IF(CD19&lt;&gt;"",POWER(2/(CD19+1),CD19/(CD19-1))*CD15,"")</f>
        <v/>
      </c>
      <c r="CE21" s="634"/>
      <c r="CF21" s="634" t="str">
        <f aca="false">IF(CF19&lt;&gt;"",POWER(2/(CF19+1),CF19/(CF19-1))*CF15,"")</f>
        <v/>
      </c>
      <c r="CG21" s="634"/>
      <c r="CH21" s="634" t="str">
        <f aca="false">IF(CH19&lt;&gt;"",POWER(2/(CH19+1),CH19/(CH19-1))*CH15,"")</f>
        <v/>
      </c>
      <c r="CI21" s="634"/>
      <c r="CJ21" s="596"/>
    </row>
    <row r="22" s="638" customFormat="true" ht="15" hidden="false" customHeight="false" outlineLevel="0" collapsed="false">
      <c r="A22" s="635" t="s">
        <v>1124</v>
      </c>
      <c r="B22" s="627" t="n">
        <v>1.01</v>
      </c>
      <c r="C22" s="627"/>
      <c r="D22" s="627"/>
      <c r="E22" s="636"/>
      <c r="F22" s="627" t="n">
        <f aca="false">'安全阀选型(基础设计)'!F22</f>
        <v>1.049</v>
      </c>
      <c r="G22" s="636"/>
      <c r="H22" s="627" t="n">
        <f aca="false">'安全阀选型(基础设计)'!H22</f>
        <v>0.35</v>
      </c>
      <c r="I22" s="636"/>
      <c r="J22" s="627" t="n">
        <f aca="false">'安全阀选型(基础设计)'!J22</f>
        <v>0.98</v>
      </c>
      <c r="K22" s="627"/>
      <c r="L22" s="627" t="n">
        <f aca="false">'安全阀选型(基础设计)'!L22</f>
        <v>0.88</v>
      </c>
      <c r="M22" s="636"/>
      <c r="N22" s="627" t="n">
        <f aca="false">'安全阀选型(基础设计)'!N22</f>
        <v>0.83</v>
      </c>
      <c r="O22" s="636"/>
      <c r="P22" s="636" t="n">
        <f aca="false">'安全阀选型(基础设计)'!P22</f>
        <v>0.85</v>
      </c>
      <c r="Q22" s="636"/>
      <c r="R22" s="627" t="n">
        <f aca="false">'安全阀选型(基础设计)'!R22</f>
        <v>0.88</v>
      </c>
      <c r="S22" s="627"/>
      <c r="T22" s="627" t="n">
        <f aca="false">'安全阀选型(基础设计)'!T22</f>
        <v>0.88</v>
      </c>
      <c r="U22" s="627"/>
      <c r="V22" s="627" t="n">
        <f aca="false">'安全阀选型(基础设计)'!V22</f>
        <v>0.93</v>
      </c>
      <c r="W22" s="627"/>
      <c r="X22" s="627" t="n">
        <f aca="false">'安全阀选型(基础设计)'!X22</f>
        <v>0.93</v>
      </c>
      <c r="Y22" s="627"/>
      <c r="Z22" s="627" t="n">
        <f aca="false">'安全阀选型(基础设计)'!Z22</f>
        <v>0.93</v>
      </c>
      <c r="AA22" s="627"/>
      <c r="AB22" s="627"/>
      <c r="AC22" s="627"/>
      <c r="AD22" s="627" t="n">
        <f aca="false">'安全阀选型(基础设计)'!AD22</f>
        <v>0.91</v>
      </c>
      <c r="AE22" s="627"/>
      <c r="AF22" s="627" t="n">
        <f aca="false">'安全阀选型(基础设计)'!AF22</f>
        <v>0.91</v>
      </c>
      <c r="AG22" s="627"/>
      <c r="AH22" s="627"/>
      <c r="AI22" s="627"/>
      <c r="AJ22" s="627" t="n">
        <f aca="false">'安全阀选型(基础设计)'!AJ22</f>
        <v>1.01</v>
      </c>
      <c r="AK22" s="627"/>
      <c r="AL22" s="627" t="n">
        <f aca="false">'安全阀选型(基础设计)'!AL22</f>
        <v>1</v>
      </c>
      <c r="AM22" s="627"/>
      <c r="AN22" s="627" t="n">
        <f aca="false">'安全阀选型(基础设计)'!AN22</f>
        <v>0.9401</v>
      </c>
      <c r="AO22" s="627"/>
      <c r="AP22" s="627" t="n">
        <f aca="false">'安全阀选型(基础设计)'!AP22</f>
        <v>1.01</v>
      </c>
      <c r="AQ22" s="627"/>
      <c r="AR22" s="627" t="n">
        <f aca="false">'安全阀选型(基础设计)'!AR22</f>
        <v>0.999</v>
      </c>
      <c r="AS22" s="627"/>
      <c r="AT22" s="627" t="n">
        <f aca="false">'安全阀选型(基础设计)'!AT22</f>
        <v>0.999</v>
      </c>
      <c r="AU22" s="627"/>
      <c r="AV22" s="627" t="n">
        <v>0.9937</v>
      </c>
      <c r="AW22" s="627"/>
      <c r="AX22" s="627" t="n">
        <f aca="false">'安全阀选型(基础设计)'!AX22</f>
        <v>0.996</v>
      </c>
      <c r="AY22" s="627"/>
      <c r="AZ22" s="627"/>
      <c r="BA22" s="627"/>
      <c r="BB22" s="627"/>
      <c r="BC22" s="627"/>
      <c r="BD22" s="627"/>
      <c r="BE22" s="627"/>
      <c r="BF22" s="627"/>
      <c r="BG22" s="627"/>
      <c r="BH22" s="627"/>
      <c r="BI22" s="627"/>
      <c r="BJ22" s="627"/>
      <c r="BK22" s="627"/>
      <c r="BL22" s="627"/>
      <c r="BM22" s="627"/>
      <c r="BN22" s="627"/>
      <c r="BO22" s="627"/>
      <c r="BP22" s="627"/>
      <c r="BQ22" s="627"/>
      <c r="BR22" s="627"/>
      <c r="BS22" s="627"/>
      <c r="BT22" s="627"/>
      <c r="BU22" s="627"/>
      <c r="BV22" s="627"/>
      <c r="BW22" s="627"/>
      <c r="BX22" s="627"/>
      <c r="BY22" s="627"/>
      <c r="BZ22" s="627"/>
      <c r="CA22" s="627"/>
      <c r="CB22" s="627"/>
      <c r="CC22" s="627"/>
      <c r="CD22" s="627"/>
      <c r="CE22" s="627"/>
      <c r="CF22" s="627"/>
      <c r="CG22" s="627"/>
      <c r="CH22" s="627"/>
      <c r="CI22" s="627"/>
      <c r="CJ22" s="637"/>
    </row>
    <row r="23" s="639" customFormat="true" ht="15" hidden="false" customHeight="false" outlineLevel="0" collapsed="false">
      <c r="A23" s="639" t="s">
        <v>1125</v>
      </c>
      <c r="B23" s="640"/>
      <c r="C23" s="640"/>
      <c r="D23" s="640"/>
      <c r="E23" s="640" t="n">
        <v>796.1</v>
      </c>
      <c r="F23" s="640"/>
      <c r="G23" s="640" t="n">
        <f aca="false">'安全阀选型(基础设计)'!G23</f>
        <v>575</v>
      </c>
      <c r="H23" s="640"/>
      <c r="I23" s="640"/>
      <c r="J23" s="640"/>
      <c r="K23" s="640"/>
      <c r="L23" s="640"/>
      <c r="M23" s="640"/>
      <c r="N23" s="640"/>
      <c r="O23" s="640"/>
      <c r="P23" s="640"/>
      <c r="Q23" s="640"/>
      <c r="X23" s="641"/>
      <c r="Z23" s="641"/>
      <c r="AB23" s="641"/>
      <c r="AC23" s="639" t="n">
        <f aca="false">'安全阀选型(基础设计)'!AC23</f>
        <v>831.01</v>
      </c>
      <c r="AD23" s="641"/>
      <c r="AF23" s="641"/>
      <c r="AH23" s="641"/>
      <c r="AI23" s="639" t="n">
        <f aca="false">'安全阀选型(基础设计)'!AI23</f>
        <v>953.71</v>
      </c>
      <c r="AJ23" s="641"/>
      <c r="AL23" s="641"/>
      <c r="AN23" s="641"/>
      <c r="AP23" s="641"/>
      <c r="AR23" s="641"/>
      <c r="AT23" s="641"/>
      <c r="AV23" s="641"/>
      <c r="AX23" s="641"/>
      <c r="AZ23" s="641"/>
      <c r="BA23" s="639" t="n">
        <v>656.2</v>
      </c>
      <c r="BB23" s="641"/>
      <c r="BD23" s="641"/>
      <c r="BF23" s="641"/>
      <c r="BH23" s="641"/>
      <c r="BJ23" s="641"/>
      <c r="BL23" s="641"/>
      <c r="BN23" s="641"/>
      <c r="BP23" s="641"/>
      <c r="BR23" s="641"/>
      <c r="BT23" s="641"/>
      <c r="BV23" s="641"/>
      <c r="BX23" s="641"/>
      <c r="BZ23" s="641"/>
      <c r="CB23" s="641"/>
      <c r="CD23" s="641"/>
      <c r="CF23" s="641"/>
      <c r="CH23" s="641"/>
      <c r="CJ23" s="623"/>
    </row>
    <row r="24" s="599" customFormat="true" ht="15.65" hidden="false" customHeight="false" outlineLevel="0" collapsed="false">
      <c r="A24" s="642" t="s">
        <v>1126</v>
      </c>
      <c r="B24" s="643"/>
      <c r="C24" s="644"/>
      <c r="D24" s="644"/>
      <c r="E24" s="644" t="n">
        <f aca="false">物流参数!K19/1000</f>
        <v>0.0009</v>
      </c>
      <c r="F24" s="644"/>
      <c r="G24" s="644" t="n">
        <f aca="false">C24</f>
        <v>0</v>
      </c>
      <c r="H24" s="643"/>
      <c r="I24" s="643"/>
      <c r="J24" s="643"/>
      <c r="K24" s="643"/>
      <c r="L24" s="643"/>
      <c r="M24" s="643"/>
      <c r="N24" s="643"/>
      <c r="O24" s="643"/>
      <c r="P24" s="643"/>
      <c r="Q24" s="643"/>
      <c r="R24" s="643"/>
      <c r="S24" s="643"/>
      <c r="T24" s="643"/>
      <c r="U24" s="643"/>
      <c r="V24" s="643"/>
      <c r="W24" s="643"/>
      <c r="X24" s="643"/>
      <c r="Y24" s="643"/>
      <c r="Z24" s="643"/>
      <c r="AA24" s="643"/>
      <c r="AB24" s="643"/>
      <c r="AC24" s="643" t="n">
        <f aca="false">物流参数!BP19/1000</f>
        <v>0.00029</v>
      </c>
      <c r="AD24" s="643"/>
      <c r="AE24" s="643"/>
      <c r="AF24" s="643"/>
      <c r="AG24" s="643"/>
      <c r="AH24" s="643"/>
      <c r="AI24" s="643" t="n">
        <f aca="false">AC24</f>
        <v>0.00029</v>
      </c>
      <c r="AJ24" s="643"/>
      <c r="AK24" s="643"/>
      <c r="AL24" s="643"/>
      <c r="AM24" s="643"/>
      <c r="AN24" s="643"/>
      <c r="AO24" s="643"/>
      <c r="AP24" s="643"/>
      <c r="AQ24" s="643"/>
      <c r="AR24" s="643"/>
      <c r="AS24" s="643"/>
      <c r="AT24" s="643"/>
      <c r="AU24" s="643"/>
      <c r="AV24" s="643"/>
      <c r="AW24" s="643"/>
      <c r="AX24" s="643"/>
      <c r="AY24" s="643"/>
      <c r="AZ24" s="643"/>
      <c r="BA24" s="643" t="n">
        <f aca="false">0.18/1000</f>
        <v>0.00018</v>
      </c>
      <c r="BB24" s="643"/>
      <c r="BC24" s="643"/>
      <c r="BD24" s="643"/>
      <c r="BE24" s="643"/>
      <c r="BF24" s="643"/>
      <c r="BG24" s="643"/>
      <c r="BH24" s="643"/>
      <c r="BI24" s="643"/>
      <c r="BJ24" s="643"/>
      <c r="BK24" s="643"/>
      <c r="BL24" s="643"/>
      <c r="BM24" s="643"/>
      <c r="BN24" s="643"/>
      <c r="BO24" s="643"/>
      <c r="BP24" s="643"/>
      <c r="BQ24" s="643"/>
      <c r="BR24" s="643"/>
      <c r="BS24" s="643"/>
      <c r="BT24" s="643"/>
      <c r="BU24" s="643"/>
      <c r="BV24" s="643"/>
      <c r="BW24" s="643"/>
      <c r="BX24" s="643"/>
      <c r="BY24" s="643"/>
      <c r="BZ24" s="643"/>
      <c r="CA24" s="643"/>
      <c r="CB24" s="643"/>
      <c r="CC24" s="643"/>
      <c r="CD24" s="643"/>
      <c r="CE24" s="643"/>
      <c r="CF24" s="643"/>
      <c r="CG24" s="643"/>
      <c r="CH24" s="643"/>
      <c r="CI24" s="643"/>
      <c r="CJ24" s="598"/>
    </row>
    <row r="25" s="400" customFormat="true" ht="15" hidden="false" customHeight="false" outlineLevel="0" collapsed="false">
      <c r="A25" s="400" t="s">
        <v>1127</v>
      </c>
      <c r="B25" s="645" t="n">
        <v>10027.35</v>
      </c>
      <c r="C25" s="645"/>
      <c r="D25" s="646"/>
      <c r="E25" s="645" t="n">
        <f aca="false">309524*0.1</f>
        <v>30952.4</v>
      </c>
      <c r="F25" s="646" t="n">
        <f aca="false">'安全阀选型(基础设计)'!F24</f>
        <v>21160</v>
      </c>
      <c r="G25" s="646" t="n">
        <f aca="false">'安全阀选型(基础设计)'!G24</f>
        <v>294700</v>
      </c>
      <c r="H25" s="645" t="n">
        <f aca="false">'安全阀选型(基础设计)'!H24</f>
        <v>19935.43</v>
      </c>
      <c r="I25" s="645"/>
      <c r="J25" s="645" t="n">
        <f aca="false">'安全阀选型(基础设计)'!J24</f>
        <v>11804.68</v>
      </c>
      <c r="K25" s="645"/>
      <c r="L25" s="645" t="n">
        <f aca="false">'安全阀选型(基础设计)'!L24</f>
        <v>35884.16</v>
      </c>
      <c r="M25" s="645"/>
      <c r="N25" s="645" t="n">
        <f aca="false">'安全阀选型(基础设计)'!N24</f>
        <v>38398.87</v>
      </c>
      <c r="O25" s="645"/>
      <c r="P25" s="646" t="n">
        <f aca="false">'安全阀选型(基础设计)'!P24</f>
        <v>69094.35</v>
      </c>
      <c r="Q25" s="645"/>
      <c r="R25" s="645" t="n">
        <f aca="false">'安全阀选型(基础设计)'!R24</f>
        <v>10606.54</v>
      </c>
      <c r="S25" s="645"/>
      <c r="T25" s="645" t="n">
        <f aca="false">'安全阀选型(基础设计)'!T24</f>
        <v>10606.54</v>
      </c>
      <c r="U25" s="645"/>
      <c r="V25" s="645" t="n">
        <f aca="false">'安全阀选型(基础设计)'!V24</f>
        <v>9822.897</v>
      </c>
      <c r="W25" s="645"/>
      <c r="X25" s="645" t="n">
        <f aca="false">'安全阀选型(基础设计)'!X24</f>
        <v>9822.897</v>
      </c>
      <c r="Y25" s="645"/>
      <c r="Z25" s="645" t="n">
        <f aca="false">'安全阀选型(基础设计)'!Z24</f>
        <v>470</v>
      </c>
      <c r="AA25" s="645"/>
      <c r="AB25" s="645"/>
      <c r="AC25" s="645" t="str">
        <f aca="false">'安全阀选型(基础设计)'!AC24</f>
        <v>2557.51</v>
      </c>
      <c r="AD25" s="645" t="n">
        <f aca="false">'安全阀选型(基础设计)'!AD24</f>
        <v>26881.05</v>
      </c>
      <c r="AE25" s="645"/>
      <c r="AF25" s="645" t="n">
        <f aca="false">'安全阀选型(基础设计)'!AF24</f>
        <v>26881.05</v>
      </c>
      <c r="AG25" s="645"/>
      <c r="AH25" s="645"/>
      <c r="AI25" s="645" t="n">
        <f aca="false">'安全阀选型(基础设计)'!AI24</f>
        <v>13100</v>
      </c>
      <c r="AJ25" s="645" t="n">
        <f aca="false">'安全阀选型(基础设计)'!AJ24</f>
        <v>3370</v>
      </c>
      <c r="AK25" s="645"/>
      <c r="AL25" s="645" t="n">
        <f aca="false">'安全阀选型(基础设计)'!AL24</f>
        <v>6034.9</v>
      </c>
      <c r="AM25" s="645"/>
      <c r="AN25" s="645" t="n">
        <f aca="false">'安全阀选型(基础设计)'!AN24</f>
        <v>3110.92</v>
      </c>
      <c r="AO25" s="645"/>
      <c r="AP25" s="645" t="n">
        <f aca="false">'安全阀选型(基础设计)'!AP24</f>
        <v>10027.35</v>
      </c>
      <c r="AQ25" s="645"/>
      <c r="AR25" s="645" t="n">
        <f aca="false">'安全阀选型(基础设计)'!AR24</f>
        <v>2000</v>
      </c>
      <c r="AS25" s="645"/>
      <c r="AT25" s="645" t="n">
        <f aca="false">'安全阀选型(基础设计)'!AT24</f>
        <v>1079.476</v>
      </c>
      <c r="AU25" s="645"/>
      <c r="AV25" s="645" t="n">
        <f aca="false">'安全阀选型(基础设计)'!AV24</f>
        <v>3800</v>
      </c>
      <c r="AW25" s="645"/>
      <c r="AX25" s="645" t="n">
        <f aca="false">'安全阀选型(基础设计)'!AX24</f>
        <v>1500</v>
      </c>
      <c r="AY25" s="645"/>
      <c r="AZ25" s="645"/>
      <c r="BA25" s="645" t="n">
        <v>312798</v>
      </c>
      <c r="BB25" s="645"/>
      <c r="BC25" s="645"/>
      <c r="BD25" s="645"/>
      <c r="BE25" s="645"/>
      <c r="BF25" s="645"/>
      <c r="BG25" s="645"/>
      <c r="BH25" s="645"/>
      <c r="BI25" s="645"/>
      <c r="BJ25" s="645"/>
      <c r="BK25" s="645"/>
      <c r="BL25" s="645"/>
      <c r="BM25" s="645"/>
      <c r="BN25" s="645"/>
      <c r="BO25" s="645"/>
      <c r="BP25" s="645"/>
      <c r="BQ25" s="645"/>
      <c r="BR25" s="645"/>
      <c r="BS25" s="645"/>
      <c r="BT25" s="645"/>
      <c r="BU25" s="645"/>
      <c r="BV25" s="645"/>
      <c r="BW25" s="645"/>
      <c r="BX25" s="645"/>
      <c r="BY25" s="645"/>
      <c r="BZ25" s="645"/>
      <c r="CA25" s="645"/>
      <c r="CB25" s="645"/>
      <c r="CC25" s="645"/>
      <c r="CD25" s="645"/>
      <c r="CE25" s="645"/>
      <c r="CF25" s="645"/>
      <c r="CG25" s="645"/>
      <c r="CH25" s="645"/>
      <c r="CI25" s="645"/>
      <c r="CJ25" s="403"/>
    </row>
    <row r="26" s="648" customFormat="true" ht="15" hidden="false" customHeight="false" outlineLevel="0" collapsed="false">
      <c r="A26" s="443" t="s">
        <v>533</v>
      </c>
      <c r="B26" s="575" t="n">
        <v>1.1</v>
      </c>
      <c r="C26" s="575"/>
      <c r="D26" s="575" t="n">
        <v>1.1</v>
      </c>
      <c r="E26" s="575"/>
      <c r="F26" s="575" t="n">
        <v>1.1</v>
      </c>
      <c r="G26" s="575"/>
      <c r="H26" s="575" t="n">
        <v>1.1</v>
      </c>
      <c r="I26" s="575"/>
      <c r="J26" s="575" t="n">
        <v>1.1</v>
      </c>
      <c r="K26" s="575"/>
      <c r="L26" s="575" t="n">
        <v>1.1</v>
      </c>
      <c r="M26" s="575"/>
      <c r="N26" s="575" t="n">
        <f aca="false">'安全阀选型(基础设计)'!N25:O25</f>
        <v>1.1</v>
      </c>
      <c r="O26" s="575"/>
      <c r="P26" s="575" t="n">
        <f aca="false">'安全阀选型(基础设计)'!P25:Q25</f>
        <v>1.1</v>
      </c>
      <c r="Q26" s="575"/>
      <c r="R26" s="575" t="n">
        <f aca="false">'安全阀选型(基础设计)'!R25:S25</f>
        <v>1.1</v>
      </c>
      <c r="S26" s="575"/>
      <c r="T26" s="575" t="n">
        <f aca="false">'安全阀选型(基础设计)'!T25:U25</f>
        <v>1.1</v>
      </c>
      <c r="U26" s="575"/>
      <c r="V26" s="575" t="n">
        <f aca="false">'安全阀选型(基础设计)'!V25:W25</f>
        <v>1.1</v>
      </c>
      <c r="W26" s="575"/>
      <c r="X26" s="575" t="n">
        <f aca="false">'安全阀选型(基础设计)'!X25:Y25</f>
        <v>1.1</v>
      </c>
      <c r="Y26" s="575"/>
      <c r="Z26" s="575" t="n">
        <f aca="false">'安全阀选型(基础设计)'!Z25:AA25</f>
        <v>1.1</v>
      </c>
      <c r="AA26" s="575"/>
      <c r="AB26" s="575" t="n">
        <f aca="false">'安全阀选型(基础设计)'!AB25:AC25</f>
        <v>1.1</v>
      </c>
      <c r="AC26" s="575"/>
      <c r="AD26" s="575" t="n">
        <f aca="false">'安全阀选型(基础设计)'!AD25:AE25</f>
        <v>1.1</v>
      </c>
      <c r="AE26" s="575"/>
      <c r="AF26" s="575" t="n">
        <f aca="false">'安全阀选型(基础设计)'!AF25:AG25</f>
        <v>1.1</v>
      </c>
      <c r="AG26" s="575"/>
      <c r="AH26" s="575" t="n">
        <f aca="false">'安全阀选型(基础设计)'!AH25:AI25</f>
        <v>1.1</v>
      </c>
      <c r="AI26" s="575"/>
      <c r="AJ26" s="575" t="n">
        <f aca="false">'安全阀选型(基础设计)'!AJ25:AK25</f>
        <v>1.1</v>
      </c>
      <c r="AK26" s="575"/>
      <c r="AL26" s="575" t="n">
        <f aca="false">'安全阀选型(基础设计)'!AL25:AM25</f>
        <v>1.1</v>
      </c>
      <c r="AM26" s="575"/>
      <c r="AN26" s="575" t="n">
        <f aca="false">'安全阀选型(基础设计)'!AN25:AO25</f>
        <v>1.1</v>
      </c>
      <c r="AO26" s="575"/>
      <c r="AP26" s="575" t="n">
        <f aca="false">'安全阀选型(基础设计)'!AP25:AQ25</f>
        <v>1.1</v>
      </c>
      <c r="AQ26" s="575"/>
      <c r="AR26" s="575" t="n">
        <f aca="false">'安全阀选型(基础设计)'!AR25:AS25</f>
        <v>1.1</v>
      </c>
      <c r="AS26" s="575"/>
      <c r="AT26" s="575" t="n">
        <f aca="false">'安全阀选型(基础设计)'!AT25:AU25</f>
        <v>1.1</v>
      </c>
      <c r="AU26" s="575"/>
      <c r="AV26" s="575" t="n">
        <f aca="false">'安全阀选型(基础设计)'!AV25:AW25</f>
        <v>1.2</v>
      </c>
      <c r="AW26" s="575"/>
      <c r="AX26" s="575" t="n">
        <v>1.2</v>
      </c>
      <c r="AY26" s="575"/>
      <c r="AZ26" s="575" t="n">
        <v>1.1</v>
      </c>
      <c r="BA26" s="575"/>
      <c r="BB26" s="575"/>
      <c r="BC26" s="575"/>
      <c r="BD26" s="575"/>
      <c r="BE26" s="575"/>
      <c r="BF26" s="575"/>
      <c r="BG26" s="575"/>
      <c r="BH26" s="575"/>
      <c r="BI26" s="575"/>
      <c r="BJ26" s="575"/>
      <c r="BK26" s="575"/>
      <c r="BL26" s="575"/>
      <c r="BM26" s="575"/>
      <c r="BN26" s="575"/>
      <c r="BO26" s="575"/>
      <c r="BP26" s="575"/>
      <c r="BQ26" s="575"/>
      <c r="BR26" s="575"/>
      <c r="BS26" s="575"/>
      <c r="BT26" s="575"/>
      <c r="BU26" s="575"/>
      <c r="BV26" s="575"/>
      <c r="BW26" s="575"/>
      <c r="BX26" s="575"/>
      <c r="BY26" s="575"/>
      <c r="BZ26" s="575"/>
      <c r="CA26" s="575"/>
      <c r="CB26" s="575"/>
      <c r="CC26" s="575"/>
      <c r="CD26" s="575"/>
      <c r="CE26" s="575"/>
      <c r="CF26" s="575"/>
      <c r="CG26" s="575"/>
      <c r="CH26" s="575"/>
      <c r="CI26" s="575"/>
      <c r="CJ26" s="647"/>
    </row>
    <row r="27" s="649" customFormat="true" ht="15" hidden="false" customHeight="false" outlineLevel="0" collapsed="false">
      <c r="A27" s="649" t="s">
        <v>1128</v>
      </c>
      <c r="B27" s="650" t="n">
        <f aca="false">IF(B16&lt;&gt;"",IF(B16="液态 Liquid","",B25*B26),"")</f>
        <v>11030.085</v>
      </c>
      <c r="C27" s="650" t="str">
        <f aca="false">IF(B16&lt;&gt;"",IF(B16="气态 Gas","",C25*B26),"")</f>
        <v/>
      </c>
      <c r="D27" s="650" t="str">
        <f aca="false">IF(D16&lt;&gt;"",IF(D16="液态 Liquid","",D25*D26),"")</f>
        <v/>
      </c>
      <c r="E27" s="650" t="n">
        <f aca="false">IF(D16&lt;&gt;"",IF(D16="气态 Gas","",E25*D26),"")</f>
        <v>34047.64</v>
      </c>
      <c r="F27" s="650" t="n">
        <f aca="false">IF(F16&lt;&gt;"",IF(F16="液态 Liquid","",F25*F26),"")</f>
        <v>23276</v>
      </c>
      <c r="G27" s="650" t="n">
        <f aca="false">IF(F16&lt;&gt;"",IF(F16="气态 Gas","",G25*F26),"")</f>
        <v>324170</v>
      </c>
      <c r="H27" s="650" t="n">
        <f aca="false">IF(H16&lt;&gt;"",IF(H16="液态 Liquid","",H25*H26),"")</f>
        <v>21928.973</v>
      </c>
      <c r="I27" s="650" t="str">
        <f aca="false">IF(H16&lt;&gt;"",IF(H16="气态 Gas","",I25*H26),"")</f>
        <v/>
      </c>
      <c r="J27" s="650" t="n">
        <f aca="false">IF(J16&lt;&gt;"",IF(J16="液态 Liquid","",J25*J26),"")</f>
        <v>12985.148</v>
      </c>
      <c r="K27" s="650" t="str">
        <f aca="false">IF(J16&lt;&gt;"",IF(J16="气态 Gas","",K25*J26),"")</f>
        <v/>
      </c>
      <c r="L27" s="650" t="n">
        <f aca="false">IF(L16&lt;&gt;"",IF(L16="液态 Liquid","",L25*L26),"")</f>
        <v>39472.576</v>
      </c>
      <c r="M27" s="650" t="str">
        <f aca="false">IF(L16&lt;&gt;"",IF(L16="气态 Gas","",M25*L26),"")</f>
        <v/>
      </c>
      <c r="N27" s="650" t="n">
        <f aca="false">IF(N16&lt;&gt;"",IF(N16="液态 Liquid","",N25*N26),"")</f>
        <v>42238.757</v>
      </c>
      <c r="O27" s="650" t="str">
        <f aca="false">IF(N16&lt;&gt;"",IF(N16="气态 Gas","",O25*N26),"")</f>
        <v/>
      </c>
      <c r="P27" s="650" t="n">
        <f aca="false">IF(P16&lt;&gt;"",IF(P16="液态 Liquid","",P25*P26),"")</f>
        <v>76003.785</v>
      </c>
      <c r="Q27" s="650" t="str">
        <f aca="false">IF(P16&lt;&gt;"",IF(P16="气态 Gas","",Q25*P26),"")</f>
        <v/>
      </c>
      <c r="R27" s="650" t="n">
        <f aca="false">IF(R16&lt;&gt;"",IF(R16="液态 Liquid","",R25*R26),"")</f>
        <v>11667.194</v>
      </c>
      <c r="S27" s="650" t="str">
        <f aca="false">IF(R16&lt;&gt;"",IF(R16="气态 Gas","",S25*R26),"")</f>
        <v/>
      </c>
      <c r="T27" s="650" t="n">
        <f aca="false">IF(T16&lt;&gt;"",IF(T16="液态 Liquid","",T25*T26),"")</f>
        <v>11667.194</v>
      </c>
      <c r="U27" s="650" t="str">
        <f aca="false">IF(T16&lt;&gt;"",IF(T16="气态 Gas","",U25*T26),"")</f>
        <v/>
      </c>
      <c r="V27" s="650" t="n">
        <f aca="false">IF(V16&lt;&gt;"",IF(V16="液态 Liquid","",V25*V26),"")</f>
        <v>10805.1867</v>
      </c>
      <c r="W27" s="650" t="str">
        <f aca="false">IF(V16&lt;&gt;"",IF(V16="气态 Gas","",W25*V26),"")</f>
        <v/>
      </c>
      <c r="X27" s="650" t="n">
        <f aca="false">IF(X16&lt;&gt;"",IF(X16="液态 Liquid","",X25*X26),"")</f>
        <v>10805.1867</v>
      </c>
      <c r="Y27" s="650" t="str">
        <f aca="false">IF(X16&lt;&gt;"",IF(X16="气态 Gas","",Y25*X26),"")</f>
        <v/>
      </c>
      <c r="Z27" s="650" t="n">
        <f aca="false">IF(Z16&lt;&gt;"",IF(Z16="液态 Liquid","",Z25*Z26),"")</f>
        <v>517</v>
      </c>
      <c r="AA27" s="650" t="str">
        <f aca="false">IF(Z16&lt;&gt;"",IF(Z16="气态 Gas","",AA25*Z26),"")</f>
        <v/>
      </c>
      <c r="AB27" s="650" t="str">
        <f aca="false">IF(AB16&lt;&gt;"",IF(AB16="液态 Liquid","",AB25*AB26),"")</f>
        <v/>
      </c>
      <c r="AC27" s="650" t="n">
        <f aca="false">IF(AB16&lt;&gt;"",IF(AB16="气态 Gas","",AC25*AB26),"")</f>
        <v>2813.261</v>
      </c>
      <c r="AD27" s="650" t="n">
        <f aca="false">IF(AD16&lt;&gt;"",IF(AD16="液态 Liquid","",AD25*AD26),"")</f>
        <v>29569.155</v>
      </c>
      <c r="AE27" s="650" t="str">
        <f aca="false">IF(AD16&lt;&gt;"",IF(AD16="气态 Gas","",AE25*AD26),"")</f>
        <v/>
      </c>
      <c r="AF27" s="650" t="n">
        <f aca="false">IF(AF16&lt;&gt;"",IF(AF16="液态 Liquid","",AF25*AF26),"")</f>
        <v>29569.155</v>
      </c>
      <c r="AG27" s="650" t="str">
        <f aca="false">IF(AF16&lt;&gt;"",IF(AF16="气态 Gas","",AG25*AF26),"")</f>
        <v/>
      </c>
      <c r="AH27" s="650" t="str">
        <f aca="false">IF(AH16&lt;&gt;"",IF(AH16="液态 Liquid","",AH25*AH26),"")</f>
        <v/>
      </c>
      <c r="AI27" s="650" t="n">
        <f aca="false">IF(AH16&lt;&gt;"",IF(AH16="气态 Gas","",AI25*AH26),"")</f>
        <v>14410</v>
      </c>
      <c r="AJ27" s="650" t="n">
        <f aca="false">IF(AJ16&lt;&gt;"",IF(AJ16="液态 Liquid","",AJ25*AJ26),"")</f>
        <v>3707</v>
      </c>
      <c r="AK27" s="650" t="str">
        <f aca="false">IF(AJ16&lt;&gt;"",IF(AJ16="气态 Gas","",AK25*AJ26),"")</f>
        <v/>
      </c>
      <c r="AL27" s="650" t="n">
        <f aca="false">IF(AL16&lt;&gt;"",IF(AL16="液态 Liquid","",AL25*AL26),"")</f>
        <v>6638.39</v>
      </c>
      <c r="AM27" s="650" t="str">
        <f aca="false">IF(AL16&lt;&gt;"",IF(AL16="气态 Gas","",AM25*AL26),"")</f>
        <v/>
      </c>
      <c r="AN27" s="650" t="n">
        <f aca="false">IF(AN16&lt;&gt;"",IF(AN16="液态 Liquid","",AN25*AN26),"")</f>
        <v>3422.012</v>
      </c>
      <c r="AO27" s="650" t="str">
        <f aca="false">IF(AN16&lt;&gt;"",IF(AN16="气态 Gas","",AO25*AN26),"")</f>
        <v/>
      </c>
      <c r="AP27" s="650" t="n">
        <f aca="false">IF(AP16&lt;&gt;"",IF(AP16="液态 Liquid","",AP25*AP26),"")</f>
        <v>11030.085</v>
      </c>
      <c r="AQ27" s="650" t="str">
        <f aca="false">IF(AP16&lt;&gt;"",IF(AP16="气态 Gas","",AQ25*AP26),"")</f>
        <v/>
      </c>
      <c r="AR27" s="650" t="n">
        <f aca="false">IF(AR16&lt;&gt;"",IF(AR16="液态 Liquid","",AR25*AR26),"")</f>
        <v>2200</v>
      </c>
      <c r="AS27" s="650" t="str">
        <f aca="false">IF(AR16&lt;&gt;"",IF(AR16="气态 Gas","",AS25*AR26),"")</f>
        <v/>
      </c>
      <c r="AT27" s="650" t="n">
        <f aca="false">IF(AT16&lt;&gt;"",IF(AT16="液态 Liquid","",AT25*AT26),"")</f>
        <v>1187.4236</v>
      </c>
      <c r="AU27" s="650" t="str">
        <f aca="false">IF(AT16&lt;&gt;"",IF(AT16="气态 Gas","",AU25*AT26),"")</f>
        <v/>
      </c>
      <c r="AV27" s="650" t="n">
        <f aca="false">IF(AV16&lt;&gt;"",IF(AV16="液态 Liquid","",AV25*AV26),"")</f>
        <v>4560</v>
      </c>
      <c r="AW27" s="650" t="str">
        <f aca="false">IF(AV16&lt;&gt;"",IF(AV16="气态 Gas","",AW25*AV26),"")</f>
        <v/>
      </c>
      <c r="AX27" s="650" t="n">
        <f aca="false">IF(AX16&lt;&gt;"",IF(AX16="液态 Liquid","",AX25*AX26),"")</f>
        <v>1800</v>
      </c>
      <c r="AY27" s="650" t="str">
        <f aca="false">IF(AX16&lt;&gt;"",IF(AX16="气态 Gas","",AY25*AX26),"")</f>
        <v/>
      </c>
      <c r="AZ27" s="650" t="str">
        <f aca="false">IF(AZ16&lt;&gt;"",IF(AZ16="液态 Liquid","",AZ25*AZ26),"")</f>
        <v/>
      </c>
      <c r="BA27" s="650" t="n">
        <f aca="false">IF(AZ16&lt;&gt;"",IF(AZ16="气态 Gas","",BA25*AZ26),"")</f>
        <v>344077.8</v>
      </c>
      <c r="BB27" s="650" t="str">
        <f aca="false">IF(BB16&lt;&gt;"",IF(BB16="液态 Liquid","",BB25*BB26),"")</f>
        <v/>
      </c>
      <c r="BC27" s="650" t="str">
        <f aca="false">IF(BB16&lt;&gt;"",IF(BB16="气态 Gas","",BC25*BB26),"")</f>
        <v/>
      </c>
      <c r="BD27" s="650" t="str">
        <f aca="false">IF(BD16&lt;&gt;"",IF(BD16="液态 Liquid","",BD25*BD26),"")</f>
        <v/>
      </c>
      <c r="BE27" s="650" t="str">
        <f aca="false">IF(BD16&lt;&gt;"",IF(BD16="气态 Gas","",BE25*BD26),"")</f>
        <v/>
      </c>
      <c r="BF27" s="650" t="str">
        <f aca="false">IF(BF16&lt;&gt;"",IF(BF16="液态 Liquid","",BF25*BF26),"")</f>
        <v/>
      </c>
      <c r="BG27" s="650" t="str">
        <f aca="false">IF(BF16&lt;&gt;"",IF(BF16="气态 Gas","",BG25*BF26),"")</f>
        <v/>
      </c>
      <c r="BH27" s="650" t="str">
        <f aca="false">IF(BH16&lt;&gt;"",IF(BH16="液态 Liquid","",BH25*BH26),"")</f>
        <v/>
      </c>
      <c r="BI27" s="650" t="str">
        <f aca="false">IF(BH16&lt;&gt;"",IF(BH16="气态 Gas","",BI25*BH26),"")</f>
        <v/>
      </c>
      <c r="BJ27" s="650" t="str">
        <f aca="false">IF(BJ16&lt;&gt;"",IF(BJ16="液态 Liquid","",BJ25*BJ26),"")</f>
        <v/>
      </c>
      <c r="BK27" s="650" t="str">
        <f aca="false">IF(BJ16&lt;&gt;"",IF(BJ16="气态 Gas","",BK25*BJ26),"")</f>
        <v/>
      </c>
      <c r="BL27" s="650" t="str">
        <f aca="false">IF(BL16&lt;&gt;"",IF(BL16="液态 Liquid","",BL25*BL26),"")</f>
        <v/>
      </c>
      <c r="BM27" s="650" t="str">
        <f aca="false">IF(BL16&lt;&gt;"",IF(BL16="气态 Gas","",BM25*BL26),"")</f>
        <v/>
      </c>
      <c r="BN27" s="650" t="str">
        <f aca="false">IF(BN16&lt;&gt;"",IF(BN16="液态 Liquid","",BN25*BN26),"")</f>
        <v/>
      </c>
      <c r="BO27" s="650" t="str">
        <f aca="false">IF(BN16&lt;&gt;"",IF(BN16="气态 Gas","",BO25*BN26),"")</f>
        <v/>
      </c>
      <c r="BP27" s="650" t="str">
        <f aca="false">IF(BP16&lt;&gt;"",IF(BP16="液态 Liquid","",BP25*BP26),"")</f>
        <v/>
      </c>
      <c r="BQ27" s="650" t="str">
        <f aca="false">IF(BP16&lt;&gt;"",IF(BP16="气态 Gas","",BQ25*BP26),"")</f>
        <v/>
      </c>
      <c r="BR27" s="650" t="str">
        <f aca="false">IF(BR16&lt;&gt;"",IF(BR16="液态 Liquid","",BR25*BR26),"")</f>
        <v/>
      </c>
      <c r="BS27" s="650" t="str">
        <f aca="false">IF(BR16&lt;&gt;"",IF(BR16="气态 Gas","",BS25*BR26),"")</f>
        <v/>
      </c>
      <c r="BT27" s="650" t="str">
        <f aca="false">IF(BT16&lt;&gt;"",IF(BT16="液态 Liquid","",BT25*BT26),"")</f>
        <v/>
      </c>
      <c r="BU27" s="650" t="str">
        <f aca="false">IF(BT16&lt;&gt;"",IF(BT16="气态 Gas","",BU25*BT26),"")</f>
        <v/>
      </c>
      <c r="BV27" s="650" t="str">
        <f aca="false">IF(BV16&lt;&gt;"",IF(BV16="液态 Liquid","",BV25*BV26),"")</f>
        <v/>
      </c>
      <c r="BW27" s="650" t="str">
        <f aca="false">IF(BV16&lt;&gt;"",IF(BV16="气态 Gas","",BW25*BV26),"")</f>
        <v/>
      </c>
      <c r="BX27" s="650" t="str">
        <f aca="false">IF(BX16&lt;&gt;"",IF(BX16="液态 Liquid","",BX25*BX26),"")</f>
        <v/>
      </c>
      <c r="BY27" s="650" t="str">
        <f aca="false">IF(BX16&lt;&gt;"",IF(BX16="气态 Gas","",BY25*BX26),"")</f>
        <v/>
      </c>
      <c r="BZ27" s="650" t="str">
        <f aca="false">IF(BZ16&lt;&gt;"",IF(BZ16="液态 Liquid","",BZ25*BZ26),"")</f>
        <v/>
      </c>
      <c r="CA27" s="650" t="str">
        <f aca="false">IF(BZ16&lt;&gt;"",IF(BZ16="气态 Gas","",CA25*BZ26),"")</f>
        <v/>
      </c>
      <c r="CB27" s="650" t="str">
        <f aca="false">IF(CB16&lt;&gt;"",IF(CB16="液态 Liquid","",CB25*CB26),"")</f>
        <v/>
      </c>
      <c r="CC27" s="650" t="str">
        <f aca="false">IF(CB16&lt;&gt;"",IF(CB16="气态 Gas","",CC25*CB26),"")</f>
        <v/>
      </c>
      <c r="CD27" s="650" t="str">
        <f aca="false">IF(CD16&lt;&gt;"",IF(CD16="液态 Liquid","",CD25*CD26),"")</f>
        <v/>
      </c>
      <c r="CE27" s="650" t="str">
        <f aca="false">IF(CD16&lt;&gt;"",IF(CD16="气态 Gas","",CE25*CD26),"")</f>
        <v/>
      </c>
      <c r="CF27" s="650" t="str">
        <f aca="false">IF(CF16&lt;&gt;"",IF(CF16="液态 Liquid","",CF25*CF26),"")</f>
        <v/>
      </c>
      <c r="CG27" s="650" t="str">
        <f aca="false">IF(CF16&lt;&gt;"",IF(CF16="气态 Gas","",CG25*CF26),"")</f>
        <v/>
      </c>
      <c r="CH27" s="650" t="str">
        <f aca="false">IF(CH16&lt;&gt;"",IF(CH16="液态 Liquid","",CH25*CH26),"")</f>
        <v/>
      </c>
      <c r="CI27" s="650" t="str">
        <f aca="false">IF(CH16&lt;&gt;"",IF(CH16="气态 Gas","",CI25*CH26),"")</f>
        <v/>
      </c>
      <c r="CJ27" s="440"/>
    </row>
    <row r="28" s="578" customFormat="true" ht="15" hidden="false" customHeight="false" outlineLevel="0" collapsed="false">
      <c r="A28" s="651" t="s">
        <v>1129</v>
      </c>
      <c r="B28" s="575" t="n">
        <v>0.975</v>
      </c>
      <c r="C28" s="575"/>
      <c r="D28" s="575" t="n">
        <v>0.65</v>
      </c>
      <c r="E28" s="575"/>
      <c r="F28" s="652" t="n">
        <v>0.98</v>
      </c>
      <c r="G28" s="652"/>
      <c r="H28" s="575" t="n">
        <f aca="false">'安全阀选型(基础设计)'!H26:I26</f>
        <v>0.975</v>
      </c>
      <c r="I28" s="575"/>
      <c r="J28" s="575" t="n">
        <f aca="false">'安全阀选型(基础设计)'!J26:K26</f>
        <v>0.975</v>
      </c>
      <c r="K28" s="575"/>
      <c r="L28" s="575" t="n">
        <f aca="false">'安全阀选型(基础设计)'!L26:M26</f>
        <v>0.975</v>
      </c>
      <c r="M28" s="575"/>
      <c r="N28" s="575" t="n">
        <f aca="false">'安全阀选型(基础设计)'!N26:O26</f>
        <v>0.975</v>
      </c>
      <c r="O28" s="575"/>
      <c r="P28" s="575" t="n">
        <f aca="false">'安全阀选型(基础设计)'!P26:Q26</f>
        <v>0.975</v>
      </c>
      <c r="Q28" s="575"/>
      <c r="R28" s="575" t="n">
        <f aca="false">'安全阀选型(基础设计)'!R26:S26</f>
        <v>0.975</v>
      </c>
      <c r="S28" s="575"/>
      <c r="T28" s="575" t="n">
        <f aca="false">'安全阀选型(基础设计)'!T26:U26</f>
        <v>0.975</v>
      </c>
      <c r="U28" s="575"/>
      <c r="V28" s="575" t="n">
        <f aca="false">'安全阀选型(基础设计)'!V26:W26</f>
        <v>0.975</v>
      </c>
      <c r="W28" s="575"/>
      <c r="X28" s="575" t="n">
        <f aca="false">'安全阀选型(基础设计)'!X26:Y26</f>
        <v>0.975</v>
      </c>
      <c r="Y28" s="575"/>
      <c r="Z28" s="575" t="n">
        <f aca="false">'安全阀选型(基础设计)'!Z26:AA26</f>
        <v>0.975</v>
      </c>
      <c r="AA28" s="575"/>
      <c r="AB28" s="575" t="n">
        <f aca="false">'安全阀选型(基础设计)'!AB26:AC26</f>
        <v>0.65</v>
      </c>
      <c r="AC28" s="575"/>
      <c r="AD28" s="575" t="n">
        <f aca="false">'安全阀选型(基础设计)'!AD26:AE26</f>
        <v>0.975</v>
      </c>
      <c r="AE28" s="575"/>
      <c r="AF28" s="575" t="n">
        <f aca="false">'安全阀选型(基础设计)'!AF26:AG26</f>
        <v>0.975</v>
      </c>
      <c r="AG28" s="575"/>
      <c r="AH28" s="575" t="n">
        <f aca="false">'安全阀选型(基础设计)'!AH26:AI26</f>
        <v>0.65</v>
      </c>
      <c r="AI28" s="575"/>
      <c r="AJ28" s="575" t="n">
        <f aca="false">'安全阀选型(基础设计)'!AJ26:AK26</f>
        <v>0.975</v>
      </c>
      <c r="AK28" s="575"/>
      <c r="AL28" s="575" t="n">
        <f aca="false">'安全阀选型(基础设计)'!AL26:AM26</f>
        <v>0.975</v>
      </c>
      <c r="AM28" s="575"/>
      <c r="AN28" s="575" t="n">
        <f aca="false">'安全阀选型(基础设计)'!AN26:AO26</f>
        <v>0.975</v>
      </c>
      <c r="AO28" s="575"/>
      <c r="AP28" s="575" t="n">
        <f aca="false">'安全阀选型(基础设计)'!AP26:AQ26</f>
        <v>0.975</v>
      </c>
      <c r="AQ28" s="575"/>
      <c r="AR28" s="575" t="n">
        <f aca="false">'安全阀选型(基础设计)'!AR26:AS26</f>
        <v>0.65</v>
      </c>
      <c r="AS28" s="575"/>
      <c r="AT28" s="575" t="n">
        <f aca="false">'安全阀选型(基础设计)'!AT26:AU26</f>
        <v>0.65</v>
      </c>
      <c r="AU28" s="575"/>
      <c r="AV28" s="575" t="n">
        <f aca="false">'安全阀选型(基础设计)'!AV26:AW26</f>
        <v>0.65</v>
      </c>
      <c r="AW28" s="575"/>
      <c r="AX28" s="575" t="n">
        <f aca="false">'安全阀选型(基础设计)'!AX26:AY26</f>
        <v>0.65</v>
      </c>
      <c r="AY28" s="575"/>
      <c r="AZ28" s="575" t="n">
        <v>0.65</v>
      </c>
      <c r="BA28" s="575"/>
      <c r="BB28" s="575"/>
      <c r="BC28" s="575"/>
      <c r="BD28" s="575"/>
      <c r="BE28" s="575"/>
      <c r="BF28" s="575"/>
      <c r="BG28" s="575"/>
      <c r="BH28" s="575"/>
      <c r="BI28" s="575"/>
      <c r="BJ28" s="575"/>
      <c r="BK28" s="575"/>
      <c r="BL28" s="575"/>
      <c r="BM28" s="575"/>
      <c r="BN28" s="575"/>
      <c r="BO28" s="575"/>
      <c r="BP28" s="575"/>
      <c r="BQ28" s="575"/>
      <c r="BR28" s="575"/>
      <c r="BS28" s="575"/>
      <c r="BT28" s="575"/>
      <c r="BU28" s="575"/>
      <c r="BV28" s="575"/>
      <c r="BW28" s="575"/>
      <c r="BX28" s="575"/>
      <c r="BY28" s="575"/>
      <c r="BZ28" s="575"/>
      <c r="CA28" s="575"/>
      <c r="CB28" s="575"/>
      <c r="CC28" s="575"/>
      <c r="CD28" s="575"/>
      <c r="CE28" s="575"/>
      <c r="CF28" s="575"/>
      <c r="CG28" s="575"/>
      <c r="CH28" s="575"/>
      <c r="CI28" s="575"/>
      <c r="CJ28" s="582"/>
    </row>
    <row r="29" s="656" customFormat="true" ht="15" hidden="false" customHeight="false" outlineLevel="0" collapsed="false">
      <c r="A29" s="653" t="s">
        <v>1130</v>
      </c>
      <c r="B29" s="654"/>
      <c r="C29" s="650" t="str">
        <f aca="false">IF(B16="液态 Liquid",0.3134*C27/C24/SQRT(C31),"")</f>
        <v/>
      </c>
      <c r="D29" s="654"/>
      <c r="E29" s="650" t="n">
        <f aca="false">IF(D16="液态 Liquid",0.3134*E27/E24/SQRT(E31),"")</f>
        <v>696842.788903618</v>
      </c>
      <c r="F29" s="654"/>
      <c r="G29" s="650" t="str">
        <f aca="false">IF(F16="液态 Liquid",0.3134*G27/G24/SQRT(G31),"")</f>
        <v/>
      </c>
      <c r="H29" s="654"/>
      <c r="I29" s="650" t="str">
        <f aca="false">IF(H16="液态 Liquid",0.3134*I27/I24/SQRT(I31),"")</f>
        <v/>
      </c>
      <c r="J29" s="654"/>
      <c r="K29" s="650" t="str">
        <f aca="false">IF(J16="液态 Liquid",0.3134*K27/K24/SQRT(K31),"")</f>
        <v/>
      </c>
      <c r="L29" s="654"/>
      <c r="M29" s="650" t="str">
        <f aca="false">IF(L16="液态 Liquid",0.3134*M27/M24/SQRT(M31),"")</f>
        <v/>
      </c>
      <c r="N29" s="654"/>
      <c r="O29" s="650" t="str">
        <f aca="false">IF(N16="液态 Liquid",0.3134*O27/O24/SQRT(O31),"")</f>
        <v/>
      </c>
      <c r="P29" s="654"/>
      <c r="Q29" s="650" t="str">
        <f aca="false">IF(P16="液态 Liquid",0.3134*Q27/Q24/SQRT(Q31),"")</f>
        <v/>
      </c>
      <c r="R29" s="654"/>
      <c r="S29" s="650" t="str">
        <f aca="false">IF(R16="液态 Liquid",0.3134*S27/S24/SQRT(S31),"")</f>
        <v/>
      </c>
      <c r="T29" s="654"/>
      <c r="U29" s="650" t="str">
        <f aca="false">IF(T16="液态 Liquid",0.3134*U27/U24/SQRT(U31),"")</f>
        <v/>
      </c>
      <c r="V29" s="654"/>
      <c r="W29" s="650" t="str">
        <f aca="false">IF(V16="液态 Liquid",0.3134*W27/W24/SQRT(W31),"")</f>
        <v/>
      </c>
      <c r="X29" s="654"/>
      <c r="Y29" s="650" t="str">
        <f aca="false">IF(X16="液态 Liquid",0.3134*Y27/Y24/SQRT(Y31),"")</f>
        <v/>
      </c>
      <c r="Z29" s="654"/>
      <c r="AA29" s="650" t="str">
        <f aca="false">IF(Z16="液态 Liquid",0.3134*AA27/AA24/SQRT(AA31),"")</f>
        <v/>
      </c>
      <c r="AB29" s="654"/>
      <c r="AC29" s="650" t="n">
        <f aca="false">IF(AB16="液态 Liquid",0.3134*AC27/AC24/SQRT(AC31),"")</f>
        <v>742461.419444043</v>
      </c>
      <c r="AD29" s="654"/>
      <c r="AE29" s="650" t="str">
        <f aca="false">IF(AD16="液态 Liquid",0.3134*AE27/AE24/SQRT(AE31),"")</f>
        <v/>
      </c>
      <c r="AF29" s="654"/>
      <c r="AG29" s="650" t="str">
        <f aca="false">IF(AF16="液态 Liquid",0.3134*AG27/AG24/SQRT(AG31),"")</f>
        <v/>
      </c>
      <c r="AH29" s="654"/>
      <c r="AI29" s="650" t="n">
        <f aca="false">IF(AH16="液态 Liquid",0.3134*AI27/AI24/SQRT(AI31),"")</f>
        <v>1256856.02944572</v>
      </c>
      <c r="AJ29" s="654"/>
      <c r="AK29" s="650" t="str">
        <f aca="false">IF(AJ16="液态 Liquid",0.3134*AK27/AK24/SQRT(AK31),"")</f>
        <v/>
      </c>
      <c r="AL29" s="654"/>
      <c r="AM29" s="650" t="str">
        <f aca="false">IF(AL16="液态 Liquid",0.3134*AM27/AM24/SQRT(AM31),"")</f>
        <v/>
      </c>
      <c r="AN29" s="654"/>
      <c r="AO29" s="650" t="str">
        <f aca="false">IF(AN16="液态 Liquid",0.3134*AO27/AO24/SQRT(AO31),"")</f>
        <v/>
      </c>
      <c r="AP29" s="654"/>
      <c r="AQ29" s="650" t="str">
        <f aca="false">IF(AP16="液态 Liquid",0.3134*AQ27/AQ24/SQRT(AQ31),"")</f>
        <v/>
      </c>
      <c r="AR29" s="654"/>
      <c r="AS29" s="650" t="str">
        <f aca="false">IF(AR16="液态 Liquid",0.3134*AS27/AS24/SQRT(AS31),"")</f>
        <v/>
      </c>
      <c r="AT29" s="654"/>
      <c r="AU29" s="650" t="str">
        <f aca="false">IF(AT16="液态 Liquid",0.3134*AU27/AU24/SQRT(AU31),"")</f>
        <v/>
      </c>
      <c r="AV29" s="654"/>
      <c r="AW29" s="650" t="str">
        <f aca="false">IF(AV16="液态 Liquid",0.3134*AW27/AW24/SQRT(AW31),"")</f>
        <v/>
      </c>
      <c r="AX29" s="654"/>
      <c r="AY29" s="650" t="str">
        <f aca="false">IF(AX16="液态 Liquid",0.3134*AY27/AY24/SQRT(AY31),"")</f>
        <v/>
      </c>
      <c r="AZ29" s="654"/>
      <c r="BA29" s="650" t="n">
        <f aca="false">IF(AZ16="液态 Liquid",0.3134*BA27/BA24/SQRT(BA31),"")</f>
        <v>9014497.26902279</v>
      </c>
      <c r="BB29" s="654"/>
      <c r="BC29" s="650" t="str">
        <f aca="false">IF(BB16="液态 Liquid",0.3134*BC27/BC24/SQRT(BC31),"")</f>
        <v/>
      </c>
      <c r="BD29" s="654"/>
      <c r="BE29" s="650" t="str">
        <f aca="false">IF(BD16="液态 Liquid",0.3134*BE27/BE24/SQRT(BE31),"")</f>
        <v/>
      </c>
      <c r="BF29" s="654"/>
      <c r="BG29" s="650" t="str">
        <f aca="false">IF(BF16="液态 Liquid",0.3134*BG27/BG24/SQRT(BG31),"")</f>
        <v/>
      </c>
      <c r="BH29" s="654"/>
      <c r="BI29" s="650" t="str">
        <f aca="false">IF(BH16="液态 Liquid",0.3134*BI27/BI24/SQRT(BI31),"")</f>
        <v/>
      </c>
      <c r="BJ29" s="654"/>
      <c r="BK29" s="650" t="str">
        <f aca="false">IF(BJ16="液态 Liquid",0.3134*BK27/BK24/SQRT(BK31),"")</f>
        <v/>
      </c>
      <c r="BL29" s="654"/>
      <c r="BM29" s="650" t="str">
        <f aca="false">IF(BL16="液态 Liquid",0.3134*BM27/BM24/SQRT(BM31),"")</f>
        <v/>
      </c>
      <c r="BN29" s="654"/>
      <c r="BO29" s="650" t="str">
        <f aca="false">IF(BN16="液态 Liquid",0.3134*BO27/BO24/SQRT(BO31),"")</f>
        <v/>
      </c>
      <c r="BP29" s="654"/>
      <c r="BQ29" s="650" t="str">
        <f aca="false">IF(BP16="液态 Liquid",0.3134*BQ27/BQ24/SQRT(BQ31),"")</f>
        <v/>
      </c>
      <c r="BR29" s="654"/>
      <c r="BS29" s="650" t="str">
        <f aca="false">IF(BR16="液态 Liquid",0.3134*BS27/BS24/SQRT(BS31),"")</f>
        <v/>
      </c>
      <c r="BT29" s="654"/>
      <c r="BU29" s="650" t="str">
        <f aca="false">IF(BT16="液态 Liquid",0.3134*BU27/BU24/SQRT(BU31),"")</f>
        <v/>
      </c>
      <c r="BV29" s="654"/>
      <c r="BW29" s="650" t="str">
        <f aca="false">IF(BV16="液态 Liquid",0.3134*BW27/BW24/SQRT(BW31),"")</f>
        <v/>
      </c>
      <c r="BX29" s="654"/>
      <c r="BY29" s="650" t="str">
        <f aca="false">IF(BX16="液态 Liquid",0.3134*BY27/BY24/SQRT(BY31),"")</f>
        <v/>
      </c>
      <c r="BZ29" s="654"/>
      <c r="CA29" s="650" t="str">
        <f aca="false">IF(BZ16="液态 Liquid",0.3134*CA27/CA24/SQRT(CA31),"")</f>
        <v/>
      </c>
      <c r="CB29" s="654"/>
      <c r="CC29" s="650" t="str">
        <f aca="false">IF(CB16="液态 Liquid",0.3134*CC27/CC24/SQRT(CC31),"")</f>
        <v/>
      </c>
      <c r="CD29" s="654"/>
      <c r="CE29" s="650" t="str">
        <f aca="false">IF(CD16="液态 Liquid",0.3134*CE27/CE24/SQRT(CE31),"")</f>
        <v/>
      </c>
      <c r="CF29" s="654"/>
      <c r="CG29" s="650" t="str">
        <f aca="false">IF(CF16="液态 Liquid",0.3134*CG27/CG24/SQRT(CG31),"")</f>
        <v/>
      </c>
      <c r="CH29" s="654"/>
      <c r="CI29" s="650" t="str">
        <f aca="false">IF(CH16="液态 Liquid",0.3134*CI27/CI24/SQRT(CI31),"")</f>
        <v/>
      </c>
      <c r="CJ29" s="655"/>
    </row>
    <row r="30" s="578" customFormat="true" ht="15.65" hidden="false" customHeight="false" outlineLevel="0" collapsed="false">
      <c r="A30" s="657" t="s">
        <v>1131</v>
      </c>
      <c r="B30" s="648" t="n">
        <v>1</v>
      </c>
      <c r="C30" s="643"/>
      <c r="D30" s="648"/>
      <c r="E30" s="643" t="n">
        <v>1</v>
      </c>
      <c r="F30" s="648"/>
      <c r="G30" s="643" t="n">
        <v>1</v>
      </c>
      <c r="H30" s="643"/>
      <c r="I30" s="658"/>
      <c r="J30" s="643"/>
      <c r="K30" s="658"/>
      <c r="L30" s="643"/>
      <c r="M30" s="658"/>
      <c r="N30" s="643"/>
      <c r="O30" s="658"/>
      <c r="P30" s="643"/>
      <c r="Q30" s="658"/>
      <c r="AC30" s="578" t="n">
        <f aca="false">'安全阀选型(基础设计)'!AC28</f>
        <v>1</v>
      </c>
      <c r="AI30" s="578" t="n">
        <f aca="false">'安全阀选型(基础设计)'!AI28</f>
        <v>1</v>
      </c>
      <c r="BA30" s="578" t="n">
        <v>1</v>
      </c>
      <c r="CJ30" s="582"/>
    </row>
    <row r="31" s="659" customFormat="true" ht="15" hidden="false" customHeight="false" outlineLevel="0" collapsed="false">
      <c r="A31" s="659" t="s">
        <v>1132</v>
      </c>
      <c r="B31" s="660" t="n">
        <f aca="false">IF(B16&lt;&gt;"",IF(B16="液态 Liquid",0,IF(B4="饱和蒸汽",IF(B6&lt;=12,B27/0.235/(10.2*B6+1),B27/0.235/(10.2*B6+1)/SQRT(2.1*B23/(10.2*B6+1))),IF(B4="过热蒸汽",IF(B6&lt;=12,B27/0.235/(10.2*B6+1)/SQRT(1000/(1000+2.7*B10)),B27/0.235/(10.2*B6+1)/SQRT(2.1*B23/(10.2*B6+1))),IF(B9/B15&gt;POWER(2/(B19+1),B19/(B19-1)),0.0179*B27*SQRT(B22*B13/B18)/B28/B15/SQRT(B19/(B19-1)*(POWER(B9/B15,2/B19)-POWER(B9/B15,(B19+1)/B19))),13.16*B27/B20/B28/B15*SQRT(B22*B13/B18))))),"")</f>
        <v>3083.38596042224</v>
      </c>
      <c r="C31" s="660" t="n">
        <f aca="false">IF(B16&lt;&gt;"",IF(B16="气态 Gas",0,0.196*C27/C30/B28/SQRT(C23*(B15-B9))),"")</f>
        <v>0</v>
      </c>
      <c r="D31" s="660" t="n">
        <f aca="false">IF(D16&lt;&gt;"",IF(D16="液态 Liquid",0,IF(D4="饱和蒸汽",IF(D6&lt;=12,D27/0.235/(10.2*D6+1),D27/0.235/(10.2*D6+1)/SQRT(2.1*D23/(10.2*D6+1))),IF(D4="过热蒸汽",IF(D6&lt;=12,D27/0.235/(10.2*D6+1)/SQRT(1000/(1000+2.7*D10)),D27/0.235/(10.2*D6+1)/SQRT(2.1*D23/(10.2*D6+1))),IF(D9/D15&gt;POWER(2/(D19+1),D19/(D19-1)),0.0179*D27*SQRT(D22*D13/D18)/D28/D15/SQRT(D19/(D19-1)*(POWER(D9/D15,2/D19)-POWER(D9/D15,(D19+1)/D19))),13.16*D27/D20/D28/D15*SQRT(D22*D13/D18))))),"")</f>
        <v>0</v>
      </c>
      <c r="E31" s="660" t="n">
        <f aca="false">IF(D16&lt;&gt;"",IF(D16="气态 Gas",0,0.196*E27/E30/D28/SQRT(E23*(D15-D9))),"")</f>
        <v>289.47920656922</v>
      </c>
      <c r="F31" s="660" t="n">
        <f aca="false">IF(F16&lt;&gt;"",IF(F16="液态 Liquid",0,IF(F4="饱和蒸汽",IF(F6&lt;=12,F27/0.235/(10.2*F6+1),F27/0.235/(10.2*F6+1)/SQRT(2.1*F23/(10.2*F6+1))),IF(F4="过热蒸汽",IF(F6&lt;=12,F27/0.235/(10.2*F6+1)/SQRT(1000/(1000+2.7*F10)),F27/0.235/(10.2*F6+1)/SQRT(2.1*F23/(10.2*F6+1))),IF(F9/F15&gt;POWER(2/(F19+1),F19/(F19-1)),0.0179*F27*SQRT(F22*F13/F18)/F28/F15/SQRT(F19/(F19-1)*(POWER(F9/F15,2/F19)-POWER(F9/F15,(F19+1)/F19))),13.16*F27/F20/F28/F15*SQRT(F22*F13/F18))))),"")</f>
        <v>397.770057240445</v>
      </c>
      <c r="G31" s="660" t="n">
        <f aca="false">IF(F16&lt;&gt;"",IF(F16="气态 Gas",0,0.196*G27/G30/F28/SQRT(G23*(F15-F9))),"")</f>
        <v>715.492013808947</v>
      </c>
      <c r="H31" s="660" t="n">
        <f aca="false">IF(H16&lt;&gt;"",IF(H16="液态 Liquid",0,IF(H4="饱和蒸汽",IF(H6&lt;=12,H27/0.235/(10.2*H6+1),H27/0.235/(10.2*H6+1)/SQRT(2.1*H23/(10.2*H6+1))),IF(H4="过热蒸汽",IF(H6&lt;=12,H27/0.235/(10.2*H6+1)/SQRT(1000/(1000+2.7*H10)),H27/0.235/(10.2*H6+1)/SQRT(2.1*H23/(10.2*H6+1))),IF(H9/H15&gt;POWER(2/(H19+1),H19/(H19-1)),0.0179*H27*SQRT(H22*H13/H18)/H28/H15/SQRT(H19/(H19-1)*(POWER(H9/H15,2/H19)-POWER(H9/H15,(H19+1)/H19))),13.16*H27/H20/H28/H15*SQRT(H22*H13/H18))))),"")</f>
        <v>435.221572396254</v>
      </c>
      <c r="I31" s="660" t="n">
        <f aca="false">IF(H16&lt;&gt;"",IF(H16="气态 Gas",0,0.196*I27/I30/H28/SQRT(I23*(H15-H9))),"")</f>
        <v>0</v>
      </c>
      <c r="J31" s="660" t="n">
        <f aca="false">IF(J16&lt;&gt;"",IF(J16="液态 Liquid",0,IF(J4="饱和蒸汽",IF(J6&lt;=12,J27/0.235/(10.2*J6+1),J27/0.235/(10.2*J6+1)/SQRT(2.1*J23/(10.2*J6+1))),IF(J4="过热蒸汽",IF(J6&lt;=12,J27/0.235/(10.2*J6+1)/SQRT(1000/(1000+2.7*J10)),J27/0.235/(10.2*J6+1)/SQRT(2.1*J23/(10.2*J6+1))),IF(J9/J15&gt;POWER(2/(J19+1),J19/(J19-1)),0.0179*J27*SQRT(J22*J13/J18)/J28/J15/SQRT(J19/(J19-1)*(POWER(J9/J15,2/J19)-POWER(J9/J15,(J19+1)/J19))),13.16*J27/J20/J28/J15*SQRT(J22*J13/J18))))),"")</f>
        <v>672.16658530303</v>
      </c>
      <c r="K31" s="660" t="n">
        <f aca="false">IF(J16&lt;&gt;"",IF(J16="气态 Gas",0,0.196*K27/K30/J28/SQRT(K23*(J15-J9))),"")</f>
        <v>0</v>
      </c>
      <c r="L31" s="660" t="n">
        <f aca="false">IF(L16&lt;&gt;"",IF(L16="液态 Liquid",0,IF(L4="饱和蒸汽",IF(L6&lt;=12,L27/0.235/(10.2*L6+1),L27/0.235/(10.2*L6+1)/SQRT(2.1*L23/(10.2*L6+1))),IF(L4="过热蒸汽",IF(L6&lt;=12,L27/0.235/(10.2*L6+1)/SQRT(1000/(1000+2.7*L10)),L27/0.235/(10.2*L6+1)/SQRT(2.1*L23/(10.2*L6+1))),IF(L9/L15&gt;POWER(2/(L19+1),L19/(L19-1)),0.0179*L27*SQRT(L22*L13/L18)/L28/L15/SQRT(L19/(L19-1)*(POWER(L9/L15,2/L19)-POWER(L9/L15,(L19+1)/L19))),13.16*L27/L20/L28/L15*SQRT(L22*L13/L18))))),"")</f>
        <v>2499.53330253155</v>
      </c>
      <c r="M31" s="660" t="n">
        <f aca="false">IF(L16&lt;&gt;"",IF(L16="气态 Gas",0,0.196*M27/M30/L28/SQRT(M23*(L15-L9))),"")</f>
        <v>0</v>
      </c>
      <c r="N31" s="660" t="n">
        <f aca="false">IF(N16&lt;&gt;"",IF(N16="液态 Liquid",0,IF(N4="饱和蒸汽",IF(N6&lt;=12,N27/0.235/(10.2*N6+1),N27/0.235/(10.2*N6+1)/SQRT(2.1*N23/(10.2*N6+1))),IF(N4="过热蒸汽",IF(N6&lt;=12,N27/0.235/(10.2*N6+1)/SQRT(1000/(1000+2.7*N10)),N27/0.235/(10.2*N6+1)/SQRT(2.1*N23/(10.2*N6+1))),IF(N9/N15&gt;POWER(2/(N19+1),N19/(N19-1)),0.0179*N27*SQRT(N22*N13/N18)/N28/N15/SQRT(N19/(N19-1)*(POWER(N9/N15,2/N19)-POWER(N9/N15,(N19+1)/N19))),13.16*N27/N20/N28/N15*SQRT(N22*N13/N18))))),"")</f>
        <v>5175.05292667038</v>
      </c>
      <c r="O31" s="660" t="n">
        <f aca="false">IF(N16&lt;&gt;"",IF(N16="气态 Gas",0,0.196*O27/O30/N28/SQRT(O23*(N15-N9))),"")</f>
        <v>0</v>
      </c>
      <c r="P31" s="660" t="n">
        <f aca="false">IF(P16&lt;&gt;"",IF(P16="液态 Liquid",0,IF(P4="饱和蒸汽",IF(P6&lt;=12,P27/0.235/(10.2*P6+1),P27/0.235/(10.2*P6+1)/SQRT(2.1*P23/(10.2*P6+1))),IF(P4="过热蒸汽",IF(P6&lt;=12,P27/0.235/(10.2*P6+1)/SQRT(1000/(1000+2.7*P10)),P27/0.235/(10.2*P6+1)/SQRT(2.1*P23/(10.2*P6+1))),IF(P9/P15&gt;POWER(2/(P19+1),P19/(P19-1)),0.0179*P27*SQRT(P22*P13/P18)/P28/P15/SQRT(P19/(P19-1)*(POWER(P9/P15,2/P19)-POWER(P9/P15,(P19+1)/P19))),13.16*P27/P20/P28/P15*SQRT(P22*P13/P18))))),"")</f>
        <v>9832.3937561848</v>
      </c>
      <c r="Q31" s="660" t="n">
        <f aca="false">IF(P16&lt;&gt;"",IF(P16="气态 Gas",0,0.196*Q27/Q30/P28/SQRT(Q23*(P15-P9))),"")</f>
        <v>0</v>
      </c>
      <c r="R31" s="660" t="n">
        <f aca="false">IF(R16&lt;&gt;"",IF(R16="液态 Liquid",0,IF(R4="饱和蒸汽",IF(R6&lt;=12,R27/0.235/(10.2*R6+1),R27/0.235/(10.2*R6+1)/SQRT(2.1*R23/(10.2*R6+1))),IF(R4="过热蒸汽",IF(R6&lt;=12,R27/0.235/(10.2*R6+1)/SQRT(1000/(1000+2.7*R10)),R27/0.235/(10.2*R6+1)/SQRT(2.1*R23/(10.2*R6+1))),IF(R9/R15&gt;POWER(2/(R19+1),R19/(R19-1)),0.0179*R27*SQRT(R22*R13/R18)/R28/R15/SQRT(R19/(R19-1)*(POWER(R9/R15,2/R19)-POWER(R9/R15,(R19+1)/R19))),13.16*R27/R20/R28/R15*SQRT(R22*R13/R18))))),"")</f>
        <v>1074.38208017253</v>
      </c>
      <c r="S31" s="660" t="n">
        <f aca="false">IF(R16&lt;&gt;"",IF(R16="气态 Gas",0,0.196*S27/S30/R28/SQRT(S23*(R15-R9))),"")</f>
        <v>0</v>
      </c>
      <c r="T31" s="660" t="n">
        <f aca="false">IF(T16&lt;&gt;"",IF(T16="液态 Liquid",0,IF(T4="饱和蒸汽",IF(T6&lt;=12,T27/0.235/(10.2*T6+1),T27/0.235/(10.2*T6+1)/SQRT(2.1*T23/(10.2*T6+1))),IF(T4="过热蒸汽",IF(T6&lt;=12,T27/0.235/(10.2*T6+1)/SQRT(1000/(1000+2.7*T10)),T27/0.235/(10.2*T6+1)/SQRT(2.1*T23/(10.2*T6+1))),IF(T9/T15&gt;POWER(2/(T19+1),T19/(T19-1)),0.0179*T27*SQRT(T22*T13/T18)/T28/T15/SQRT(T19/(T19-1)*(POWER(T9/T15,2/T19)-POWER(T9/T15,(T19+1)/T19))),13.16*T27/T20/T28/T15*SQRT(T22*T13/T18))))),"")</f>
        <v>1074.38647077279</v>
      </c>
      <c r="U31" s="660" t="n">
        <f aca="false">IF(T16&lt;&gt;"",IF(T16="气态 Gas",0,0.196*U27/U30/T28/SQRT(U23*(T15-T9))),"")</f>
        <v>0</v>
      </c>
      <c r="V31" s="660" t="n">
        <f aca="false">IF(V16&lt;&gt;"",IF(V16="液态 Liquid",0,IF(V4="饱和蒸汽",IF(V6&lt;=12,V27/0.235/(10.2*V6+1),V27/0.235/(10.2*V6+1)/SQRT(2.1*V23/(10.2*V6+1))),IF(V4="过热蒸汽",IF(V6&lt;=12,V27/0.235/(10.2*V6+1)/SQRT(1000/(1000+2.7*V10)),V27/0.235/(10.2*V6+1)/SQRT(2.1*V23/(10.2*V6+1))),IF(V9/V15&gt;POWER(2/(V19+1),V19/(V19-1)),0.0179*V27*SQRT(V22*V13/V18)/V28/V15/SQRT(V19/(V19-1)*(POWER(V9/V15,2/V19)-POWER(V9/V15,(V19+1)/V19))),13.16*V27/V20/V28/V15*SQRT(V22*V13/V18))))),"")</f>
        <v>2265.17329876856</v>
      </c>
      <c r="W31" s="660" t="n">
        <f aca="false">IF(V16&lt;&gt;"",IF(V16="气态 Gas",0,0.196*W27/W30/V28/SQRT(W23*(V15-V9))),"")</f>
        <v>0</v>
      </c>
      <c r="X31" s="660" t="n">
        <f aca="false">IF(X16&lt;&gt;"",IF(X16="液态 Liquid",0,IF(X4="饱和蒸汽",IF(X6&lt;=12,X27/0.235/(10.2*X6+1),X27/0.235/(10.2*X6+1)/SQRT(2.1*X23/(10.2*X6+1))),IF(X4="过热蒸汽",IF(X6&lt;=12,X27/0.235/(10.2*X6+1)/SQRT(1000/(1000+2.7*X10)),X27/0.235/(10.2*X6+1)/SQRT(2.1*X23/(10.2*X6+1))),IF(X9/X15&gt;POWER(2/(X19+1),X19/(X19-1)),0.0179*X27*SQRT(X22*X13/X18)/X28/X15/SQRT(X19/(X19-1)*(POWER(X9/X15,2/X19)-POWER(X9/X15,(X19+1)/X19))),13.16*X27/X20/X28/X15*SQRT(X22*X13/X18))))),"")</f>
        <v>2265.17329876856</v>
      </c>
      <c r="Y31" s="660" t="n">
        <f aca="false">IF(X16&lt;&gt;"",IF(X16="气态 Gas",0,0.196*Y27/Y30/X28/SQRT(Y23*(X15-X9))),"")</f>
        <v>0</v>
      </c>
      <c r="Z31" s="660" t="n">
        <f aca="false">IF(Z16&lt;&gt;"",IF(Z16="液态 Liquid",0,IF(Z4="饱和蒸汽",IF(Z6&lt;=12,Z27/0.235/(10.2*Z6+1),Z27/0.235/(10.2*Z6+1)/SQRT(2.1*Z23/(10.2*Z6+1))),IF(Z4="过热蒸汽",IF(Z6&lt;=12,Z27/0.235/(10.2*Z6+1)/SQRT(1000/(1000+2.7*Z10)),Z27/0.235/(10.2*Z6+1)/SQRT(2.1*Z23/(10.2*Z6+1))),IF(Z9/Z15&gt;POWER(2/(Z19+1),Z19/(Z19-1)),0.0179*Z27*SQRT(Z22*Z13/Z18)/Z28/Z15/SQRT(Z19/(Z19-1)*(POWER(Z9/Z15,2/Z19)-POWER(Z9/Z15,(Z19+1)/Z19))),13.16*Z27/Z20/Z28/Z15*SQRT(Z22*Z13/Z18))))),"")</f>
        <v>182.831719548524</v>
      </c>
      <c r="AA31" s="660" t="n">
        <f aca="false">IF(Z16&lt;&gt;"",IF(Z16="气态 Gas",0,0.196*AA27/AA30/Z28/SQRT(AA23*(Z15-Z9))),"")</f>
        <v>0</v>
      </c>
      <c r="AB31" s="660" t="n">
        <f aca="false">IF(AB16&lt;&gt;"",IF(AB16="液态 Liquid",0,IF(AB4="饱和蒸汽",IF(AB6&lt;=12,AB27/0.235/(10.2*AB6+1),AB27/0.235/(10.2*AB6+1)/SQRT(2.1*AB23/(10.2*AB6+1))),IF(AB4="过热蒸汽",IF(AB6&lt;=12,AB27/0.235/(10.2*AB6+1)/SQRT(1000/(1000+2.7*AB10)),AB27/0.235/(10.2*AB6+1)/SQRT(2.1*AB23/(10.2*AB6+1))),IF(AB9/AB15&gt;POWER(2/(AB19+1),AB19/(AB19-1)),0.0179*AB27*SQRT(AB22*AB13/AB18)/AB28/AB15/SQRT(AB19/(AB19-1)*(POWER(AB9/AB15,2/AB19)-POWER(AB9/AB15,(AB19+1)/AB19))),13.16*AB27/AB20/AB28/AB15*SQRT(AB22*AB13/AB18))))),"")</f>
        <v>0</v>
      </c>
      <c r="AC31" s="660" t="n">
        <f aca="false">IF(AB16&lt;&gt;"",IF(AB16="气态 Gas",0,0.196*AC27/AC30/AB28/SQRT(AC23*(AB15-AB9))),"")</f>
        <v>16.7677294196778</v>
      </c>
      <c r="AD31" s="660" t="n">
        <f aca="false">IF(AD16&lt;&gt;"",IF(AD16="液态 Liquid",0,IF(AD4="饱和蒸汽",IF(AD6&lt;=12,AD27/0.235/(10.2*AD6+1),AD27/0.235/(10.2*AD6+1)/SQRT(2.1*AD23/(10.2*AD6+1))),IF(AD4="过热蒸汽",IF(AD6&lt;=12,AD27/0.235/(10.2*AD6+1)/SQRT(1000/(1000+2.7*AD10)),AD27/0.235/(10.2*AD6+1)/SQRT(2.1*AD23/(10.2*AD6+1))),IF(AD9/AD15&gt;POWER(2/(AD19+1),AD19/(AD19-1)),0.0179*AD27*SQRT(AD22*AD13/AD18)/AD28/AD15/SQRT(AD19/(AD19-1)*(POWER(AD9/AD15,2/AD19)-POWER(AD9/AD15,(AD19+1)/AD19))),13.16*AD27/AD20/AD28/AD15*SQRT(AD22*AD13/AD18))))),"")</f>
        <v>2794.71754299826</v>
      </c>
      <c r="AE31" s="660" t="n">
        <f aca="false">IF(AD16&lt;&gt;"",IF(AD16="气态 Gas",0,0.196*AE27/AE30/AD28/SQRT(AE23*(AD15-AD9))),"")</f>
        <v>0</v>
      </c>
      <c r="AF31" s="660" t="n">
        <f aca="false">IF(AF16&lt;&gt;"",IF(AF16="液态 Liquid",0,IF(AF4="饱和蒸汽",IF(AF6&lt;=12,AF27/0.235/(10.2*AF6+1),AF27/0.235/(10.2*AF6+1)/SQRT(2.1*AF23/(10.2*AF6+1))),IF(AF4="过热蒸汽",IF(AF6&lt;=12,AF27/0.235/(10.2*AF6+1)/SQRT(1000/(1000+2.7*AF10)),AF27/0.235/(10.2*AF6+1)/SQRT(2.1*AF23/(10.2*AF6+1))),IF(AF9/AF15&gt;POWER(2/(AF19+1),AF19/(AF19-1)),0.0179*AF27*SQRT(AF22*AF13/AF18)/AF28/AF15/SQRT(AF19/(AF19-1)*(POWER(AF9/AF15,2/AF19)-POWER(AF9/AF15,(AF19+1)/AF19))),13.16*AF27/AF20/AF28/AF15*SQRT(AF22*AF13/AF18))))),"")</f>
        <v>2794.71754299826</v>
      </c>
      <c r="AG31" s="660" t="n">
        <f aca="false">IF(AF16&lt;&gt;"",IF(AF16="气态 Gas",0,0.196*AG27/AG30/AF28/SQRT(AG23*(AF15-AF9))),"")</f>
        <v>0</v>
      </c>
      <c r="AH31" s="660" t="n">
        <f aca="false">IF(AH16&lt;&gt;"",IF(AH16="液态 Liquid",0,IF(AH4="饱和蒸汽",IF(AH6&lt;=12,AH27/0.235/(10.2*AH6+1),AH27/0.235/(10.2*AH6+1)/SQRT(2.1*AH23/(10.2*AH6+1))),IF(AH4="过热蒸汽",IF(AH6&lt;=12,AH27/0.235/(10.2*AH6+1)/SQRT(1000/(1000+2.7*AH10)),AH27/0.235/(10.2*AH6+1)/SQRT(2.1*AH23/(10.2*AH6+1))),IF(AH9/AH15&gt;POWER(2/(AH19+1),AH19/(AH19-1)),0.0179*AH27*SQRT(AH22*AH13/AH18)/AH28/AH15/SQRT(AH19/(AH19-1)*(POWER(AH9/AH15,2/AH19)-POWER(AH9/AH15,(AH19+1)/AH19))),13.16*AH27/AH20/AH28/AH15*SQRT(AH22*AH13/AH18))))),"")</f>
        <v>0</v>
      </c>
      <c r="AI31" s="660" t="n">
        <f aca="false">IF(AH16&lt;&gt;"",IF(AH16="气态 Gas",0,0.196*AI27/AI30/AH28/SQRT(AI23*(AH15-AH9))),"")</f>
        <v>153.517851687407</v>
      </c>
      <c r="AJ31" s="660" t="n">
        <f aca="false">IF(AJ16&lt;&gt;"",IF(AJ16="液态 Liquid",0,IF(AJ4="饱和蒸汽",IF(AJ6&lt;=12,AJ27/0.235/(10.2*AJ6+1),AJ27/0.235/(10.2*AJ6+1)/SQRT(2.1*AJ23/(10.2*AJ6+1))),IF(AJ4="过热蒸汽",IF(AJ6&lt;=12,AJ27/0.235/(10.2*AJ6+1)/SQRT(1000/(1000+2.7*AJ10)),AJ27/0.235/(10.2*AJ6+1)/SQRT(2.1*AJ23/(10.2*AJ6+1))),IF(AJ9/AJ15&gt;POWER(2/(AJ19+1),AJ19/(AJ19-1)),0.0179*AJ27*SQRT(AJ22*AJ13/AJ18)/AJ28/AJ15/SQRT(AJ19/(AJ19-1)*(POWER(AJ9/AJ15,2/AJ19)-POWER(AJ9/AJ15,(AJ19+1)/AJ19))),13.16*AJ27/AJ20/AJ28/AJ15*SQRT(AJ22*AJ13/AJ18))))),"")</f>
        <v>568.561638473097</v>
      </c>
      <c r="AK31" s="660" t="n">
        <f aca="false">IF(AJ16&lt;&gt;"",IF(AJ16="气态 Gas",0,0.196*AK27/AK30/AJ28/SQRT(AK23*(AJ15-AJ9))),"")</f>
        <v>0</v>
      </c>
      <c r="AL31" s="660" t="n">
        <f aca="false">IF(AL16&lt;&gt;"",IF(AL16="液态 Liquid",0,IF(AL4="饱和蒸汽",IF(AL6&lt;=12,AL27/0.235/(10.2*AL6+1),AL27/0.235/(10.2*AL6+1)/SQRT(2.1*AL23/(10.2*AL6+1))),IF(AL4="过热蒸汽",IF(AL6&lt;=12,AL27/0.235/(10.2*AL6+1)/SQRT(1000/(1000+2.7*AL10)),AL27/0.235/(10.2*AL6+1)/SQRT(2.1*AL23/(10.2*AL6+1))),IF(AL9/AL15&gt;POWER(2/(AL19+1),AL19/(AL19-1)),0.0179*AL27*SQRT(AL22*AL13/AL18)/AL28/AL15/SQRT(AL19/(AL19-1)*(POWER(AL9/AL15,2/AL19)-POWER(AL9/AL15,(AL19+1)/AL19))),13.16*AL27/AL20/AL28/AL15*SQRT(AL22*AL13/AL18))))),"")</f>
        <v>367.33471099942</v>
      </c>
      <c r="AM31" s="660" t="n">
        <f aca="false">IF(AL16&lt;&gt;"",IF(AL16="气态 Gas",0,0.196*AM27/AM30/AL28/SQRT(AM23*(AL15-AL9))),"")</f>
        <v>0</v>
      </c>
      <c r="AN31" s="660" t="n">
        <f aca="false">IF(AN16&lt;&gt;"",IF(AN16="液态 Liquid",0,IF(AN4="饱和蒸汽",IF(AN6&lt;=12,AN27/0.235/(10.2*AN6+1),AN27/0.235/(10.2*AN6+1)/SQRT(2.1*AN23/(10.2*AN6+1))),IF(AN4="过热蒸汽",IF(AN6&lt;=12,AN27/0.235/(10.2*AN6+1)/SQRT(1000/(1000+2.7*AN10)),AN27/0.235/(10.2*AN6+1)/SQRT(2.1*AN23/(10.2*AN6+1))),IF(AN9/AN15&gt;POWER(2/(AN19+1),AN19/(AN19-1)),0.0179*AN27*SQRT(AN22*AN13/AN18)/AN28/AN15/SQRT(AN19/(AN19-1)*(POWER(AN9/AN15,2/AN19)-POWER(AN9/AN15,(AN19+1)/AN19))),13.16*AN27/AN20/AN28/AN15*SQRT(AN22*AN13/AN18))))),"")</f>
        <v>526.720886147655</v>
      </c>
      <c r="AO31" s="660" t="n">
        <f aca="false">IF(AN16&lt;&gt;"",IF(AN16="气态 Gas",0,0.196*AO27/AO30/AN28/SQRT(AO23*(AN15-AN9))),"")</f>
        <v>0</v>
      </c>
      <c r="AP31" s="660" t="n">
        <f aca="false">IF(AP16&lt;&gt;"",IF(AP16="液态 Liquid",0,IF(AP4="饱和蒸汽",IF(AP6&lt;=12,AP27/0.235/(10.2*AP6+1),AP27/0.235/(10.2*AP6+1)/SQRT(2.1*AP23/(10.2*AP6+1))),IF(AP4="过热蒸汽",IF(AP6&lt;=12,AP27/0.235/(10.2*AP6+1)/SQRT(1000/(1000+2.7*AP10)),AP27/0.235/(10.2*AP6+1)/SQRT(2.1*AP23/(10.2*AP6+1))),IF(AP9/AP15&gt;POWER(2/(AP19+1),AP19/(AP19-1)),0.0179*AP27*SQRT(AP22*AP13/AP18)/AP28/AP15/SQRT(AP19/(AP19-1)*(POWER(AP9/AP15,2/AP19)-POWER(AP9/AP15,(AP19+1)/AP19))),13.16*AP27/AP20/AP28/AP15*SQRT(AP22*AP13/AP18))))),"")</f>
        <v>2765.72286645552</v>
      </c>
      <c r="AQ31" s="660" t="n">
        <f aca="false">IF(AP16&lt;&gt;"",IF(AP16="气态 Gas",0,0.196*AQ27/AQ30/AP28/SQRT(AQ23*(AP15-AP9))),"")</f>
        <v>0</v>
      </c>
      <c r="AR31" s="660" t="n">
        <f aca="false">IF(AR16&lt;&gt;"",IF(AR16="液态 Liquid",0,IF(AR4="饱和蒸汽",IF(AR6&lt;=12,AR27/0.235/(10.2*AR6+1),AR27/0.235/(10.2*AR6+1)/SQRT(2.1*AR23/(10.2*AR6+1))),IF(AR4="过热蒸汽",IF(AR6&lt;=12,AR27/0.235/(10.2*AR6+1)/SQRT(1000/(1000+2.7*AR10)),AR27/0.235/(10.2*AR6+1)/SQRT(2.1*AR23/(10.2*AR6+1))),IF(AR9/AR15&gt;POWER(2/(AR19+1),AR19/(AR19-1)),0.0179*AR27*SQRT(AR22*AR13/AR18)/AR28/AR15/SQRT(AR19/(AR19-1)*(POWER(AR9/AR15,2/AR19)-POWER(AR9/AR15,(AR19+1)/AR19))),13.16*AR27/AR20/AR28/AR15*SQRT(AR22*AR13/AR18))))),"")</f>
        <v>354.086904907466</v>
      </c>
      <c r="AS31" s="660" t="n">
        <f aca="false">IF(AR16&lt;&gt;"",IF(AR16="气态 Gas",0,0.196*AS27/AS30/AR28/SQRT(AS23*(AR15-AR9))),"")</f>
        <v>0</v>
      </c>
      <c r="AT31" s="660" t="n">
        <f aca="false">IF(AT16&lt;&gt;"",IF(AT16="液态 Liquid",0,IF(AT4="饱和蒸汽",IF(AT6&lt;=12,AT27/0.235/(10.2*AT6+1),AT27/0.235/(10.2*AT6+1)/SQRT(2.1*AT23/(10.2*AT6+1))),IF(AT4="过热蒸汽",IF(AT6&lt;=12,AT27/0.235/(10.2*AT6+1)/SQRT(1000/(1000+2.7*AT10)),AT27/0.235/(10.2*AT6+1)/SQRT(2.1*AT23/(10.2*AT6+1))),IF(AT9/AT15&gt;POWER(2/(AT19+1),AT19/(AT19-1)),0.0179*AT27*SQRT(AT22*AT13/AT18)/AT28/AT15/SQRT(AT19/(AT19-1)*(POWER(AT9/AT15,2/AT19)-POWER(AT9/AT15,(AT19+1)/AT19))),13.16*AT27/AT20/AT28/AT15*SQRT(AT22*AT13/AT18))))),"")</f>
        <v>191.114157880946</v>
      </c>
      <c r="AU31" s="660" t="n">
        <f aca="false">IF(AT16&lt;&gt;"",IF(AT16="气态 Gas",0,0.196*AU27/AU30/AT28/SQRT(AU23*(AT15-AT9))),"")</f>
        <v>0</v>
      </c>
      <c r="AV31" s="660" t="n">
        <f aca="false">IF(AV16&lt;&gt;"",IF(AV16="液态 Liquid",0,IF(AV4="饱和蒸汽",IF(AV6&lt;=12,AV27/0.235/(10.2*AV6+1),AV27/0.235/(10.2*AV6+1)/SQRT(2.1*AV23/(10.2*AV6+1))),IF(AV4="过热蒸汽",IF(AV6&lt;=12,AV27/0.235/(10.2*AV6+1)/SQRT(1000/(1000+2.7*AV10)),AV27/0.235/(10.2*AV6+1)/SQRT(2.1*AV23/(10.2*AV6+1))),IF(AV9/AV15&gt;POWER(2/(AV19+1),AV19/(AV19-1)),0.0179*AV27*SQRT(AV22*AV13/AV18)/AV28/AV15/SQRT(AV19/(AV19-1)*(POWER(AV9/AV15,2/AV19)-POWER(AV9/AV15,(AV19+1)/AV19))),13.16*AV27/AV20/AV28/AV15*SQRT(AV22*AV13/AV18))))),"")</f>
        <v>1202.71971735416</v>
      </c>
      <c r="AW31" s="660" t="n">
        <f aca="false">IF(AV16&lt;&gt;"",IF(AV16="气态 Gas",0,0.196*AW27/AW30/AV28/SQRT(AW23*(AV15-AV9))),"")</f>
        <v>0</v>
      </c>
      <c r="AX31" s="660" t="n">
        <f aca="false">IF(AX16&lt;&gt;"",IF(AX16="液态 Liquid",0,IF(AX4="饱和蒸汽",IF(AX6&lt;=12,AX27/0.235/(10.2*AX6+1),AX27/0.235/(10.2*AX6+1)/SQRT(2.1*AX23/(10.2*AX6+1))),IF(AX4="过热蒸汽",IF(AX6&lt;=12,AX27/0.235/(10.2*AX6+1)/SQRT(1000/(1000+2.7*AX10)),AX27/0.235/(10.2*AX6+1)/SQRT(2.1*AX23/(10.2*AX6+1))),IF(AX9/AX15&gt;POWER(2/(AX19+1),AX19/(AX19-1)),0.0179*AX27*SQRT(AX22*AX13/AX18)/AX28/AX15/SQRT(AX19/(AX19-1)*(POWER(AX9/AX15,2/AX19)-POWER(AX9/AX15,(AX19+1)/AX19))),13.16*AX27/AX20/AX28/AX15*SQRT(AX22*AX13/AX18))))),"")</f>
        <v>283.481458376865</v>
      </c>
      <c r="AY31" s="660" t="n">
        <f aca="false">IF(AX16&lt;&gt;"",IF(AX16="气态 Gas",0,0.196*AY27/AY30/AX28/SQRT(AY23*(AX15-AX9))),"")</f>
        <v>0</v>
      </c>
      <c r="AZ31" s="660" t="n">
        <f aca="false">IF(AZ16&lt;&gt;"",IF(AZ16="液态 Liquid",0,IF(AZ4="饱和蒸汽",IF(AZ6&lt;=12,AZ27/0.235/(10.2*AZ6+1),AZ27/0.235/(10.2*AZ6+1)/SQRT(2.1*AZ23/(10.2*AZ6+1))),IF(AZ4="过热蒸汽",IF(AZ6&lt;=12,AZ27/0.235/(10.2*AZ6+1)/SQRT(1000/(1000+2.7*AZ10)),AZ27/0.235/(10.2*AZ6+1)/SQRT(2.1*AZ23/(10.2*AZ6+1))),IF(AZ9/AZ15&gt;POWER(2/(AZ19+1),AZ19/(AZ19-1)),0.0179*AZ27*SQRT(AZ22*AZ13/AZ18)/AZ28/AZ15/SQRT(AZ19/(AZ19-1)*(POWER(AZ9/AZ15,2/AZ19)-POWER(AZ9/AZ15,(AZ19+1)/AZ19))),13.16*AZ27/AZ20/AZ28/AZ15*SQRT(AZ22*AZ13/AZ18))))),"")</f>
        <v>0</v>
      </c>
      <c r="BA31" s="660" t="n">
        <f aca="false">IF(AZ16&lt;&gt;"",IF(AZ16="气态 Gas",0,0.196*BA27/BA30/AZ28/SQRT(BA23*(AZ15-AZ9))),"")</f>
        <v>4416.5510681612</v>
      </c>
      <c r="BB31" s="660" t="str">
        <f aca="false">IF(BB16&lt;&gt;"",IF(BB16="液态 Liquid",0,IF(BB4="饱和蒸汽",IF(BB6&lt;=12,BB27/0.235/(10.2*BB6+1),BB27/0.235/(10.2*BB6+1)/SQRT(2.1*BB23/(10.2*BB6+1))),IF(BB4="过热蒸汽",IF(BB6&lt;=12,BB27/0.235/(10.2*BB6+1)/SQRT(1000/(1000+2.7*BB10)),BB27/0.235/(10.2*BB6+1)/SQRT(2.1*BB23/(10.2*BB6+1))),IF(BB9/BB15&gt;POWER(2/(BB19+1),BB19/(BB19-1)),0.0179*BB27*SQRT(BB22*BB13/BB18)/BB28/BB15/SQRT(BB19/(BB19-1)*(POWER(BB9/BB15,2/BB19)-POWER(BB9/BB15,(BB19+1)/BB19))),13.16*BB27/BB20/BB28/BB15*SQRT(BB22*BB13/BB18))))),"")</f>
        <v/>
      </c>
      <c r="BC31" s="660" t="str">
        <f aca="false">IF(BB16&lt;&gt;"",IF(BB16="气态 Gas",0,0.196*BC27/BC30/BB28/SQRT(BC23*(BB15-BB9))),"")</f>
        <v/>
      </c>
      <c r="BD31" s="660" t="str">
        <f aca="false">IF(BD16&lt;&gt;"",IF(BD16="液态 Liquid",0,IF(BD4="饱和蒸汽",IF(BD6&lt;=12,BD27/0.235/(10.2*BD6+1),BD27/0.235/(10.2*BD6+1)/SQRT(2.1*BD23/(10.2*BD6+1))),IF(BD4="过热蒸汽",IF(BD6&lt;=12,BD27/0.235/(10.2*BD6+1)/SQRT(1000/(1000+2.7*BD10)),BD27/0.235/(10.2*BD6+1)/SQRT(2.1*BD23/(10.2*BD6+1))),IF(BD9/BD15&gt;POWER(2/(BD19+1),BD19/(BD19-1)),0.0179*BD27*SQRT(BD22*BD13/BD18)/BD28/BD15/SQRT(BD19/(BD19-1)*(POWER(BD9/BD15,2/BD19)-POWER(BD9/BD15,(BD19+1)/BD19))),13.16*BD27/BD20/BD28/BD15*SQRT(BD22*BD13/BD18))))),"")</f>
        <v/>
      </c>
      <c r="BE31" s="660" t="str">
        <f aca="false">IF(BD16&lt;&gt;"",IF(BD16="气态 Gas",0,0.196*BE27/BE30/BD28/SQRT(BE23*(BD15-BD9))),"")</f>
        <v/>
      </c>
      <c r="BF31" s="660" t="str">
        <f aca="false">IF(BF16&lt;&gt;"",IF(BF16="液态 Liquid",0,IF(BF4="饱和蒸汽",IF(BF6&lt;=12,BF27/0.235/(10.2*BF6+1),BF27/0.235/(10.2*BF6+1)/SQRT(2.1*BF23/(10.2*BF6+1))),IF(BF4="过热蒸汽",IF(BF6&lt;=12,BF27/0.235/(10.2*BF6+1)/SQRT(1000/(1000+2.7*BF10)),BF27/0.235/(10.2*BF6+1)/SQRT(2.1*BF23/(10.2*BF6+1))),IF(BF9/BF15&gt;POWER(2/(BF19+1),BF19/(BF19-1)),0.0179*BF27*SQRT(BF22*BF13/BF18)/BF28/BF15/SQRT(BF19/(BF19-1)*(POWER(BF9/BF15,2/BF19)-POWER(BF9/BF15,(BF19+1)/BF19))),13.16*BF27/BF20/BF28/BF15*SQRT(BF22*BF13/BF18))))),"")</f>
        <v/>
      </c>
      <c r="BG31" s="660" t="str">
        <f aca="false">IF(BF16&lt;&gt;"",IF(BF16="气态 Gas",0,0.196*BG27/BG30/BF28/SQRT(BG23*(BF15-BF9))),"")</f>
        <v/>
      </c>
      <c r="BH31" s="660" t="str">
        <f aca="false">IF(BH16&lt;&gt;"",IF(BH16="液态 Liquid",0,IF(BH4="饱和蒸汽",IF(BH6&lt;=12,BH27/0.235/(10.2*BH6+1),BH27/0.235/(10.2*BH6+1)/SQRT(2.1*BH23/(10.2*BH6+1))),IF(BH4="过热蒸汽",IF(BH6&lt;=12,BH27/0.235/(10.2*BH6+1)/SQRT(1000/(1000+2.7*BH10)),BH27/0.235/(10.2*BH6+1)/SQRT(2.1*BH23/(10.2*BH6+1))),IF(BH9/BH15&gt;POWER(2/(BH19+1),BH19/(BH19-1)),0.0179*BH27*SQRT(BH22*BH13/BH18)/BH28/BH15/SQRT(BH19/(BH19-1)*(POWER(BH9/BH15,2/BH19)-POWER(BH9/BH15,(BH19+1)/BH19))),13.16*BH27/BH20/BH28/BH15*SQRT(BH22*BH13/BH18))))),"")</f>
        <v/>
      </c>
      <c r="BI31" s="660" t="str">
        <f aca="false">IF(BH16&lt;&gt;"",IF(BH16="气态 Gas",0,0.196*BI27/BI30/BH28/SQRT(BI23*(BH15-BH9))),"")</f>
        <v/>
      </c>
      <c r="BJ31" s="660" t="str">
        <f aca="false">IF(BJ16&lt;&gt;"",IF(BJ16="液态 Liquid",0,IF(BJ4="饱和蒸汽",IF(BJ6&lt;=12,BJ27/0.235/(10.2*BJ6+1),BJ27/0.235/(10.2*BJ6+1)/SQRT(2.1*BJ23/(10.2*BJ6+1))),IF(BJ4="过热蒸汽",IF(BJ6&lt;=12,BJ27/0.235/(10.2*BJ6+1)/SQRT(1000/(1000+2.7*BJ10)),BJ27/0.235/(10.2*BJ6+1)/SQRT(2.1*BJ23/(10.2*BJ6+1))),IF(BJ9/BJ15&gt;POWER(2/(BJ19+1),BJ19/(BJ19-1)),0.0179*BJ27*SQRT(BJ22*BJ13/BJ18)/BJ28/BJ15/SQRT(BJ19/(BJ19-1)*(POWER(BJ9/BJ15,2/BJ19)-POWER(BJ9/BJ15,(BJ19+1)/BJ19))),13.16*BJ27/BJ20/BJ28/BJ15*SQRT(BJ22*BJ13/BJ18))))),"")</f>
        <v/>
      </c>
      <c r="BK31" s="660" t="str">
        <f aca="false">IF(BJ16&lt;&gt;"",IF(BJ16="气态 Gas",0,0.196*BK27/BK30/BJ28/SQRT(BK23*(BJ15-BJ9))),"")</f>
        <v/>
      </c>
      <c r="BL31" s="660" t="str">
        <f aca="false">IF(BL16&lt;&gt;"",IF(BL16="液态 Liquid",0,IF(BL4="饱和蒸汽",IF(BL6&lt;=12,BL27/0.235/(10.2*BL6+1),BL27/0.235/(10.2*BL6+1)/SQRT(2.1*BL23/(10.2*BL6+1))),IF(BL4="过热蒸汽",IF(BL6&lt;=12,BL27/0.235/(10.2*BL6+1)/SQRT(1000/(1000+2.7*BL10)),BL27/0.235/(10.2*BL6+1)/SQRT(2.1*BL23/(10.2*BL6+1))),IF(BL9/BL15&gt;POWER(2/(BL19+1),BL19/(BL19-1)),0.0179*BL27*SQRT(BL22*BL13/BL18)/BL28/BL15/SQRT(BL19/(BL19-1)*(POWER(BL9/BL15,2/BL19)-POWER(BL9/BL15,(BL19+1)/BL19))),13.16*BL27/BL20/BL28/BL15*SQRT(BL22*BL13/BL18))))),"")</f>
        <v/>
      </c>
      <c r="BM31" s="660" t="str">
        <f aca="false">IF(BL16&lt;&gt;"",IF(BL16="气态 Gas",0,0.196*BM27/BM30/BL28/SQRT(BM23*(BL15-BL9))),"")</f>
        <v/>
      </c>
      <c r="BN31" s="660" t="str">
        <f aca="false">IF(BN16&lt;&gt;"",IF(BN16="液态 Liquid",0,IF(BN4="饱和蒸汽",IF(BN6&lt;=12,BN27/0.235/(10.2*BN6+1),BN27/0.235/(10.2*BN6+1)/SQRT(2.1*BN23/(10.2*BN6+1))),IF(BN4="过热蒸汽",IF(BN6&lt;=12,BN27/0.235/(10.2*BN6+1)/SQRT(1000/(1000+2.7*BN10)),BN27/0.235/(10.2*BN6+1)/SQRT(2.1*BN23/(10.2*BN6+1))),IF(BN9/BN15&gt;POWER(2/(BN19+1),BN19/(BN19-1)),0.0179*BN27*SQRT(BN22*BN13/BN18)/BN28/BN15/SQRT(BN19/(BN19-1)*(POWER(BN9/BN15,2/BN19)-POWER(BN9/BN15,(BN19+1)/BN19))),13.16*BN27/BN20/BN28/BN15*SQRT(BN22*BN13/BN18))))),"")</f>
        <v/>
      </c>
      <c r="BO31" s="660" t="str">
        <f aca="false">IF(BN16&lt;&gt;"",IF(BN16="气态 Gas",0,0.196*BO27/BO30/BN28/SQRT(BO23*(BN15-BN9))),"")</f>
        <v/>
      </c>
      <c r="BP31" s="660" t="str">
        <f aca="false">IF(BP16&lt;&gt;"",IF(BP16="液态 Liquid",0,IF(BP4="饱和蒸汽",IF(BP6&lt;=12,BP27/0.235/(10.2*BP6+1),BP27/0.235/(10.2*BP6+1)/SQRT(2.1*BP23/(10.2*BP6+1))),IF(BP4="过热蒸汽",IF(BP6&lt;=12,BP27/0.235/(10.2*BP6+1)/SQRT(1000/(1000+2.7*BP10)),BP27/0.235/(10.2*BP6+1)/SQRT(2.1*BP23/(10.2*BP6+1))),IF(BP9/BP15&gt;POWER(2/(BP19+1),BP19/(BP19-1)),0.0179*BP27*SQRT(BP22*BP13/BP18)/BP28/BP15/SQRT(BP19/(BP19-1)*(POWER(BP9/BP15,2/BP19)-POWER(BP9/BP15,(BP19+1)/BP19))),13.16*BP27/BP20/BP28/BP15*SQRT(BP22*BP13/BP18))))),"")</f>
        <v/>
      </c>
      <c r="BQ31" s="660" t="str">
        <f aca="false">IF(BP16&lt;&gt;"",IF(BP16="气态 Gas",0,0.196*BQ27/BQ30/BP28/SQRT(BQ23*(BP15-BP9))),"")</f>
        <v/>
      </c>
      <c r="BR31" s="660" t="str">
        <f aca="false">IF(BR16&lt;&gt;"",IF(BR16="液态 Liquid",0,IF(BR4="饱和蒸汽",IF(BR6&lt;=12,BR27/0.235/(10.2*BR6+1),BR27/0.235/(10.2*BR6+1)/SQRT(2.1*BR23/(10.2*BR6+1))),IF(BR4="过热蒸汽",IF(BR6&lt;=12,BR27/0.235/(10.2*BR6+1)/SQRT(1000/(1000+2.7*BR10)),BR27/0.235/(10.2*BR6+1)/SQRT(2.1*BR23/(10.2*BR6+1))),IF(BR9/BR15&gt;POWER(2/(BR19+1),BR19/(BR19-1)),0.0179*BR27*SQRT(BR22*BR13/BR18)/BR28/BR15/SQRT(BR19/(BR19-1)*(POWER(BR9/BR15,2/BR19)-POWER(BR9/BR15,(BR19+1)/BR19))),13.16*BR27/BR20/BR28/BR15*SQRT(BR22*BR13/BR18))))),"")</f>
        <v/>
      </c>
      <c r="BS31" s="660" t="str">
        <f aca="false">IF(BR16&lt;&gt;"",IF(BR16="气态 Gas",0,0.196*BS27/BS30/BR28/SQRT(BS23*(BR15-BR9))),"")</f>
        <v/>
      </c>
      <c r="BT31" s="660" t="str">
        <f aca="false">IF(BT16&lt;&gt;"",IF(BT16="液态 Liquid",0,IF(BT4="饱和蒸汽",IF(BT6&lt;=12,BT27/0.235/(10.2*BT6+1),BT27/0.235/(10.2*BT6+1)/SQRT(2.1*BT23/(10.2*BT6+1))),IF(BT4="过热蒸汽",IF(BT6&lt;=12,BT27/0.235/(10.2*BT6+1)/SQRT(1000/(1000+2.7*BT10)),BT27/0.235/(10.2*BT6+1)/SQRT(2.1*BT23/(10.2*BT6+1))),IF(BT9/BT15&gt;POWER(2/(BT19+1),BT19/(BT19-1)),0.0179*BT27*SQRT(BT22*BT13/BT18)/BT28/BT15/SQRT(BT19/(BT19-1)*(POWER(BT9/BT15,2/BT19)-POWER(BT9/BT15,(BT19+1)/BT19))),13.16*BT27/BT20/BT28/BT15*SQRT(BT22*BT13/BT18))))),"")</f>
        <v/>
      </c>
      <c r="BU31" s="660" t="str">
        <f aca="false">IF(BT16&lt;&gt;"",IF(BT16="气态 Gas",0,0.196*BU27/BU30/BT28/SQRT(BU23*(BT15-BT9))),"")</f>
        <v/>
      </c>
      <c r="BV31" s="660" t="str">
        <f aca="false">IF(BV16&lt;&gt;"",IF(BV16="液态 Liquid",0,IF(BV4="饱和蒸汽",IF(BV6&lt;=12,BV27/0.235/(10.2*BV6+1),BV27/0.235/(10.2*BV6+1)/SQRT(2.1*BV23/(10.2*BV6+1))),IF(BV4="过热蒸汽",IF(BV6&lt;=12,BV27/0.235/(10.2*BV6+1)/SQRT(1000/(1000+2.7*BV10)),BV27/0.235/(10.2*BV6+1)/SQRT(2.1*BV23/(10.2*BV6+1))),IF(BV9/BV15&gt;POWER(2/(BV19+1),BV19/(BV19-1)),0.0179*BV27*SQRT(BV22*BV13/BV18)/BV28/BV15/SQRT(BV19/(BV19-1)*(POWER(BV9/BV15,2/BV19)-POWER(BV9/BV15,(BV19+1)/BV19))),13.16*BV27/BV20/BV28/BV15*SQRT(BV22*BV13/BV18))))),"")</f>
        <v/>
      </c>
      <c r="BW31" s="660" t="str">
        <f aca="false">IF(BV16&lt;&gt;"",IF(BV16="气态 Gas",0,0.196*BW27/BW30/BV28/SQRT(BW23*(BV15-BV9))),"")</f>
        <v/>
      </c>
      <c r="BX31" s="660" t="str">
        <f aca="false">IF(BX16&lt;&gt;"",IF(BX16="液态 Liquid",0,IF(BX4="饱和蒸汽",IF(BX6&lt;=12,BX27/0.235/(10.2*BX6+1),BX27/0.235/(10.2*BX6+1)/SQRT(2.1*BX23/(10.2*BX6+1))),IF(BX4="过热蒸汽",IF(BX6&lt;=12,BX27/0.235/(10.2*BX6+1)/SQRT(1000/(1000+2.7*BX10)),BX27/0.235/(10.2*BX6+1)/SQRT(2.1*BX23/(10.2*BX6+1))),IF(BX9/BX15&gt;POWER(2/(BX19+1),BX19/(BX19-1)),0.0179*BX27*SQRT(BX22*BX13/BX18)/BX28/BX15/SQRT(BX19/(BX19-1)*(POWER(BX9/BX15,2/BX19)-POWER(BX9/BX15,(BX19+1)/BX19))),13.16*BX27/BX20/BX28/BX15*SQRT(BX22*BX13/BX18))))),"")</f>
        <v/>
      </c>
      <c r="BY31" s="660" t="str">
        <f aca="false">IF(BX16&lt;&gt;"",IF(BX16="气态 Gas",0,0.196*BY27/BY30/BX28/SQRT(BY23*(BX15-BX9))),"")</f>
        <v/>
      </c>
      <c r="BZ31" s="660" t="str">
        <f aca="false">IF(BZ16&lt;&gt;"",IF(BZ16="液态 Liquid",0,IF(BZ4="饱和蒸汽",IF(BZ6&lt;=12,BZ27/0.235/(10.2*BZ6+1),BZ27/0.235/(10.2*BZ6+1)/SQRT(2.1*BZ23/(10.2*BZ6+1))),IF(BZ4="过热蒸汽",IF(BZ6&lt;=12,BZ27/0.235/(10.2*BZ6+1)/SQRT(1000/(1000+2.7*BZ10)),BZ27/0.235/(10.2*BZ6+1)/SQRT(2.1*BZ23/(10.2*BZ6+1))),IF(BZ9/BZ15&gt;POWER(2/(BZ19+1),BZ19/(BZ19-1)),0.0179*BZ27*SQRT(BZ22*BZ13/BZ18)/BZ28/BZ15/SQRT(BZ19/(BZ19-1)*(POWER(BZ9/BZ15,2/BZ19)-POWER(BZ9/BZ15,(BZ19+1)/BZ19))),13.16*BZ27/BZ20/BZ28/BZ15*SQRT(BZ22*BZ13/BZ18))))),"")</f>
        <v/>
      </c>
      <c r="CA31" s="660" t="str">
        <f aca="false">IF(BZ16&lt;&gt;"",IF(BZ16="气态 Gas",0,0.196*CA27/CA30/BZ28/SQRT(CA23*(BZ15-BZ9))),"")</f>
        <v/>
      </c>
      <c r="CB31" s="660" t="str">
        <f aca="false">IF(CB16&lt;&gt;"",IF(CB16="液态 Liquid",0,IF(CB4="饱和蒸汽",IF(CB6&lt;=12,CB27/0.235/(10.2*CB6+1),CB27/0.235/(10.2*CB6+1)/SQRT(2.1*CB23/(10.2*CB6+1))),IF(CB4="过热蒸汽",IF(CB6&lt;=12,CB27/0.235/(10.2*CB6+1)/SQRT(1000/(1000+2.7*CB10)),CB27/0.235/(10.2*CB6+1)/SQRT(2.1*CB23/(10.2*CB6+1))),IF(CB9/CB15&gt;POWER(2/(CB19+1),CB19/(CB19-1)),0.0179*CB27*SQRT(CB22*CB13/CB18)/CB28/CB15/SQRT(CB19/(CB19-1)*(POWER(CB9/CB15,2/CB19)-POWER(CB9/CB15,(CB19+1)/CB19))),13.16*CB27/CB20/CB28/CB15*SQRT(CB22*CB13/CB18))))),"")</f>
        <v/>
      </c>
      <c r="CC31" s="660" t="str">
        <f aca="false">IF(CB16&lt;&gt;"",IF(CB16="气态 Gas",0,0.196*CC27/CC30/CB28/SQRT(CC23*(CB15-CB9))),"")</f>
        <v/>
      </c>
      <c r="CD31" s="660" t="str">
        <f aca="false">IF(CD16&lt;&gt;"",IF(CD16="液态 Liquid",0,IF(CD4="饱和蒸汽",IF(CD6&lt;=12,CD27/0.235/(10.2*CD6+1),CD27/0.235/(10.2*CD6+1)/SQRT(2.1*CD23/(10.2*CD6+1))),IF(CD4="过热蒸汽",IF(CD6&lt;=12,CD27/0.235/(10.2*CD6+1)/SQRT(1000/(1000+2.7*CD10)),CD27/0.235/(10.2*CD6+1)/SQRT(2.1*CD23/(10.2*CD6+1))),IF(CD9/CD15&gt;POWER(2/(CD19+1),CD19/(CD19-1)),0.0179*CD27*SQRT(CD22*CD13/CD18)/CD28/CD15/SQRT(CD19/(CD19-1)*(POWER(CD9/CD15,2/CD19)-POWER(CD9/CD15,(CD19+1)/CD19))),13.16*CD27/CD20/CD28/CD15*SQRT(CD22*CD13/CD18))))),"")</f>
        <v/>
      </c>
      <c r="CE31" s="660" t="str">
        <f aca="false">IF(CD16&lt;&gt;"",IF(CD16="气态 Gas",0,0.196*CE27/CE30/CD28/SQRT(CE23*(CD15-CD9))),"")</f>
        <v/>
      </c>
      <c r="CF31" s="660" t="str">
        <f aca="false">IF(CF16&lt;&gt;"",IF(CF16="液态 Liquid",0,IF(CF4="饱和蒸汽",IF(CF6&lt;=12,CF27/0.235/(10.2*CF6+1),CF27/0.235/(10.2*CF6+1)/SQRT(2.1*CF23/(10.2*CF6+1))),IF(CF4="过热蒸汽",IF(CF6&lt;=12,CF27/0.235/(10.2*CF6+1)/SQRT(1000/(1000+2.7*CF10)),CF27/0.235/(10.2*CF6+1)/SQRT(2.1*CF23/(10.2*CF6+1))),IF(CF9/CF15&gt;POWER(2/(CF19+1),CF19/(CF19-1)),0.0179*CF27*SQRT(CF22*CF13/CF18)/CF28/CF15/SQRT(CF19/(CF19-1)*(POWER(CF9/CF15,2/CF19)-POWER(CF9/CF15,(CF19+1)/CF19))),13.16*CF27/CF20/CF28/CF15*SQRT(CF22*CF13/CF18))))),"")</f>
        <v/>
      </c>
      <c r="CG31" s="660" t="str">
        <f aca="false">IF(CF16&lt;&gt;"",IF(CF16="气态 Gas",0,0.196*CG27/CG30/CF28/SQRT(CG23*(CF15-CF9))),"")</f>
        <v/>
      </c>
      <c r="CH31" s="660" t="str">
        <f aca="false">IF(CH16&lt;&gt;"",IF(CH16="液态 Liquid",0,IF(CH4="饱和蒸汽",IF(CH6&lt;=12,CH27/0.235/(10.2*CH6+1),CH27/0.235/(10.2*CH6+1)/SQRT(2.1*CH23/(10.2*CH6+1))),IF(CH4="过热蒸汽",IF(CH6&lt;=12,CH27/0.235/(10.2*CH6+1)/SQRT(1000/(1000+2.7*CH10)),CH27/0.235/(10.2*CH6+1)/SQRT(2.1*CH23/(10.2*CH6+1))),IF(CH9/CH15&gt;POWER(2/(CH19+1),CH19/(CH19-1)),0.0179*CH27*SQRT(CH22*CH13/CH18)/CH28/CH15/SQRT(CH19/(CH19-1)*(POWER(CH9/CH15,2/CH19)-POWER(CH9/CH15,(CH19+1)/CH19))),13.16*CH27/CH20/CH28/CH15*SQRT(CH22*CH13/CH18))))),"")</f>
        <v/>
      </c>
      <c r="CI31" s="660" t="str">
        <f aca="false">IF(CH16&lt;&gt;"",IF(CH16="气态 Gas",0,0.196*CI27/CI30/CH28/SQRT(CI23*(CH15-CH9))),"")</f>
        <v/>
      </c>
      <c r="CJ31" s="661"/>
    </row>
    <row r="32" s="439" customFormat="true" ht="15" hidden="false" customHeight="false" outlineLevel="0" collapsed="false">
      <c r="A32" s="439" t="s">
        <v>1133</v>
      </c>
      <c r="B32" s="662" t="n">
        <f aca="false">IF(OR(B31&lt;&gt;"",C31&lt;&gt;""),B31+C31,"")</f>
        <v>3083.38596042224</v>
      </c>
      <c r="C32" s="662"/>
      <c r="D32" s="662" t="n">
        <f aca="false">IF(OR(D31&lt;&gt;"",E31&lt;&gt;""),D31+E31,"")</f>
        <v>289.47920656922</v>
      </c>
      <c r="E32" s="662"/>
      <c r="F32" s="662" t="n">
        <f aca="false">IF(OR(F31&lt;&gt;"",G31&lt;&gt;""),F31+G31,"")</f>
        <v>1113.26207104939</v>
      </c>
      <c r="G32" s="662"/>
      <c r="H32" s="662" t="n">
        <f aca="false">IF(OR(H31&lt;&gt;"",I31&lt;&gt;""),H31+I31,"")</f>
        <v>435.221572396254</v>
      </c>
      <c r="I32" s="662"/>
      <c r="J32" s="662" t="n">
        <f aca="false">IF(OR(J31&lt;&gt;"",K31&lt;&gt;""),J31+K31,"")</f>
        <v>672.16658530303</v>
      </c>
      <c r="K32" s="662"/>
      <c r="L32" s="662" t="n">
        <f aca="false">IF(OR(L31&lt;&gt;"",M31&lt;&gt;""),L31+M31,"")</f>
        <v>2499.53330253155</v>
      </c>
      <c r="M32" s="662"/>
      <c r="N32" s="662" t="n">
        <f aca="false">IF(OR(N31&lt;&gt;"",O31&lt;&gt;""),N31+O31,"")</f>
        <v>5175.05292667038</v>
      </c>
      <c r="O32" s="662"/>
      <c r="P32" s="662" t="n">
        <f aca="false">IF(OR(P31&lt;&gt;"",Q31&lt;&gt;""),P31+Q31,"")</f>
        <v>9832.3937561848</v>
      </c>
      <c r="Q32" s="662"/>
      <c r="R32" s="662" t="n">
        <f aca="false">IF(OR(R31&lt;&gt;"",S31&lt;&gt;""),R31+S31,"")</f>
        <v>1074.38208017253</v>
      </c>
      <c r="S32" s="662"/>
      <c r="T32" s="662" t="n">
        <f aca="false">IF(OR(T31&lt;&gt;"",U31&lt;&gt;""),T31+U31,"")</f>
        <v>1074.38647077279</v>
      </c>
      <c r="U32" s="662"/>
      <c r="V32" s="662" t="n">
        <f aca="false">IF(OR(V31&lt;&gt;"",W31&lt;&gt;""),V31+W31,"")</f>
        <v>2265.17329876856</v>
      </c>
      <c r="W32" s="662"/>
      <c r="X32" s="662" t="n">
        <f aca="false">IF(OR(X31&lt;&gt;"",Y31&lt;&gt;""),X31+Y31,"")</f>
        <v>2265.17329876856</v>
      </c>
      <c r="Y32" s="662"/>
      <c r="Z32" s="662" t="n">
        <f aca="false">IF(OR(Z31&lt;&gt;"",AA31&lt;&gt;""),Z31+AA31,"")</f>
        <v>182.831719548524</v>
      </c>
      <c r="AA32" s="662"/>
      <c r="AB32" s="662" t="n">
        <f aca="false">IF(OR(AB31&lt;&gt;"",AC31&lt;&gt;""),AB31+AC31,"")</f>
        <v>16.7677294196778</v>
      </c>
      <c r="AC32" s="662"/>
      <c r="AD32" s="662" t="n">
        <f aca="false">IF(OR(AD31&lt;&gt;"",AE31&lt;&gt;""),AD31+AE31,"")</f>
        <v>2794.71754299826</v>
      </c>
      <c r="AE32" s="662"/>
      <c r="AF32" s="662" t="n">
        <f aca="false">IF(OR(AF31&lt;&gt;"",AG31&lt;&gt;""),AF31+AG31,"")</f>
        <v>2794.71754299826</v>
      </c>
      <c r="AG32" s="662"/>
      <c r="AH32" s="662" t="n">
        <f aca="false">IF(OR(AH31&lt;&gt;"",AI31&lt;&gt;""),AH31+AI31,"")</f>
        <v>153.517851687407</v>
      </c>
      <c r="AI32" s="662"/>
      <c r="AJ32" s="662" t="n">
        <f aca="false">IF(OR(AJ31&lt;&gt;"",AK31&lt;&gt;""),AJ31+AK31,"")</f>
        <v>568.561638473097</v>
      </c>
      <c r="AK32" s="662"/>
      <c r="AL32" s="662" t="n">
        <f aca="false">IF(OR(AL31&lt;&gt;"",AM31&lt;&gt;""),AL31+AM31,"")</f>
        <v>367.33471099942</v>
      </c>
      <c r="AM32" s="662"/>
      <c r="AN32" s="662" t="n">
        <f aca="false">IF(OR(AN31&lt;&gt;"",AO31&lt;&gt;""),AN31+AO31,"")</f>
        <v>526.720886147655</v>
      </c>
      <c r="AO32" s="662"/>
      <c r="AP32" s="662" t="n">
        <f aca="false">IF(OR(AP31&lt;&gt;"",AQ31&lt;&gt;""),AP31+AQ31,"")</f>
        <v>2765.72286645552</v>
      </c>
      <c r="AQ32" s="662"/>
      <c r="AR32" s="662" t="n">
        <f aca="false">IF(OR(AR31&lt;&gt;"",AS31&lt;&gt;""),AR31+AS31,"")</f>
        <v>354.086904907466</v>
      </c>
      <c r="AS32" s="662"/>
      <c r="AT32" s="662" t="n">
        <f aca="false">IF(OR(AT31&lt;&gt;"",AU31&lt;&gt;""),AT31+AU31,"")</f>
        <v>191.114157880946</v>
      </c>
      <c r="AU32" s="662"/>
      <c r="AV32" s="662" t="n">
        <f aca="false">IF(OR(AV31&lt;&gt;"",AW31&lt;&gt;""),AV31+AW31,"")</f>
        <v>1202.71971735416</v>
      </c>
      <c r="AW32" s="662"/>
      <c r="AX32" s="662" t="n">
        <f aca="false">IF(OR(AX31&lt;&gt;"",AY31&lt;&gt;""),AX31+AY31,"")</f>
        <v>283.481458376865</v>
      </c>
      <c r="AY32" s="662"/>
      <c r="AZ32" s="662" t="n">
        <f aca="false">IF(OR(AZ31&lt;&gt;"",BA31&lt;&gt;""),AZ31+BA31,"")</f>
        <v>4416.5510681612</v>
      </c>
      <c r="BA32" s="662"/>
      <c r="BB32" s="662" t="str">
        <f aca="false">IF(OR(BB31&lt;&gt;"",BC31&lt;&gt;""),BB31+BC31,"")</f>
        <v/>
      </c>
      <c r="BC32" s="662"/>
      <c r="BD32" s="662" t="str">
        <f aca="false">IF(OR(BD31&lt;&gt;"",BE31&lt;&gt;""),BD31+BE31,"")</f>
        <v/>
      </c>
      <c r="BE32" s="662"/>
      <c r="BF32" s="662" t="str">
        <f aca="false">IF(OR(BF31&lt;&gt;"",BG31&lt;&gt;""),BF31+BG31,"")</f>
        <v/>
      </c>
      <c r="BG32" s="662"/>
      <c r="BH32" s="662" t="str">
        <f aca="false">IF(OR(BH31&lt;&gt;"",BI31&lt;&gt;""),BH31+BI31,"")</f>
        <v/>
      </c>
      <c r="BI32" s="662"/>
      <c r="BJ32" s="662" t="str">
        <f aca="false">IF(OR(BJ31&lt;&gt;"",BK31&lt;&gt;""),BJ31+BK31,"")</f>
        <v/>
      </c>
      <c r="BK32" s="662"/>
      <c r="BL32" s="662" t="str">
        <f aca="false">IF(OR(BL31&lt;&gt;"",BM31&lt;&gt;""),BL31+BM31,"")</f>
        <v/>
      </c>
      <c r="BM32" s="662"/>
      <c r="BN32" s="662" t="str">
        <f aca="false">IF(OR(BN31&lt;&gt;"",BO31&lt;&gt;""),BN31+BO31,"")</f>
        <v/>
      </c>
      <c r="BO32" s="662"/>
      <c r="BP32" s="662" t="str">
        <f aca="false">IF(OR(BP31&lt;&gt;"",BQ31&lt;&gt;""),BP31+BQ31,"")</f>
        <v/>
      </c>
      <c r="BQ32" s="662"/>
      <c r="BR32" s="662" t="str">
        <f aca="false">IF(OR(BR31&lt;&gt;"",BS31&lt;&gt;""),BR31+BS31,"")</f>
        <v/>
      </c>
      <c r="BS32" s="662"/>
      <c r="BT32" s="662" t="str">
        <f aca="false">IF(OR(BT31&lt;&gt;"",BU31&lt;&gt;""),BT31+BU31,"")</f>
        <v/>
      </c>
      <c r="BU32" s="662"/>
      <c r="BV32" s="662" t="str">
        <f aca="false">IF(OR(BV31&lt;&gt;"",BW31&lt;&gt;""),BV31+BW31,"")</f>
        <v/>
      </c>
      <c r="BW32" s="662"/>
      <c r="BX32" s="662" t="str">
        <f aca="false">IF(OR(BX31&lt;&gt;"",BY31&lt;&gt;""),BX31+BY31,"")</f>
        <v/>
      </c>
      <c r="BY32" s="662"/>
      <c r="BZ32" s="662" t="str">
        <f aca="false">IF(OR(BZ31&lt;&gt;"",CA31&lt;&gt;""),BZ31+CA31,"")</f>
        <v/>
      </c>
      <c r="CA32" s="662"/>
      <c r="CB32" s="662" t="str">
        <f aca="false">IF(OR(CB31&lt;&gt;"",CC31&lt;&gt;""),CB31+CC31,"")</f>
        <v/>
      </c>
      <c r="CC32" s="662"/>
      <c r="CD32" s="662" t="str">
        <f aca="false">IF(OR(CD31&lt;&gt;"",CE31&lt;&gt;""),CD31+CE31,"")</f>
        <v/>
      </c>
      <c r="CE32" s="662"/>
      <c r="CF32" s="662" t="str">
        <f aca="false">IF(OR(CF31&lt;&gt;"",CG31&lt;&gt;""),CF31+CG31,"")</f>
        <v/>
      </c>
      <c r="CG32" s="662"/>
      <c r="CH32" s="662" t="str">
        <f aca="false">IF(OR(CH31&lt;&gt;"",CI31&lt;&gt;""),CH31+CI31,"")</f>
        <v/>
      </c>
      <c r="CI32" s="662"/>
      <c r="CJ32" s="440"/>
    </row>
    <row r="33" s="397" customFormat="true" ht="15" hidden="false" customHeight="false" outlineLevel="0" collapsed="false">
      <c r="B33" s="650"/>
      <c r="C33" s="650"/>
      <c r="D33" s="663"/>
      <c r="E33" s="663"/>
      <c r="F33" s="663"/>
      <c r="G33" s="663"/>
      <c r="H33" s="663"/>
      <c r="I33" s="663"/>
      <c r="J33" s="663"/>
      <c r="K33" s="663"/>
      <c r="L33" s="663"/>
      <c r="M33" s="663"/>
      <c r="N33" s="663"/>
      <c r="O33" s="663"/>
      <c r="P33" s="663"/>
      <c r="Q33" s="663"/>
      <c r="CJ33" s="390"/>
    </row>
    <row r="34" s="666" customFormat="true" ht="15" hidden="false" customHeight="false" outlineLevel="0" collapsed="false">
      <c r="A34" s="602" t="s">
        <v>1134</v>
      </c>
      <c r="B34" s="664"/>
      <c r="C34" s="664"/>
      <c r="D34" s="665"/>
      <c r="E34" s="665"/>
      <c r="F34" s="665"/>
      <c r="G34" s="665"/>
      <c r="H34" s="665"/>
      <c r="I34" s="665"/>
      <c r="J34" s="665"/>
      <c r="K34" s="665"/>
      <c r="L34" s="665"/>
      <c r="M34" s="665"/>
      <c r="N34" s="665"/>
      <c r="O34" s="665"/>
      <c r="P34" s="665"/>
      <c r="Q34" s="665"/>
      <c r="CJ34" s="667"/>
    </row>
    <row r="35" s="443" customFormat="true" ht="15" hidden="false" customHeight="false" outlineLevel="0" collapsed="false">
      <c r="A35" s="443" t="s">
        <v>1135</v>
      </c>
      <c r="B35" s="523"/>
      <c r="C35" s="523"/>
      <c r="D35" s="523"/>
      <c r="E35" s="523"/>
      <c r="F35" s="523"/>
      <c r="G35" s="523"/>
      <c r="H35" s="603"/>
      <c r="I35" s="603"/>
      <c r="J35" s="223"/>
      <c r="K35" s="223"/>
      <c r="L35" s="603"/>
      <c r="M35" s="603"/>
      <c r="N35" s="603"/>
      <c r="O35" s="603"/>
      <c r="P35" s="223"/>
      <c r="Q35" s="223"/>
      <c r="R35" s="603"/>
      <c r="S35" s="603"/>
      <c r="T35" s="603"/>
      <c r="U35" s="603"/>
      <c r="V35" s="603"/>
      <c r="W35" s="603"/>
      <c r="X35" s="603"/>
      <c r="Y35" s="603"/>
      <c r="Z35" s="603"/>
      <c r="AA35" s="603"/>
      <c r="AB35" s="603"/>
      <c r="AC35" s="603"/>
      <c r="AD35" s="603"/>
      <c r="AE35" s="603"/>
      <c r="AF35" s="603"/>
      <c r="AG35" s="603"/>
      <c r="AH35" s="603" t="n">
        <f aca="false">'安全阀选型(基础设计)'!AH36:AI36</f>
        <v>1.1</v>
      </c>
      <c r="AI35" s="603"/>
      <c r="AJ35" s="603"/>
      <c r="AK35" s="603"/>
      <c r="AL35" s="603"/>
      <c r="AM35" s="603"/>
      <c r="AN35" s="603" t="n">
        <v>3</v>
      </c>
      <c r="AO35" s="603"/>
      <c r="AP35" s="603"/>
      <c r="AQ35" s="603"/>
      <c r="AR35" s="603"/>
      <c r="AS35" s="603"/>
      <c r="AT35" s="603"/>
      <c r="AU35" s="603"/>
      <c r="AV35" s="603"/>
      <c r="AW35" s="603"/>
      <c r="AX35" s="603"/>
      <c r="AY35" s="603"/>
      <c r="AZ35" s="603"/>
      <c r="BA35" s="603"/>
      <c r="BB35" s="603"/>
      <c r="BC35" s="603"/>
      <c r="BD35" s="603"/>
      <c r="BE35" s="603"/>
      <c r="BF35" s="603"/>
      <c r="BG35" s="603"/>
      <c r="BH35" s="603"/>
      <c r="BI35" s="603"/>
      <c r="BJ35" s="603"/>
      <c r="BK35" s="603"/>
      <c r="BL35" s="603"/>
      <c r="BM35" s="603"/>
      <c r="BN35" s="603"/>
      <c r="BO35" s="603"/>
      <c r="BP35" s="603"/>
      <c r="BQ35" s="603"/>
      <c r="BR35" s="603"/>
      <c r="BS35" s="603"/>
      <c r="BT35" s="603"/>
      <c r="BU35" s="603"/>
      <c r="BV35" s="603"/>
      <c r="BW35" s="603"/>
      <c r="BX35" s="603"/>
      <c r="BY35" s="603"/>
      <c r="BZ35" s="603"/>
      <c r="CA35" s="603"/>
      <c r="CB35" s="603"/>
      <c r="CC35" s="603"/>
      <c r="CD35" s="603"/>
      <c r="CE35" s="603"/>
      <c r="CF35" s="603"/>
      <c r="CG35" s="603"/>
      <c r="CH35" s="603"/>
      <c r="CI35" s="603"/>
      <c r="CJ35" s="385"/>
    </row>
    <row r="36" s="443" customFormat="true" ht="15" hidden="false" customHeight="false" outlineLevel="0" collapsed="false">
      <c r="A36" s="443" t="s">
        <v>1136</v>
      </c>
      <c r="B36" s="523"/>
      <c r="C36" s="523"/>
      <c r="D36" s="523"/>
      <c r="E36" s="523"/>
      <c r="F36" s="523"/>
      <c r="G36" s="523"/>
      <c r="H36" s="603"/>
      <c r="I36" s="603"/>
      <c r="J36" s="223"/>
      <c r="K36" s="223"/>
      <c r="L36" s="603"/>
      <c r="M36" s="603"/>
      <c r="N36" s="603"/>
      <c r="O36" s="603"/>
      <c r="P36" s="668"/>
      <c r="Q36" s="668"/>
      <c r="R36" s="603"/>
      <c r="S36" s="603"/>
      <c r="T36" s="603"/>
      <c r="U36" s="603"/>
      <c r="V36" s="603"/>
      <c r="W36" s="603"/>
      <c r="X36" s="603"/>
      <c r="Y36" s="603"/>
      <c r="Z36" s="603"/>
      <c r="AA36" s="603"/>
      <c r="AB36" s="603"/>
      <c r="AC36" s="603"/>
      <c r="AD36" s="603"/>
      <c r="AE36" s="603"/>
      <c r="AF36" s="603"/>
      <c r="AG36" s="603"/>
      <c r="AH36" s="603" t="n">
        <f aca="false">'安全阀选型(基础设计)'!AH37:AI37</f>
        <v>3.3</v>
      </c>
      <c r="AI36" s="603"/>
      <c r="AJ36" s="603"/>
      <c r="AK36" s="603"/>
      <c r="AL36" s="603"/>
      <c r="AM36" s="603"/>
      <c r="AN36" s="603" t="n">
        <v>9</v>
      </c>
      <c r="AO36" s="603"/>
      <c r="AP36" s="603"/>
      <c r="AQ36" s="603"/>
      <c r="AR36" s="603"/>
      <c r="AS36" s="603"/>
      <c r="AT36" s="603"/>
      <c r="AU36" s="603"/>
      <c r="AV36" s="603"/>
      <c r="AW36" s="603"/>
      <c r="AX36" s="603"/>
      <c r="AY36" s="603"/>
      <c r="AZ36" s="603"/>
      <c r="BA36" s="603"/>
      <c r="BB36" s="603"/>
      <c r="BC36" s="603"/>
      <c r="BD36" s="603"/>
      <c r="BE36" s="603"/>
      <c r="BF36" s="603"/>
      <c r="BG36" s="603"/>
      <c r="BH36" s="603"/>
      <c r="BI36" s="603"/>
      <c r="BJ36" s="603"/>
      <c r="BK36" s="603"/>
      <c r="BL36" s="603"/>
      <c r="BM36" s="603"/>
      <c r="BN36" s="603"/>
      <c r="BO36" s="603"/>
      <c r="BP36" s="603"/>
      <c r="BQ36" s="603"/>
      <c r="BR36" s="603"/>
      <c r="BS36" s="603"/>
      <c r="BT36" s="603"/>
      <c r="BU36" s="603"/>
      <c r="BV36" s="603"/>
      <c r="BW36" s="603"/>
      <c r="BX36" s="603"/>
      <c r="BY36" s="603"/>
      <c r="BZ36" s="603"/>
      <c r="CA36" s="603"/>
      <c r="CB36" s="603"/>
      <c r="CC36" s="603"/>
      <c r="CD36" s="603"/>
      <c r="CE36" s="603"/>
      <c r="CF36" s="603"/>
      <c r="CG36" s="603"/>
      <c r="CH36" s="603"/>
      <c r="CI36" s="603"/>
      <c r="CJ36" s="385"/>
    </row>
    <row r="37" s="669" customFormat="true" ht="15" hidden="false" customHeight="false" outlineLevel="0" collapsed="false">
      <c r="A37" s="669" t="s">
        <v>1137</v>
      </c>
      <c r="B37" s="611" t="str">
        <f aca="false">IF(AND(B35&lt;&gt;"",B36&lt;&gt;""),3.14*B35*(B36+B35/2+0.3*B35),"")</f>
        <v/>
      </c>
      <c r="C37" s="611"/>
      <c r="D37" s="611" t="str">
        <f aca="false">IF(AND(D35&lt;&gt;"",D36&lt;&gt;""),3.14*D35*(D36+D35/2+0.3*D35),"")</f>
        <v/>
      </c>
      <c r="E37" s="611"/>
      <c r="F37" s="611" t="str">
        <f aca="false">IF(AND(F35&lt;&gt;"",F36&lt;&gt;""),3.14*F35*(F36+F35/2+0.3*F35),"")</f>
        <v/>
      </c>
      <c r="G37" s="611"/>
      <c r="H37" s="611" t="str">
        <f aca="false">IF(AND(H35&lt;&gt;"",H36&lt;&gt;""),3.14*H35*(H36+H35/2+0.3*H35),"")</f>
        <v/>
      </c>
      <c r="I37" s="611"/>
      <c r="J37" s="611" t="str">
        <f aca="false">IF(AND(J35&lt;&gt;"",J36&lt;&gt;""),3.14*J35*(J36+J35/2+0.3*J35),"")</f>
        <v/>
      </c>
      <c r="K37" s="611"/>
      <c r="L37" s="611" t="str">
        <f aca="false">IF(AND(L35&lt;&gt;"",L36&lt;&gt;""),3.14*L35*(L36+L35/2+0.3*L35),"")</f>
        <v/>
      </c>
      <c r="M37" s="611"/>
      <c r="N37" s="611" t="str">
        <f aca="false">IF(AND(N35&lt;&gt;"",N36&lt;&gt;""),3.14*N35*(N36+N35/2+0.3*N35),"")</f>
        <v/>
      </c>
      <c r="O37" s="611"/>
      <c r="P37" s="611" t="str">
        <f aca="false">IF(AND(P35&lt;&gt;"",P36&lt;&gt;""),3.14*P35*(P36+P35/2+0.3*P35),"")</f>
        <v/>
      </c>
      <c r="Q37" s="611"/>
      <c r="R37" s="611" t="str">
        <f aca="false">IF(AND(R35&lt;&gt;"",R36&lt;&gt;""),3.14*R35*(R36+R35/2+0.3*R35),"")</f>
        <v/>
      </c>
      <c r="S37" s="611"/>
      <c r="T37" s="611" t="str">
        <f aca="false">IF(AND(T35&lt;&gt;"",T36&lt;&gt;""),3.14*T35*(T36+T35/2+0.3*T35),"")</f>
        <v/>
      </c>
      <c r="U37" s="611"/>
      <c r="V37" s="611" t="str">
        <f aca="false">IF(AND(V35&lt;&gt;"",V36&lt;&gt;""),3.14*V35*(V36+V35/2+0.3*V35),"")</f>
        <v/>
      </c>
      <c r="W37" s="611"/>
      <c r="X37" s="611" t="str">
        <f aca="false">IF(AND(X35&lt;&gt;"",X36&lt;&gt;""),3.14*X35*(X36+X35/2+0.3*X35),"")</f>
        <v/>
      </c>
      <c r="Y37" s="611"/>
      <c r="Z37" s="611" t="str">
        <f aca="false">IF(AND(Z35&lt;&gt;"",Z36&lt;&gt;""),3.14*Z35*(Z36+Z35/2+0.3*Z35),"")</f>
        <v/>
      </c>
      <c r="AA37" s="611"/>
      <c r="AB37" s="611" t="str">
        <f aca="false">IF(AND(AB35&lt;&gt;"",AB36&lt;&gt;""),3.14*AB35*(AB36+AB35/2+0.3*AB35),"")</f>
        <v/>
      </c>
      <c r="AC37" s="611"/>
      <c r="AD37" s="611" t="str">
        <f aca="false">IF(AND(AD35&lt;&gt;"",AD36&lt;&gt;""),3.14*AD35*(AD36+AD35/2+0.3*AD35),"")</f>
        <v/>
      </c>
      <c r="AE37" s="611"/>
      <c r="AF37" s="611" t="str">
        <f aca="false">IF(AND(AF35&lt;&gt;"",AF36&lt;&gt;""),3.14*AF35*(AF36+AF35/2+0.3*AF35),"")</f>
        <v/>
      </c>
      <c r="AG37" s="611"/>
      <c r="AH37" s="611" t="n">
        <f aca="false">IF(AND(AH35&lt;&gt;"",AH36&lt;&gt;""),3.14*AH35*(AH36+AH35/2+0.3*AH35),"")</f>
        <v>14.43772</v>
      </c>
      <c r="AI37" s="611"/>
      <c r="AJ37" s="611" t="str">
        <f aca="false">IF(AND(AJ35&lt;&gt;"",AJ36&lt;&gt;""),3.14*AJ35*(AJ36+AJ35/2+0.3*AJ35),"")</f>
        <v/>
      </c>
      <c r="AK37" s="611"/>
      <c r="AL37" s="611" t="str">
        <f aca="false">IF(AND(AL35&lt;&gt;"",AL36&lt;&gt;""),3.14*AL35*(AL36+AL35/2+0.3*AL35),"")</f>
        <v/>
      </c>
      <c r="AM37" s="611"/>
      <c r="AN37" s="611" t="n">
        <f aca="false">IF(AND(AN35&lt;&gt;"",AN36&lt;&gt;""),3.14*AN35*(AN36+AN35/2+0.3*AN35),"")</f>
        <v>107.388</v>
      </c>
      <c r="AO37" s="611"/>
      <c r="AP37" s="611" t="str">
        <f aca="false">IF(AND(AP35&lt;&gt;"",AP36&lt;&gt;""),3.14*AP35*(AP36+AP35/2+0.3*AP35),"")</f>
        <v/>
      </c>
      <c r="AQ37" s="611"/>
      <c r="AR37" s="611" t="str">
        <f aca="false">IF(AND(AR35&lt;&gt;"",AR36&lt;&gt;""),3.14*AR35*(AR36+AR35/2+0.3*AR35),"")</f>
        <v/>
      </c>
      <c r="AS37" s="611"/>
      <c r="AT37" s="611" t="str">
        <f aca="false">IF(AND(AT35&lt;&gt;"",AT36&lt;&gt;""),3.14*AT35*(AT36+AT35/2+0.3*AT35),"")</f>
        <v/>
      </c>
      <c r="AU37" s="611"/>
      <c r="AV37" s="611" t="str">
        <f aca="false">IF(AND(AV35&lt;&gt;"",AV36&lt;&gt;""),3.14*AV35*(AV36+AV35/2+0.3*AV35),"")</f>
        <v/>
      </c>
      <c r="AW37" s="611"/>
      <c r="AX37" s="611" t="str">
        <f aca="false">IF(AND(AX35&lt;&gt;"",AX36&lt;&gt;""),3.14*AX35*(AX36+AX35/2+0.3*AX35),"")</f>
        <v/>
      </c>
      <c r="AY37" s="611"/>
      <c r="AZ37" s="611" t="str">
        <f aca="false">IF(AND(AZ35&lt;&gt;"",AZ36&lt;&gt;""),3.14*AZ35*(AZ36+AZ35/2+0.3*AZ35),"")</f>
        <v/>
      </c>
      <c r="BA37" s="611"/>
      <c r="BB37" s="611" t="str">
        <f aca="false">IF(AND(BB35&lt;&gt;"",BB36&lt;&gt;""),3.14*BB35*(BB36+BB35/2+0.3*BB35),"")</f>
        <v/>
      </c>
      <c r="BC37" s="611"/>
      <c r="BD37" s="611" t="str">
        <f aca="false">IF(AND(BD35&lt;&gt;"",BD36&lt;&gt;""),3.14*BD35*(BD36+BD35/2+0.3*BD35),"")</f>
        <v/>
      </c>
      <c r="BE37" s="611"/>
      <c r="BF37" s="611" t="str">
        <f aca="false">IF(AND(BF35&lt;&gt;"",BF36&lt;&gt;""),3.14*BF35*(BF36+BF35/2+0.3*BF35),"")</f>
        <v/>
      </c>
      <c r="BG37" s="611"/>
      <c r="BH37" s="611" t="str">
        <f aca="false">IF(AND(BH35&lt;&gt;"",BH36&lt;&gt;""),3.14*BH35*(BH36+BH35/2+0.3*BH35),"")</f>
        <v/>
      </c>
      <c r="BI37" s="611"/>
      <c r="BJ37" s="611" t="str">
        <f aca="false">IF(AND(BJ35&lt;&gt;"",BJ36&lt;&gt;""),3.14*BJ35*(BJ36+BJ35/2+0.3*BJ35),"")</f>
        <v/>
      </c>
      <c r="BK37" s="611"/>
      <c r="BL37" s="611" t="str">
        <f aca="false">IF(AND(BL35&lt;&gt;"",BL36&lt;&gt;""),3.14*BL35*(BL36+BL35/2+0.3*BL35),"")</f>
        <v/>
      </c>
      <c r="BM37" s="611"/>
      <c r="BN37" s="611" t="str">
        <f aca="false">IF(AND(BN35&lt;&gt;"",BN36&lt;&gt;""),3.14*BN35*(BN36+BN35/2+0.3*BN35),"")</f>
        <v/>
      </c>
      <c r="BO37" s="611"/>
      <c r="BP37" s="611" t="str">
        <f aca="false">IF(AND(BP35&lt;&gt;"",BP36&lt;&gt;""),3.14*BP35*(BP36+BP35/2+0.3*BP35),"")</f>
        <v/>
      </c>
      <c r="BQ37" s="611"/>
      <c r="BR37" s="611" t="str">
        <f aca="false">IF(AND(BR35&lt;&gt;"",BR36&lt;&gt;""),3.14*BR35*(BR36+BR35/2+0.3*BR35),"")</f>
        <v/>
      </c>
      <c r="BS37" s="611"/>
      <c r="BT37" s="611" t="str">
        <f aca="false">IF(AND(BT35&lt;&gt;"",BT36&lt;&gt;""),3.14*BT35*(BT36+BT35/2+0.3*BT35),"")</f>
        <v/>
      </c>
      <c r="BU37" s="611"/>
      <c r="BV37" s="611" t="str">
        <f aca="false">IF(AND(BV35&lt;&gt;"",BV36&lt;&gt;""),3.14*BV35*(BV36+BV35/2+0.3*BV35),"")</f>
        <v/>
      </c>
      <c r="BW37" s="611"/>
      <c r="BX37" s="611" t="str">
        <f aca="false">IF(AND(BX35&lt;&gt;"",BX36&lt;&gt;""),3.14*BX35*(BX36+BX35/2+0.3*BX35),"")</f>
        <v/>
      </c>
      <c r="BY37" s="611"/>
      <c r="BZ37" s="611" t="str">
        <f aca="false">IF(AND(BZ35&lt;&gt;"",BZ36&lt;&gt;""),3.14*BZ35*(BZ36+BZ35/2+0.3*BZ35),"")</f>
        <v/>
      </c>
      <c r="CA37" s="611"/>
      <c r="CB37" s="611" t="str">
        <f aca="false">IF(AND(CB35&lt;&gt;"",CB36&lt;&gt;""),3.14*CB35*(CB36+CB35/2+0.3*CB35),"")</f>
        <v/>
      </c>
      <c r="CC37" s="611"/>
      <c r="CD37" s="611" t="str">
        <f aca="false">IF(AND(CD35&lt;&gt;"",CD36&lt;&gt;""),3.14*CD35*(CD36+CD35/2+0.3*CD35),"")</f>
        <v/>
      </c>
      <c r="CE37" s="611"/>
      <c r="CF37" s="611" t="str">
        <f aca="false">IF(AND(CF35&lt;&gt;"",CF36&lt;&gt;""),3.14*CF35*(CF36+CF35/2+0.3*CF35),"")</f>
        <v/>
      </c>
      <c r="CG37" s="611"/>
      <c r="CH37" s="611" t="str">
        <f aca="false">IF(AND(CH35&lt;&gt;"",CH36&lt;&gt;""),3.14*CH35*(CH36+CH35/2+0.3*CH35),"")</f>
        <v/>
      </c>
      <c r="CI37" s="611"/>
      <c r="CJ37" s="428"/>
    </row>
    <row r="38" s="443" customFormat="true" ht="15" hidden="false" customHeight="false" outlineLevel="0" collapsed="false">
      <c r="A38" s="443" t="s">
        <v>1138</v>
      </c>
      <c r="B38" s="575"/>
      <c r="C38" s="575"/>
      <c r="D38" s="575"/>
      <c r="E38" s="575"/>
      <c r="F38" s="575"/>
      <c r="G38" s="575"/>
      <c r="H38" s="603"/>
      <c r="I38" s="603"/>
      <c r="J38" s="575"/>
      <c r="K38" s="575"/>
      <c r="L38" s="575"/>
      <c r="M38" s="575"/>
      <c r="N38" s="575"/>
      <c r="O38" s="575"/>
      <c r="P38" s="575"/>
      <c r="Q38" s="575"/>
      <c r="R38" s="575"/>
      <c r="S38" s="575"/>
      <c r="T38" s="575"/>
      <c r="U38" s="575"/>
      <c r="V38" s="575"/>
      <c r="W38" s="575"/>
      <c r="X38" s="575"/>
      <c r="Y38" s="575"/>
      <c r="Z38" s="575"/>
      <c r="AA38" s="575"/>
      <c r="AB38" s="575"/>
      <c r="AC38" s="575"/>
      <c r="AD38" s="575"/>
      <c r="AE38" s="575"/>
      <c r="AF38" s="575"/>
      <c r="AG38" s="575"/>
      <c r="AH38" s="575" t="n">
        <v>0</v>
      </c>
      <c r="AI38" s="575"/>
      <c r="AJ38" s="575"/>
      <c r="AK38" s="575"/>
      <c r="AL38" s="575"/>
      <c r="AM38" s="575"/>
      <c r="AN38" s="575" t="n">
        <v>0.06</v>
      </c>
      <c r="AO38" s="575"/>
      <c r="AP38" s="575"/>
      <c r="AQ38" s="575"/>
      <c r="AR38" s="575"/>
      <c r="AS38" s="575"/>
      <c r="AT38" s="575"/>
      <c r="AU38" s="575"/>
      <c r="AV38" s="575"/>
      <c r="AW38" s="575"/>
      <c r="AX38" s="575"/>
      <c r="AY38" s="575"/>
      <c r="AZ38" s="575"/>
      <c r="BA38" s="575"/>
      <c r="BB38" s="575"/>
      <c r="BC38" s="575"/>
      <c r="BD38" s="575"/>
      <c r="BE38" s="575"/>
      <c r="BF38" s="575"/>
      <c r="BG38" s="575"/>
      <c r="BH38" s="575"/>
      <c r="BI38" s="575"/>
      <c r="BJ38" s="575"/>
      <c r="BK38" s="575"/>
      <c r="BL38" s="575"/>
      <c r="BM38" s="575"/>
      <c r="BN38" s="575"/>
      <c r="BO38" s="575"/>
      <c r="BP38" s="575"/>
      <c r="BQ38" s="575"/>
      <c r="BR38" s="575"/>
      <c r="BS38" s="575"/>
      <c r="BT38" s="575"/>
      <c r="BU38" s="575"/>
      <c r="BV38" s="575"/>
      <c r="BW38" s="575"/>
      <c r="BX38" s="575"/>
      <c r="BY38" s="575"/>
      <c r="BZ38" s="575"/>
      <c r="CA38" s="575"/>
      <c r="CB38" s="575"/>
      <c r="CC38" s="575"/>
      <c r="CD38" s="575"/>
      <c r="CE38" s="575"/>
      <c r="CF38" s="575"/>
      <c r="CG38" s="575"/>
      <c r="CH38" s="575"/>
      <c r="CI38" s="575"/>
      <c r="CJ38" s="385"/>
    </row>
    <row r="39" s="648" customFormat="true" ht="15" hidden="false" customHeight="false" outlineLevel="0" collapsed="false">
      <c r="A39" s="443" t="s">
        <v>1139</v>
      </c>
      <c r="B39" s="575"/>
      <c r="C39" s="575"/>
      <c r="D39" s="575"/>
      <c r="E39" s="575"/>
      <c r="F39" s="575"/>
      <c r="G39" s="575"/>
      <c r="H39" s="575"/>
      <c r="I39" s="575"/>
      <c r="J39" s="575"/>
      <c r="K39" s="575"/>
      <c r="L39" s="575"/>
      <c r="M39" s="575"/>
      <c r="N39" s="575"/>
      <c r="O39" s="575"/>
      <c r="P39" s="575"/>
      <c r="Q39" s="575"/>
      <c r="R39" s="575"/>
      <c r="S39" s="575"/>
      <c r="T39" s="575"/>
      <c r="U39" s="575"/>
      <c r="V39" s="575"/>
      <c r="W39" s="575"/>
      <c r="X39" s="575"/>
      <c r="Y39" s="575"/>
      <c r="Z39" s="575"/>
      <c r="AA39" s="575"/>
      <c r="AB39" s="575"/>
      <c r="AC39" s="575"/>
      <c r="AD39" s="575"/>
      <c r="AE39" s="575"/>
      <c r="AF39" s="575"/>
      <c r="AG39" s="575"/>
      <c r="AH39" s="575" t="n">
        <v>1</v>
      </c>
      <c r="AI39" s="575"/>
      <c r="AJ39" s="575"/>
      <c r="AK39" s="575"/>
      <c r="AL39" s="575"/>
      <c r="AM39" s="575"/>
      <c r="AN39" s="575" t="n">
        <v>1</v>
      </c>
      <c r="AO39" s="575"/>
      <c r="AP39" s="575"/>
      <c r="AQ39" s="575"/>
      <c r="AR39" s="575"/>
      <c r="AS39" s="575"/>
      <c r="AT39" s="575"/>
      <c r="AU39" s="575"/>
      <c r="AV39" s="575"/>
      <c r="AW39" s="575"/>
      <c r="AX39" s="575"/>
      <c r="AY39" s="575"/>
      <c r="AZ39" s="575"/>
      <c r="BA39" s="575"/>
      <c r="BB39" s="575"/>
      <c r="BC39" s="575"/>
      <c r="BD39" s="575"/>
      <c r="BE39" s="575"/>
      <c r="BF39" s="575"/>
      <c r="BG39" s="575"/>
      <c r="BH39" s="575"/>
      <c r="BI39" s="575"/>
      <c r="BJ39" s="575"/>
      <c r="BK39" s="575"/>
      <c r="BL39" s="575"/>
      <c r="BM39" s="575"/>
      <c r="BN39" s="575"/>
      <c r="BO39" s="575"/>
      <c r="BP39" s="575"/>
      <c r="BQ39" s="575"/>
      <c r="BR39" s="575"/>
      <c r="BS39" s="575"/>
      <c r="BT39" s="575"/>
      <c r="BU39" s="575"/>
      <c r="BV39" s="575"/>
      <c r="BW39" s="575"/>
      <c r="BX39" s="575"/>
      <c r="BY39" s="575"/>
      <c r="BZ39" s="575"/>
      <c r="CA39" s="575"/>
      <c r="CB39" s="575"/>
      <c r="CC39" s="575"/>
      <c r="CD39" s="575"/>
      <c r="CE39" s="575"/>
      <c r="CF39" s="575"/>
      <c r="CG39" s="575"/>
      <c r="CH39" s="575"/>
      <c r="CI39" s="575"/>
      <c r="CJ39" s="647"/>
    </row>
    <row r="40" s="596" customFormat="true" ht="15" hidden="false" customHeight="false" outlineLevel="0" collapsed="false">
      <c r="A40" s="613" t="s">
        <v>1114</v>
      </c>
      <c r="B40" s="614" t="str">
        <f aca="false">IF(AND(B35&lt;&gt;"",B36&lt;&gt;""),0.21*B8,"")</f>
        <v/>
      </c>
      <c r="C40" s="614"/>
      <c r="D40" s="614" t="str">
        <f aca="false">IF(AND(D35&lt;&gt;"",D36&lt;&gt;""),0.21*D8,"")</f>
        <v/>
      </c>
      <c r="E40" s="614"/>
      <c r="F40" s="614" t="str">
        <f aca="false">IF(AND(F35&lt;&gt;"",F36&lt;&gt;""),0.21*F8,"")</f>
        <v/>
      </c>
      <c r="G40" s="614"/>
      <c r="H40" s="614" t="str">
        <f aca="false">IF(AND(H35&lt;&gt;"",H36&lt;&gt;""),0.21*H8,"")</f>
        <v/>
      </c>
      <c r="I40" s="614"/>
      <c r="J40" s="614" t="str">
        <f aca="false">IF(AND(J35&lt;&gt;"",J36&lt;&gt;""),0.21*J8,"")</f>
        <v/>
      </c>
      <c r="K40" s="614"/>
      <c r="L40" s="614" t="str">
        <f aca="false">IF(AND(L35&lt;&gt;"",L36&lt;&gt;""),0.21*L8,"")</f>
        <v/>
      </c>
      <c r="M40" s="614"/>
      <c r="N40" s="614" t="str">
        <f aca="false">IF(AND(N35&lt;&gt;"",N36&lt;&gt;""),0.21*N8,"")</f>
        <v/>
      </c>
      <c r="O40" s="614"/>
      <c r="P40" s="614" t="str">
        <f aca="false">IF(AND(P35&lt;&gt;"",P36&lt;&gt;""),0.21*P8,"")</f>
        <v/>
      </c>
      <c r="Q40" s="614"/>
      <c r="R40" s="614" t="str">
        <f aca="false">IF(AND(R35&lt;&gt;"",R36&lt;&gt;""),0.21*R8,"")</f>
        <v/>
      </c>
      <c r="S40" s="614"/>
      <c r="T40" s="614" t="str">
        <f aca="false">IF(AND(T35&lt;&gt;"",T36&lt;&gt;""),0.21*T8,"")</f>
        <v/>
      </c>
      <c r="U40" s="614"/>
      <c r="V40" s="614" t="str">
        <f aca="false">IF(AND(V35&lt;&gt;"",V36&lt;&gt;""),0.21*V8,"")</f>
        <v/>
      </c>
      <c r="W40" s="614"/>
      <c r="X40" s="614" t="str">
        <f aca="false">IF(AND(X35&lt;&gt;"",X36&lt;&gt;""),0.21*X8,"")</f>
        <v/>
      </c>
      <c r="Y40" s="614"/>
      <c r="Z40" s="614" t="str">
        <f aca="false">IF(AND(Z35&lt;&gt;"",Z36&lt;&gt;""),0.21*Z8,"")</f>
        <v/>
      </c>
      <c r="AA40" s="614"/>
      <c r="AB40" s="614" t="str">
        <f aca="false">IF(AND(AB35&lt;&gt;"",AB36&lt;&gt;""),0.21*AB8,"")</f>
        <v/>
      </c>
      <c r="AC40" s="614"/>
      <c r="AD40" s="614" t="str">
        <f aca="false">IF(AND(AD35&lt;&gt;"",AD36&lt;&gt;""),0.21*AD8,"")</f>
        <v/>
      </c>
      <c r="AE40" s="614"/>
      <c r="AF40" s="614" t="str">
        <f aca="false">IF(AND(AF35&lt;&gt;"",AF36&lt;&gt;""),0.21*AF8,"")</f>
        <v/>
      </c>
      <c r="AG40" s="614"/>
      <c r="AH40" s="614" t="n">
        <f aca="false">IF(AND(AH35&lt;&gt;"",AH36&lt;&gt;""),0.21*AH8,"")</f>
        <v>0.189</v>
      </c>
      <c r="AI40" s="614"/>
      <c r="AJ40" s="614" t="str">
        <f aca="false">IF(AND(AJ35&lt;&gt;"",AJ36&lt;&gt;""),0.21*AJ8,"")</f>
        <v/>
      </c>
      <c r="AK40" s="614"/>
      <c r="AL40" s="614" t="str">
        <f aca="false">IF(AND(AL35&lt;&gt;"",AL36&lt;&gt;""),0.21*AL8,"")</f>
        <v/>
      </c>
      <c r="AM40" s="614"/>
      <c r="AN40" s="614" t="n">
        <f aca="false">IF(AND(AN35&lt;&gt;"",AN36&lt;&gt;""),0.21*AN8,"")</f>
        <v>0.21</v>
      </c>
      <c r="AO40" s="614"/>
      <c r="AP40" s="614" t="str">
        <f aca="false">IF(AND(AP35&lt;&gt;"",AP36&lt;&gt;""),0.21*AP8,"")</f>
        <v/>
      </c>
      <c r="AQ40" s="614"/>
      <c r="AR40" s="614" t="str">
        <f aca="false">IF(AND(AR35&lt;&gt;"",AR36&lt;&gt;""),0.21*AR8,"")</f>
        <v/>
      </c>
      <c r="AS40" s="614"/>
      <c r="AT40" s="614" t="str">
        <f aca="false">IF(AND(AT35&lt;&gt;"",AT36&lt;&gt;""),0.21*AT8,"")</f>
        <v/>
      </c>
      <c r="AU40" s="614"/>
      <c r="AV40" s="614" t="str">
        <f aca="false">IF(AND(AV35&lt;&gt;"",AV36&lt;&gt;""),0.21*AV8,"")</f>
        <v/>
      </c>
      <c r="AW40" s="614"/>
      <c r="AX40" s="614" t="str">
        <f aca="false">IF(AND(AX35&lt;&gt;"",AX36&lt;&gt;""),0.21*AX8,"")</f>
        <v/>
      </c>
      <c r="AY40" s="614"/>
      <c r="AZ40" s="614" t="str">
        <f aca="false">IF(AND(AZ35&lt;&gt;"",AZ36&lt;&gt;""),0.21*AZ8,"")</f>
        <v/>
      </c>
      <c r="BA40" s="614"/>
      <c r="BB40" s="614" t="str">
        <f aca="false">IF(AND(BB35&lt;&gt;"",BB36&lt;&gt;""),0.21*BB8,"")</f>
        <v/>
      </c>
      <c r="BC40" s="614"/>
      <c r="BD40" s="614" t="str">
        <f aca="false">IF(AND(BD35&lt;&gt;"",BD36&lt;&gt;""),0.21*BD8,"")</f>
        <v/>
      </c>
      <c r="BE40" s="614"/>
      <c r="BF40" s="614" t="str">
        <f aca="false">IF(AND(BF35&lt;&gt;"",BF36&lt;&gt;""),0.21*BF8,"")</f>
        <v/>
      </c>
      <c r="BG40" s="614"/>
      <c r="BH40" s="614" t="str">
        <f aca="false">IF(AND(BH35&lt;&gt;"",BH36&lt;&gt;""),0.21*BH8,"")</f>
        <v/>
      </c>
      <c r="BI40" s="614"/>
      <c r="BJ40" s="614" t="str">
        <f aca="false">IF(AND(BJ35&lt;&gt;"",BJ36&lt;&gt;""),0.21*BJ8,"")</f>
        <v/>
      </c>
      <c r="BK40" s="614"/>
      <c r="BL40" s="614" t="str">
        <f aca="false">IF(AND(BL35&lt;&gt;"",BL36&lt;&gt;""),0.21*BL8,"")</f>
        <v/>
      </c>
      <c r="BM40" s="614"/>
      <c r="BN40" s="614" t="str">
        <f aca="false">IF(AND(BN35&lt;&gt;"",BN36&lt;&gt;""),0.21*BN8,"")</f>
        <v/>
      </c>
      <c r="BO40" s="614"/>
      <c r="BP40" s="614" t="str">
        <f aca="false">IF(AND(BP35&lt;&gt;"",BP36&lt;&gt;""),0.21*BP8,"")</f>
        <v/>
      </c>
      <c r="BQ40" s="614"/>
      <c r="BR40" s="614" t="str">
        <f aca="false">IF(AND(BR35&lt;&gt;"",BR36&lt;&gt;""),0.21*BR8,"")</f>
        <v/>
      </c>
      <c r="BS40" s="614"/>
      <c r="BT40" s="614" t="str">
        <f aca="false">IF(AND(BT35&lt;&gt;"",BT36&lt;&gt;""),0.21*BT8,"")</f>
        <v/>
      </c>
      <c r="BU40" s="614"/>
      <c r="BV40" s="614" t="str">
        <f aca="false">IF(AND(BV35&lt;&gt;"",BV36&lt;&gt;""),0.21*BV8,"")</f>
        <v/>
      </c>
      <c r="BW40" s="614"/>
      <c r="BX40" s="614" t="str">
        <f aca="false">IF(AND(BX35&lt;&gt;"",BX36&lt;&gt;""),0.21*BX8,"")</f>
        <v/>
      </c>
      <c r="BY40" s="614"/>
      <c r="BZ40" s="614" t="str">
        <f aca="false">IF(AND(BZ35&lt;&gt;"",BZ36&lt;&gt;""),0.21*BZ8,"")</f>
        <v/>
      </c>
      <c r="CA40" s="614"/>
      <c r="CB40" s="614" t="str">
        <f aca="false">IF(AND(CB35&lt;&gt;"",CB36&lt;&gt;""),0.21*CB8,"")</f>
        <v/>
      </c>
      <c r="CC40" s="614"/>
      <c r="CD40" s="614" t="str">
        <f aca="false">IF(AND(CD35&lt;&gt;"",CD36&lt;&gt;""),0.21*CD8,"")</f>
        <v/>
      </c>
      <c r="CE40" s="614"/>
      <c r="CF40" s="614" t="str">
        <f aca="false">IF(AND(CF35&lt;&gt;"",CF36&lt;&gt;""),0.21*CF8,"")</f>
        <v/>
      </c>
      <c r="CG40" s="614"/>
      <c r="CH40" s="614" t="str">
        <f aca="false">IF(AND(CH35&lt;&gt;"",CH36&lt;&gt;""),0.21*CH8,"")</f>
        <v/>
      </c>
      <c r="CI40" s="614"/>
    </row>
    <row r="41" s="596" customFormat="true" ht="15" hidden="false" customHeight="false" outlineLevel="0" collapsed="false">
      <c r="A41" s="613" t="s">
        <v>1115</v>
      </c>
      <c r="B41" s="614" t="str">
        <f aca="false">IF(AND(B35&lt;&gt;"",B36&lt;&gt;""),B8+B40+0.1,"")</f>
        <v/>
      </c>
      <c r="C41" s="614"/>
      <c r="D41" s="614" t="str">
        <f aca="false">IF(AND(D35&lt;&gt;"",D36&lt;&gt;""),D8+D40+0.1,"")</f>
        <v/>
      </c>
      <c r="E41" s="614"/>
      <c r="F41" s="614" t="str">
        <f aca="false">IF(AND(F35&lt;&gt;"",F36&lt;&gt;""),F8+F40+0.1,"")</f>
        <v/>
      </c>
      <c r="G41" s="614"/>
      <c r="H41" s="614" t="str">
        <f aca="false">IF(AND(H35&lt;&gt;"",H36&lt;&gt;""),H8+H40+0.1,"")</f>
        <v/>
      </c>
      <c r="I41" s="614"/>
      <c r="J41" s="614" t="str">
        <f aca="false">IF(AND(J35&lt;&gt;"",J36&lt;&gt;""),J8+J40+0.1,"")</f>
        <v/>
      </c>
      <c r="K41" s="614"/>
      <c r="L41" s="614" t="str">
        <f aca="false">IF(AND(L35&lt;&gt;"",L36&lt;&gt;""),L8+L40+0.1,"")</f>
        <v/>
      </c>
      <c r="M41" s="614"/>
      <c r="N41" s="614" t="str">
        <f aca="false">IF(AND(N35&lt;&gt;"",N36&lt;&gt;""),N8+N40+0.1,"")</f>
        <v/>
      </c>
      <c r="O41" s="614"/>
      <c r="P41" s="614" t="str">
        <f aca="false">IF(AND(P35&lt;&gt;"",P36&lt;&gt;""),P8+P40+0.1,"")</f>
        <v/>
      </c>
      <c r="Q41" s="614"/>
      <c r="R41" s="614" t="str">
        <f aca="false">IF(AND(R35&lt;&gt;"",R36&lt;&gt;""),R8+R40+0.1,"")</f>
        <v/>
      </c>
      <c r="S41" s="614"/>
      <c r="T41" s="614" t="str">
        <f aca="false">IF(AND(T35&lt;&gt;"",T36&lt;&gt;""),T8+T40+0.1,"")</f>
        <v/>
      </c>
      <c r="U41" s="614"/>
      <c r="V41" s="614" t="str">
        <f aca="false">IF(AND(V35&lt;&gt;"",V36&lt;&gt;""),V8+V40+0.1,"")</f>
        <v/>
      </c>
      <c r="W41" s="614"/>
      <c r="X41" s="614" t="str">
        <f aca="false">IF(AND(X35&lt;&gt;"",X36&lt;&gt;""),X8+X40+0.1,"")</f>
        <v/>
      </c>
      <c r="Y41" s="614"/>
      <c r="Z41" s="614" t="str">
        <f aca="false">IF(AND(Z35&lt;&gt;"",Z36&lt;&gt;""),Z8+Z40+0.1,"")</f>
        <v/>
      </c>
      <c r="AA41" s="614"/>
      <c r="AB41" s="614" t="str">
        <f aca="false">IF(AND(AB35&lt;&gt;"",AB36&lt;&gt;""),AB8+AB40+0.1,"")</f>
        <v/>
      </c>
      <c r="AC41" s="614"/>
      <c r="AD41" s="614" t="str">
        <f aca="false">IF(AND(AD35&lt;&gt;"",AD36&lt;&gt;""),AD8+AD40+0.1,"")</f>
        <v/>
      </c>
      <c r="AE41" s="614"/>
      <c r="AF41" s="614" t="str">
        <f aca="false">IF(AND(AF35&lt;&gt;"",AF36&lt;&gt;""),AF8+AF40+0.1,"")</f>
        <v/>
      </c>
      <c r="AG41" s="614"/>
      <c r="AH41" s="614" t="n">
        <f aca="false">IF(AND(AH35&lt;&gt;"",AH36&lt;&gt;""),AH8+AH40+0.1,"")</f>
        <v>1.189</v>
      </c>
      <c r="AI41" s="614"/>
      <c r="AJ41" s="614" t="str">
        <f aca="false">IF(AND(AJ35&lt;&gt;"",AJ36&lt;&gt;""),AJ8+AJ40+0.1,"")</f>
        <v/>
      </c>
      <c r="AK41" s="614"/>
      <c r="AL41" s="614" t="str">
        <f aca="false">IF(AND(AL35&lt;&gt;"",AL36&lt;&gt;""),AL8+AL40+0.1,"")</f>
        <v/>
      </c>
      <c r="AM41" s="614"/>
      <c r="AN41" s="614" t="n">
        <f aca="false">IF(AND(AN35&lt;&gt;"",AN36&lt;&gt;""),AN8+AN40+0.1,"")</f>
        <v>1.31</v>
      </c>
      <c r="AO41" s="614"/>
      <c r="AP41" s="614" t="str">
        <f aca="false">IF(AND(AP35&lt;&gt;"",AP36&lt;&gt;""),AP8+AP40+0.1,"")</f>
        <v/>
      </c>
      <c r="AQ41" s="614"/>
      <c r="AR41" s="614" t="str">
        <f aca="false">IF(AND(AR35&lt;&gt;"",AR36&lt;&gt;""),AR8+AR40+0.1,"")</f>
        <v/>
      </c>
      <c r="AS41" s="614"/>
      <c r="AT41" s="614" t="str">
        <f aca="false">IF(AND(AT35&lt;&gt;"",AT36&lt;&gt;""),AT8+AT40+0.1,"")</f>
        <v/>
      </c>
      <c r="AU41" s="614"/>
      <c r="AV41" s="614" t="str">
        <f aca="false">IF(AND(AV35&lt;&gt;"",AV36&lt;&gt;""),AV8+AV40+0.1,"")</f>
        <v/>
      </c>
      <c r="AW41" s="614"/>
      <c r="AX41" s="614" t="str">
        <f aca="false">IF(AND(AX35&lt;&gt;"",AX36&lt;&gt;""),AX8+AX40+0.1,"")</f>
        <v/>
      </c>
      <c r="AY41" s="614"/>
      <c r="AZ41" s="614" t="str">
        <f aca="false">IF(AND(AZ35&lt;&gt;"",AZ36&lt;&gt;""),AZ8+AZ40+0.1,"")</f>
        <v/>
      </c>
      <c r="BA41" s="614"/>
      <c r="BB41" s="614" t="str">
        <f aca="false">IF(AND(BB35&lt;&gt;"",BB36&lt;&gt;""),BB8+BB40+0.1,"")</f>
        <v/>
      </c>
      <c r="BC41" s="614"/>
      <c r="BD41" s="614" t="str">
        <f aca="false">IF(AND(BD35&lt;&gt;"",BD36&lt;&gt;""),BD8+BD40+0.1,"")</f>
        <v/>
      </c>
      <c r="BE41" s="614"/>
      <c r="BF41" s="614" t="str">
        <f aca="false">IF(AND(BF35&lt;&gt;"",BF36&lt;&gt;""),BF8+BF40+0.1,"")</f>
        <v/>
      </c>
      <c r="BG41" s="614"/>
      <c r="BH41" s="614" t="str">
        <f aca="false">IF(AND(BH35&lt;&gt;"",BH36&lt;&gt;""),BH8+BH40+0.1,"")</f>
        <v/>
      </c>
      <c r="BI41" s="614"/>
      <c r="BJ41" s="614" t="str">
        <f aca="false">IF(AND(BJ35&lt;&gt;"",BJ36&lt;&gt;""),BJ8+BJ40+0.1,"")</f>
        <v/>
      </c>
      <c r="BK41" s="614"/>
      <c r="BL41" s="614" t="str">
        <f aca="false">IF(AND(BL35&lt;&gt;"",BL36&lt;&gt;""),BL8+BL40+0.1,"")</f>
        <v/>
      </c>
      <c r="BM41" s="614"/>
      <c r="BN41" s="614" t="str">
        <f aca="false">IF(AND(BN35&lt;&gt;"",BN36&lt;&gt;""),BN8+BN40+0.1,"")</f>
        <v/>
      </c>
      <c r="BO41" s="614"/>
      <c r="BP41" s="614" t="str">
        <f aca="false">IF(AND(BP35&lt;&gt;"",BP36&lt;&gt;""),BP8+BP40+0.1,"")</f>
        <v/>
      </c>
      <c r="BQ41" s="614"/>
      <c r="BR41" s="614" t="str">
        <f aca="false">IF(AND(BR35&lt;&gt;"",BR36&lt;&gt;""),BR8+BR40+0.1,"")</f>
        <v/>
      </c>
      <c r="BS41" s="614"/>
      <c r="BT41" s="614" t="str">
        <f aca="false">IF(AND(BT35&lt;&gt;"",BT36&lt;&gt;""),BT8+BT40+0.1,"")</f>
        <v/>
      </c>
      <c r="BU41" s="614"/>
      <c r="BV41" s="614" t="str">
        <f aca="false">IF(AND(BV35&lt;&gt;"",BV36&lt;&gt;""),BV8+BV40+0.1,"")</f>
        <v/>
      </c>
      <c r="BW41" s="614"/>
      <c r="BX41" s="614" t="str">
        <f aca="false">IF(AND(BX35&lt;&gt;"",BX36&lt;&gt;""),BX8+BX40+0.1,"")</f>
        <v/>
      </c>
      <c r="BY41" s="614"/>
      <c r="BZ41" s="614" t="str">
        <f aca="false">IF(AND(BZ35&lt;&gt;"",BZ36&lt;&gt;""),BZ8+BZ40+0.1,"")</f>
        <v/>
      </c>
      <c r="CA41" s="614"/>
      <c r="CB41" s="614" t="str">
        <f aca="false">IF(AND(CB35&lt;&gt;"",CB36&lt;&gt;""),CB8+CB40+0.1,"")</f>
        <v/>
      </c>
      <c r="CC41" s="614"/>
      <c r="CD41" s="614" t="str">
        <f aca="false">IF(AND(CD35&lt;&gt;"",CD36&lt;&gt;""),CD8+CD40+0.1,"")</f>
        <v/>
      </c>
      <c r="CE41" s="614"/>
      <c r="CF41" s="614" t="str">
        <f aca="false">IF(AND(CF35&lt;&gt;"",CF36&lt;&gt;""),CF8+CF40+0.1,"")</f>
        <v/>
      </c>
      <c r="CG41" s="614"/>
      <c r="CH41" s="614" t="str">
        <f aca="false">IF(AND(CH35&lt;&gt;"",CH36&lt;&gt;""),CH8+CH40+0.1,"")</f>
        <v/>
      </c>
      <c r="CI41" s="614"/>
    </row>
    <row r="42" s="671" customFormat="true" ht="15" hidden="false" customHeight="false" outlineLevel="0" collapsed="false">
      <c r="A42" s="397" t="s">
        <v>1116</v>
      </c>
      <c r="B42" s="616" t="str">
        <f aca="false">IF(OR(B52&lt;&gt;"",C52&lt;&gt;""),IF(B52=0,"液态 Liquid",IF(C52=0,"气态 Gas","气液混相 Gas &amp; Liquid Mixed")),"")</f>
        <v/>
      </c>
      <c r="C42" s="616"/>
      <c r="D42" s="616" t="str">
        <f aca="false">IF(OR(D52&lt;&gt;"",E52&lt;&gt;""),IF(D52=0,"液态 Liquid",IF(E52=0,"气态 Gas","气液混相 Gas &amp; Liquid Mixed")),"")</f>
        <v/>
      </c>
      <c r="E42" s="616"/>
      <c r="F42" s="616" t="str">
        <f aca="false">IF(OR(F52&lt;&gt;"",G52&lt;&gt;""),IF(F52=0,"液态 Liquid",IF(G52=0,"气态 Gas","气液混相 Gas &amp; Liquid Mixed")),"")</f>
        <v/>
      </c>
      <c r="G42" s="616"/>
      <c r="H42" s="616" t="str">
        <f aca="false">IF(OR(H52&lt;&gt;"",I52&lt;&gt;""),IF(H52=0,"液态 Liquid",IF(I52=0,"气态 Gas","气液混相 Gas &amp; Liquid Mixed")),"")</f>
        <v/>
      </c>
      <c r="I42" s="616"/>
      <c r="J42" s="616" t="str">
        <f aca="false">IF(OR(J52&lt;&gt;"",K52&lt;&gt;""),IF(J52=0,"液态 Liquid",IF(K52=0,"气态 Gas","气液混相 Gas &amp; Liquid Mixed")),"")</f>
        <v/>
      </c>
      <c r="K42" s="616"/>
      <c r="L42" s="616" t="str">
        <f aca="false">IF(OR(L52&lt;&gt;"",M52&lt;&gt;""),IF(L52=0,"液态 Liquid",IF(M52=0,"气态 Gas","气液混相 Gas &amp; Liquid Mixed")),"")</f>
        <v/>
      </c>
      <c r="M42" s="616"/>
      <c r="N42" s="616" t="str">
        <f aca="false">IF(OR(N52&lt;&gt;"",O52&lt;&gt;""),IF(N52=0,"液态 Liquid",IF(O52=0,"气态 Gas","气液混相 Gas &amp; Liquid Mixed")),"")</f>
        <v/>
      </c>
      <c r="O42" s="616"/>
      <c r="P42" s="616" t="str">
        <f aca="false">IF(OR(P52&lt;&gt;"",Q52&lt;&gt;""),IF(P52=0,"液态 Liquid",IF(Q52=0,"气态 Gas","气液混相 Gas &amp; Liquid Mixed")),"")</f>
        <v/>
      </c>
      <c r="Q42" s="616"/>
      <c r="R42" s="616" t="str">
        <f aca="false">IF(OR(R52&lt;&gt;"",S52&lt;&gt;""),IF(R52=0,"液态 Liquid",IF(S52=0,"气态 Gas","气液混相 Gas &amp; Liquid Mixed")),"")</f>
        <v/>
      </c>
      <c r="S42" s="616"/>
      <c r="T42" s="616" t="str">
        <f aca="false">IF(OR(T52&lt;&gt;"",U52&lt;&gt;""),IF(T52=0,"液态 Liquid",IF(U52=0,"气态 Gas","气液混相 Gas &amp; Liquid Mixed")),"")</f>
        <v/>
      </c>
      <c r="U42" s="616"/>
      <c r="V42" s="616" t="str">
        <f aca="false">IF(OR(V52&lt;&gt;"",W52&lt;&gt;""),IF(V52=0,"液态 Liquid",IF(W52=0,"气态 Gas","气液混相 Gas &amp; Liquid Mixed")),"")</f>
        <v/>
      </c>
      <c r="W42" s="616"/>
      <c r="X42" s="616" t="str">
        <f aca="false">IF(OR(X52&lt;&gt;"",Y52&lt;&gt;""),IF(X52=0,"液态 Liquid",IF(Y52=0,"气态 Gas","气液混相 Gas &amp; Liquid Mixed")),"")</f>
        <v/>
      </c>
      <c r="Y42" s="616"/>
      <c r="Z42" s="616" t="str">
        <f aca="false">IF(OR(Z52&lt;&gt;"",AA52&lt;&gt;""),IF(Z52=0,"液态 Liquid",IF(AA52=0,"气态 Gas","气液混相 Gas &amp; Liquid Mixed")),"")</f>
        <v/>
      </c>
      <c r="AA42" s="616"/>
      <c r="AB42" s="616" t="str">
        <f aca="false">IF(OR(AB52&lt;&gt;"",AC52&lt;&gt;""),IF(AB52=0,"液态 Liquid",IF(AC52=0,"气态 Gas","气液混相 Gas &amp; Liquid Mixed")),"")</f>
        <v/>
      </c>
      <c r="AC42" s="616"/>
      <c r="AD42" s="616" t="str">
        <f aca="false">IF(OR(AD52&lt;&gt;"",AE52&lt;&gt;""),IF(AD52=0,"液态 Liquid",IF(AE52=0,"气态 Gas","气液混相 Gas &amp; Liquid Mixed")),"")</f>
        <v/>
      </c>
      <c r="AE42" s="616"/>
      <c r="AF42" s="616" t="str">
        <f aca="false">IF(OR(AF52&lt;&gt;"",AG52&lt;&gt;""),IF(AF52=0,"液态 Liquid",IF(AG52=0,"气态 Gas","气液混相 Gas &amp; Liquid Mixed")),"")</f>
        <v/>
      </c>
      <c r="AG42" s="616"/>
      <c r="AH42" s="616" t="str">
        <f aca="false">IF(OR(AH52&lt;&gt;"",AI52&lt;&gt;""),IF(AH52=0,"液态 Liquid",IF(AI52=0,"气态 Gas","气液混相 Gas &amp; Liquid Mixed")),"")</f>
        <v>气态 Gas</v>
      </c>
      <c r="AI42" s="616"/>
      <c r="AJ42" s="616" t="str">
        <f aca="false">IF(OR(AJ52&lt;&gt;"",AK52&lt;&gt;""),IF(AJ52=0,"液态 Liquid",IF(AK52=0,"气态 Gas","气液混相 Gas &amp; Liquid Mixed")),"")</f>
        <v/>
      </c>
      <c r="AK42" s="616"/>
      <c r="AL42" s="616" t="str">
        <f aca="false">IF(OR(AL52&lt;&gt;"",AM52&lt;&gt;""),IF(AL52=0,"液态 Liquid",IF(AM52=0,"气态 Gas","气液混相 Gas &amp; Liquid Mixed")),"")</f>
        <v/>
      </c>
      <c r="AM42" s="616"/>
      <c r="AN42" s="616" t="str">
        <f aca="false">IF(OR(AN52&lt;&gt;"",AO52&lt;&gt;""),IF(AN52=0,"液态 Liquid",IF(AO52=0,"气态 Gas","气液混相 Gas &amp; Liquid Mixed")),"")</f>
        <v>气态 Gas</v>
      </c>
      <c r="AO42" s="616"/>
      <c r="AP42" s="616" t="str">
        <f aca="false">IF(OR(AP52&lt;&gt;"",AQ52&lt;&gt;""),IF(AP52=0,"液态 Liquid",IF(AQ52=0,"气态 Gas","气液混相 Gas &amp; Liquid Mixed")),"")</f>
        <v/>
      </c>
      <c r="AQ42" s="616"/>
      <c r="AR42" s="616" t="str">
        <f aca="false">IF(OR(AR52&lt;&gt;"",AS52&lt;&gt;""),IF(AR52=0,"液态 Liquid",IF(AS52=0,"气态 Gas","气液混相 Gas &amp; Liquid Mixed")),"")</f>
        <v/>
      </c>
      <c r="AS42" s="616"/>
      <c r="AT42" s="616" t="str">
        <f aca="false">IF(OR(AT52&lt;&gt;"",AU52&lt;&gt;""),IF(AT52=0,"液态 Liquid",IF(AU52=0,"气态 Gas","气液混相 Gas &amp; Liquid Mixed")),"")</f>
        <v/>
      </c>
      <c r="AU42" s="616"/>
      <c r="AV42" s="616" t="str">
        <f aca="false">IF(OR(AV52&lt;&gt;"",AW52&lt;&gt;""),IF(AV52=0,"液态 Liquid",IF(AW52=0,"气态 Gas","气液混相 Gas &amp; Liquid Mixed")),"")</f>
        <v/>
      </c>
      <c r="AW42" s="616"/>
      <c r="AX42" s="616" t="str">
        <f aca="false">IF(OR(AX52&lt;&gt;"",AY52&lt;&gt;""),IF(AX52=0,"液态 Liquid",IF(AY52=0,"气态 Gas","气液混相 Gas &amp; Liquid Mixed")),"")</f>
        <v/>
      </c>
      <c r="AY42" s="616"/>
      <c r="AZ42" s="616" t="str">
        <f aca="false">IF(OR(AZ52&lt;&gt;"",BA52&lt;&gt;""),IF(AZ52=0,"液态 Liquid",IF(BA52=0,"气态 Gas","气液混相 Gas &amp; Liquid Mixed")),"")</f>
        <v/>
      </c>
      <c r="BA42" s="616"/>
      <c r="BB42" s="616" t="str">
        <f aca="false">IF(OR(BB52&lt;&gt;"",BC52&lt;&gt;""),IF(BB52=0,"液态 Liquid",IF(BC52=0,"气态 Gas","气液混相 Gas &amp; Liquid Mixed")),"")</f>
        <v/>
      </c>
      <c r="BC42" s="616"/>
      <c r="BD42" s="616" t="str">
        <f aca="false">IF(OR(BD52&lt;&gt;"",BE52&lt;&gt;""),IF(BD52=0,"液态 Liquid",IF(BE52=0,"气态 Gas","气液混相 Gas &amp; Liquid Mixed")),"")</f>
        <v/>
      </c>
      <c r="BE42" s="616"/>
      <c r="BF42" s="616" t="str">
        <f aca="false">IF(OR(BF52&lt;&gt;"",BG52&lt;&gt;""),IF(BF52=0,"液态 Liquid",IF(BG52=0,"气态 Gas","气液混相 Gas &amp; Liquid Mixed")),"")</f>
        <v/>
      </c>
      <c r="BG42" s="616"/>
      <c r="BH42" s="616" t="str">
        <f aca="false">IF(OR(BH52&lt;&gt;"",BI52&lt;&gt;""),IF(BH52=0,"液态 Liquid",IF(BI52=0,"气态 Gas","气液混相 Gas &amp; Liquid Mixed")),"")</f>
        <v/>
      </c>
      <c r="BI42" s="616"/>
      <c r="BJ42" s="616" t="str">
        <f aca="false">IF(OR(BJ52&lt;&gt;"",BK52&lt;&gt;""),IF(BJ52=0,"液态 Liquid",IF(BK52=0,"气态 Gas","气液混相 Gas &amp; Liquid Mixed")),"")</f>
        <v/>
      </c>
      <c r="BK42" s="616"/>
      <c r="BL42" s="616" t="str">
        <f aca="false">IF(OR(BL52&lt;&gt;"",BM52&lt;&gt;""),IF(BL52=0,"液态 Liquid",IF(BM52=0,"气态 Gas","气液混相 Gas &amp; Liquid Mixed")),"")</f>
        <v/>
      </c>
      <c r="BM42" s="616"/>
      <c r="BN42" s="616" t="str">
        <f aca="false">IF(OR(BN52&lt;&gt;"",BO52&lt;&gt;""),IF(BN52=0,"液态 Liquid",IF(BO52=0,"气态 Gas","气液混相 Gas &amp; Liquid Mixed")),"")</f>
        <v/>
      </c>
      <c r="BO42" s="616"/>
      <c r="BP42" s="616" t="str">
        <f aca="false">IF(OR(BP52&lt;&gt;"",BQ52&lt;&gt;""),IF(BP52=0,"液态 Liquid",IF(BQ52=0,"气态 Gas","气液混相 Gas &amp; Liquid Mixed")),"")</f>
        <v/>
      </c>
      <c r="BQ42" s="616"/>
      <c r="BR42" s="616" t="str">
        <f aca="false">IF(OR(BR52&lt;&gt;"",BS52&lt;&gt;""),IF(BR52=0,"液态 Liquid",IF(BS52=0,"气态 Gas","气液混相 Gas &amp; Liquid Mixed")),"")</f>
        <v/>
      </c>
      <c r="BS42" s="616"/>
      <c r="BT42" s="616" t="str">
        <f aca="false">IF(OR(BT52&lt;&gt;"",BU52&lt;&gt;""),IF(BT52=0,"液态 Liquid",IF(BU52=0,"气态 Gas","气液混相 Gas &amp; Liquid Mixed")),"")</f>
        <v/>
      </c>
      <c r="BU42" s="616"/>
      <c r="BV42" s="616" t="str">
        <f aca="false">IF(OR(BV52&lt;&gt;"",BW52&lt;&gt;""),IF(BV52=0,"液态 Liquid",IF(BW52=0,"气态 Gas","气液混相 Gas &amp; Liquid Mixed")),"")</f>
        <v/>
      </c>
      <c r="BW42" s="616"/>
      <c r="BX42" s="616" t="str">
        <f aca="false">IF(OR(BX52&lt;&gt;"",BY52&lt;&gt;""),IF(BX52=0,"液态 Liquid",IF(BY52=0,"气态 Gas","气液混相 Gas &amp; Liquid Mixed")),"")</f>
        <v/>
      </c>
      <c r="BY42" s="616"/>
      <c r="BZ42" s="616" t="str">
        <f aca="false">IF(OR(BZ52&lt;&gt;"",CA52&lt;&gt;""),IF(BZ52=0,"液态 Liquid",IF(CA52=0,"气态 Gas","气液混相 Gas &amp; Liquid Mixed")),"")</f>
        <v/>
      </c>
      <c r="CA42" s="616"/>
      <c r="CB42" s="616" t="str">
        <f aca="false">IF(OR(CB52&lt;&gt;"",CC52&lt;&gt;""),IF(CB52=0,"液态 Liquid",IF(CC52=0,"气态 Gas","气液混相 Gas &amp; Liquid Mixed")),"")</f>
        <v/>
      </c>
      <c r="CC42" s="616"/>
      <c r="CD42" s="616" t="str">
        <f aca="false">IF(OR(CD52&lt;&gt;"",CE52&lt;&gt;""),IF(CD52=0,"液态 Liquid",IF(CE52=0,"气态 Gas","气液混相 Gas &amp; Liquid Mixed")),"")</f>
        <v/>
      </c>
      <c r="CE42" s="616"/>
      <c r="CF42" s="616" t="str">
        <f aca="false">IF(OR(CF52&lt;&gt;"",CG52&lt;&gt;""),IF(CF52=0,"液态 Liquid",IF(CG52=0,"气态 Gas","气液混相 Gas &amp; Liquid Mixed")),"")</f>
        <v/>
      </c>
      <c r="CG42" s="616"/>
      <c r="CH42" s="616" t="str">
        <f aca="false">IF(OR(CH52&lt;&gt;"",CI52&lt;&gt;""),IF(CH52=0,"液态 Liquid",IF(CI52=0,"气态 Gas","气液混相 Gas &amp; Liquid Mixed")),"")</f>
        <v/>
      </c>
      <c r="CI42" s="616"/>
      <c r="CJ42" s="670"/>
    </row>
    <row r="43" s="397" customFormat="true" ht="15" hidden="false" customHeight="false" outlineLevel="0" collapsed="false">
      <c r="A43" s="653" t="s">
        <v>1140</v>
      </c>
      <c r="B43" s="672" t="str">
        <f aca="false">IF(AND(B35&lt;&gt;"",B36&lt;&gt;""),B12,"")</f>
        <v/>
      </c>
      <c r="C43" s="672"/>
      <c r="D43" s="672" t="str">
        <f aca="false">IF(AND(D35&lt;&gt;"",D36&lt;&gt;""),D12,"")</f>
        <v/>
      </c>
      <c r="E43" s="672"/>
      <c r="F43" s="672" t="str">
        <f aca="false">IF(AND(F35&lt;&gt;"",F36&lt;&gt;""),F12,"")</f>
        <v/>
      </c>
      <c r="G43" s="672"/>
      <c r="H43" s="672" t="str">
        <f aca="false">IF(AND(H35&lt;&gt;"",H36&lt;&gt;""),H12,"")</f>
        <v/>
      </c>
      <c r="I43" s="672"/>
      <c r="J43" s="672" t="str">
        <f aca="false">IF(AND(J35&lt;&gt;"",J36&lt;&gt;""),J12,"")</f>
        <v/>
      </c>
      <c r="K43" s="672"/>
      <c r="L43" s="672" t="str">
        <f aca="false">IF(AND(L35&lt;&gt;"",L36&lt;&gt;""),L12,"")</f>
        <v/>
      </c>
      <c r="M43" s="672"/>
      <c r="N43" s="672" t="str">
        <f aca="false">IF(AND(N35&lt;&gt;"",N36&lt;&gt;""),N12,"")</f>
        <v/>
      </c>
      <c r="O43" s="672"/>
      <c r="P43" s="672" t="str">
        <f aca="false">IF(AND(P35&lt;&gt;"",P36&lt;&gt;""),P12,"")</f>
        <v/>
      </c>
      <c r="Q43" s="672"/>
      <c r="R43" s="672" t="str">
        <f aca="false">IF(AND(R35&lt;&gt;"",R36&lt;&gt;""),R12,"")</f>
        <v/>
      </c>
      <c r="S43" s="672"/>
      <c r="T43" s="672" t="str">
        <f aca="false">IF(AND(T35&lt;&gt;"",T36&lt;&gt;""),T12,"")</f>
        <v/>
      </c>
      <c r="U43" s="672"/>
      <c r="V43" s="672" t="str">
        <f aca="false">IF(AND(V35&lt;&gt;"",V36&lt;&gt;""),V12,"")</f>
        <v/>
      </c>
      <c r="W43" s="672"/>
      <c r="X43" s="672" t="str">
        <f aca="false">IF(AND(X35&lt;&gt;"",X36&lt;&gt;""),X12,"")</f>
        <v/>
      </c>
      <c r="Y43" s="672"/>
      <c r="Z43" s="672" t="str">
        <f aca="false">IF(AND(Z35&lt;&gt;"",Z36&lt;&gt;""),Z12,"")</f>
        <v/>
      </c>
      <c r="AA43" s="672"/>
      <c r="AB43" s="672" t="str">
        <f aca="false">IF(AND(AB35&lt;&gt;"",AB36&lt;&gt;""),AB12,"")</f>
        <v/>
      </c>
      <c r="AC43" s="672"/>
      <c r="AD43" s="672" t="str">
        <f aca="false">IF(AND(AD35&lt;&gt;"",AD36&lt;&gt;""),AD12,"")</f>
        <v/>
      </c>
      <c r="AE43" s="672"/>
      <c r="AF43" s="672" t="str">
        <f aca="false">IF(AND(AF35&lt;&gt;"",AF36&lt;&gt;""),AF12,"")</f>
        <v/>
      </c>
      <c r="AG43" s="672"/>
      <c r="AH43" s="672" t="n">
        <f aca="false">IF(AND(AH35&lt;&gt;"",AH36&lt;&gt;""),AH12,"")</f>
        <v>93.25</v>
      </c>
      <c r="AI43" s="672"/>
      <c r="AJ43" s="672" t="str">
        <f aca="false">IF(AND(AJ35&lt;&gt;"",AJ36&lt;&gt;""),AJ12,"")</f>
        <v/>
      </c>
      <c r="AK43" s="672"/>
      <c r="AL43" s="672" t="str">
        <f aca="false">IF(AND(AL35&lt;&gt;"",AL36&lt;&gt;""),AL12,"")</f>
        <v/>
      </c>
      <c r="AM43" s="672"/>
      <c r="AN43" s="672" t="n">
        <f aca="false">IF(AND(AN35&lt;&gt;"",AN36&lt;&gt;""),AN12,"")</f>
        <v>192.01</v>
      </c>
      <c r="AO43" s="672"/>
      <c r="AP43" s="672" t="str">
        <f aca="false">IF(AND(AP35&lt;&gt;"",AP36&lt;&gt;""),AP12,"")</f>
        <v/>
      </c>
      <c r="AQ43" s="672"/>
      <c r="AR43" s="672" t="str">
        <f aca="false">IF(AND(AR35&lt;&gt;"",AR36&lt;&gt;""),AR12,"")</f>
        <v/>
      </c>
      <c r="AS43" s="672"/>
      <c r="AT43" s="672" t="str">
        <f aca="false">IF(AND(AT35&lt;&gt;"",AT36&lt;&gt;""),AT12,"")</f>
        <v/>
      </c>
      <c r="AU43" s="672"/>
      <c r="AV43" s="672" t="str">
        <f aca="false">IF(AND(AV35&lt;&gt;"",AV36&lt;&gt;""),AV12,"")</f>
        <v/>
      </c>
      <c r="AW43" s="672"/>
      <c r="AX43" s="672" t="str">
        <f aca="false">IF(AND(AX35&lt;&gt;"",AX36&lt;&gt;""),AX12,"")</f>
        <v/>
      </c>
      <c r="AY43" s="672"/>
      <c r="AZ43" s="672" t="str">
        <f aca="false">IF(AND(AZ35&lt;&gt;"",AZ36&lt;&gt;""),AZ12,"")</f>
        <v/>
      </c>
      <c r="BA43" s="672"/>
      <c r="BB43" s="672" t="str">
        <f aca="false">IF(AND(BB35&lt;&gt;"",BB36&lt;&gt;""),BB12,"")</f>
        <v/>
      </c>
      <c r="BC43" s="672"/>
      <c r="BD43" s="672" t="str">
        <f aca="false">IF(AND(BD35&lt;&gt;"",BD36&lt;&gt;""),BD12,"")</f>
        <v/>
      </c>
      <c r="BE43" s="672"/>
      <c r="BF43" s="672" t="str">
        <f aca="false">IF(AND(BF35&lt;&gt;"",BF36&lt;&gt;""),BF12,"")</f>
        <v/>
      </c>
      <c r="BG43" s="672"/>
      <c r="BH43" s="672" t="str">
        <f aca="false">IF(AND(BH35&lt;&gt;"",BH36&lt;&gt;""),BH12,"")</f>
        <v/>
      </c>
      <c r="BI43" s="672"/>
      <c r="BJ43" s="672" t="str">
        <f aca="false">IF(AND(BJ35&lt;&gt;"",BJ36&lt;&gt;""),BJ12,"")</f>
        <v/>
      </c>
      <c r="BK43" s="672"/>
      <c r="BL43" s="672" t="str">
        <f aca="false">IF(AND(BL35&lt;&gt;"",BL36&lt;&gt;""),BL12,"")</f>
        <v/>
      </c>
      <c r="BM43" s="672"/>
      <c r="BN43" s="672" t="str">
        <f aca="false">IF(AND(BN35&lt;&gt;"",BN36&lt;&gt;""),BN12,"")</f>
        <v/>
      </c>
      <c r="BO43" s="672"/>
      <c r="BP43" s="672" t="str">
        <f aca="false">IF(AND(BP35&lt;&gt;"",BP36&lt;&gt;""),BP12,"")</f>
        <v/>
      </c>
      <c r="BQ43" s="672"/>
      <c r="BR43" s="672" t="str">
        <f aca="false">IF(AND(BR35&lt;&gt;"",BR36&lt;&gt;""),BR12,"")</f>
        <v/>
      </c>
      <c r="BS43" s="672"/>
      <c r="BT43" s="672" t="str">
        <f aca="false">IF(AND(BT35&lt;&gt;"",BT36&lt;&gt;""),BT12,"")</f>
        <v/>
      </c>
      <c r="BU43" s="672"/>
      <c r="BV43" s="672" t="str">
        <f aca="false">IF(AND(BV35&lt;&gt;"",BV36&lt;&gt;""),BV12,"")</f>
        <v/>
      </c>
      <c r="BW43" s="672"/>
      <c r="BX43" s="672" t="str">
        <f aca="false">IF(AND(BX35&lt;&gt;"",BX36&lt;&gt;""),BX12,"")</f>
        <v/>
      </c>
      <c r="BY43" s="672"/>
      <c r="BZ43" s="672" t="str">
        <f aca="false">IF(AND(BZ35&lt;&gt;"",BZ36&lt;&gt;""),BZ12,"")</f>
        <v/>
      </c>
      <c r="CA43" s="672"/>
      <c r="CB43" s="672" t="str">
        <f aca="false">IF(AND(CB35&lt;&gt;"",CB36&lt;&gt;""),CB12,"")</f>
        <v/>
      </c>
      <c r="CC43" s="672"/>
      <c r="CD43" s="672" t="str">
        <f aca="false">IF(AND(CD35&lt;&gt;"",CD36&lt;&gt;""),CD12,"")</f>
        <v/>
      </c>
      <c r="CE43" s="672"/>
      <c r="CF43" s="672" t="str">
        <f aca="false">IF(AND(CF35&lt;&gt;"",CF36&lt;&gt;""),CF12,"")</f>
        <v/>
      </c>
      <c r="CG43" s="672"/>
      <c r="CH43" s="672" t="str">
        <f aca="false">IF(AND(CH35&lt;&gt;"",CH36&lt;&gt;""),CH12,"")</f>
        <v/>
      </c>
      <c r="CI43" s="672"/>
      <c r="CJ43" s="390"/>
    </row>
    <row r="44" s="443" customFormat="true" ht="15" hidden="false" customHeight="false" outlineLevel="0" collapsed="false">
      <c r="A44" s="443" t="s">
        <v>1117</v>
      </c>
      <c r="B44" s="516"/>
      <c r="C44" s="516"/>
      <c r="D44" s="516"/>
      <c r="E44" s="516"/>
      <c r="F44" s="516"/>
      <c r="G44" s="516"/>
      <c r="H44" s="516"/>
      <c r="I44" s="516"/>
      <c r="J44" s="516"/>
      <c r="K44" s="516"/>
      <c r="L44" s="516" t="s">
        <v>1118</v>
      </c>
      <c r="M44" s="516"/>
      <c r="N44" s="516" t="s">
        <v>1118</v>
      </c>
      <c r="O44" s="516"/>
      <c r="P44" s="516"/>
      <c r="Q44" s="516"/>
      <c r="R44" s="516"/>
      <c r="S44" s="516"/>
      <c r="T44" s="516"/>
      <c r="U44" s="516"/>
      <c r="V44" s="516"/>
      <c r="W44" s="516"/>
      <c r="X44" s="516"/>
      <c r="Y44" s="516"/>
      <c r="Z44" s="516"/>
      <c r="AA44" s="516"/>
      <c r="AB44" s="516"/>
      <c r="AC44" s="516"/>
      <c r="AD44" s="516"/>
      <c r="AE44" s="516"/>
      <c r="AF44" s="516"/>
      <c r="AG44" s="516"/>
      <c r="AH44" s="516" t="s">
        <v>1118</v>
      </c>
      <c r="AI44" s="516" t="s">
        <v>1119</v>
      </c>
      <c r="AJ44" s="516"/>
      <c r="AK44" s="516"/>
      <c r="AL44" s="516"/>
      <c r="AM44" s="516"/>
      <c r="AN44" s="516"/>
      <c r="AO44" s="516"/>
      <c r="AP44" s="516"/>
      <c r="AQ44" s="516"/>
      <c r="AR44" s="516"/>
      <c r="AS44" s="516"/>
      <c r="AT44" s="516"/>
      <c r="AU44" s="516"/>
      <c r="AV44" s="516"/>
      <c r="AW44" s="516"/>
      <c r="AX44" s="516"/>
      <c r="AY44" s="516"/>
      <c r="AZ44" s="516"/>
      <c r="BA44" s="516"/>
      <c r="BB44" s="516"/>
      <c r="BC44" s="516"/>
      <c r="BD44" s="516"/>
      <c r="BE44" s="516"/>
      <c r="BF44" s="516"/>
      <c r="BG44" s="516"/>
      <c r="BH44" s="516"/>
      <c r="BI44" s="516"/>
      <c r="BJ44" s="516"/>
      <c r="BK44" s="516"/>
      <c r="BL44" s="516"/>
      <c r="BM44" s="516"/>
      <c r="BN44" s="516"/>
      <c r="BO44" s="516"/>
      <c r="BP44" s="516"/>
      <c r="BQ44" s="516"/>
      <c r="BR44" s="516"/>
      <c r="BS44" s="516"/>
      <c r="BT44" s="516"/>
      <c r="BU44" s="516"/>
      <c r="BV44" s="516"/>
      <c r="BW44" s="516"/>
      <c r="BX44" s="516"/>
      <c r="BY44" s="516"/>
      <c r="BZ44" s="516"/>
      <c r="CA44" s="516"/>
      <c r="CB44" s="516"/>
      <c r="CC44" s="516"/>
      <c r="CD44" s="516"/>
      <c r="CE44" s="516"/>
      <c r="CF44" s="516"/>
      <c r="CG44" s="516"/>
      <c r="CH44" s="516"/>
      <c r="CI44" s="516"/>
      <c r="CJ44" s="385"/>
    </row>
    <row r="45" s="639" customFormat="true" ht="15" hidden="false" customHeight="false" outlineLevel="0" collapsed="false">
      <c r="A45" s="617" t="s">
        <v>1120</v>
      </c>
      <c r="B45" s="619"/>
      <c r="C45" s="619"/>
      <c r="D45" s="619"/>
      <c r="E45" s="619"/>
      <c r="F45" s="619"/>
      <c r="G45" s="619"/>
      <c r="H45" s="618"/>
      <c r="I45" s="618"/>
      <c r="J45" s="618"/>
      <c r="K45" s="618"/>
      <c r="L45" s="618"/>
      <c r="M45" s="618"/>
      <c r="N45" s="618"/>
      <c r="O45" s="618"/>
      <c r="P45" s="618"/>
      <c r="Q45" s="618"/>
      <c r="R45" s="618"/>
      <c r="S45" s="618"/>
      <c r="T45" s="618"/>
      <c r="U45" s="618"/>
      <c r="V45" s="618"/>
      <c r="W45" s="618"/>
      <c r="X45" s="618"/>
      <c r="Y45" s="618"/>
      <c r="Z45" s="618"/>
      <c r="AA45" s="618"/>
      <c r="AB45" s="618"/>
      <c r="AC45" s="618"/>
      <c r="AD45" s="618"/>
      <c r="AE45" s="618"/>
      <c r="AF45" s="618"/>
      <c r="AG45" s="618"/>
      <c r="AH45" s="618" t="n">
        <v>18</v>
      </c>
      <c r="AI45" s="618"/>
      <c r="AJ45" s="618"/>
      <c r="AK45" s="618"/>
      <c r="AL45" s="618"/>
      <c r="AM45" s="618"/>
      <c r="AN45" s="618" t="n">
        <f aca="false">AN18</f>
        <v>18.24</v>
      </c>
      <c r="AO45" s="618"/>
      <c r="AP45" s="618"/>
      <c r="AQ45" s="618"/>
      <c r="AR45" s="618"/>
      <c r="AS45" s="618"/>
      <c r="AT45" s="618"/>
      <c r="AU45" s="618"/>
      <c r="AV45" s="618"/>
      <c r="AW45" s="618"/>
      <c r="AX45" s="618"/>
      <c r="AY45" s="618"/>
      <c r="AZ45" s="618"/>
      <c r="BA45" s="618"/>
      <c r="BB45" s="618"/>
      <c r="BC45" s="618"/>
      <c r="BD45" s="618"/>
      <c r="BE45" s="618"/>
      <c r="BF45" s="618"/>
      <c r="BG45" s="618"/>
      <c r="BH45" s="618"/>
      <c r="BI45" s="618"/>
      <c r="BJ45" s="618"/>
      <c r="BK45" s="618"/>
      <c r="BL45" s="618"/>
      <c r="BM45" s="618"/>
      <c r="BN45" s="618"/>
      <c r="BO45" s="618"/>
      <c r="BP45" s="618"/>
      <c r="BQ45" s="618"/>
      <c r="BR45" s="618"/>
      <c r="BS45" s="618"/>
      <c r="BT45" s="618"/>
      <c r="BU45" s="618"/>
      <c r="BV45" s="618"/>
      <c r="BW45" s="618"/>
      <c r="BX45" s="618"/>
      <c r="BY45" s="618"/>
      <c r="BZ45" s="618"/>
      <c r="CA45" s="618"/>
      <c r="CB45" s="618"/>
      <c r="CC45" s="618"/>
      <c r="CD45" s="618"/>
      <c r="CE45" s="618"/>
      <c r="CF45" s="618"/>
      <c r="CG45" s="618"/>
      <c r="CH45" s="618"/>
      <c r="CI45" s="618"/>
      <c r="CJ45" s="623"/>
    </row>
    <row r="46" s="635" customFormat="true" ht="15" hidden="false" customHeight="false" outlineLevel="0" collapsed="false">
      <c r="A46" s="624" t="s">
        <v>1121</v>
      </c>
      <c r="B46" s="625"/>
      <c r="C46" s="626"/>
      <c r="D46" s="625"/>
      <c r="E46" s="626"/>
      <c r="F46" s="625"/>
      <c r="G46" s="626"/>
      <c r="H46" s="627"/>
      <c r="I46" s="626"/>
      <c r="J46" s="627"/>
      <c r="K46" s="626"/>
      <c r="L46" s="627"/>
      <c r="M46" s="626"/>
      <c r="N46" s="627"/>
      <c r="O46" s="626"/>
      <c r="P46" s="627"/>
      <c r="Q46" s="626"/>
      <c r="R46" s="627"/>
      <c r="S46" s="626"/>
      <c r="T46" s="627"/>
      <c r="U46" s="626"/>
      <c r="V46" s="627"/>
      <c r="W46" s="626"/>
      <c r="X46" s="627"/>
      <c r="Y46" s="626"/>
      <c r="Z46" s="627"/>
      <c r="AA46" s="626"/>
      <c r="AB46" s="627"/>
      <c r="AC46" s="626"/>
      <c r="AD46" s="627"/>
      <c r="AE46" s="626"/>
      <c r="AF46" s="627"/>
      <c r="AG46" s="626"/>
      <c r="AH46" s="627" t="n">
        <v>1.41</v>
      </c>
      <c r="AI46" s="626"/>
      <c r="AJ46" s="627"/>
      <c r="AK46" s="626"/>
      <c r="AL46" s="627"/>
      <c r="AM46" s="626"/>
      <c r="AN46" s="627" t="n">
        <f aca="false">AN19</f>
        <v>1.42</v>
      </c>
      <c r="AO46" s="626"/>
      <c r="AP46" s="627"/>
      <c r="AQ46" s="626"/>
      <c r="AR46" s="627"/>
      <c r="AS46" s="626"/>
      <c r="AT46" s="627"/>
      <c r="AU46" s="626"/>
      <c r="AV46" s="627"/>
      <c r="AW46" s="626"/>
      <c r="AX46" s="627"/>
      <c r="AY46" s="626"/>
      <c r="AZ46" s="627"/>
      <c r="BA46" s="626"/>
      <c r="BB46" s="627"/>
      <c r="BC46" s="626"/>
      <c r="BD46" s="627"/>
      <c r="BE46" s="626"/>
      <c r="BF46" s="627"/>
      <c r="BG46" s="626"/>
      <c r="BH46" s="627"/>
      <c r="BI46" s="626"/>
      <c r="BJ46" s="627"/>
      <c r="BK46" s="626"/>
      <c r="BL46" s="627"/>
      <c r="BM46" s="626"/>
      <c r="BN46" s="627"/>
      <c r="BO46" s="626"/>
      <c r="BP46" s="627"/>
      <c r="BQ46" s="626"/>
      <c r="BR46" s="627"/>
      <c r="BS46" s="626"/>
      <c r="BT46" s="627"/>
      <c r="BU46" s="626"/>
      <c r="BV46" s="627"/>
      <c r="BW46" s="626"/>
      <c r="BX46" s="627"/>
      <c r="BY46" s="626"/>
      <c r="BZ46" s="627"/>
      <c r="CA46" s="626"/>
      <c r="CB46" s="627"/>
      <c r="CC46" s="626"/>
      <c r="CD46" s="627"/>
      <c r="CE46" s="626"/>
      <c r="CF46" s="627"/>
      <c r="CG46" s="626"/>
      <c r="CH46" s="627"/>
      <c r="CI46" s="626"/>
      <c r="CJ46" s="629"/>
    </row>
    <row r="47" s="630" customFormat="true" ht="15" hidden="false" customHeight="false" outlineLevel="0" collapsed="false">
      <c r="A47" s="630" t="s">
        <v>1122</v>
      </c>
      <c r="B47" s="631" t="str">
        <f aca="false">IF(B46&lt;&gt;"",520*SQRT(B46*(POWER(2/(B46+1),(B46+1)/(B46-1)))),"")</f>
        <v/>
      </c>
      <c r="C47" s="631"/>
      <c r="D47" s="631" t="str">
        <f aca="false">IF(D46&lt;&gt;"",520*SQRT(D46*(POWER(2/(D46+1),(D46+1)/(D46-1)))),"")</f>
        <v/>
      </c>
      <c r="E47" s="631"/>
      <c r="F47" s="631" t="str">
        <f aca="false">IF(F46&lt;&gt;"",520*SQRT(F46*(POWER(2/(F46+1),(F46+1)/(F46-1)))),"")</f>
        <v/>
      </c>
      <c r="G47" s="631"/>
      <c r="H47" s="631" t="str">
        <f aca="false">IF(H46&lt;&gt;"",520*SQRT(H46*(POWER(2/(H46+1),(H46+1)/(H46-1)))),"")</f>
        <v/>
      </c>
      <c r="I47" s="631"/>
      <c r="J47" s="631" t="str">
        <f aca="false">IF(J46&lt;&gt;"",520*SQRT(J46*(POWER(2/(J46+1),(J46+1)/(J46-1)))),"")</f>
        <v/>
      </c>
      <c r="K47" s="631"/>
      <c r="L47" s="631" t="str">
        <f aca="false">IF(L46&lt;&gt;"",520*SQRT(L46*(POWER(2/(L46+1),(L46+1)/(L46-1)))),"")</f>
        <v/>
      </c>
      <c r="M47" s="631"/>
      <c r="N47" s="631" t="str">
        <f aca="false">IF(N46&lt;&gt;"",520*SQRT(N46*(POWER(2/(N46+1),(N46+1)/(N46-1)))),"")</f>
        <v/>
      </c>
      <c r="O47" s="631"/>
      <c r="P47" s="631" t="str">
        <f aca="false">J47</f>
        <v/>
      </c>
      <c r="Q47" s="631"/>
      <c r="R47" s="631" t="str">
        <f aca="false">IF(R46&lt;&gt;"",520*SQRT(R46*(POWER(2/(R46+1),(R46+1)/(R46-1)))),"")</f>
        <v/>
      </c>
      <c r="S47" s="631"/>
      <c r="T47" s="631" t="str">
        <f aca="false">IF(T46&lt;&gt;"",520*SQRT(T46*(POWER(2/(T46+1),(T46+1)/(T46-1)))),"")</f>
        <v/>
      </c>
      <c r="U47" s="631"/>
      <c r="V47" s="631" t="str">
        <f aca="false">IF(V46&lt;&gt;"",520*SQRT(V46*(POWER(2/(V46+1),(V46+1)/(V46-1)))),"")</f>
        <v/>
      </c>
      <c r="W47" s="631"/>
      <c r="X47" s="631" t="str">
        <f aca="false">IF(X46&lt;&gt;"",520*SQRT(X46*(POWER(2/(X46+1),(X46+1)/(X46-1)))),"")</f>
        <v/>
      </c>
      <c r="Y47" s="631"/>
      <c r="Z47" s="631" t="str">
        <f aca="false">IF(Z46&lt;&gt;"",520*SQRT(Z46*(POWER(2/(Z46+1),(Z46+1)/(Z46-1)))),"")</f>
        <v/>
      </c>
      <c r="AA47" s="631"/>
      <c r="AB47" s="631" t="str">
        <f aca="false">IF(AB46&lt;&gt;"",520*SQRT(AB46*(POWER(2/(AB46+1),(AB46+1)/(AB46-1)))),"")</f>
        <v/>
      </c>
      <c r="AC47" s="631"/>
      <c r="AD47" s="631" t="str">
        <f aca="false">IF(AD46&lt;&gt;"",520*SQRT(AD46*(POWER(2/(AD46+1),(AD46+1)/(AD46-1)))),"")</f>
        <v/>
      </c>
      <c r="AE47" s="631"/>
      <c r="AF47" s="631" t="str">
        <f aca="false">IF(AF46&lt;&gt;"",520*SQRT(AF46*(POWER(2/(AF46+1),(AF46+1)/(AF46-1)))),"")</f>
        <v/>
      </c>
      <c r="AG47" s="631"/>
      <c r="AH47" s="631" t="n">
        <f aca="false">IF(AH46&lt;&gt;"",520*SQRT(AH46*(POWER(2/(AH46+1),(AH46+1)/(AH46-1)))),"")</f>
        <v>356.93570525814</v>
      </c>
      <c r="AI47" s="631"/>
      <c r="AJ47" s="631" t="str">
        <f aca="false">IF(AJ46&lt;&gt;"",520*SQRT(AJ46*(POWER(2/(AJ46+1),(AJ46+1)/(AJ46-1)))),"")</f>
        <v/>
      </c>
      <c r="AK47" s="631"/>
      <c r="AL47" s="631" t="str">
        <f aca="false">IF(AL46&lt;&gt;"",520*SQRT(AL46*(POWER(2/(AL46+1),(AL46+1)/(AL46-1)))),"")</f>
        <v/>
      </c>
      <c r="AM47" s="631"/>
      <c r="AN47" s="631" t="n">
        <f aca="false">IF(AN46&lt;&gt;"",520*SQRT(AN46*(POWER(2/(AN46+1),(AN46+1)/(AN46-1)))),"")</f>
        <v>357.805330341912</v>
      </c>
      <c r="AO47" s="631"/>
      <c r="AP47" s="631" t="str">
        <f aca="false">IF(AP46&lt;&gt;"",520*SQRT(AP46*(POWER(2/(AP46+1),(AP46+1)/(AP46-1)))),"")</f>
        <v/>
      </c>
      <c r="AQ47" s="631"/>
      <c r="AR47" s="631" t="str">
        <f aca="false">IF(AR46&lt;&gt;"",520*SQRT(AR46*(POWER(2/(AR46+1),(AR46+1)/(AR46-1)))),"")</f>
        <v/>
      </c>
      <c r="AS47" s="631"/>
      <c r="AT47" s="631" t="str">
        <f aca="false">IF(AT46&lt;&gt;"",520*SQRT(AT46*(POWER(2/(AT46+1),(AT46+1)/(AT46-1)))),"")</f>
        <v/>
      </c>
      <c r="AU47" s="631"/>
      <c r="AV47" s="631" t="str">
        <f aca="false">IF(AV46&lt;&gt;"",520*SQRT(AV46*(POWER(2/(AV46+1),(AV46+1)/(AV46-1)))),"")</f>
        <v/>
      </c>
      <c r="AW47" s="631"/>
      <c r="AX47" s="631" t="str">
        <f aca="false">IF(AX46&lt;&gt;"",520*SQRT(AX46*(POWER(2/(AX46+1),(AX46+1)/(AX46-1)))),"")</f>
        <v/>
      </c>
      <c r="AY47" s="631"/>
      <c r="AZ47" s="631" t="str">
        <f aca="false">IF(AZ46&lt;&gt;"",520*SQRT(AZ46*(POWER(2/(AZ46+1),(AZ46+1)/(AZ46-1)))),"")</f>
        <v/>
      </c>
      <c r="BA47" s="631"/>
      <c r="BB47" s="631" t="str">
        <f aca="false">IF(BB46&lt;&gt;"",520*SQRT(BB46*(POWER(2/(BB46+1),(BB46+1)/(BB46-1)))),"")</f>
        <v/>
      </c>
      <c r="BC47" s="631"/>
      <c r="BD47" s="631" t="str">
        <f aca="false">IF(BD46&lt;&gt;"",520*SQRT(BD46*(POWER(2/(BD46+1),(BD46+1)/(BD46-1)))),"")</f>
        <v/>
      </c>
      <c r="BE47" s="631"/>
      <c r="BF47" s="631" t="str">
        <f aca="false">IF(BF46&lt;&gt;"",520*SQRT(BF46*(POWER(2/(BF46+1),(BF46+1)/(BF46-1)))),"")</f>
        <v/>
      </c>
      <c r="BG47" s="631"/>
      <c r="BH47" s="631" t="str">
        <f aca="false">IF(BH46&lt;&gt;"",520*SQRT(BH46*(POWER(2/(BH46+1),(BH46+1)/(BH46-1)))),"")</f>
        <v/>
      </c>
      <c r="BI47" s="631"/>
      <c r="BJ47" s="631" t="str">
        <f aca="false">IF(BJ46&lt;&gt;"",520*SQRT(BJ46*(POWER(2/(BJ46+1),(BJ46+1)/(BJ46-1)))),"")</f>
        <v/>
      </c>
      <c r="BK47" s="631"/>
      <c r="BL47" s="631" t="str">
        <f aca="false">IF(BL46&lt;&gt;"",520*SQRT(BL46*(POWER(2/(BL46+1),(BL46+1)/(BL46-1)))),"")</f>
        <v/>
      </c>
      <c r="BM47" s="631"/>
      <c r="BN47" s="631" t="str">
        <f aca="false">IF(BN46&lt;&gt;"",520*SQRT(BN46*(POWER(2/(BN46+1),(BN46+1)/(BN46-1)))),"")</f>
        <v/>
      </c>
      <c r="BO47" s="631"/>
      <c r="BP47" s="631" t="str">
        <f aca="false">IF(BP46&lt;&gt;"",520*SQRT(BP46*(POWER(2/(BP46+1),(BP46+1)/(BP46-1)))),"")</f>
        <v/>
      </c>
      <c r="BQ47" s="631"/>
      <c r="BR47" s="631" t="str">
        <f aca="false">IF(BR46&lt;&gt;"",520*SQRT(BR46*(POWER(2/(BR46+1),(BR46+1)/(BR46-1)))),"")</f>
        <v/>
      </c>
      <c r="BS47" s="631"/>
      <c r="BT47" s="631" t="str">
        <f aca="false">IF(BT46&lt;&gt;"",520*SQRT(BT46*(POWER(2/(BT46+1),(BT46+1)/(BT46-1)))),"")</f>
        <v/>
      </c>
      <c r="BU47" s="631"/>
      <c r="BV47" s="631" t="str">
        <f aca="false">IF(BV46&lt;&gt;"",520*SQRT(BV46*(POWER(2/(BV46+1),(BV46+1)/(BV46-1)))),"")</f>
        <v/>
      </c>
      <c r="BW47" s="631"/>
      <c r="BX47" s="631" t="str">
        <f aca="false">IF(BX46&lt;&gt;"",520*SQRT(BX46*(POWER(2/(BX46+1),(BX46+1)/(BX46-1)))),"")</f>
        <v/>
      </c>
      <c r="BY47" s="631"/>
      <c r="BZ47" s="631" t="str">
        <f aca="false">IF(BZ46&lt;&gt;"",520*SQRT(BZ46*(POWER(2/(BZ46+1),(BZ46+1)/(BZ46-1)))),"")</f>
        <v/>
      </c>
      <c r="CA47" s="631"/>
      <c r="CB47" s="631" t="str">
        <f aca="false">IF(CB46&lt;&gt;"",520*SQRT(CB46*(POWER(2/(CB46+1),(CB46+1)/(CB46-1)))),"")</f>
        <v/>
      </c>
      <c r="CC47" s="631"/>
      <c r="CD47" s="631" t="str">
        <f aca="false">IF(CD46&lt;&gt;"",520*SQRT(CD46*(POWER(2/(CD46+1),(CD46+1)/(CD46-1)))),"")</f>
        <v/>
      </c>
      <c r="CE47" s="631"/>
      <c r="CF47" s="631" t="str">
        <f aca="false">IF(CF46&lt;&gt;"",520*SQRT(CF46*(POWER(2/(CF46+1),(CF46+1)/(CF46-1)))),"")</f>
        <v/>
      </c>
      <c r="CG47" s="631"/>
      <c r="CH47" s="631" t="str">
        <f aca="false">IF(CH46&lt;&gt;"",520*SQRT(CH46*(POWER(2/(CH46+1),(CH46+1)/(CH46-1)))),"")</f>
        <v/>
      </c>
      <c r="CI47" s="631"/>
      <c r="CJ47" s="632"/>
    </row>
    <row r="48" s="642" customFormat="true" ht="15" hidden="false" customHeight="false" outlineLevel="0" collapsed="false">
      <c r="A48" s="673" t="s">
        <v>1141</v>
      </c>
      <c r="B48" s="643"/>
      <c r="C48" s="643"/>
      <c r="D48" s="643"/>
      <c r="E48" s="643"/>
      <c r="F48" s="643"/>
      <c r="G48" s="643"/>
      <c r="H48" s="643"/>
      <c r="I48" s="643"/>
      <c r="J48" s="643"/>
      <c r="K48" s="643"/>
      <c r="L48" s="643"/>
      <c r="M48" s="643"/>
      <c r="N48" s="643"/>
      <c r="O48" s="643"/>
      <c r="P48" s="643"/>
      <c r="Q48" s="643"/>
      <c r="R48" s="643"/>
      <c r="S48" s="643"/>
      <c r="T48" s="643"/>
      <c r="U48" s="643"/>
      <c r="V48" s="643"/>
      <c r="W48" s="643"/>
      <c r="X48" s="643"/>
      <c r="Y48" s="643"/>
      <c r="Z48" s="643"/>
      <c r="AA48" s="643"/>
      <c r="AB48" s="643"/>
      <c r="AC48" s="643"/>
      <c r="AD48" s="643"/>
      <c r="AE48" s="643"/>
      <c r="AF48" s="643"/>
      <c r="AG48" s="643"/>
      <c r="AH48" s="643"/>
      <c r="AI48" s="643"/>
      <c r="AJ48" s="643"/>
      <c r="AK48" s="643"/>
      <c r="AL48" s="643"/>
      <c r="AM48" s="643"/>
      <c r="AN48" s="643"/>
      <c r="AO48" s="643"/>
      <c r="AP48" s="643"/>
      <c r="AQ48" s="643"/>
      <c r="AR48" s="643"/>
      <c r="AS48" s="643"/>
      <c r="AT48" s="643"/>
      <c r="AU48" s="643"/>
      <c r="AV48" s="643"/>
      <c r="AW48" s="643"/>
      <c r="AX48" s="643"/>
      <c r="AY48" s="643"/>
      <c r="AZ48" s="643"/>
      <c r="BA48" s="643"/>
      <c r="BB48" s="575"/>
      <c r="BC48" s="575"/>
      <c r="BD48" s="575"/>
      <c r="BE48" s="575"/>
      <c r="BF48" s="575"/>
      <c r="BG48" s="575"/>
      <c r="BH48" s="575"/>
      <c r="BI48" s="575"/>
      <c r="BJ48" s="575"/>
      <c r="BK48" s="575"/>
      <c r="BL48" s="575"/>
      <c r="BM48" s="575"/>
      <c r="BN48" s="575"/>
      <c r="BO48" s="575"/>
      <c r="BP48" s="575"/>
      <c r="BQ48" s="575"/>
      <c r="BR48" s="575"/>
      <c r="BS48" s="575"/>
      <c r="BT48" s="575"/>
      <c r="BU48" s="575"/>
      <c r="BV48" s="575"/>
      <c r="BW48" s="575"/>
      <c r="BX48" s="575"/>
      <c r="BY48" s="575"/>
      <c r="BZ48" s="575"/>
      <c r="CA48" s="575"/>
      <c r="CB48" s="575"/>
      <c r="CC48" s="575"/>
      <c r="CD48" s="575"/>
      <c r="CE48" s="575"/>
      <c r="CF48" s="575"/>
      <c r="CG48" s="575"/>
      <c r="CH48" s="575"/>
      <c r="CI48" s="575"/>
      <c r="CJ48" s="674"/>
    </row>
    <row r="49" s="638" customFormat="true" ht="15" hidden="false" customHeight="false" outlineLevel="0" collapsed="false">
      <c r="A49" s="635" t="s">
        <v>1124</v>
      </c>
      <c r="B49" s="627"/>
      <c r="C49" s="627"/>
      <c r="D49" s="627"/>
      <c r="E49" s="636"/>
      <c r="F49" s="627"/>
      <c r="G49" s="636"/>
      <c r="H49" s="627"/>
      <c r="I49" s="636"/>
      <c r="J49" s="627"/>
      <c r="K49" s="627"/>
      <c r="L49" s="627"/>
      <c r="M49" s="636"/>
      <c r="N49" s="627"/>
      <c r="O49" s="636"/>
      <c r="P49" s="636"/>
      <c r="Q49" s="636"/>
      <c r="R49" s="627"/>
      <c r="S49" s="627"/>
      <c r="T49" s="627"/>
      <c r="U49" s="627"/>
      <c r="V49" s="627"/>
      <c r="W49" s="627"/>
      <c r="X49" s="627"/>
      <c r="Y49" s="627"/>
      <c r="Z49" s="627"/>
      <c r="AA49" s="627"/>
      <c r="AB49" s="627"/>
      <c r="AC49" s="627"/>
      <c r="AD49" s="627"/>
      <c r="AE49" s="627"/>
      <c r="AF49" s="627"/>
      <c r="AG49" s="627"/>
      <c r="AH49" s="627" t="n">
        <v>0.93</v>
      </c>
      <c r="AI49" s="627"/>
      <c r="AJ49" s="627"/>
      <c r="AK49" s="627"/>
      <c r="AL49" s="627"/>
      <c r="AM49" s="627"/>
      <c r="AN49" s="627" t="n">
        <f aca="false">AN22</f>
        <v>0.9401</v>
      </c>
      <c r="AO49" s="627"/>
      <c r="AP49" s="627"/>
      <c r="AQ49" s="627"/>
      <c r="AR49" s="627"/>
      <c r="AS49" s="627"/>
      <c r="AT49" s="627"/>
      <c r="AU49" s="627"/>
      <c r="AV49" s="627"/>
      <c r="AW49" s="627"/>
      <c r="AX49" s="627"/>
      <c r="AY49" s="627"/>
      <c r="AZ49" s="627"/>
      <c r="BA49" s="627"/>
      <c r="BB49" s="627"/>
      <c r="BC49" s="627"/>
      <c r="BD49" s="627"/>
      <c r="BE49" s="627"/>
      <c r="BF49" s="627"/>
      <c r="BG49" s="627"/>
      <c r="BH49" s="627"/>
      <c r="BI49" s="627"/>
      <c r="BJ49" s="627"/>
      <c r="BK49" s="627"/>
      <c r="BL49" s="627"/>
      <c r="BM49" s="627"/>
      <c r="BN49" s="627"/>
      <c r="BO49" s="627"/>
      <c r="BP49" s="627"/>
      <c r="BQ49" s="627"/>
      <c r="BR49" s="627"/>
      <c r="BS49" s="627"/>
      <c r="BT49" s="627"/>
      <c r="BU49" s="627"/>
      <c r="BV49" s="627"/>
      <c r="BW49" s="627"/>
      <c r="BX49" s="627"/>
      <c r="BY49" s="627"/>
      <c r="BZ49" s="627"/>
      <c r="CA49" s="627"/>
      <c r="CB49" s="627"/>
      <c r="CC49" s="627"/>
      <c r="CD49" s="627"/>
      <c r="CE49" s="627"/>
      <c r="CF49" s="627"/>
      <c r="CG49" s="627"/>
      <c r="CH49" s="627"/>
      <c r="CI49" s="627"/>
      <c r="CJ49" s="637"/>
    </row>
    <row r="50" s="639" customFormat="true" ht="15" hidden="false" customHeight="false" outlineLevel="0" collapsed="false">
      <c r="A50" s="639" t="s">
        <v>1142</v>
      </c>
      <c r="B50" s="640"/>
      <c r="C50" s="640"/>
      <c r="D50" s="640"/>
      <c r="E50" s="640"/>
      <c r="F50" s="640"/>
      <c r="G50" s="640"/>
      <c r="H50" s="640"/>
      <c r="I50" s="640"/>
      <c r="J50" s="640"/>
      <c r="K50" s="640"/>
      <c r="L50" s="640"/>
      <c r="M50" s="640"/>
      <c r="N50" s="640"/>
      <c r="O50" s="640"/>
      <c r="P50" s="640"/>
      <c r="Q50" s="640"/>
      <c r="AH50" s="640"/>
      <c r="CJ50" s="623"/>
    </row>
    <row r="51" s="599" customFormat="true" ht="15.65" hidden="false" customHeight="false" outlineLevel="0" collapsed="false">
      <c r="A51" s="642" t="s">
        <v>1126</v>
      </c>
      <c r="B51" s="643"/>
      <c r="C51" s="644"/>
      <c r="D51" s="644"/>
      <c r="E51" s="644"/>
      <c r="F51" s="644"/>
      <c r="G51" s="644"/>
      <c r="H51" s="643"/>
      <c r="I51" s="643"/>
      <c r="J51" s="643"/>
      <c r="K51" s="643"/>
      <c r="L51" s="643"/>
      <c r="M51" s="643"/>
      <c r="N51" s="643"/>
      <c r="O51" s="643"/>
      <c r="P51" s="643"/>
      <c r="Q51" s="643"/>
      <c r="R51" s="643"/>
      <c r="S51" s="643"/>
      <c r="T51" s="643"/>
      <c r="U51" s="643"/>
      <c r="V51" s="643"/>
      <c r="W51" s="643"/>
      <c r="X51" s="643"/>
      <c r="Y51" s="643"/>
      <c r="Z51" s="643"/>
      <c r="AA51" s="643"/>
      <c r="AB51" s="643"/>
      <c r="AC51" s="643"/>
      <c r="AD51" s="643"/>
      <c r="AE51" s="643"/>
      <c r="AF51" s="643"/>
      <c r="AG51" s="643"/>
      <c r="AH51" s="643"/>
      <c r="AI51" s="643"/>
      <c r="AJ51" s="643"/>
      <c r="AK51" s="643"/>
      <c r="AL51" s="643"/>
      <c r="AM51" s="643"/>
      <c r="AN51" s="643"/>
      <c r="AO51" s="643"/>
      <c r="AP51" s="643"/>
      <c r="AQ51" s="643"/>
      <c r="AR51" s="643"/>
      <c r="AS51" s="643"/>
      <c r="AT51" s="643"/>
      <c r="AU51" s="643"/>
      <c r="AV51" s="643"/>
      <c r="AW51" s="643"/>
      <c r="AX51" s="643"/>
      <c r="AY51" s="643"/>
      <c r="AZ51" s="643"/>
      <c r="BA51" s="643"/>
      <c r="BB51" s="643"/>
      <c r="BC51" s="643"/>
      <c r="BD51" s="643"/>
      <c r="BE51" s="643"/>
      <c r="BF51" s="643"/>
      <c r="BG51" s="643"/>
      <c r="BH51" s="643"/>
      <c r="BI51" s="643"/>
      <c r="BJ51" s="643"/>
      <c r="BK51" s="643"/>
      <c r="BL51" s="643"/>
      <c r="BM51" s="643"/>
      <c r="BN51" s="643"/>
      <c r="BO51" s="643"/>
      <c r="BP51" s="643"/>
      <c r="BQ51" s="643"/>
      <c r="BR51" s="643"/>
      <c r="BS51" s="643"/>
      <c r="BT51" s="643"/>
      <c r="BU51" s="643"/>
      <c r="BV51" s="643"/>
      <c r="BW51" s="643"/>
      <c r="BX51" s="643"/>
      <c r="BY51" s="643"/>
      <c r="BZ51" s="643"/>
      <c r="CA51" s="643"/>
      <c r="CB51" s="643"/>
      <c r="CC51" s="643"/>
      <c r="CD51" s="643"/>
      <c r="CE51" s="643"/>
      <c r="CF51" s="643"/>
      <c r="CG51" s="643"/>
      <c r="CH51" s="643"/>
      <c r="CI51" s="643"/>
      <c r="CJ51" s="598"/>
    </row>
    <row r="52" s="659" customFormat="true" ht="15" hidden="false" customHeight="false" outlineLevel="0" collapsed="false">
      <c r="A52" s="675" t="s">
        <v>1143</v>
      </c>
      <c r="B52" s="659" t="str">
        <f aca="false">IF(AND(B35&lt;&gt;"",B36&lt;&gt;""),IF(B38=0,2.55*100000*B39*POWER(B37,0.82)/B53,IF(B48="复合硅酸铝镁板",2.61*(650-B43)*0.036*POWER(B37,0.82)/B38/B53,IF(B48="硅酸铝纤维制品",2.61*(650-B43)*0.056*POWER(B37,0.82)/B38/B53,2.61*(650-B43)*0.041*POWER(B37,0.82)/B38/B53))),"")</f>
        <v/>
      </c>
      <c r="D52" s="659" t="str">
        <f aca="false">IF(AND(D35&lt;&gt;"",D36&lt;&gt;""),IF(D38=0,2.55*100000*D39*POWER(D37,0.82)/D53,IF(D48="复合硅酸铝镁板",2.61*(650-D43)*0.036*POWER(D37,0.82)/D38/D53,IF(D48="硅酸铝纤维制品",2.61*(650-D43)*0.056*POWER(D37,0.82)/D38/D53,2.61*(650-D43)*0.041*POWER(D37,0.82)/D38/D53))),"")</f>
        <v/>
      </c>
      <c r="F52" s="659" t="str">
        <f aca="false">IF(AND(F35&lt;&gt;"",F36&lt;&gt;""),IF(F38=0,2.55*100000*F39*POWER(F37,0.82)/F53,IF(F48="复合硅酸铝镁板",2.61*(650-F43)*0.036*POWER(F37,0.82)/F38/F53,IF(F48="硅酸铝纤维制品",2.61*(650-F43)*0.056*POWER(F37,0.82)/F38/F53,2.61*(650-F43)*0.041*POWER(F37,0.82)/F38/F53))),"")</f>
        <v/>
      </c>
      <c r="H52" s="659" t="str">
        <f aca="false">IF(AND(H35&lt;&gt;"",H36&lt;&gt;""),IF(H38=0,2.55*100000*H39*POWER(H37,0.82)/H53,IF(H48="复合硅酸铝镁板",2.61*(650-H43)*0.036*POWER(H37,0.82)/H38/H53,IF(H48="硅酸铝纤维制品",2.61*(650-H43)*0.056*POWER(H37,0.82)/H38/H53,2.61*(650-H43)*0.041*POWER(H37,0.82)/H38/H53))),"")</f>
        <v/>
      </c>
      <c r="J52" s="659" t="str">
        <f aca="false">IF(AND(J35&lt;&gt;"",J36&lt;&gt;""),IF(J38=0,2.55*100000*J39*POWER(J37,0.82)/J53,IF(J48="复合硅酸铝镁板",2.61*(650-J43)*0.036*POWER(J37,0.82)/J38/J53,IF(J48="硅酸铝纤维制品",2.61*(650-J43)*0.056*POWER(J37,0.82)/J38/J53,2.61*(650-J43)*0.041*POWER(J37,0.82)/J38/J53))),"")</f>
        <v/>
      </c>
      <c r="L52" s="659" t="str">
        <f aca="false">IF(AND(L35&lt;&gt;"",L36&lt;&gt;""),IF(L38=0,2.55*100000*L39*POWER(L37,0.82)/L53,IF(L48="复合硅酸铝镁板",2.61*(650-L43)*0.036*POWER(L37,0.82)/L38/L53,IF(L48="硅酸铝纤维制品",2.61*(650-L43)*0.056*POWER(L37,0.82)/L38/L53,2.61*(650-L43)*0.041*POWER(L37,0.82)/L38/L53))),"")</f>
        <v/>
      </c>
      <c r="N52" s="659" t="str">
        <f aca="false">IF(AND(N35&lt;&gt;"",N36&lt;&gt;""),IF(N38=0,2.55*100000*N39*POWER(N37,0.82)/N53,IF(N48="复合硅酸铝镁板",2.61*(650-N43)*0.036*POWER(N37,0.82)/N38/N53,IF(N48="硅酸铝纤维制品",2.61*(650-N43)*0.056*POWER(N37,0.82)/N38/N53,2.61*(650-N43)*0.041*POWER(N37,0.82)/N38/N53))),"")</f>
        <v/>
      </c>
      <c r="P52" s="659" t="str">
        <f aca="false">IF(AND(P35&lt;&gt;"",P36&lt;&gt;""),IF(P38=0,2.55*100000*P39*POWER(P37,0.82)/P53,IF(P48="复合硅酸铝镁板",2.61*(650-P43)*0.036*POWER(P37,0.82)/P38/P53,IF(P48="硅酸铝纤维制品",2.61*(650-P43)*0.056*POWER(P37,0.82)/P38/P53,2.61*(650-P43)*0.041*POWER(P37,0.82)/P38/P53))),"")</f>
        <v/>
      </c>
      <c r="R52" s="659" t="str">
        <f aca="false">IF(AND(R35&lt;&gt;"",R36&lt;&gt;""),IF(R38=0,2.55*100000*R39*POWER(R37,0.82)/R53,IF(R48="复合硅酸铝镁板",2.61*(650-R43)*0.036*POWER(R37,0.82)/R38/R53,IF(R48="硅酸铝纤维制品",2.61*(650-R43)*0.056*POWER(R37,0.82)/R38/R53,2.61*(650-R43)*0.041*POWER(R37,0.82)/R38/R53))),"")</f>
        <v/>
      </c>
      <c r="T52" s="659" t="str">
        <f aca="false">IF(AND(T35&lt;&gt;"",T36&lt;&gt;""),IF(T38=0,2.55*100000*T39*POWER(T37,0.82)/T53,IF(T48="复合硅酸铝镁板",2.61*(650-T43)*0.036*POWER(T37,0.82)/T38/T53,IF(T48="硅酸铝纤维制品",2.61*(650-T43)*0.056*POWER(T37,0.82)/T38/T53,2.61*(650-T43)*0.041*POWER(T37,0.82)/T38/T53))),"")</f>
        <v/>
      </c>
      <c r="V52" s="659" t="str">
        <f aca="false">IF(AND(V35&lt;&gt;"",V36&lt;&gt;""),IF(V38=0,2.55*100000*V39*POWER(V37,0.82)/V53,IF(V48="复合硅酸铝镁板",2.61*(650-V43)*0.036*POWER(V37,0.82)/V38/V53,IF(V48="硅酸铝纤维制品",2.61*(650-V43)*0.056*POWER(V37,0.82)/V38/V53,2.61*(650-V43)*0.041*POWER(V37,0.82)/V38/V53))),"")</f>
        <v/>
      </c>
      <c r="X52" s="659" t="str">
        <f aca="false">IF(AND(X35&lt;&gt;"",X36&lt;&gt;""),IF(X38=0,2.55*100000*X39*POWER(X37,0.82)/X53,IF(X48="复合硅酸铝镁板",2.61*(650-X43)*0.036*POWER(X37,0.82)/X38/X53,IF(X48="硅酸铝纤维制品",2.61*(650-X43)*0.056*POWER(X37,0.82)/X38/X53,2.61*(650-X43)*0.041*POWER(X37,0.82)/X38/X53))),"")</f>
        <v/>
      </c>
      <c r="Z52" s="659" t="str">
        <f aca="false">IF(AND(Z35&lt;&gt;"",Z36&lt;&gt;""),IF(Z38=0,2.55*100000*Z39*POWER(Z37,0.82)/Z53,IF(Z48="复合硅酸铝镁板",2.61*(650-Z43)*0.036*POWER(Z37,0.82)/Z38/Z53,IF(Z48="硅酸铝纤维制品",2.61*(650-Z43)*0.056*POWER(Z37,0.82)/Z38/Z53,2.61*(650-Z43)*0.041*POWER(Z37,0.82)/Z38/Z53))),"")</f>
        <v/>
      </c>
      <c r="AB52" s="659" t="str">
        <f aca="false">IF(AND(AB35&lt;&gt;"",AB36&lt;&gt;""),IF(AB38=0,2.55*100000*AB39*POWER(AB37,0.82)/AB53,IF(AB48="复合硅酸铝镁板",2.61*(650-AB43)*0.036*POWER(AB37,0.82)/AB38/AB53,IF(AB48="硅酸铝纤维制品",2.61*(650-AB43)*0.056*POWER(AB37,0.82)/AB38/AB53,2.61*(650-AB43)*0.041*POWER(AB37,0.82)/AB38/AB53))),"")</f>
        <v/>
      </c>
      <c r="AD52" s="659" t="str">
        <f aca="false">IF(AND(AD35&lt;&gt;"",AD36&lt;&gt;""),IF(AD38=0,2.55*100000*AD39*POWER(AD37,0.82)/AD53,IF(AD48="复合硅酸铝镁板",2.61*(650-AD43)*0.036*POWER(AD37,0.82)/AD38/AD53,IF(AD48="硅酸铝纤维制品",2.61*(650-AD43)*0.056*POWER(AD37,0.82)/AD38/AD53,2.61*(650-AD43)*0.041*POWER(AD37,0.82)/AD38/AD53))),"")</f>
        <v/>
      </c>
      <c r="AF52" s="659" t="str">
        <f aca="false">IF(AND(AF35&lt;&gt;"",AF36&lt;&gt;""),IF(AF38=0,2.55*100000*AF39*POWER(AF37,0.82)/AF53,IF(AF48="复合硅酸铝镁板",2.61*(650-AF43)*0.036*POWER(AF37,0.82)/AF38/AF53,IF(AF48="硅酸铝纤维制品",2.61*(650-AF43)*0.056*POWER(AF37,0.82)/AF38/AF53,2.61*(650-AF43)*0.041*POWER(AF37,0.82)/AF38/AF53))),"")</f>
        <v/>
      </c>
      <c r="AH52" s="659" t="n">
        <f aca="false">IF(AND(AH35&lt;&gt;"",AH36&lt;&gt;""),IF(AH38=0,2.55*100000*AH39*POWER(AH37,0.82)/AH53,IF(AH48="复合硅酸铝镁板",2.61*(650-AH43)*0.036*POWER(AH37,0.82)/AH38/AH53,IF(AH48="硅酸铝纤维制品",2.61*(650-AH43)*0.056*POWER(AH37,0.82)/AH38/AH53,2.61*(650-AH43)*0.041*POWER(AH37,0.82)/AH38/AH53))),"")</f>
        <v>1131.05902607637</v>
      </c>
      <c r="AJ52" s="659" t="str">
        <f aca="false">IF(AND(AJ35&lt;&gt;"",AJ36&lt;&gt;""),IF(AJ38=0,2.55*100000*AJ39*POWER(AJ37,0.82)/AJ53,IF(AJ48="复合硅酸铝镁板",2.61*(650-AJ43)*0.036*POWER(AJ37,0.82)/AJ38/AJ53,IF(AJ48="硅酸铝纤维制品",2.61*(650-AJ43)*0.056*POWER(AJ37,0.82)/AJ38/AJ53,2.61*(650-AJ43)*0.041*POWER(AJ37,0.82)/AJ38/AJ53))),"")</f>
        <v/>
      </c>
      <c r="AL52" s="659" t="str">
        <f aca="false">IF(AND(AL35&lt;&gt;"",AL36&lt;&gt;""),IF(AL38=0,2.55*100000*AL39*POWER(AL37,0.82)/AL53,IF(AL48="复合硅酸铝镁板",2.61*(650-AL43)*0.036*POWER(AL37,0.82)/AL38/AL53,IF(AL48="硅酸铝纤维制品",2.61*(650-AL43)*0.056*POWER(AL37,0.82)/AL38/AL53,2.61*(650-AL43)*0.041*POWER(AL37,0.82)/AL38/AL53))),"")</f>
        <v/>
      </c>
      <c r="AN52" s="659" t="n">
        <f aca="false">'安全阀选型(基础设计)'!AN39:AO39</f>
        <v>3422.012</v>
      </c>
      <c r="AP52" s="659" t="str">
        <f aca="false">IF(AND(AP35&lt;&gt;"",AP36&lt;&gt;""),IF(AP38=0,2.55*100000*AP39*POWER(AP37,0.82)/AP53,IF(AP48="复合硅酸铝镁板",2.61*(650-AP43)*0.036*POWER(AP37,0.82)/AP38/AP53,IF(AP48="硅酸铝纤维制品",2.61*(650-AP43)*0.056*POWER(AP37,0.82)/AP38/AP53,2.61*(650-AP43)*0.041*POWER(AP37,0.82)/AP38/AP53))),"")</f>
        <v/>
      </c>
      <c r="AR52" s="659" t="str">
        <f aca="false">IF(AND(AR35&lt;&gt;"",AR36&lt;&gt;""),IF(AR38=0,2.55*100000*AR39*POWER(AR37,0.82)/AR53,IF(AR48="复合硅酸铝镁板",2.61*(650-AR43)*0.036*POWER(AR37,0.82)/AR38/AR53,IF(AR48="硅酸铝纤维制品",2.61*(650-AR43)*0.056*POWER(AR37,0.82)/AR38/AR53,2.61*(650-AR43)*0.041*POWER(AR37,0.82)/AR38/AR53))),"")</f>
        <v/>
      </c>
      <c r="AT52" s="659" t="str">
        <f aca="false">IF(AND(AT35&lt;&gt;"",AT36&lt;&gt;""),IF(AT38=0,2.55*100000*AT39*POWER(AT37,0.82)/AT53,IF(AT48="复合硅酸铝镁板",2.61*(650-AT43)*0.036*POWER(AT37,0.82)/AT38/AT53,IF(AT48="硅酸铝纤维制品",2.61*(650-AT43)*0.056*POWER(AT37,0.82)/AT38/AT53,2.61*(650-AT43)*0.041*POWER(AT37,0.82)/AT38/AT53))),"")</f>
        <v/>
      </c>
      <c r="AV52" s="659" t="str">
        <f aca="false">IF(AND(AV35&lt;&gt;"",AV36&lt;&gt;""),IF(AV38=0,2.55*100000*AV39*POWER(AV37,0.82)/AV53,IF(AV48="复合硅酸铝镁板",2.61*(650-AV43)*0.036*POWER(AV37,0.82)/AV38/AV53,IF(AV48="硅酸铝纤维制品",2.61*(650-AV43)*0.056*POWER(AV37,0.82)/AV38/AV53,2.61*(650-AV43)*0.041*POWER(AV37,0.82)/AV38/AV53))),"")</f>
        <v/>
      </c>
      <c r="AX52" s="659" t="str">
        <f aca="false">IF(AND(AX35&lt;&gt;"",AX36&lt;&gt;""),IF(AX38=0,2.55*100000*AX39*POWER(AX37,0.82)/AX53,IF(AX48="复合硅酸铝镁板",2.61*(650-AX43)*0.036*POWER(AX37,0.82)/AX38/AX53,IF(AX48="硅酸铝纤维制品",2.61*(650-AX43)*0.056*POWER(AX37,0.82)/AX38/AX53,2.61*(650-AX43)*0.041*POWER(AX37,0.82)/AX38/AX53))),"")</f>
        <v/>
      </c>
      <c r="AZ52" s="659" t="str">
        <f aca="false">IF(AND(AZ35&lt;&gt;"",AZ36&lt;&gt;""),IF(AZ38=0,2.55*100000*AZ39*POWER(AZ37,0.82)/AZ53,IF(AZ48="复合硅酸铝镁板",2.61*(650-AZ43)*0.036*POWER(AZ37,0.82)/AZ38/AZ53,IF(AZ48="硅酸铝纤维制品",2.61*(650-AZ43)*0.056*POWER(AZ37,0.82)/AZ38/AZ53,2.61*(650-AZ43)*0.041*POWER(AZ37,0.82)/AZ38/AZ53))),"")</f>
        <v/>
      </c>
      <c r="BB52" s="659" t="str">
        <f aca="false">IF(AND(BB35&lt;&gt;"",BB36&lt;&gt;""),IF(BB38=0,2.55*100000*BB39*POWER(BB37,0.82)/BB53,IF(BB48="复合硅酸铝镁板",2.61*(650-BB43)*0.036*POWER(BB37,0.82)/BB38/BB53,IF(BB48="硅酸铝纤维制品",2.61*(650-BB43)*0.056*POWER(BB37,0.82)/BB38/BB53,2.61*(650-BB43)*0.041*POWER(BB37,0.82)/BB38/BB53))),"")</f>
        <v/>
      </c>
      <c r="BD52" s="659" t="str">
        <f aca="false">IF(AND(BD35&lt;&gt;"",BD36&lt;&gt;""),IF(BD38=0,2.55*100000*BD39*POWER(BD37,0.82)/BD53,IF(BD48="复合硅酸铝镁板",2.61*(650-BD43)*0.036*POWER(BD37,0.82)/BD38/BD53,IF(BD48="硅酸铝纤维制品",2.61*(650-BD43)*0.056*POWER(BD37,0.82)/BD38/BD53,2.61*(650-BD43)*0.041*POWER(BD37,0.82)/BD38/BD53))),"")</f>
        <v/>
      </c>
      <c r="BF52" s="659" t="str">
        <f aca="false">IF(AND(BF35&lt;&gt;"",BF36&lt;&gt;""),IF(BF38=0,2.55*100000*BF39*POWER(BF37,0.82)/BF53,IF(BF48="复合硅酸铝镁板",2.61*(650-BF43)*0.036*POWER(BF37,0.82)/BF38/BF53,IF(BF48="硅酸铝纤维制品",2.61*(650-BF43)*0.056*POWER(BF37,0.82)/BF38/BF53,2.61*(650-BF43)*0.041*POWER(BF37,0.82)/BF38/BF53))),"")</f>
        <v/>
      </c>
      <c r="BH52" s="659" t="str">
        <f aca="false">IF(AND(BH35&lt;&gt;"",BH36&lt;&gt;""),IF(BH38=0,2.55*100000*BH39*POWER(BH37,0.82)/BH53,IF(BH48="复合硅酸铝镁板",2.61*(650-BH43)*0.036*POWER(BH37,0.82)/BH38/BH53,IF(BH48="硅酸铝纤维制品",2.61*(650-BH43)*0.056*POWER(BH37,0.82)/BH38/BH53,2.61*(650-BH43)*0.041*POWER(BH37,0.82)/BH38/BH53))),"")</f>
        <v/>
      </c>
      <c r="BJ52" s="659" t="str">
        <f aca="false">IF(AND(BJ35&lt;&gt;"",BJ36&lt;&gt;""),IF(BJ38=0,2.55*100000*BJ39*POWER(BJ37,0.82)/BJ53,IF(BJ48="复合硅酸铝镁板",2.61*(650-BJ43)*0.036*POWER(BJ37,0.82)/BJ38/BJ53,IF(BJ48="硅酸铝纤维制品",2.61*(650-BJ43)*0.056*POWER(BJ37,0.82)/BJ38/BJ53,2.61*(650-BJ43)*0.041*POWER(BJ37,0.82)/BJ38/BJ53))),"")</f>
        <v/>
      </c>
      <c r="BL52" s="659" t="str">
        <f aca="false">IF(AND(BL35&lt;&gt;"",BL36&lt;&gt;""),IF(BL38=0,2.55*100000*BL39*POWER(BL37,0.82)/BL53,IF(BL48="复合硅酸铝镁板",2.61*(650-BL43)*0.036*POWER(BL37,0.82)/BL38/BL53,IF(BL48="硅酸铝纤维制品",2.61*(650-BL43)*0.056*POWER(BL37,0.82)/BL38/BL53,2.61*(650-BL43)*0.041*POWER(BL37,0.82)/BL38/BL53))),"")</f>
        <v/>
      </c>
      <c r="BN52" s="659" t="str">
        <f aca="false">IF(AND(BN35&lt;&gt;"",BN36&lt;&gt;""),IF(BN38=0,2.55*100000*BN39*POWER(BN37,0.82)/BN53,IF(BN48="复合硅酸铝镁板",2.61*(650-BN43)*0.036*POWER(BN37,0.82)/BN38/BN53,IF(BN48="硅酸铝纤维制品",2.61*(650-BN43)*0.056*POWER(BN37,0.82)/BN38/BN53,2.61*(650-BN43)*0.041*POWER(BN37,0.82)/BN38/BN53))),"")</f>
        <v/>
      </c>
      <c r="BP52" s="659" t="str">
        <f aca="false">IF(AND(BP35&lt;&gt;"",BP36&lt;&gt;""),IF(BP38=0,2.55*100000*BP39*POWER(BP37,0.82)/BP53,IF(BP48="复合硅酸铝镁板",2.61*(650-BP43)*0.036*POWER(BP37,0.82)/BP38/BP53,IF(BP48="硅酸铝纤维制品",2.61*(650-BP43)*0.056*POWER(BP37,0.82)/BP38/BP53,2.61*(650-BP43)*0.041*POWER(BP37,0.82)/BP38/BP53))),"")</f>
        <v/>
      </c>
      <c r="BR52" s="659" t="str">
        <f aca="false">IF(AND(BR35&lt;&gt;"",BR36&lt;&gt;""),IF(BR38=0,2.55*100000*BR39*POWER(BR37,0.82)/BR53,IF(BR48="复合硅酸铝镁板",2.61*(650-BR43)*0.036*POWER(BR37,0.82)/BR38/BR53,IF(BR48="硅酸铝纤维制品",2.61*(650-BR43)*0.056*POWER(BR37,0.82)/BR38/BR53,2.61*(650-BR43)*0.041*POWER(BR37,0.82)/BR38/BR53))),"")</f>
        <v/>
      </c>
      <c r="BT52" s="659" t="str">
        <f aca="false">IF(AND(BT35&lt;&gt;"",BT36&lt;&gt;""),IF(BT38=0,2.55*100000*BT39*POWER(BT37,0.82)/BT53,IF(BT48="复合硅酸铝镁板",2.61*(650-BT43)*0.036*POWER(BT37,0.82)/BT38/BT53,IF(BT48="硅酸铝纤维制品",2.61*(650-BT43)*0.056*POWER(BT37,0.82)/BT38/BT53,2.61*(650-BT43)*0.041*POWER(BT37,0.82)/BT38/BT53))),"")</f>
        <v/>
      </c>
      <c r="BV52" s="659" t="str">
        <f aca="false">IF(AND(BV35&lt;&gt;"",BV36&lt;&gt;""),IF(BV38=0,2.55*100000*BV39*POWER(BV37,0.82)/BV53,IF(BV48="复合硅酸铝镁板",2.61*(650-BV43)*0.036*POWER(BV37,0.82)/BV38/BV53,IF(BV48="硅酸铝纤维制品",2.61*(650-BV43)*0.056*POWER(BV37,0.82)/BV38/BV53,2.61*(650-BV43)*0.041*POWER(BV37,0.82)/BV38/BV53))),"")</f>
        <v/>
      </c>
      <c r="BX52" s="659" t="str">
        <f aca="false">IF(AND(BX35&lt;&gt;"",BX36&lt;&gt;""),IF(BX38=0,2.55*100000*BX39*POWER(BX37,0.82)/BX53,IF(BX48="复合硅酸铝镁板",2.61*(650-BX43)*0.036*POWER(BX37,0.82)/BX38/BX53,IF(BX48="硅酸铝纤维制品",2.61*(650-BX43)*0.056*POWER(BX37,0.82)/BX38/BX53,2.61*(650-BX43)*0.041*POWER(BX37,0.82)/BX38/BX53))),"")</f>
        <v/>
      </c>
      <c r="BZ52" s="659" t="str">
        <f aca="false">IF(AND(BZ35&lt;&gt;"",BZ36&lt;&gt;""),IF(BZ38=0,2.55*100000*BZ39*POWER(BZ37,0.82)/BZ53,IF(BZ48="复合硅酸铝镁板",2.61*(650-BZ43)*0.036*POWER(BZ37,0.82)/BZ38/BZ53,IF(BZ48="硅酸铝纤维制品",2.61*(650-BZ43)*0.056*POWER(BZ37,0.82)/BZ38/BZ53,2.61*(650-BZ43)*0.041*POWER(BZ37,0.82)/BZ38/BZ53))),"")</f>
        <v/>
      </c>
      <c r="CB52" s="659" t="str">
        <f aca="false">IF(AND(CB35&lt;&gt;"",CB36&lt;&gt;""),IF(CB38=0,2.55*100000*CB39*POWER(CB37,0.82)/CB53,IF(CB48="复合硅酸铝镁板",2.61*(650-CB43)*0.036*POWER(CB37,0.82)/CB38/CB53,IF(CB48="硅酸铝纤维制品",2.61*(650-CB43)*0.056*POWER(CB37,0.82)/CB38/CB53,2.61*(650-CB43)*0.041*POWER(CB37,0.82)/CB38/CB53))),"")</f>
        <v/>
      </c>
      <c r="CD52" s="659" t="str">
        <f aca="false">IF(AND(CD35&lt;&gt;"",CD36&lt;&gt;""),IF(CD38=0,2.55*100000*CD39*POWER(CD37,0.82)/CD53,IF(CD48="复合硅酸铝镁板",2.61*(650-CD43)*0.036*POWER(CD37,0.82)/CD38/CD53,IF(CD48="硅酸铝纤维制品",2.61*(650-CD43)*0.056*POWER(CD37,0.82)/CD38/CD53,2.61*(650-CD43)*0.041*POWER(CD37,0.82)/CD38/CD53))),"")</f>
        <v/>
      </c>
      <c r="CF52" s="659" t="str">
        <f aca="false">IF(AND(CF35&lt;&gt;"",CF36&lt;&gt;""),IF(CF38=0,2.55*100000*CF39*POWER(CF37,0.82)/CF53,IF(CF48="复合硅酸铝镁板",2.61*(650-CF43)*0.036*POWER(CF37,0.82)/CF38/CF53,IF(CF48="硅酸铝纤维制品",2.61*(650-CF43)*0.056*POWER(CF37,0.82)/CF38/CF53,2.61*(650-CF43)*0.041*POWER(CF37,0.82)/CF38/CF53))),"")</f>
        <v/>
      </c>
      <c r="CH52" s="659" t="str">
        <f aca="false">IF(AND(CH35&lt;&gt;"",CH36&lt;&gt;""),IF(CH38=0,2.55*100000*CH39*POWER(CH37,0.82)/CH53,IF(CH48="复合硅酸铝镁板",2.61*(650-CH43)*0.036*POWER(CH37,0.82)/CH38/CH53,IF(CH48="硅酸铝纤维制品",2.61*(650-CH43)*0.056*POWER(CH37,0.82)/CH38/CH53,2.61*(650-CH43)*0.041*POWER(CH37,0.82)/CH38/CH53))),"")</f>
        <v/>
      </c>
      <c r="CJ52" s="661"/>
    </row>
    <row r="53" s="578" customFormat="true" ht="15" hidden="false" customHeight="false" outlineLevel="0" collapsed="false">
      <c r="A53" s="443" t="s">
        <v>1144</v>
      </c>
      <c r="B53" s="641"/>
      <c r="C53" s="641"/>
      <c r="D53" s="641"/>
      <c r="E53" s="641"/>
      <c r="F53" s="641"/>
      <c r="G53" s="641"/>
      <c r="J53" s="641"/>
      <c r="K53" s="641"/>
      <c r="L53" s="641"/>
      <c r="M53" s="641"/>
      <c r="N53" s="641"/>
      <c r="O53" s="641"/>
      <c r="P53" s="641"/>
      <c r="Q53" s="641"/>
      <c r="AH53" s="578" t="n">
        <v>2013</v>
      </c>
      <c r="AN53" s="578" t="n">
        <f aca="false">'安全阀选型(基础设计)'!AN42:AO42</f>
        <v>1987.2</v>
      </c>
      <c r="CJ53" s="582"/>
    </row>
    <row r="54" s="659" customFormat="true" ht="15" hidden="false" customHeight="false" outlineLevel="0" collapsed="false">
      <c r="A54" s="659" t="s">
        <v>1145</v>
      </c>
      <c r="B54" s="659" t="str">
        <f aca="false">IF(AND(B35&lt;&gt;"",B36&lt;&gt;""),IF(B9/B15&gt;POWER(2/(B46+1),B46/(B46-1)),0.0179*B52*SQRT(B49*(B43+273)/B45)/B28/B15/SQRT(B46/(B46-1)*(POWER(B9/B15,2/B46)-POWER(B9/B15,(B46+1)/B46))),13.16*B52/B47/B28/B15*SQRT(B49*(B43+273)/B45)),"")</f>
        <v/>
      </c>
      <c r="D54" s="659" t="str">
        <f aca="false">IF(AND(D35&lt;&gt;"",D36&lt;&gt;""),IF(D9/D15&gt;POWER(2/(D46+1),D46/(D46-1)),0.0179*D52*SQRT(D49*(D43+273)/D45)/D28/D15/SQRT(D46/(D46-1)*(POWER(D9/D15,2/D46)-POWER(D9/D15,(D46+1)/D46))),13.16*D52/D47/D28/D15*SQRT(D49*(D43+273)/D45)),"")</f>
        <v/>
      </c>
      <c r="F54" s="659" t="str">
        <f aca="false">IF(AND(F35&lt;&gt;"",F36&lt;&gt;""),IF(F9/F15&gt;POWER(2/(F46+1),F46/(F46-1)),0.0179*F52*SQRT(F49*(F43+273)/F45)/F28/F15/SQRT(F46/(F46-1)*(POWER(F9/F15,2/F46)-POWER(F9/F15,(F46+1)/F46))),13.16*F52/F47/F28/F15*SQRT(F49*(F43+273)/F45)),"")</f>
        <v/>
      </c>
      <c r="H54" s="659" t="str">
        <f aca="false">IF(AND(H35&lt;&gt;"",H36&lt;&gt;""),IF(H9/H15&gt;POWER(2/(H46+1),H46/(H46-1)),0.0179*H52*SQRT(H49*(H43+273)/H45)/H28/H15/SQRT(H46/(H46-1)*(POWER(H9/H15,2/H46)-POWER(H9/H15,(H46+1)/H46))),13.16*H52/H47/H28/H15*SQRT(H49*(H43+273)/H45)),"")</f>
        <v/>
      </c>
      <c r="J54" s="659" t="str">
        <f aca="false">IF(AND(J35&lt;&gt;"",J36&lt;&gt;""),IF(J9/J15&gt;POWER(2/(J46+1),J46/(J46-1)),0.0179*J52*SQRT(J49*(J43+273)/J45)/J28/J15/SQRT(J46/(J46-1)*(POWER(J9/J15,2/J46)-POWER(J9/J15,(J46+1)/J46))),13.16*J52/J47/J28/J15*SQRT(J49*(J43+273)/J45)),"")</f>
        <v/>
      </c>
      <c r="L54" s="659" t="n">
        <f aca="false">'安全阀选型(基础设计)'!L43:M43</f>
        <v>2287</v>
      </c>
      <c r="N54" s="659" t="n">
        <f aca="false">'安全阀选型(基础设计)'!N43:O43</f>
        <v>4787</v>
      </c>
      <c r="P54" s="659" t="n">
        <f aca="false">'安全阀选型(基础设计)'!P43:Q43</f>
        <v>9090.1425435283</v>
      </c>
      <c r="R54" s="659" t="str">
        <f aca="false">IF(AND(R35&lt;&gt;"",R36&lt;&gt;""),IF(R9/R15&gt;POWER(2/(R46+1),R46/(R46-1)),0.0179*R52*SQRT(R49*(R43+273)/R45)/R28/R15/SQRT(R46/(R46-1)*(POWER(R9/R15,2/R46)-POWER(R9/R15,(R46+1)/R46))),13.16*R52/R47/R28/R15*SQRT(R49*(R43+273)/R45)),"")</f>
        <v/>
      </c>
      <c r="T54" s="659" t="str">
        <f aca="false">IF(AND(T35&lt;&gt;"",T36&lt;&gt;""),IF(T9/T15&gt;POWER(2/(T46+1),T46/(T46-1)),0.0179*T52*SQRT(T49*(T43+273)/T45)/T28/T15/SQRT(T46/(T46-1)*(POWER(T9/T15,2/T46)-POWER(T9/T15,(T46+1)/T46))),13.16*T52/T47/T28/T15*SQRT(T49*(T43+273)/T45)),"")</f>
        <v/>
      </c>
      <c r="V54" s="659" t="str">
        <f aca="false">IF(AND(V35&lt;&gt;"",V36&lt;&gt;""),IF(V9/V15&gt;POWER(2/(V46+1),V46/(V46-1)),0.0179*V52*SQRT(V49*(V43+273)/V45)/V28/V15/SQRT(V46/(V46-1)*(POWER(V9/V15,2/V46)-POWER(V9/V15,(V46+1)/V46))),13.16*V52/V47/V28/V15*SQRT(V49*(V43+273)/V45)),"")</f>
        <v/>
      </c>
      <c r="X54" s="659" t="str">
        <f aca="false">IF(AND(X35&lt;&gt;"",X36&lt;&gt;""),IF(X9/X15&gt;POWER(2/(X46+1),X46/(X46-1)),0.0179*X52*SQRT(X49*(X43+273)/X45)/X28/X15/SQRT(X46/(X46-1)*(POWER(X9/X15,2/X46)-POWER(X9/X15,(X46+1)/X46))),13.16*X52/X47/X28/X15*SQRT(X49*(X43+273)/X45)),"")</f>
        <v/>
      </c>
      <c r="Z54" s="659" t="str">
        <f aca="false">IF(AND(Z35&lt;&gt;"",Z36&lt;&gt;""),IF(Z9/Z15&gt;POWER(2/(Z46+1),Z46/(Z46-1)),0.0179*Z52*SQRT(Z49*(Z43+273)/Z45)/Z28/Z15/SQRT(Z46/(Z46-1)*(POWER(Z9/Z15,2/Z46)-POWER(Z9/Z15,(Z46+1)/Z46))),13.16*Z52/Z47/Z28/Z15*SQRT(Z49*(Z43+273)/Z45)),"")</f>
        <v/>
      </c>
      <c r="AB54" s="659" t="str">
        <f aca="false">IF(AND(AB35&lt;&gt;"",AB36&lt;&gt;""),IF(AB9/AB41&gt;POWER(2/(AB46+1),AB46/(AB46-1)),0.0179*AB52*SQRT(AB49*(AB43+273)/AB45)/AB28/AB41/SQRT(AB46/(AB46-1)*(POWER(AB9/AB41,2/AB46)-POWER(AB9/AB41,(AB46+1)/AB46))),13.16*AB52/AB47/AB28/AB41*SQRT(AB49*(AB43+273)/AB45)),"")</f>
        <v/>
      </c>
      <c r="AD54" s="659" t="str">
        <f aca="false">IF(AND(AD35&lt;&gt;"",AD36&lt;&gt;""),IF(AD9/AD15&gt;POWER(2/(AD46+1),AD46/(AD46-1)),0.0179*AD52*SQRT(AD49*(AD43+273)/AD45)/AD28/AD15/SQRT(AD46/(AD46-1)*(POWER(AD9/AD15,2/AD46)-POWER(AD9/AD15,(AD46+1)/AD46))),13.16*AD52/AD47/AD28/AD15*SQRT(AD49*(AD43+273)/AD45)),"")</f>
        <v/>
      </c>
      <c r="AF54" s="659" t="str">
        <f aca="false">IF(AND(AF35&lt;&gt;"",AF36&lt;&gt;""),IF(AF9/AF15&gt;POWER(2/(AF46+1),AF46/(AF46-1)),0.0179*AF52*SQRT(AF49*(AF43+273)/AF45)/AF28/AF15/SQRT(AF46/(AF46-1)*(POWER(AF9/AF15,2/AF46)-POWER(AF9/AF15,(AF46+1)/AF46))),13.16*AF52/AF47/AF28/AF15*SQRT(AF49*(AF43+273)/AF45)),"")</f>
        <v/>
      </c>
      <c r="AH54" s="659" t="n">
        <f aca="false">IF(AND(AH35&lt;&gt;"",AH36&lt;&gt;""),IF(AH9/AH15&gt;POWER(2/(AH46+1),AH46/(AH46-1)),0.0179*AH52*SQRT(AH49*(AH43+273)/AH45)/AH28/AH15/SQRT(AH46/(AH46-1)*(POWER(AH9/AH15,2/AH46)-POWER(AH9/AH15,(AH46+1)/AH46))),13.16*AH52/AH47/AH28/AH15*SQRT(AH49*(AH43+273)/AH45)),"")</f>
        <v>256.038544177544</v>
      </c>
      <c r="AJ54" s="659" t="str">
        <f aca="false">IF(AND(AJ35&lt;&gt;"",AJ36&lt;&gt;""),IF(AJ9/AJ15&gt;POWER(2/(AJ46+1),AJ46/(AJ46-1)),0.0179*AJ52*SQRT(AJ49*(AJ43+273)/AJ45)/AJ28/AJ15/SQRT(AJ46/(AJ46-1)*(POWER(AJ9/AJ15,2/AJ46)-POWER(AJ9/AJ15,(AJ46+1)/AJ46))),13.16*AJ52/AJ47/AJ28/AJ15*SQRT(AJ49*(AJ43+273)/AJ45)),"")</f>
        <v/>
      </c>
      <c r="AL54" s="659" t="n">
        <f aca="false">'安全阀选型(基础设计)'!AL43:AM43</f>
        <v>155.15</v>
      </c>
      <c r="AN54" s="659" t="n">
        <f aca="false">IF(AND(AN35&lt;&gt;"",AN36&lt;&gt;""),IF(AN9/AN15&gt;POWER(2/(AN46+1),AN46/(AN46-1)),0.0179*AN52*SQRT(AN49*(AN43+273)/AN45)/AN28/AN15/SQRT(AN46/(AN46-1)*(POWER(AN9/AN15,2/AN46)-POWER(AN9/AN15,(AN46+1)/AN46))),13.16*AN52/AN47/AN28/AN15*SQRT(AN49*(AN43+273)/AN45)),"")</f>
        <v>526.635953540186</v>
      </c>
      <c r="AP54" s="659" t="str">
        <f aca="false">IF(AND(AP35&lt;&gt;"",AP36&lt;&gt;""),IF(AP9/AP15&gt;POWER(2/(AP46+1),AP46/(AP46-1)),0.0179*AP52*SQRT(AP49*(AP43+273)/AP45)/AP28/AP15/SQRT(AP46/(AP46-1)*(POWER(AP9/AP15,2/AP46)-POWER(AP9/AP15,(AP46+1)/AP46))),13.16*AP52/AP47/AP28/AP15*SQRT(AP49*(AP43+273)/AP45)),"")</f>
        <v/>
      </c>
      <c r="AR54" s="659" t="str">
        <f aca="false">IF(AND(AR35&lt;&gt;"",AR36&lt;&gt;""),IF(AR9/AR15&gt;POWER(2/(AR46+1),AR46/(AR46-1)),0.0179*AR52*SQRT(AR49*(AR43+273)/AR45)/AR28/AR15/SQRT(AR46/(AR46-1)*(POWER(AR9/AR15,2/AR46)-POWER(AR9/AR15,(AR46+1)/AR46))),13.16*AR52/AR47/AR28/AR15*SQRT(AR49*(AR43+273)/AR45)),"")</f>
        <v/>
      </c>
      <c r="AT54" s="659" t="str">
        <f aca="false">IF(AND(AT35&lt;&gt;"",AT36&lt;&gt;""),IF(AT9/AT15&gt;POWER(2/(AT46+1),AT46/(AT46-1)),0.0179*AT52*SQRT(AT49*(AT43+273)/AT45)/AT28/AT15/SQRT(AT46/(AT46-1)*(POWER(AT9/AT15,2/AT46)-POWER(AT9/AT15,(AT46+1)/AT46))),13.16*AT52/AT47/AT28/AT15*SQRT(AT49*(AT43+273)/AT45)),"")</f>
        <v/>
      </c>
      <c r="AV54" s="659" t="str">
        <f aca="false">IF(AND(AV35&lt;&gt;"",AV36&lt;&gt;""),IF(AV9/AV15&gt;POWER(2/(AV46+1),AV46/(AV46-1)),0.0179*AV52*SQRT(AV49*(AV43+273)/AV45)/AV28/AV15/SQRT(AV46/(AV46-1)*(POWER(AV9/AV15,2/AV46)-POWER(AV9/AV15,(AV46+1)/AV46))),13.16*AV52/AV47/AV28/AV15*SQRT(AV49*(AV43+273)/AV45)),"")</f>
        <v/>
      </c>
      <c r="AX54" s="659" t="str">
        <f aca="false">IF(AND(AX35&lt;&gt;"",AX36&lt;&gt;""),IF(AX9/AX15&gt;POWER(2/(AX46+1),AX46/(AX46-1)),0.0179*AX52*SQRT(AX49*(AX43+273)/AX45)/AX28/AX15/SQRT(AX46/(AX46-1)*(POWER(AX9/AX15,2/AX46)-POWER(AX9/AX15,(AX46+1)/AX46))),13.16*AX52/AX47/AX28/AX15*SQRT(AX49*(AX43+273)/AX45)),"")</f>
        <v/>
      </c>
      <c r="AZ54" s="659" t="str">
        <f aca="false">IF(AND(AZ35&lt;&gt;"",AZ36&lt;&gt;""),IF(AZ9/AZ15&gt;POWER(2/(AZ46+1),AZ46/(AZ46-1)),0.0179*AZ52*SQRT(AZ49*(AZ43+273)/AZ45)/AZ28/AZ15/SQRT(AZ46/(AZ46-1)*(POWER(AZ9/AZ15,2/AZ46)-POWER(AZ9/AZ15,(AZ46+1)/AZ46))),13.16*AZ52/AZ47/AZ28/AZ15*SQRT(AZ49*(AZ43+273)/AZ45)),"")</f>
        <v/>
      </c>
      <c r="BB54" s="659" t="str">
        <f aca="false">IF(AND(BB35&lt;&gt;"",BB36&lt;&gt;""),IF(BB9/BB15&gt;POWER(2/(BB46+1),BB46/(BB46-1)),0.0179*BB52*SQRT(BB49*(BB43+273)/BB45)/BB28/BB15/SQRT(BB46/(BB46-1)*(POWER(BB9/BB15,2/BB46)-POWER(BB9/BB15,(BB46+1)/BB46))),13.16*BB52/BB47/BB28/BB15*SQRT(BB49*(BB43+273)/BB45)),"")</f>
        <v/>
      </c>
      <c r="BD54" s="659" t="str">
        <f aca="false">IF(AND(BD35&lt;&gt;"",BD36&lt;&gt;""),IF(BD9/BD15&gt;POWER(2/(BD46+1),BD46/(BD46-1)),0.0179*BD52*SQRT(BD49*(BD43+273)/BD45)/BD28/BD15/SQRT(BD46/(BD46-1)*(POWER(BD9/BD15,2/BD46)-POWER(BD9/BD15,(BD46+1)/BD46))),13.16*BD52/BD47/BD28/BD15*SQRT(BD49*(BD43+273)/BD45)),"")</f>
        <v/>
      </c>
      <c r="BF54" s="659" t="str">
        <f aca="false">IF(AND(BF35&lt;&gt;"",BF36&lt;&gt;""),IF(BF9/BF15&gt;POWER(2/(BF46+1),BF46/(BF46-1)),0.0179*BF52*SQRT(BF49*(BF43+273)/BF45)/BF28/BF15/SQRT(BF46/(BF46-1)*(POWER(BF9/BF15,2/BF46)-POWER(BF9/BF15,(BF46+1)/BF46))),13.16*BF52/BF47/BF28/BF15*SQRT(BF49*(BF43+273)/BF45)),"")</f>
        <v/>
      </c>
      <c r="BH54" s="659" t="str">
        <f aca="false">IF(AND(BH35&lt;&gt;"",BH36&lt;&gt;""),IF(BH9/BH15&gt;POWER(2/(BH46+1),BH46/(BH46-1)),0.0179*BH52*SQRT(BH49*(BH43+273)/BH45)/BH28/BH15/SQRT(BH46/(BH46-1)*(POWER(BH9/BH15,2/BH46)-POWER(BH9/BH15,(BH46+1)/BH46))),13.16*BH52/BH47/BH28/BH15*SQRT(BH49*(BH43+273)/BH45)),"")</f>
        <v/>
      </c>
      <c r="BJ54" s="659" t="str">
        <f aca="false">IF(AND(BJ35&lt;&gt;"",BJ36&lt;&gt;""),IF(BJ9/BJ15&gt;POWER(2/(BJ46+1),BJ46/(BJ46-1)),0.0179*BJ52*SQRT(BJ49*(BJ43+273)/BJ45)/BJ28/BJ15/SQRT(BJ46/(BJ46-1)*(POWER(BJ9/BJ15,2/BJ46)-POWER(BJ9/BJ15,(BJ46+1)/BJ46))),13.16*BJ52/BJ47/BJ28/BJ15*SQRT(BJ49*(BJ43+273)/BJ45)),"")</f>
        <v/>
      </c>
      <c r="BL54" s="659" t="str">
        <f aca="false">IF(AND(BL35&lt;&gt;"",BL36&lt;&gt;""),IF(BL9/BL41&gt;POWER(2/(BL46+1),BL46/(BL46-1)),0.0179*BL52*SQRT(BL49*(BL43+273)/BL45)/BL28/BL41/SQRT(BL46/(BL46-1)*(POWER(BL9/BL41,2/BL46)-POWER(BL9/BL41,(BL46+1)/BL46))),13.16*BL52/BL47/BL28/BL41*SQRT(BL49*(BL43+273)/BL45)),"")</f>
        <v/>
      </c>
      <c r="BN54" s="659" t="str">
        <f aca="false">IF(AND(BN35&lt;&gt;"",BN36&lt;&gt;""),IF(BN9/BN15&gt;POWER(2/(BN46+1),BN46/(BN46-1)),0.0179*BN52*SQRT(BN49*(BN43+273)/BN45)/BN28/BN15/SQRT(BN46/(BN46-1)*(POWER(BN9/BN15,2/BN46)-POWER(BN9/BN15,(BN46+1)/BN46))),13.16*BN52/BN47/BN28/BN15*SQRT(BN49*(BN43+273)/BN45)),"")</f>
        <v/>
      </c>
      <c r="BP54" s="659" t="str">
        <f aca="false">IF(AND(BP35&lt;&gt;"",BP36&lt;&gt;""),IF(BP9/BP15&gt;POWER(2/(BP46+1),BP46/(BP46-1)),0.0179*BP52*SQRT(BP49*(BP43+273)/BP45)/BP28/BP15/SQRT(BP46/(BP46-1)*(POWER(BP9/BP15,2/BP46)-POWER(BP9/BP15,(BP46+1)/BP46))),13.16*BP52/BP47/BP28/BP15*SQRT(BP49*(BP43+273)/BP45)),"")</f>
        <v/>
      </c>
      <c r="BR54" s="659" t="str">
        <f aca="false">IF(AND(BR35&lt;&gt;"",BR36&lt;&gt;""),IF(BR9/BR15&gt;POWER(2/(BR46+1),BR46/(BR46-1)),0.0179*BR52*SQRT(BR49*(BR43+273)/BR45)/BR28/BR15/SQRT(BR46/(BR46-1)*(POWER(BR9/BR15,2/BR46)-POWER(BR9/BR15,(BR46+1)/BR46))),13.16*BR52/BR47/BR28/BR15*SQRT(BR49*(BR43+273)/BR45)),"")</f>
        <v/>
      </c>
      <c r="BT54" s="659" t="str">
        <f aca="false">IF(AND(BT35&lt;&gt;"",BT36&lt;&gt;""),IF(BT9/BT15&gt;POWER(2/(BT46+1),BT46/(BT46-1)),0.0179*BT52*SQRT(BT49*(BT43+273)/BT45)/BT28/BT15/SQRT(BT46/(BT46-1)*(POWER(BT9/BT15,2/BT46)-POWER(BT9/BT15,(BT46+1)/BT46))),13.16*BT52/BT47/BT28/BT15*SQRT(BT49*(BT43+273)/BT45)),"")</f>
        <v/>
      </c>
      <c r="BV54" s="659" t="str">
        <f aca="false">IF(AND(BV35&lt;&gt;"",BV36&lt;&gt;""),IF(BV9/BV15&gt;POWER(2/(BV46+1),BV46/(BV46-1)),0.0179*BV52*SQRT(BV49*(BV43+273)/BV45)/BV28/BV15/SQRT(BV46/(BV46-1)*(POWER(BV9/BV15,2/BV46)-POWER(BV9/BV15,(BV46+1)/BV46))),13.16*BV52/BV47/BV28/BV15*SQRT(BV49*(BV43+273)/BV45)),"")</f>
        <v/>
      </c>
      <c r="BX54" s="659" t="str">
        <f aca="false">IF(AND(BX35&lt;&gt;"",BX36&lt;&gt;""),IF(BX9/BX15&gt;POWER(2/(BX46+1),BX46/(BX46-1)),0.0179*BX52*SQRT(BX49*(BX43+273)/BX45)/BX28/BX15/SQRT(BX46/(BX46-1)*(POWER(BX9/BX15,2/BX46)-POWER(BX9/BX15,(BX46+1)/BX46))),13.16*BX52/BX47/BX28/BX15*SQRT(BX49*(BX43+273)/BX45)),"")</f>
        <v/>
      </c>
      <c r="BZ54" s="659" t="str">
        <f aca="false">IF(AND(BZ35&lt;&gt;"",BZ36&lt;&gt;""),IF(BZ9/BZ15&gt;POWER(2/(BZ46+1),BZ46/(BZ46-1)),0.0179*BZ52*SQRT(BZ49*(BZ43+273)/BZ45)/BZ28/BZ15/SQRT(BZ46/(BZ46-1)*(POWER(BZ9/BZ15,2/BZ46)-POWER(BZ9/BZ15,(BZ46+1)/BZ46))),13.16*BZ52/BZ47/BZ28/BZ15*SQRT(BZ49*(BZ43+273)/BZ45)),"")</f>
        <v/>
      </c>
      <c r="CB54" s="659" t="str">
        <f aca="false">IF(AND(CB35&lt;&gt;"",CB36&lt;&gt;""),IF(CB9/CB15&gt;POWER(2/(CB46+1),CB46/(CB46-1)),0.0179*CB52*SQRT(CB49*(CB43+273)/CB45)/CB28/CB15/SQRT(CB46/(CB46-1)*(POWER(CB9/CB15,2/CB46)-POWER(CB9/CB15,(CB46+1)/CB46))),13.16*CB52/CB47/CB28/CB15*SQRT(CB49*(CB43+273)/CB45)),"")</f>
        <v/>
      </c>
      <c r="CD54" s="659" t="str">
        <f aca="false">IF(AND(CD35&lt;&gt;"",CD36&lt;&gt;""),IF(CD9/CD15&gt;POWER(2/(CD46+1),CD46/(CD46-1)),0.0179*CD52*SQRT(CD49*(CD43+273)/CD45)/CD28/CD15/SQRT(CD46/(CD46-1)*(POWER(CD9/CD15,2/CD46)-POWER(CD9/CD15,(CD46+1)/CD46))),13.16*CD52/CD47/CD28/CD15*SQRT(CD49*(CD43+273)/CD45)),"")</f>
        <v/>
      </c>
      <c r="CF54" s="659" t="str">
        <f aca="false">IF(AND(CF35&lt;&gt;"",CF36&lt;&gt;""),IF(CF9/CF15&gt;POWER(2/(CF46+1),CF46/(CF46-1)),0.0179*CF52*SQRT(CF49*(CF43+273)/CF45)/CF28/CF15/SQRT(CF46/(CF46-1)*(POWER(CF9/CF15,2/CF46)-POWER(CF9/CF15,(CF46+1)/CF46))),13.16*CF52/CF47/CF28/CF15*SQRT(CF49*(CF43+273)/CF45)),"")</f>
        <v/>
      </c>
      <c r="CH54" s="659" t="str">
        <f aca="false">IF(AND(CH35&lt;&gt;"",CH36&lt;&gt;""),IF(CH9/CH15&gt;POWER(2/(CH46+1),CH46/(CH46-1)),0.0179*CH52*SQRT(CH49*(CH43+273)/CH45)/CH28/CH15/SQRT(CH46/(CH46-1)*(POWER(CH9/CH15,2/CH46)-POWER(CH9/CH15,(CH46+1)/CH46))),13.16*CH52/CH47/CH28/CH15*SQRT(CH49*(CH43+273)/CH45)),"")</f>
        <v/>
      </c>
    </row>
    <row r="55" s="397" customFormat="true" ht="15" hidden="false" customHeight="false" outlineLevel="0" collapsed="false">
      <c r="B55" s="663"/>
      <c r="C55" s="663"/>
      <c r="D55" s="663"/>
      <c r="E55" s="663"/>
      <c r="F55" s="663"/>
      <c r="G55" s="663"/>
      <c r="H55" s="663"/>
      <c r="I55" s="663"/>
      <c r="J55" s="663"/>
      <c r="K55" s="663"/>
      <c r="L55" s="663"/>
      <c r="M55" s="663"/>
      <c r="N55" s="663"/>
      <c r="O55" s="663"/>
      <c r="P55" s="663"/>
      <c r="Q55" s="663"/>
      <c r="CJ55" s="390"/>
    </row>
    <row r="56" s="397" customFormat="true" ht="15" hidden="false" customHeight="false" outlineLevel="0" collapsed="false">
      <c r="A56" s="397" t="s">
        <v>1146</v>
      </c>
      <c r="B56" s="616" t="str">
        <f aca="false">IF(B32="","",IF(B54="","动力故障",IF(B32&gt;B54,"动力故障","火灾")))</f>
        <v>动力故障</v>
      </c>
      <c r="C56" s="616"/>
      <c r="D56" s="616" t="str">
        <f aca="false">IF(D32="","",IF(D54="","动力故障",IF(D32&gt;D54,"动力故障","火灾")))</f>
        <v>动力故障</v>
      </c>
      <c r="E56" s="616"/>
      <c r="F56" s="616" t="str">
        <f aca="false">IF(F32="","",IF(F54="","动力故障",IF(F32&gt;F54,"动力故障","火灾")))</f>
        <v>动力故障</v>
      </c>
      <c r="G56" s="616"/>
      <c r="H56" s="616" t="str">
        <f aca="false">IF(H32="","",IF(H54="","动力故障",IF(H32&gt;H54,"动力故障","火灾")))</f>
        <v>动力故障</v>
      </c>
      <c r="I56" s="616"/>
      <c r="J56" s="616" t="str">
        <f aca="false">IF(J32="","",IF(J54="","动力故障",IF(J32&gt;J54,"动力故障","火灾")))</f>
        <v>动力故障</v>
      </c>
      <c r="K56" s="616"/>
      <c r="L56" s="616" t="str">
        <f aca="false">IF(L32="","",IF(L54="","动力故障",IF(L32&gt;L54,"动力故障","火灾")))</f>
        <v>动力故障</v>
      </c>
      <c r="M56" s="616"/>
      <c r="N56" s="616" t="str">
        <f aca="false">IF(N32="","",IF(N54="","动力故障",IF(N32&gt;N54,"动力故障","火灾")))</f>
        <v>动力故障</v>
      </c>
      <c r="O56" s="616"/>
      <c r="P56" s="616" t="str">
        <f aca="false">IF(P32="","",IF(P54="","动力故障",IF(P32&gt;P54,"动力故障","火灾")))</f>
        <v>动力故障</v>
      </c>
      <c r="Q56" s="616"/>
      <c r="R56" s="616" t="str">
        <f aca="false">IF(R32="","",IF(R54="","动力故障",IF(R32&gt;R54,"动力故障","火灾")))</f>
        <v>动力故障</v>
      </c>
      <c r="S56" s="616"/>
      <c r="T56" s="616" t="str">
        <f aca="false">IF(T32="","",IF(T54="","动力故障",IF(T32&gt;T54,"动力故障","火灾")))</f>
        <v>动力故障</v>
      </c>
      <c r="U56" s="616"/>
      <c r="V56" s="616" t="str">
        <f aca="false">IF(V32="","",IF(V54="","动力故障",IF(V32&gt;V54,"动力故障","火灾")))</f>
        <v>动力故障</v>
      </c>
      <c r="W56" s="616"/>
      <c r="X56" s="616" t="str">
        <f aca="false">IF(X32="","",IF(X54="","动力故障",IF(X32&gt;X54,"动力故障","火灾")))</f>
        <v>动力故障</v>
      </c>
      <c r="Y56" s="616"/>
      <c r="Z56" s="616" t="str">
        <f aca="false">IF(Z32="","",IF(Z54="","动力故障",IF(Z32&gt;Z54,"动力故障","火灾")))</f>
        <v>动力故障</v>
      </c>
      <c r="AA56" s="616"/>
      <c r="AB56" s="616" t="str">
        <f aca="false">IF(AB32="","",IF(AB54="","动力故障",IF(AB32&gt;AB54,"动力故障","火灾")))</f>
        <v>动力故障</v>
      </c>
      <c r="AC56" s="616"/>
      <c r="AD56" s="616" t="str">
        <f aca="false">IF(AD32="","",IF(AD54="","动力故障",IF(AD32&gt;AD54,"动力故障","火灾")))</f>
        <v>动力故障</v>
      </c>
      <c r="AE56" s="616"/>
      <c r="AF56" s="616" t="str">
        <f aca="false">IF(AF32="","",IF(AF54="","动力故障",IF(AF32&gt;AF54,"动力故障","火灾")))</f>
        <v>动力故障</v>
      </c>
      <c r="AG56" s="616"/>
      <c r="AH56" s="616" t="str">
        <f aca="false">IF(AH32="","",IF(AH54="","动力故障",IF(AH32&gt;AH54,"动力故障","火灾")))</f>
        <v>火灾</v>
      </c>
      <c r="AI56" s="616"/>
      <c r="AJ56" s="616" t="str">
        <f aca="false">IF(AJ32="","",IF(AJ54="","动力故障",IF(AJ32&gt;AJ54,"动力故障","火灾")))</f>
        <v>动力故障</v>
      </c>
      <c r="AK56" s="616"/>
      <c r="AL56" s="616" t="str">
        <f aca="false">IF(AL32="","",IF(AL54="","动力故障",IF(AL32&gt;AL54,"动力故障","火灾")))</f>
        <v>动力故障</v>
      </c>
      <c r="AM56" s="616"/>
      <c r="AN56" s="616" t="str">
        <f aca="false">IF(AN32="","",IF(AN54="","动力故障",IF(AN32&gt;AN54,"动力故障","火灾")))</f>
        <v>动力故障</v>
      </c>
      <c r="AO56" s="616"/>
      <c r="AP56" s="616" t="str">
        <f aca="false">IF(AP32="","",IF(AP54="","动力故障",IF(AP32&gt;AP54,"动力故障","火灾")))</f>
        <v>动力故障</v>
      </c>
      <c r="AQ56" s="616"/>
      <c r="AR56" s="616" t="str">
        <f aca="false">IF(AR32="","",IF(AR54="","动力故障",IF(AR32&gt;AR54,"动力故障","火灾")))</f>
        <v>动力故障</v>
      </c>
      <c r="AS56" s="616"/>
      <c r="AT56" s="616" t="str">
        <f aca="false">IF(AT32="","",IF(AT54="","动力故障",IF(AT32&gt;AT54,"动力故障","火灾")))</f>
        <v>动力故障</v>
      </c>
      <c r="AU56" s="616"/>
      <c r="AV56" s="616" t="str">
        <f aca="false">IF(AV32="","",IF(AV54="","动力故障",IF(AV32&gt;AV54,"动力故障","火灾")))</f>
        <v>动力故障</v>
      </c>
      <c r="AW56" s="616"/>
      <c r="AX56" s="616" t="str">
        <f aca="false">IF(AX32="","",IF(AX54="","动力故障",IF(AX32&gt;AX54,"动力故障","火灾")))</f>
        <v>动力故障</v>
      </c>
      <c r="AY56" s="616"/>
      <c r="AZ56" s="616" t="str">
        <f aca="false">IF(AZ32="","",IF(AZ54="","动力故障",IF(AZ32&gt;AZ54,"动力故障","火灾")))</f>
        <v>动力故障</v>
      </c>
      <c r="BA56" s="616"/>
      <c r="BB56" s="616" t="str">
        <f aca="false">IF(BB32="","",IF(BB54="","动力故障",IF(BB32&gt;BB54,"动力故障","火灾")))</f>
        <v/>
      </c>
      <c r="BC56" s="616"/>
      <c r="BD56" s="616" t="str">
        <f aca="false">IF(BD32="","",IF(BD54="","动力故障",IF(BD32&gt;BD54,"动力故障","火灾")))</f>
        <v/>
      </c>
      <c r="BE56" s="616"/>
      <c r="BF56" s="616" t="str">
        <f aca="false">IF(BF32="","",IF(BF54="","动力故障",IF(BF32&gt;BF54,"动力故障","火灾")))</f>
        <v/>
      </c>
      <c r="BG56" s="616"/>
      <c r="BH56" s="616" t="str">
        <f aca="false">IF(BH32="","",IF(BH54="","动力故障",IF(BH32&gt;BH54,"动力故障","火灾")))</f>
        <v/>
      </c>
      <c r="BI56" s="616"/>
      <c r="BJ56" s="616" t="str">
        <f aca="false">IF(BJ32="","",IF(BJ54="","动力故障",IF(BJ32&gt;BJ54,"动力故障","火灾")))</f>
        <v/>
      </c>
      <c r="BK56" s="616"/>
      <c r="BL56" s="616" t="str">
        <f aca="false">IF(BL32="","",IF(BL54="","动力故障",IF(BL32&gt;BL54,"动力故障","火灾")))</f>
        <v/>
      </c>
      <c r="BM56" s="616"/>
      <c r="BN56" s="616" t="str">
        <f aca="false">IF(BN32="","",IF(BN54="","动力故障",IF(BN32&gt;BN54,"动力故障","火灾")))</f>
        <v/>
      </c>
      <c r="BO56" s="616"/>
      <c r="BP56" s="616" t="str">
        <f aca="false">IF(BP32="","",IF(BP54="","动力故障",IF(BP32&gt;BP54,"动力故障","火灾")))</f>
        <v/>
      </c>
      <c r="BQ56" s="616"/>
      <c r="BR56" s="616" t="str">
        <f aca="false">IF(BR32="","",IF(BR54="","动力故障",IF(BR32&gt;BR54,"动力故障","火灾")))</f>
        <v/>
      </c>
      <c r="BS56" s="616"/>
      <c r="BT56" s="616" t="str">
        <f aca="false">IF(BT32="","",IF(BT54="","动力故障",IF(BT32&gt;BT54,"动力故障","火灾")))</f>
        <v/>
      </c>
      <c r="BU56" s="616"/>
      <c r="BV56" s="616" t="str">
        <f aca="false">IF(BV32="","",IF(BV54="","动力故障",IF(BV32&gt;BV54,"动力故障","火灾")))</f>
        <v/>
      </c>
      <c r="BW56" s="616"/>
      <c r="BX56" s="616" t="str">
        <f aca="false">IF(BX32="","",IF(BX54="","动力故障",IF(BX32&gt;BX54,"动力故障","火灾")))</f>
        <v/>
      </c>
      <c r="BY56" s="616"/>
      <c r="BZ56" s="616" t="str">
        <f aca="false">IF(BZ32="","",IF(BZ54="","动力故障",IF(BZ32&gt;BZ54,"动力故障","火灾")))</f>
        <v/>
      </c>
      <c r="CA56" s="616"/>
      <c r="CB56" s="616" t="str">
        <f aca="false">IF(CB32="","",IF(CB54="","动力故障",IF(CB32&gt;CB54,"动力故障","火灾")))</f>
        <v/>
      </c>
      <c r="CC56" s="616"/>
      <c r="CD56" s="616" t="str">
        <f aca="false">IF(CD32="","",IF(CD54="","动力故障",IF(CD32&gt;CD54,"动力故障","火灾")))</f>
        <v/>
      </c>
      <c r="CE56" s="616"/>
      <c r="CF56" s="616" t="str">
        <f aca="false">IF(CF32="","",IF(CF54="","动力故障",IF(CF32&gt;CF54,"动力故障","火灾")))</f>
        <v/>
      </c>
      <c r="CG56" s="616"/>
      <c r="CH56" s="616" t="str">
        <f aca="false">IF(CH32="","",IF(CH54="","动力故障",IF(CH32&gt;CH54,"动力故障","火灾")))</f>
        <v/>
      </c>
      <c r="CI56" s="616"/>
      <c r="CJ56" s="390"/>
    </row>
    <row r="57" s="397" customFormat="true" ht="15" hidden="false" customHeight="false" outlineLevel="0" collapsed="false">
      <c r="A57" s="397" t="s">
        <v>1116</v>
      </c>
      <c r="B57" s="616" t="str">
        <f aca="false">IF(OR(B32&lt;&gt;"",B54&lt;&gt;""),IF(IF(B32="",0,B32)&gt;IF(B54="",0,B54),B16,B42),"")</f>
        <v>气态 Gas</v>
      </c>
      <c r="C57" s="616"/>
      <c r="D57" s="616" t="str">
        <f aca="false">IF(OR(D32&lt;&gt;"",D54&lt;&gt;""),IF(IF(D32="",0,D32)&gt;IF(D54="",0,D54),D16,D42),"")</f>
        <v>液态 Liquid</v>
      </c>
      <c r="E57" s="616"/>
      <c r="F57" s="616" t="str">
        <f aca="false">IF(OR(F32&lt;&gt;"",F54&lt;&gt;""),IF(IF(F32="",0,F32)&gt;IF(F54="",0,F54),F16,F42),"")</f>
        <v>气液混相 Gas &amp; Liquid Mixed</v>
      </c>
      <c r="G57" s="616"/>
      <c r="H57" s="616" t="str">
        <f aca="false">IF(OR(H32&lt;&gt;"",H54&lt;&gt;""),IF(IF(H32="",0,H32)&gt;IF(H54="",0,H54),H16,H42),"")</f>
        <v>气态 Gas</v>
      </c>
      <c r="I57" s="616"/>
      <c r="J57" s="616" t="str">
        <f aca="false">IF(OR(J32&lt;&gt;"",J54&lt;&gt;""),IF(IF(J32="",0,J32)&gt;IF(J54="",0,J54),J16,J42),"")</f>
        <v>气态 Gas</v>
      </c>
      <c r="K57" s="616"/>
      <c r="L57" s="616" t="str">
        <f aca="false">IF(OR(L32&lt;&gt;"",L54&lt;&gt;""),IF(IF(L32="",0,L32)&gt;IF(L54="",0,L54),L16,L42),"")</f>
        <v>气态 Gas</v>
      </c>
      <c r="M57" s="616"/>
      <c r="N57" s="616" t="str">
        <f aca="false">IF(OR(N32&lt;&gt;"",N54&lt;&gt;""),IF(IF(N32="",0,N32)&gt;IF(N54="",0,N54),N16,N42),"")</f>
        <v>气态 Gas</v>
      </c>
      <c r="O57" s="616"/>
      <c r="P57" s="616" t="str">
        <f aca="false">IF(OR(P32&lt;&gt;"",P54&lt;&gt;""),IF(IF(P32="",0,P32)&gt;IF(P54="",0,P54),P16,P42),"")</f>
        <v>气态 Gas</v>
      </c>
      <c r="Q57" s="616"/>
      <c r="R57" s="616" t="str">
        <f aca="false">IF(OR(R32&lt;&gt;"",R54&lt;&gt;""),IF(IF(R32="",0,R32)&gt;IF(R54="",0,R54),R16,R42),"")</f>
        <v>气态 Gas</v>
      </c>
      <c r="S57" s="616"/>
      <c r="T57" s="616" t="str">
        <f aca="false">IF(OR(T32&lt;&gt;"",T54&lt;&gt;""),IF(IF(T32="",0,T32)&gt;IF(T54="",0,T54),T16,T42),"")</f>
        <v>气态 Gas</v>
      </c>
      <c r="U57" s="616"/>
      <c r="V57" s="616" t="str">
        <f aca="false">IF(OR(V32&lt;&gt;"",V54&lt;&gt;""),IF(IF(V32="",0,V32)&gt;IF(V54="",0,V54),V16,V42),"")</f>
        <v>气态 Gas</v>
      </c>
      <c r="W57" s="616"/>
      <c r="X57" s="616" t="str">
        <f aca="false">IF(OR(X32&lt;&gt;"",X54&lt;&gt;""),IF(IF(X32="",0,X32)&gt;IF(X54="",0,X54),X16,X42),"")</f>
        <v>气态 Gas</v>
      </c>
      <c r="Y57" s="616"/>
      <c r="Z57" s="616" t="str">
        <f aca="false">IF(OR(Z32&lt;&gt;"",Z54&lt;&gt;""),IF(IF(Z32="",0,Z32)&gt;IF(Z54="",0,Z54),Z16,Z42),"")</f>
        <v>气态 Gas</v>
      </c>
      <c r="AA57" s="616"/>
      <c r="AB57" s="616" t="str">
        <f aca="false">IF(OR(AB32&lt;&gt;"",AB54&lt;&gt;""),IF(IF(AB32="",0,AB32)&gt;IF(AB54="",0,AB54),AB16,AB42),"")</f>
        <v>液态 Liquid</v>
      </c>
      <c r="AC57" s="616"/>
      <c r="AD57" s="616" t="str">
        <f aca="false">IF(OR(AD32&lt;&gt;"",AD54&lt;&gt;""),IF(IF(AD32="",0,AD32)&gt;IF(AD54="",0,AD54),AD16,AD42),"")</f>
        <v>气态 Gas</v>
      </c>
      <c r="AE57" s="616"/>
      <c r="AF57" s="616" t="str">
        <f aca="false">IF(OR(AF32&lt;&gt;"",AF54&lt;&gt;""),IF(IF(AF32="",0,AF32)&gt;IF(AF54="",0,AF54),AF16,AF42),"")</f>
        <v>气态 Gas</v>
      </c>
      <c r="AG57" s="616"/>
      <c r="AH57" s="616" t="str">
        <f aca="false">IF(OR(AH32&lt;&gt;"",AH54&lt;&gt;""),IF(IF(AH32="",0,AH32)&gt;IF(AH54="",0,AH54),AH16,AH42),"")</f>
        <v>气态 Gas</v>
      </c>
      <c r="AI57" s="616"/>
      <c r="AJ57" s="616" t="str">
        <f aca="false">IF(OR(AJ32&lt;&gt;"",AJ54&lt;&gt;""),IF(IF(AJ32="",0,AJ32)&gt;IF(AJ54="",0,AJ54),AJ16,AJ42),"")</f>
        <v>气态 Gas</v>
      </c>
      <c r="AK57" s="616"/>
      <c r="AL57" s="616" t="str">
        <f aca="false">IF(OR(AL32&lt;&gt;"",AL54&lt;&gt;""),IF(IF(AL32="",0,AL32)&gt;IF(AL54="",0,AL54),AL16,AL42),"")</f>
        <v>气态 Gas</v>
      </c>
      <c r="AM57" s="616"/>
      <c r="AN57" s="616" t="str">
        <f aca="false">IF(OR(AN32&lt;&gt;"",AN54&lt;&gt;""),IF(IF(AN32="",0,AN32)&gt;IF(AN54="",0,AN54),AN16,AN42),"")</f>
        <v>气态 Gas</v>
      </c>
      <c r="AO57" s="616"/>
      <c r="AP57" s="616" t="str">
        <f aca="false">IF(OR(AP32&lt;&gt;"",AP54&lt;&gt;""),IF(IF(AP32="",0,AP32)&gt;IF(AP54="",0,AP54),AP16,AP42),"")</f>
        <v>气态 Gas</v>
      </c>
      <c r="AQ57" s="616"/>
      <c r="AR57" s="616" t="str">
        <f aca="false">IF(OR(AR32&lt;&gt;"",AR54&lt;&gt;""),IF(IF(AR32="",0,AR32)&gt;IF(AR54="",0,AR54),AR16,AR42),"")</f>
        <v>气态 Gas</v>
      </c>
      <c r="AS57" s="616"/>
      <c r="AT57" s="616" t="str">
        <f aca="false">IF(OR(AT32&lt;&gt;"",AT54&lt;&gt;""),IF(IF(AT32="",0,AT32)&gt;IF(AT54="",0,AT54),AT16,AT42),"")</f>
        <v>气态 Gas</v>
      </c>
      <c r="AU57" s="616"/>
      <c r="AV57" s="616" t="str">
        <f aca="false">IF(OR(AV32&lt;&gt;"",AV54&lt;&gt;""),IF(IF(AV32="",0,AV32)&gt;IF(AV54="",0,AV54),AV16,AV42),"")</f>
        <v>气态 Gas</v>
      </c>
      <c r="AW57" s="616"/>
      <c r="AX57" s="616" t="str">
        <f aca="false">IF(OR(AX32&lt;&gt;"",AX54&lt;&gt;""),IF(IF(AX32="",0,AX32)&gt;IF(AX54="",0,AX54),AX16,AX42),"")</f>
        <v>气态 Gas</v>
      </c>
      <c r="AY57" s="616"/>
      <c r="AZ57" s="616" t="str">
        <f aca="false">IF(OR(AZ32&lt;&gt;"",AZ54&lt;&gt;""),IF(IF(AZ32="",0,AZ32)&gt;IF(AZ54="",0,AZ54),AZ16,AZ42),"")</f>
        <v>液态 Liquid</v>
      </c>
      <c r="BA57" s="616"/>
      <c r="BB57" s="616" t="str">
        <f aca="false">IF(OR(BB32&lt;&gt;"",BB54&lt;&gt;""),IF(BB32&gt;BB54,BB16,BB42),"")</f>
        <v/>
      </c>
      <c r="BC57" s="616"/>
      <c r="BD57" s="616" t="str">
        <f aca="false">IF(OR(BD32&lt;&gt;"",BD54&lt;&gt;""),IF(BD32&gt;BD54,BD16,BD42),"")</f>
        <v/>
      </c>
      <c r="BE57" s="616"/>
      <c r="BF57" s="616" t="str">
        <f aca="false">IF(OR(BF32&lt;&gt;"",BF54&lt;&gt;""),IF(BF32&gt;BF54,BF16,BF42),"")</f>
        <v/>
      </c>
      <c r="BG57" s="616"/>
      <c r="BH57" s="616" t="str">
        <f aca="false">IF(OR(BH32&lt;&gt;"",BH54&lt;&gt;""),IF(BH32&gt;BH54,BH16,BH42),"")</f>
        <v/>
      </c>
      <c r="BI57" s="616"/>
      <c r="BJ57" s="616" t="str">
        <f aca="false">IF(OR(BJ32&lt;&gt;"",BJ54&lt;&gt;""),IF(BJ32&gt;BJ54,BJ16,BJ42),"")</f>
        <v/>
      </c>
      <c r="BK57" s="616"/>
      <c r="BL57" s="616" t="str">
        <f aca="false">IF(OR(BL32&lt;&gt;"",BL54&lt;&gt;""),IF(BL32&gt;BL54,BL16,BL42),"")</f>
        <v/>
      </c>
      <c r="BM57" s="616"/>
      <c r="BN57" s="616" t="str">
        <f aca="false">IF(OR(BN32&lt;&gt;"",BN54&lt;&gt;""),IF(BN32&gt;BN54,BN16,BN42),"")</f>
        <v/>
      </c>
      <c r="BO57" s="616"/>
      <c r="BP57" s="616" t="str">
        <f aca="false">IF(OR(BP32&lt;&gt;"",BP54&lt;&gt;""),IF(BP32&gt;BP54,BP16,BP42),"")</f>
        <v/>
      </c>
      <c r="BQ57" s="616"/>
      <c r="BR57" s="616" t="str">
        <f aca="false">IF(OR(BR32&lt;&gt;"",BR54&lt;&gt;""),IF(BR32&gt;BR54,BR16,BR42),"")</f>
        <v/>
      </c>
      <c r="BS57" s="616"/>
      <c r="BT57" s="616" t="str">
        <f aca="false">IF(OR(BT32&lt;&gt;"",BT54&lt;&gt;""),IF(BT32&gt;BT54,BT16,BT42),"")</f>
        <v/>
      </c>
      <c r="BU57" s="616"/>
      <c r="BV57" s="616" t="str">
        <f aca="false">IF(OR(BV32&lt;&gt;"",BV54&lt;&gt;""),IF(BV32&gt;BV54,BV16,BV42),"")</f>
        <v/>
      </c>
      <c r="BW57" s="616"/>
      <c r="BX57" s="616" t="str">
        <f aca="false">IF(OR(BX32&lt;&gt;"",BX54&lt;&gt;""),IF(BX32&gt;BX54,BX16,BX42),"")</f>
        <v/>
      </c>
      <c r="BY57" s="616"/>
      <c r="BZ57" s="616" t="str">
        <f aca="false">IF(OR(BZ32&lt;&gt;"",BZ54&lt;&gt;""),IF(BZ32&gt;BZ54,BZ16,BZ42),"")</f>
        <v/>
      </c>
      <c r="CA57" s="616"/>
      <c r="CB57" s="616" t="str">
        <f aca="false">IF(OR(CB32&lt;&gt;"",CB54&lt;&gt;""),IF(CB32&gt;CB54,CB16,CB42),"")</f>
        <v/>
      </c>
      <c r="CC57" s="616"/>
      <c r="CD57" s="616" t="str">
        <f aca="false">IF(OR(CD32&lt;&gt;"",CD54&lt;&gt;""),IF(CD32&gt;CD54,CD16,CD42),"")</f>
        <v/>
      </c>
      <c r="CE57" s="616"/>
      <c r="CF57" s="616" t="str">
        <f aca="false">IF(OR(CF32&lt;&gt;"",CF54&lt;&gt;""),IF(CF32&gt;CF54,CF16,CF42),"")</f>
        <v/>
      </c>
      <c r="CG57" s="616"/>
      <c r="CH57" s="616" t="str">
        <f aca="false">IF(OR(CH32&lt;&gt;"",CH54&lt;&gt;""),IF(CH32&gt;CH54,CH16,CH42),"")</f>
        <v/>
      </c>
      <c r="CI57" s="616"/>
      <c r="CJ57" s="390"/>
    </row>
    <row r="58" s="397" customFormat="true" ht="15" hidden="false" customHeight="false" outlineLevel="0" collapsed="false">
      <c r="A58" s="397" t="s">
        <v>1147</v>
      </c>
      <c r="B58" s="616" t="n">
        <f aca="false">IF(OR(B32&lt;&gt;"",B54&lt;&gt;""),IF(IF(B32="",0,B32)&gt;IF(B54="",0,B54),B12,B43),"")</f>
        <v>109.18</v>
      </c>
      <c r="C58" s="616"/>
      <c r="D58" s="676" t="n">
        <f aca="false">IF(OR(D32&lt;&gt;"",D54&lt;&gt;""),IF(IF(D32="",0,D32)&gt;IF(D54="",0,D54),D12,D43),"")</f>
        <v>185</v>
      </c>
      <c r="E58" s="676"/>
      <c r="F58" s="676" t="n">
        <f aca="false">IF(OR(F32&lt;&gt;"",F54&lt;&gt;""),IF(IF(F32="",0,F32)&gt;IF(F54="",0,F54),F12,F43),"")</f>
        <v>400.58</v>
      </c>
      <c r="G58" s="676"/>
      <c r="H58" s="676" t="n">
        <f aca="false">IF(OR(H32&lt;&gt;"",H54&lt;&gt;""),IF(IF(H32="",0,H32)&gt;IF(H54="",0,H54),H12,H43),"")</f>
        <v>456.5</v>
      </c>
      <c r="I58" s="676"/>
      <c r="J58" s="676" t="n">
        <f aca="false">IF(OR(J32&lt;&gt;"",J54&lt;&gt;""),IF(IF(J32="",0,J32)&gt;IF(J54="",0,J54),J12,J43),"")</f>
        <v>40</v>
      </c>
      <c r="K58" s="676"/>
      <c r="L58" s="676" t="n">
        <f aca="false">IF(OR(L32&lt;&gt;"",L54&lt;&gt;""),IF(IF(L32="",0,L32)&gt;IF(L54="",0,L54),L12,L43),"")</f>
        <v>489.91</v>
      </c>
      <c r="M58" s="676"/>
      <c r="N58" s="676" t="n">
        <f aca="false">IF(OR(N32&lt;&gt;"",N54&lt;&gt;""),IF(IF(N32="",0,N32)&gt;IF(N54="",0,N54),N12,N43),"")</f>
        <v>455.7</v>
      </c>
      <c r="O58" s="676"/>
      <c r="P58" s="676" t="n">
        <f aca="false">IF(OR(P32&lt;&gt;"",P54&lt;&gt;""),IF(IF(P32="",0,P32)&gt;IF(P54="",0,P54),P12,P43),"")</f>
        <v>427.39</v>
      </c>
      <c r="Q58" s="676"/>
      <c r="R58" s="676" t="n">
        <f aca="false">IF(OR(R32&lt;&gt;"",R54&lt;&gt;""),IF(IF(R32="",0,R32)&gt;IF(R54="",0,R54),R12,R43),"")</f>
        <v>216.25</v>
      </c>
      <c r="S58" s="676"/>
      <c r="T58" s="676" t="n">
        <f aca="false">IF(OR(T32&lt;&gt;"",T54&lt;&gt;""),IF(IF(T32="",0,T32)&gt;IF(T54="",0,T54),T12,T43),"")</f>
        <v>216.254</v>
      </c>
      <c r="U58" s="676"/>
      <c r="V58" s="676" t="n">
        <f aca="false">IF(OR(V32&lt;&gt;"",V54&lt;&gt;""),IF(IF(V32="",0,V32)&gt;IF(V54="",0,V54),V12,V43),"")</f>
        <v>177.59</v>
      </c>
      <c r="W58" s="676"/>
      <c r="X58" s="676" t="n">
        <f aca="false">IF(OR(X32&lt;&gt;"",X54&lt;&gt;""),IF(IF(X32="",0,X32)&gt;IF(X54="",0,X54),X12,X43),"")</f>
        <v>177.59</v>
      </c>
      <c r="Y58" s="676"/>
      <c r="Z58" s="676" t="n">
        <f aca="false">IF(OR(Z32&lt;&gt;"",Z54&lt;&gt;""),IF(IF(Z32="",0,Z32)&gt;IF(Z54="",0,Z54),Z12,Z43),"")</f>
        <v>221</v>
      </c>
      <c r="AA58" s="676"/>
      <c r="AB58" s="616" t="str">
        <f aca="false">IF(OR(AB32&lt;&gt;"",AB54&lt;&gt;""),IF(IF(AB32="",0,AB32)&gt;IF(AB54="",0,AB54),AB12,AB43),"")</f>
        <v>227.33</v>
      </c>
      <c r="AC58" s="616"/>
      <c r="AD58" s="676" t="n">
        <f aca="false">IF(OR(AD32&lt;&gt;"",AD54&lt;&gt;""),IF(IF(AD32="",0,AD32)&gt;IF(AD54="",0,AD54),AD12,AD43),"")</f>
        <v>216.25</v>
      </c>
      <c r="AE58" s="676"/>
      <c r="AF58" s="676" t="n">
        <f aca="false">IF(OR(AF32&lt;&gt;"",AF54&lt;&gt;""),IF(IF(AF32="",0,AF32)&gt;IF(AF54="",0,AF54),AF12,AF43),"")</f>
        <v>216.25</v>
      </c>
      <c r="AG58" s="676"/>
      <c r="AH58" s="676" t="n">
        <f aca="false">IF(OR(AH32&lt;&gt;"",AH54&lt;&gt;""),IF(IF(AH32="",0,AH32)&gt;IF(AH54="",0,AH54),AH12,AH43),"")</f>
        <v>93.25</v>
      </c>
      <c r="AI58" s="676"/>
      <c r="AJ58" s="676" t="n">
        <f aca="false">IF(OR(AJ32&lt;&gt;"",AJ54&lt;&gt;""),IF(IF(AJ32="",0,AJ32)&gt;IF(AJ54="",0,AJ54),AJ12,AJ43),"")</f>
        <v>40</v>
      </c>
      <c r="AK58" s="676"/>
      <c r="AL58" s="676" t="n">
        <f aca="false">IF(OR(AL32&lt;&gt;"",AL54&lt;&gt;""),IF(IF(AL32="",0,AL32)&gt;IF(AL54="",0,AL54),AL12,AL43),"")</f>
        <v>55.88</v>
      </c>
      <c r="AM58" s="676"/>
      <c r="AN58" s="676" t="n">
        <f aca="false">IF(OR(AN32&lt;&gt;"",AN54&lt;&gt;""),IF(IF(AN32="",0,AN32)&gt;IF(AN54="",0,AN54),AN12,AN43),"")</f>
        <v>192.01</v>
      </c>
      <c r="AO58" s="676"/>
      <c r="AP58" s="676" t="n">
        <f aca="false">IF(OR(AP32&lt;&gt;"",AP54&lt;&gt;""),IF(IF(AP32="",0,AP32)&gt;IF(AP54="",0,AP54),AP12,AP43),"")</f>
        <v>109.18</v>
      </c>
      <c r="AQ58" s="676"/>
      <c r="AR58" s="676" t="n">
        <f aca="false">IF(OR(AR32&lt;&gt;"",AR54&lt;&gt;""),IF(IF(AR32="",0,AR32)&gt;IF(AR54="",0,AR54),AR12,AR43),"")</f>
        <v>40</v>
      </c>
      <c r="AS58" s="676"/>
      <c r="AT58" s="676" t="n">
        <f aca="false">IF(OR(AT32&lt;&gt;"",AT54&lt;&gt;""),IF(IF(AT32="",0,AT32)&gt;IF(AT54="",0,AT54),AT12,AT43),"")</f>
        <v>40</v>
      </c>
      <c r="AU58" s="676"/>
      <c r="AV58" s="676" t="n">
        <f aca="false">IF(OR(AV32&lt;&gt;"",AV54&lt;&gt;""),IF(IF(AV32="",0,AV32)&gt;IF(AV54="",0,AV54),AV12,AV43),"")</f>
        <v>40</v>
      </c>
      <c r="AW58" s="676"/>
      <c r="AX58" s="676" t="n">
        <f aca="false">IF(OR(AX32&lt;&gt;"",AX54&lt;&gt;""),IF(IF(AX32="",0,AX32)&gt;IF(AX54="",0,AX54),AX12,AX43),"")</f>
        <v>40</v>
      </c>
      <c r="AY58" s="676"/>
      <c r="AZ58" s="676" t="n">
        <f aca="false">IF(OR(AZ32&lt;&gt;"",AZ54&lt;&gt;""),IF(IF(AZ32="",0,AZ32)&gt;IF(AZ54="",0,AZ54),AZ12,AZ43),"")</f>
        <v>285</v>
      </c>
      <c r="BA58" s="676"/>
      <c r="BB58" s="616" t="str">
        <f aca="false">IF(OR(BB32&lt;&gt;"",BB54&lt;&gt;""),IF(BB32&gt;BB54,BB12,BB43),"")</f>
        <v/>
      </c>
      <c r="BC58" s="616"/>
      <c r="BD58" s="616" t="str">
        <f aca="false">IF(OR(BD32&lt;&gt;"",BD54&lt;&gt;""),IF(BD32&gt;BD54,BD12,BD43),"")</f>
        <v/>
      </c>
      <c r="BE58" s="616"/>
      <c r="BF58" s="616" t="str">
        <f aca="false">IF(OR(BF32&lt;&gt;"",BF54&lt;&gt;""),IF(BF32&gt;BF54,BF12,BF43),"")</f>
        <v/>
      </c>
      <c r="BG58" s="616"/>
      <c r="BH58" s="616" t="str">
        <f aca="false">IF(OR(BH32&lt;&gt;"",BH54&lt;&gt;""),IF(BH32&gt;BH54,BH12,BH43),"")</f>
        <v/>
      </c>
      <c r="BI58" s="616"/>
      <c r="BJ58" s="616" t="str">
        <f aca="false">IF(OR(BJ32&lt;&gt;"",BJ54&lt;&gt;""),IF(BJ32&gt;BJ54,BJ12,BJ43),"")</f>
        <v/>
      </c>
      <c r="BK58" s="616"/>
      <c r="BL58" s="616" t="str">
        <f aca="false">IF(OR(BL32&lt;&gt;"",BL54&lt;&gt;""),IF(BL32&gt;BL54,BL12,BL43),"")</f>
        <v/>
      </c>
      <c r="BM58" s="616"/>
      <c r="BN58" s="616" t="str">
        <f aca="false">IF(OR(BN32&lt;&gt;"",BN54&lt;&gt;""),IF(BN32&gt;BN54,BN12,BN43),"")</f>
        <v/>
      </c>
      <c r="BO58" s="616"/>
      <c r="BP58" s="616" t="str">
        <f aca="false">IF(OR(BP32&lt;&gt;"",BP54&lt;&gt;""),IF(BP32&gt;BP54,BP12,BP43),"")</f>
        <v/>
      </c>
      <c r="BQ58" s="616"/>
      <c r="BR58" s="616" t="str">
        <f aca="false">IF(OR(BR32&lt;&gt;"",BR54&lt;&gt;""),IF(BR32&gt;BR54,BR12,BR43),"")</f>
        <v/>
      </c>
      <c r="BS58" s="616"/>
      <c r="BT58" s="616" t="str">
        <f aca="false">IF(OR(BT32&lt;&gt;"",BT54&lt;&gt;""),IF(BT32&gt;BT54,BT12,BT43),"")</f>
        <v/>
      </c>
      <c r="BU58" s="616"/>
      <c r="BV58" s="616" t="str">
        <f aca="false">IF(OR(BV32&lt;&gt;"",BV54&lt;&gt;""),IF(BV32&gt;BV54,BV12,BV43),"")</f>
        <v/>
      </c>
      <c r="BW58" s="616"/>
      <c r="BX58" s="616" t="str">
        <f aca="false">IF(OR(BX32&lt;&gt;"",BX54&lt;&gt;""),IF(BX32&gt;BX54,BX12,BX43),"")</f>
        <v/>
      </c>
      <c r="BY58" s="616"/>
      <c r="BZ58" s="616" t="str">
        <f aca="false">IF(OR(BZ32&lt;&gt;"",BZ54&lt;&gt;""),IF(BZ32&gt;BZ54,BZ12,BZ43),"")</f>
        <v/>
      </c>
      <c r="CA58" s="616"/>
      <c r="CB58" s="616" t="str">
        <f aca="false">IF(OR(CB32&lt;&gt;"",CB54&lt;&gt;""),IF(CB32&gt;CB54,CB12,CB43),"")</f>
        <v/>
      </c>
      <c r="CC58" s="616"/>
      <c r="CD58" s="616" t="str">
        <f aca="false">IF(OR(CD32&lt;&gt;"",CD54&lt;&gt;""),IF(CD32&gt;CD54,CD12,CD43),"")</f>
        <v/>
      </c>
      <c r="CE58" s="616"/>
      <c r="CF58" s="616" t="str">
        <f aca="false">IF(OR(CF32&lt;&gt;"",CF54&lt;&gt;""),IF(CF32&gt;CF54,CF12,CF43),"")</f>
        <v/>
      </c>
      <c r="CG58" s="616"/>
      <c r="CH58" s="616" t="str">
        <f aca="false">IF(OR(CH32&lt;&gt;"",CH54&lt;&gt;""),IF(CH32&gt;CH54,CH12,CH43),"")</f>
        <v/>
      </c>
      <c r="CI58" s="616"/>
      <c r="CJ58" s="390"/>
    </row>
    <row r="59" s="390" customFormat="true" ht="15" hidden="false" customHeight="false" outlineLevel="0" collapsed="false">
      <c r="A59" s="677" t="s">
        <v>1148</v>
      </c>
      <c r="B59" s="678" t="n">
        <f aca="false">IF(OR(B32&lt;&gt;"",B54&lt;&gt;""),MAX(B32,B54),"")</f>
        <v>3083.38596042224</v>
      </c>
      <c r="C59" s="678"/>
      <c r="D59" s="678" t="n">
        <f aca="false">IF(OR(D32&lt;&gt;"",D54&lt;&gt;""),MAX(D32,D54),"")</f>
        <v>289.47920656922</v>
      </c>
      <c r="E59" s="678"/>
      <c r="F59" s="678" t="n">
        <f aca="false">IF(OR(F32&lt;&gt;"",F54&lt;&gt;""),MAX(F32,F54),"")</f>
        <v>1113.26207104939</v>
      </c>
      <c r="G59" s="678"/>
      <c r="H59" s="678" t="n">
        <f aca="false">IF(OR(H32&lt;&gt;"",H54&lt;&gt;""),MAX(H32,H54),"")</f>
        <v>435.221572396254</v>
      </c>
      <c r="I59" s="678"/>
      <c r="J59" s="678" t="n">
        <f aca="false">IF(OR(J32&lt;&gt;"",J54&lt;&gt;""),MAX(J32,J54),"")</f>
        <v>672.16658530303</v>
      </c>
      <c r="K59" s="678"/>
      <c r="L59" s="678" t="n">
        <f aca="false">IF(OR(L32&lt;&gt;"",L54&lt;&gt;""),MAX(L32,L54),"")</f>
        <v>2499.53330253155</v>
      </c>
      <c r="M59" s="678"/>
      <c r="N59" s="678" t="n">
        <f aca="false">IF(OR(N32&lt;&gt;"",N54&lt;&gt;""),MAX(N32,N54),"")</f>
        <v>5175.05292667038</v>
      </c>
      <c r="O59" s="678"/>
      <c r="P59" s="678" t="n">
        <f aca="false">IF(OR(P32&lt;&gt;"",P54&lt;&gt;""),MAX(P32,P54),"")</f>
        <v>9832.3937561848</v>
      </c>
      <c r="Q59" s="678"/>
      <c r="R59" s="678" t="n">
        <f aca="false">IF(OR(R32&lt;&gt;"",R54&lt;&gt;""),MAX(R32,R54),"")</f>
        <v>1074.38208017253</v>
      </c>
      <c r="S59" s="678"/>
      <c r="T59" s="678" t="n">
        <f aca="false">IF(OR(T32&lt;&gt;"",T54&lt;&gt;""),MAX(T32,T54),"")</f>
        <v>1074.38647077279</v>
      </c>
      <c r="U59" s="678"/>
      <c r="V59" s="678" t="n">
        <f aca="false">IF(OR(V32&lt;&gt;"",V54&lt;&gt;""),MAX(V32,V54),"")</f>
        <v>2265.17329876856</v>
      </c>
      <c r="W59" s="678"/>
      <c r="X59" s="678" t="n">
        <f aca="false">IF(OR(X32&lt;&gt;"",X54&lt;&gt;""),MAX(X32,X54),"")</f>
        <v>2265.17329876856</v>
      </c>
      <c r="Y59" s="678"/>
      <c r="Z59" s="678" t="n">
        <f aca="false">IF(OR(Z32&lt;&gt;"",Z54&lt;&gt;""),MAX(Z32,Z54),"")</f>
        <v>182.831719548524</v>
      </c>
      <c r="AA59" s="678"/>
      <c r="AB59" s="678" t="n">
        <f aca="false">IF(OR(AB32&lt;&gt;"",AB54&lt;&gt;""),MAX(AB32,AB54),"")</f>
        <v>16.7677294196778</v>
      </c>
      <c r="AC59" s="678"/>
      <c r="AD59" s="678" t="n">
        <f aca="false">IF(OR(AD32&lt;&gt;"",AD54&lt;&gt;""),MAX(AD32,AD54),"")</f>
        <v>2794.71754299826</v>
      </c>
      <c r="AE59" s="678"/>
      <c r="AF59" s="678" t="n">
        <f aca="false">IF(OR(AF32&lt;&gt;"",AF54&lt;&gt;""),MAX(AF32,AF54),"")</f>
        <v>2794.71754299826</v>
      </c>
      <c r="AG59" s="678"/>
      <c r="AH59" s="678" t="n">
        <f aca="false">IF(OR(AH32&lt;&gt;"",AH54&lt;&gt;""),MAX(AH32,AH54),"")</f>
        <v>256.038544177544</v>
      </c>
      <c r="AI59" s="678"/>
      <c r="AJ59" s="678" t="n">
        <f aca="false">IF(OR(AJ32&lt;&gt;"",AJ54&lt;&gt;""),MAX(AJ32,AJ54),"")</f>
        <v>568.561638473097</v>
      </c>
      <c r="AK59" s="678"/>
      <c r="AL59" s="678" t="n">
        <f aca="false">IF(OR(AL32&lt;&gt;"",AL54&lt;&gt;""),MAX(AL32,AL54),"")</f>
        <v>367.33471099942</v>
      </c>
      <c r="AM59" s="678"/>
      <c r="AN59" s="678" t="n">
        <f aca="false">IF(OR(AN32&lt;&gt;"",AN54&lt;&gt;""),MAX(AN32,AN54),"")</f>
        <v>526.720886147655</v>
      </c>
      <c r="AO59" s="678"/>
      <c r="AP59" s="678" t="n">
        <f aca="false">IF(OR(AP32&lt;&gt;"",AP54&lt;&gt;""),MAX(AP32,AP54),"")</f>
        <v>2765.72286645552</v>
      </c>
      <c r="AQ59" s="678"/>
      <c r="AR59" s="678" t="n">
        <f aca="false">IF(OR(AR32&lt;&gt;"",AR54&lt;&gt;""),MAX(AR32,AR54),"")</f>
        <v>354.086904907466</v>
      </c>
      <c r="AS59" s="678"/>
      <c r="AT59" s="678" t="n">
        <f aca="false">IF(OR(AT32&lt;&gt;"",AT54&lt;&gt;""),MAX(AT32,AT54),"")</f>
        <v>191.114157880946</v>
      </c>
      <c r="AU59" s="678"/>
      <c r="AV59" s="678" t="n">
        <f aca="false">IF(OR(AV32&lt;&gt;"",AV54&lt;&gt;""),MAX(AV32,AV54),"")</f>
        <v>1202.71971735416</v>
      </c>
      <c r="AW59" s="678"/>
      <c r="AX59" s="678" t="n">
        <f aca="false">IF(OR(AX32&lt;&gt;"",AX54&lt;&gt;""),MAX(AX32,AX54),"")</f>
        <v>283.481458376865</v>
      </c>
      <c r="AY59" s="678"/>
      <c r="AZ59" s="678" t="n">
        <f aca="false">IF(OR(AZ32&lt;&gt;"",AZ54&lt;&gt;""),MAX(AZ32,AZ54),"")</f>
        <v>4416.5510681612</v>
      </c>
      <c r="BA59" s="678"/>
      <c r="BB59" s="678" t="str">
        <f aca="false">IF(OR(BB32&lt;&gt;"",BB54&lt;&gt;""),MAX(BB32,BB54),"")</f>
        <v/>
      </c>
      <c r="BC59" s="678"/>
      <c r="BD59" s="678" t="str">
        <f aca="false">IF(OR(BD32&lt;&gt;"",BD54&lt;&gt;""),MAX(BD32,BD54),"")</f>
        <v/>
      </c>
      <c r="BE59" s="678"/>
      <c r="BF59" s="678" t="str">
        <f aca="false">IF(OR(BF32&lt;&gt;"",BF54&lt;&gt;""),MAX(BF32,BF54),"")</f>
        <v/>
      </c>
      <c r="BG59" s="678"/>
      <c r="BH59" s="678" t="str">
        <f aca="false">IF(OR(BH32&lt;&gt;"",BH54&lt;&gt;""),MAX(BH32,BH54),"")</f>
        <v/>
      </c>
      <c r="BI59" s="678"/>
      <c r="BJ59" s="678" t="str">
        <f aca="false">IF(OR(BJ32&lt;&gt;"",BJ54&lt;&gt;""),MAX(BJ32,BJ54),"")</f>
        <v/>
      </c>
      <c r="BK59" s="678"/>
      <c r="BL59" s="678" t="str">
        <f aca="false">IF(OR(BL32&lt;&gt;"",BL54&lt;&gt;""),MAX(BL32,BL54),"")</f>
        <v/>
      </c>
      <c r="BM59" s="678"/>
      <c r="BN59" s="678" t="str">
        <f aca="false">IF(OR(BN32&lt;&gt;"",BN54&lt;&gt;""),MAX(BN32,BN54),"")</f>
        <v/>
      </c>
      <c r="BO59" s="678"/>
      <c r="BP59" s="678" t="str">
        <f aca="false">IF(OR(BP32&lt;&gt;"",BP54&lt;&gt;""),MAX(BP32,BP54),"")</f>
        <v/>
      </c>
      <c r="BQ59" s="678"/>
      <c r="BR59" s="678" t="str">
        <f aca="false">IF(OR(BR32&lt;&gt;"",BR54&lt;&gt;""),MAX(BR32,BR54),"")</f>
        <v/>
      </c>
      <c r="BS59" s="678"/>
      <c r="BT59" s="678" t="str">
        <f aca="false">IF(OR(BT32&lt;&gt;"",BT54&lt;&gt;""),MAX(BT32,BT54),"")</f>
        <v/>
      </c>
      <c r="BU59" s="678"/>
      <c r="BV59" s="678" t="str">
        <f aca="false">IF(OR(BV32&lt;&gt;"",BV54&lt;&gt;""),MAX(BV32,BV54),"")</f>
        <v/>
      </c>
      <c r="BW59" s="678"/>
      <c r="BX59" s="678" t="str">
        <f aca="false">IF(OR(BX32&lt;&gt;"",BX54&lt;&gt;""),MAX(BX32,BX54),"")</f>
        <v/>
      </c>
      <c r="BY59" s="678"/>
      <c r="BZ59" s="678" t="str">
        <f aca="false">IF(OR(BZ32&lt;&gt;"",BZ54&lt;&gt;""),MAX(BZ32,BZ54),"")</f>
        <v/>
      </c>
      <c r="CA59" s="678"/>
      <c r="CB59" s="678" t="str">
        <f aca="false">IF(OR(CB32&lt;&gt;"",CB54&lt;&gt;""),MAX(CB32,CB54),"")</f>
        <v/>
      </c>
      <c r="CC59" s="678"/>
      <c r="CD59" s="678" t="str">
        <f aca="false">IF(OR(CD32&lt;&gt;"",CD54&lt;&gt;""),MAX(CD32,CD54),"")</f>
        <v/>
      </c>
      <c r="CE59" s="678"/>
      <c r="CF59" s="678" t="str">
        <f aca="false">IF(OR(CF32&lt;&gt;"",CF54&lt;&gt;""),MAX(CF32,CF54),"")</f>
        <v/>
      </c>
      <c r="CG59" s="678"/>
      <c r="CH59" s="678" t="str">
        <f aca="false">IF(OR(CH32&lt;&gt;"",CH54&lt;&gt;""),MAX(CH32,CH54),"")</f>
        <v/>
      </c>
      <c r="CI59" s="678"/>
    </row>
    <row r="60" s="679" customFormat="true" ht="15" hidden="false" customHeight="false" outlineLevel="0" collapsed="false">
      <c r="A60" s="679" t="s">
        <v>1149</v>
      </c>
      <c r="B60" s="680" t="n">
        <f aca="false">IF(B59&lt;&gt;"",SQRT(4*B59/3.14),"")</f>
        <v>62.672802748557</v>
      </c>
      <c r="C60" s="680"/>
      <c r="D60" s="680" t="n">
        <f aca="false">IF(D59&lt;&gt;"",SQRT(4*D59/3.14),"")</f>
        <v>19.2032112020449</v>
      </c>
      <c r="E60" s="680"/>
      <c r="F60" s="680" t="n">
        <f aca="false">IF(F59&lt;&gt;"",SQRT(4*F59/3.14),"")</f>
        <v>37.6585746328113</v>
      </c>
      <c r="G60" s="680"/>
      <c r="H60" s="680" t="n">
        <f aca="false">IF(H59&lt;&gt;"",SQRT(4*H59/3.14),"")</f>
        <v>23.5461755964351</v>
      </c>
      <c r="I60" s="680"/>
      <c r="J60" s="680" t="n">
        <f aca="false">IF(J59&lt;&gt;"",SQRT(4*J59/3.14),"")</f>
        <v>29.261974745241</v>
      </c>
      <c r="K60" s="680"/>
      <c r="L60" s="680" t="n">
        <f aca="false">IF(L59&lt;&gt;"",SQRT(4*L59/3.14),"")</f>
        <v>56.4279971000928</v>
      </c>
      <c r="M60" s="680"/>
      <c r="N60" s="680" t="n">
        <f aca="false">IF(N59&lt;&gt;"",SQRT(4*N59/3.14),"")</f>
        <v>81.1937442812445</v>
      </c>
      <c r="O60" s="680"/>
      <c r="P60" s="680" t="n">
        <f aca="false">IF(P59&lt;&gt;"",SQRT(4*P59/3.14),"")</f>
        <v>111.916675989625</v>
      </c>
      <c r="Q60" s="680"/>
      <c r="R60" s="680" t="n">
        <f aca="false">IF(R59&lt;&gt;"",SQRT(4*R59/3.14),"")</f>
        <v>36.9951293088221</v>
      </c>
      <c r="S60" s="680"/>
      <c r="T60" s="680" t="n">
        <f aca="false">IF(T59&lt;&gt;"",SQRT(4*T59/3.14),"")</f>
        <v>36.995204901417</v>
      </c>
      <c r="U60" s="680"/>
      <c r="V60" s="680" t="n">
        <f aca="false">IF(V59&lt;&gt;"",SQRT(4*V59/3.14),"")</f>
        <v>53.7175118674891</v>
      </c>
      <c r="W60" s="680"/>
      <c r="X60" s="680" t="n">
        <f aca="false">IF(X59&lt;&gt;"",SQRT(4*X59/3.14),"")</f>
        <v>53.7175118674891</v>
      </c>
      <c r="Y60" s="680"/>
      <c r="Z60" s="680" t="n">
        <f aca="false">IF(Z59&lt;&gt;"",SQRT(4*Z59/3.14),"")</f>
        <v>15.2612794059476</v>
      </c>
      <c r="AA60" s="680"/>
      <c r="AB60" s="680" t="n">
        <f aca="false">IF(AB59&lt;&gt;"",SQRT(4*AB59/3.14),"")</f>
        <v>4.62170583938783</v>
      </c>
      <c r="AC60" s="680"/>
      <c r="AD60" s="680" t="n">
        <f aca="false">IF(AD59&lt;&gt;"",SQRT(4*AD59/3.14),"")</f>
        <v>59.6669903405855</v>
      </c>
      <c r="AE60" s="680"/>
      <c r="AF60" s="680" t="n">
        <f aca="false">IF(AF59&lt;&gt;"",SQRT(4*AF59/3.14),"")</f>
        <v>59.6669903405855</v>
      </c>
      <c r="AG60" s="680"/>
      <c r="AH60" s="680" t="n">
        <f aca="false">IF(AH59&lt;&gt;"",SQRT(4*AH59/3.14),"")</f>
        <v>18.0600041679021</v>
      </c>
      <c r="AI60" s="680"/>
      <c r="AJ60" s="680" t="n">
        <f aca="false">IF(AJ59&lt;&gt;"",SQRT(4*AJ59/3.14),"")</f>
        <v>26.9124941617076</v>
      </c>
      <c r="AK60" s="680"/>
      <c r="AL60" s="680" t="n">
        <f aca="false">IF(AL59&lt;&gt;"",SQRT(4*AL59/3.14),"")</f>
        <v>21.6319741818825</v>
      </c>
      <c r="AM60" s="680"/>
      <c r="AN60" s="680" t="n">
        <f aca="false">IF(AN59&lt;&gt;"",SQRT(4*AN59/3.14),"")</f>
        <v>25.9033206475591</v>
      </c>
      <c r="AO60" s="680"/>
      <c r="AP60" s="680" t="n">
        <f aca="false">IF(AP59&lt;&gt;"",SQRT(4*AP59/3.14),"")</f>
        <v>59.356666370497</v>
      </c>
      <c r="AQ60" s="680"/>
      <c r="AR60" s="680" t="n">
        <f aca="false">IF(AR59&lt;&gt;"",SQRT(4*AR59/3.14),"")</f>
        <v>21.2383172803598</v>
      </c>
      <c r="AS60" s="680"/>
      <c r="AT60" s="680" t="n">
        <f aca="false">IF(AT59&lt;&gt;"",SQRT(4*AT59/3.14),"")</f>
        <v>15.6031255190423</v>
      </c>
      <c r="AU60" s="680"/>
      <c r="AV60" s="680" t="n">
        <f aca="false">IF(AV59&lt;&gt;"",SQRT(4*AV59/3.14),"")</f>
        <v>39.1423942609114</v>
      </c>
      <c r="AW60" s="680"/>
      <c r="AX60" s="680" t="n">
        <f aca="false">IF(AX59&lt;&gt;"",SQRT(4*AX59/3.14),"")</f>
        <v>19.003233327863</v>
      </c>
      <c r="AY60" s="680"/>
      <c r="AZ60" s="680" t="n">
        <f aca="false">IF(AZ59&lt;&gt;"",SQRT(4*AZ59/3.14),"")</f>
        <v>75.0078642854464</v>
      </c>
      <c r="BA60" s="680"/>
      <c r="BB60" s="680" t="str">
        <f aca="false">IF(BB59&lt;&gt;"",SQRT(4*BB59/3.14),"")</f>
        <v/>
      </c>
      <c r="BC60" s="680"/>
      <c r="BD60" s="680" t="str">
        <f aca="false">IF(BD59&lt;&gt;"",SQRT(4*BD59/3.14),"")</f>
        <v/>
      </c>
      <c r="BE60" s="680"/>
      <c r="BF60" s="680" t="str">
        <f aca="false">IF(BF59&lt;&gt;"",SQRT(4*BF59/3.14),"")</f>
        <v/>
      </c>
      <c r="BG60" s="680"/>
      <c r="BH60" s="680" t="str">
        <f aca="false">IF(BH59&lt;&gt;"",SQRT(4*BH59/3.14),"")</f>
        <v/>
      </c>
      <c r="BI60" s="680"/>
      <c r="BJ60" s="680" t="str">
        <f aca="false">IF(BJ59&lt;&gt;"",SQRT(4*BJ59/3.14),"")</f>
        <v/>
      </c>
      <c r="BK60" s="680"/>
      <c r="BL60" s="680" t="str">
        <f aca="false">IF(BL59&lt;&gt;"",SQRT(4*BL59/3.14),"")</f>
        <v/>
      </c>
      <c r="BM60" s="680"/>
      <c r="BN60" s="680" t="str">
        <f aca="false">IF(BN59&lt;&gt;"",SQRT(4*BN59/3.14),"")</f>
        <v/>
      </c>
      <c r="BO60" s="680"/>
      <c r="BP60" s="680" t="str">
        <f aca="false">IF(BP59&lt;&gt;"",SQRT(4*BP59/3.14),"")</f>
        <v/>
      </c>
      <c r="BQ60" s="680"/>
      <c r="BR60" s="680" t="str">
        <f aca="false">IF(BR59&lt;&gt;"",SQRT(4*BR59/3.14),"")</f>
        <v/>
      </c>
      <c r="BS60" s="680"/>
      <c r="BT60" s="680" t="str">
        <f aca="false">IF(BT59&lt;&gt;"",SQRT(4*BT59/3.14),"")</f>
        <v/>
      </c>
      <c r="BU60" s="680"/>
      <c r="BV60" s="680" t="str">
        <f aca="false">IF(BV59&lt;&gt;"",SQRT(4*BV59/3.14),"")</f>
        <v/>
      </c>
      <c r="BW60" s="680"/>
      <c r="BX60" s="680" t="str">
        <f aca="false">IF(BX59&lt;&gt;"",SQRT(4*BX59/3.14),"")</f>
        <v/>
      </c>
      <c r="BY60" s="680"/>
      <c r="BZ60" s="680" t="str">
        <f aca="false">IF(BZ59&lt;&gt;"",SQRT(4*BZ59/3.14),"")</f>
        <v/>
      </c>
      <c r="CA60" s="680"/>
      <c r="CB60" s="680" t="str">
        <f aca="false">IF(CB59&lt;&gt;"",SQRT(4*CB59/3.14),"")</f>
        <v/>
      </c>
      <c r="CC60" s="680"/>
      <c r="CD60" s="680" t="str">
        <f aca="false">IF(CD59&lt;&gt;"",SQRT(4*CD59/3.14),"")</f>
        <v/>
      </c>
      <c r="CE60" s="680"/>
      <c r="CF60" s="680" t="str">
        <f aca="false">IF(CF59&lt;&gt;"",SQRT(4*CF59/3.14),"")</f>
        <v/>
      </c>
      <c r="CG60" s="680"/>
      <c r="CH60" s="680" t="str">
        <f aca="false">IF(CH59&lt;&gt;"",SQRT(4*CH59/3.14),"")</f>
        <v/>
      </c>
      <c r="CI60" s="680"/>
      <c r="CJ60" s="632"/>
    </row>
    <row r="61" s="686" customFormat="true" ht="15" hidden="false" customHeight="false" outlineLevel="0" collapsed="false">
      <c r="A61" s="681" t="s">
        <v>1150</v>
      </c>
      <c r="B61" s="682" t="s">
        <v>1151</v>
      </c>
      <c r="C61" s="682"/>
      <c r="D61" s="682" t="s">
        <v>1152</v>
      </c>
      <c r="E61" s="682"/>
      <c r="F61" s="682" t="s">
        <v>1153</v>
      </c>
      <c r="G61" s="682"/>
      <c r="H61" s="682" t="s">
        <v>1154</v>
      </c>
      <c r="I61" s="682"/>
      <c r="J61" s="682" t="s">
        <v>1154</v>
      </c>
      <c r="K61" s="682"/>
      <c r="L61" s="682" t="s">
        <v>1155</v>
      </c>
      <c r="M61" s="682"/>
      <c r="N61" s="682" t="s">
        <v>1156</v>
      </c>
      <c r="O61" s="682"/>
      <c r="P61" s="682" t="s">
        <v>1157</v>
      </c>
      <c r="Q61" s="682"/>
      <c r="R61" s="682" t="s">
        <v>1158</v>
      </c>
      <c r="S61" s="682"/>
      <c r="T61" s="682" t="s">
        <v>1158</v>
      </c>
      <c r="U61" s="682"/>
      <c r="V61" s="682" t="s">
        <v>1155</v>
      </c>
      <c r="W61" s="682"/>
      <c r="X61" s="682" t="s">
        <v>1155</v>
      </c>
      <c r="Y61" s="682"/>
      <c r="Z61" s="682" t="s">
        <v>1152</v>
      </c>
      <c r="AA61" s="682"/>
      <c r="AB61" s="683" t="s">
        <v>1159</v>
      </c>
      <c r="AC61" s="683"/>
      <c r="AD61" s="682" t="s">
        <v>1151</v>
      </c>
      <c r="AE61" s="682"/>
      <c r="AF61" s="682" t="s">
        <v>1151</v>
      </c>
      <c r="AG61" s="682"/>
      <c r="AH61" s="682" t="s">
        <v>1152</v>
      </c>
      <c r="AI61" s="682"/>
      <c r="AJ61" s="682" t="s">
        <v>1154</v>
      </c>
      <c r="AK61" s="682"/>
      <c r="AL61" s="682" t="s">
        <v>1160</v>
      </c>
      <c r="AM61" s="682"/>
      <c r="AN61" s="682" t="s">
        <v>1160</v>
      </c>
      <c r="AO61" s="682"/>
      <c r="AP61" s="682" t="s">
        <v>1161</v>
      </c>
      <c r="AQ61" s="682"/>
      <c r="AR61" s="682" t="s">
        <v>1160</v>
      </c>
      <c r="AS61" s="682"/>
      <c r="AT61" s="682" t="s">
        <v>1152</v>
      </c>
      <c r="AU61" s="682"/>
      <c r="AV61" s="682" t="s">
        <v>1153</v>
      </c>
      <c r="AW61" s="682"/>
      <c r="AX61" s="682" t="s">
        <v>1160</v>
      </c>
      <c r="AY61" s="682"/>
      <c r="AZ61" s="682" t="s">
        <v>1151</v>
      </c>
      <c r="BA61" s="682"/>
      <c r="BB61" s="684"/>
      <c r="BC61" s="684"/>
      <c r="BD61" s="684"/>
      <c r="BE61" s="684"/>
      <c r="BF61" s="684"/>
      <c r="BG61" s="684"/>
      <c r="BH61" s="684"/>
      <c r="BI61" s="684"/>
      <c r="BJ61" s="684"/>
      <c r="BK61" s="684"/>
      <c r="BL61" s="684"/>
      <c r="BM61" s="684"/>
      <c r="BN61" s="684"/>
      <c r="BO61" s="684"/>
      <c r="BP61" s="684"/>
      <c r="BQ61" s="684"/>
      <c r="BR61" s="684"/>
      <c r="BS61" s="684"/>
      <c r="BT61" s="684"/>
      <c r="BU61" s="684"/>
      <c r="BV61" s="684"/>
      <c r="BW61" s="684"/>
      <c r="BX61" s="684"/>
      <c r="BY61" s="684"/>
      <c r="BZ61" s="684"/>
      <c r="CA61" s="684"/>
      <c r="CB61" s="684"/>
      <c r="CC61" s="684"/>
      <c r="CD61" s="684"/>
      <c r="CE61" s="684"/>
      <c r="CF61" s="684"/>
      <c r="CG61" s="684"/>
      <c r="CH61" s="684"/>
      <c r="CI61" s="684"/>
      <c r="CJ61" s="685"/>
    </row>
    <row r="62" s="692" customFormat="true" ht="15" hidden="false" customHeight="false" outlineLevel="0" collapsed="false">
      <c r="A62" s="687" t="s">
        <v>1162</v>
      </c>
      <c r="B62" s="688" t="n">
        <v>4</v>
      </c>
      <c r="C62" s="688"/>
      <c r="D62" s="688" t="n">
        <v>1.5</v>
      </c>
      <c r="E62" s="688"/>
      <c r="F62" s="688" t="n">
        <v>3</v>
      </c>
      <c r="G62" s="688"/>
      <c r="H62" s="688" t="n">
        <v>3</v>
      </c>
      <c r="I62" s="688"/>
      <c r="J62" s="688" t="n">
        <v>3</v>
      </c>
      <c r="K62" s="688"/>
      <c r="L62" s="688" t="n">
        <v>4</v>
      </c>
      <c r="M62" s="688"/>
      <c r="N62" s="688" t="n">
        <v>6</v>
      </c>
      <c r="O62" s="688"/>
      <c r="P62" s="688" t="n">
        <v>6</v>
      </c>
      <c r="Q62" s="688"/>
      <c r="R62" s="688" t="n">
        <v>3</v>
      </c>
      <c r="S62" s="688"/>
      <c r="T62" s="688" t="n">
        <v>3</v>
      </c>
      <c r="U62" s="688"/>
      <c r="V62" s="688" t="n">
        <v>4</v>
      </c>
      <c r="W62" s="688"/>
      <c r="X62" s="688" t="n">
        <v>4</v>
      </c>
      <c r="Y62" s="688"/>
      <c r="Z62" s="688" t="n">
        <v>1.5</v>
      </c>
      <c r="AA62" s="688"/>
      <c r="AB62" s="689" t="n">
        <v>1</v>
      </c>
      <c r="AC62" s="689"/>
      <c r="AD62" s="688" t="n">
        <v>4</v>
      </c>
      <c r="AE62" s="688"/>
      <c r="AF62" s="688" t="n">
        <v>4</v>
      </c>
      <c r="AG62" s="688"/>
      <c r="AH62" s="688" t="n">
        <v>1.5</v>
      </c>
      <c r="AI62" s="688"/>
      <c r="AJ62" s="688" t="n">
        <v>3</v>
      </c>
      <c r="AK62" s="688"/>
      <c r="AL62" s="688" t="n">
        <v>2</v>
      </c>
      <c r="AM62" s="688"/>
      <c r="AN62" s="688" t="n">
        <v>1.5</v>
      </c>
      <c r="AO62" s="688"/>
      <c r="AP62" s="688" t="n">
        <v>4</v>
      </c>
      <c r="AQ62" s="688"/>
      <c r="AR62" s="688" t="n">
        <v>1.5</v>
      </c>
      <c r="AS62" s="688"/>
      <c r="AT62" s="688" t="n">
        <v>1.5</v>
      </c>
      <c r="AU62" s="688"/>
      <c r="AV62" s="688" t="n">
        <v>3</v>
      </c>
      <c r="AW62" s="688"/>
      <c r="AX62" s="688" t="n">
        <v>1.5</v>
      </c>
      <c r="AY62" s="688"/>
      <c r="AZ62" s="688" t="n">
        <v>4</v>
      </c>
      <c r="BA62" s="688"/>
      <c r="BB62" s="690"/>
      <c r="BC62" s="690"/>
      <c r="BD62" s="690"/>
      <c r="BE62" s="690"/>
      <c r="BF62" s="690"/>
      <c r="BG62" s="690"/>
      <c r="BH62" s="690"/>
      <c r="BI62" s="690"/>
      <c r="BJ62" s="690"/>
      <c r="BK62" s="690"/>
      <c r="BL62" s="690"/>
      <c r="BM62" s="690"/>
      <c r="BN62" s="690"/>
      <c r="BO62" s="690"/>
      <c r="BP62" s="690"/>
      <c r="BQ62" s="690"/>
      <c r="BR62" s="690"/>
      <c r="BS62" s="690"/>
      <c r="BT62" s="690"/>
      <c r="BU62" s="690"/>
      <c r="BV62" s="690"/>
      <c r="BW62" s="690"/>
      <c r="BX62" s="690"/>
      <c r="BY62" s="690"/>
      <c r="BZ62" s="690"/>
      <c r="CA62" s="690"/>
      <c r="CB62" s="690"/>
      <c r="CC62" s="690"/>
      <c r="CD62" s="690"/>
      <c r="CE62" s="690"/>
      <c r="CF62" s="690"/>
      <c r="CG62" s="690"/>
      <c r="CH62" s="690"/>
      <c r="CI62" s="690"/>
      <c r="CJ62" s="691"/>
    </row>
    <row r="63" s="697" customFormat="true" ht="15" hidden="false" customHeight="false" outlineLevel="0" collapsed="false">
      <c r="A63" s="693" t="s">
        <v>1163</v>
      </c>
      <c r="B63" s="694" t="n">
        <v>6</v>
      </c>
      <c r="C63" s="694"/>
      <c r="D63" s="694" t="n">
        <v>3</v>
      </c>
      <c r="E63" s="694"/>
      <c r="F63" s="694" t="n">
        <v>4</v>
      </c>
      <c r="G63" s="694"/>
      <c r="H63" s="694" t="n">
        <v>4</v>
      </c>
      <c r="I63" s="694"/>
      <c r="J63" s="694" t="n">
        <v>4</v>
      </c>
      <c r="K63" s="694"/>
      <c r="L63" s="694" t="n">
        <v>6</v>
      </c>
      <c r="M63" s="694"/>
      <c r="N63" s="694" t="n">
        <v>8</v>
      </c>
      <c r="O63" s="694"/>
      <c r="P63" s="694" t="n">
        <v>8</v>
      </c>
      <c r="Q63" s="694"/>
      <c r="R63" s="694" t="n">
        <v>4</v>
      </c>
      <c r="S63" s="694"/>
      <c r="T63" s="694" t="n">
        <v>4</v>
      </c>
      <c r="U63" s="694"/>
      <c r="V63" s="694" t="n">
        <v>6</v>
      </c>
      <c r="W63" s="694"/>
      <c r="X63" s="694" t="n">
        <v>6</v>
      </c>
      <c r="Y63" s="694"/>
      <c r="Z63" s="694" t="n">
        <v>3</v>
      </c>
      <c r="AA63" s="694"/>
      <c r="AB63" s="695" t="n">
        <v>2</v>
      </c>
      <c r="AC63" s="695"/>
      <c r="AD63" s="694" t="n">
        <v>6</v>
      </c>
      <c r="AE63" s="694"/>
      <c r="AF63" s="694" t="n">
        <v>6</v>
      </c>
      <c r="AG63" s="694"/>
      <c r="AH63" s="694" t="n">
        <v>3</v>
      </c>
      <c r="AI63" s="694"/>
      <c r="AJ63" s="694" t="n">
        <v>4</v>
      </c>
      <c r="AK63" s="694"/>
      <c r="AL63" s="694" t="n">
        <v>3</v>
      </c>
      <c r="AM63" s="694"/>
      <c r="AN63" s="694" t="n">
        <v>3</v>
      </c>
      <c r="AO63" s="694"/>
      <c r="AP63" s="694" t="n">
        <v>6</v>
      </c>
      <c r="AQ63" s="694"/>
      <c r="AR63" s="694" t="n">
        <v>3</v>
      </c>
      <c r="AS63" s="694"/>
      <c r="AT63" s="694" t="n">
        <v>3</v>
      </c>
      <c r="AU63" s="694"/>
      <c r="AV63" s="694" t="n">
        <v>4</v>
      </c>
      <c r="AW63" s="694"/>
      <c r="AX63" s="694" t="n">
        <v>3</v>
      </c>
      <c r="AY63" s="694"/>
      <c r="AZ63" s="694" t="n">
        <v>6</v>
      </c>
      <c r="BA63" s="694"/>
      <c r="BB63" s="575"/>
      <c r="BC63" s="575"/>
      <c r="BD63" s="575"/>
      <c r="BE63" s="575"/>
      <c r="BF63" s="575"/>
      <c r="BG63" s="575"/>
      <c r="BH63" s="575"/>
      <c r="BI63" s="575"/>
      <c r="BJ63" s="575"/>
      <c r="BK63" s="575"/>
      <c r="BL63" s="575"/>
      <c r="BM63" s="575"/>
      <c r="BN63" s="575"/>
      <c r="BO63" s="575"/>
      <c r="BP63" s="575"/>
      <c r="BQ63" s="575"/>
      <c r="BR63" s="575"/>
      <c r="BS63" s="575"/>
      <c r="BT63" s="575"/>
      <c r="BU63" s="575"/>
      <c r="BV63" s="575"/>
      <c r="BW63" s="575"/>
      <c r="BX63" s="575"/>
      <c r="BY63" s="575"/>
      <c r="BZ63" s="575"/>
      <c r="CA63" s="575"/>
      <c r="CB63" s="575"/>
      <c r="CC63" s="575"/>
      <c r="CD63" s="575"/>
      <c r="CE63" s="575"/>
      <c r="CF63" s="575"/>
      <c r="CG63" s="575"/>
      <c r="CH63" s="575"/>
      <c r="CI63" s="575"/>
      <c r="CJ63" s="696"/>
    </row>
    <row r="64" s="702" customFormat="true" ht="15" hidden="false" customHeight="false" outlineLevel="0" collapsed="false">
      <c r="A64" s="698" t="s">
        <v>1164</v>
      </c>
      <c r="B64" s="699" t="n">
        <f aca="false">IF(B65&lt;&gt;"",SQRT(B65*4/3.14),"")</f>
        <v>72.4115977620012</v>
      </c>
      <c r="C64" s="699"/>
      <c r="D64" s="699" t="n">
        <f aca="false">IF(D65&lt;&gt;"",SQRT(D65*4/3.14),"")</f>
        <v>20.3316451911385</v>
      </c>
      <c r="E64" s="699"/>
      <c r="F64" s="699" t="n">
        <f aca="false">IF(F65&lt;&gt;"",SQRT(F65*4/3.14),"")</f>
        <v>48.4222405078098</v>
      </c>
      <c r="G64" s="699"/>
      <c r="H64" s="699" t="n">
        <f aca="false">IF(H65&lt;&gt;"",SQRT(H65*4/3.14),"")</f>
        <v>32.5224077578741</v>
      </c>
      <c r="I64" s="699"/>
      <c r="J64" s="699" t="n">
        <f aca="false">IF(J65&lt;&gt;"",SQRT(J65*4/3.14),"")</f>
        <v>32.5224077578741</v>
      </c>
      <c r="K64" s="699"/>
      <c r="L64" s="699" t="n">
        <f aca="false">IF(L65&lt;&gt;"",SQRT(L65*4/3.14),"")</f>
        <v>54.3941735358639</v>
      </c>
      <c r="M64" s="699"/>
      <c r="N64" s="699" t="n">
        <f aca="false">IF(N65&lt;&gt;"",SQRT(N65*4/3.14),"")</f>
        <v>95.2970548465186</v>
      </c>
      <c r="O64" s="699"/>
      <c r="P64" s="699" t="n">
        <f aca="false">IF(P65&lt;&gt;"",SQRT(P65*4/3.14),"")</f>
        <v>114.672616248159</v>
      </c>
      <c r="Q64" s="699"/>
      <c r="R64" s="699" t="n">
        <f aca="false">IF(R65&lt;&gt;"",SQRT(R65*4/3.14),"")</f>
        <v>38.8660938146303</v>
      </c>
      <c r="S64" s="699"/>
      <c r="T64" s="699" t="n">
        <f aca="false">IF(T65&lt;&gt;"",SQRT(T65*4/3.14),"")</f>
        <v>38.8660938146303</v>
      </c>
      <c r="U64" s="699"/>
      <c r="V64" s="699" t="n">
        <f aca="false">IF(V65&lt;&gt;"",SQRT(V65*4/3.14),"")</f>
        <v>54.3941735358639</v>
      </c>
      <c r="W64" s="699"/>
      <c r="X64" s="699" t="n">
        <f aca="false">IF(X65&lt;&gt;"",SQRT(X65*4/3.14),"")</f>
        <v>54.3941735358639</v>
      </c>
      <c r="Y64" s="699"/>
      <c r="Z64" s="699" t="n">
        <f aca="false">IF(Z65&lt;&gt;"",SQRT(Z65*4/3.14),"")</f>
        <v>20.3316451911385</v>
      </c>
      <c r="AA64" s="699"/>
      <c r="AB64" s="700" t="n">
        <f aca="false">IF(AB65&lt;&gt;"",SQRT(AB65*4/3.14),"")</f>
        <v>9.51030282759763</v>
      </c>
      <c r="AC64" s="700"/>
      <c r="AD64" s="699" t="n">
        <f aca="false">IF(AD65&lt;&gt;"",SQRT(AD65*4/3.14),"")</f>
        <v>72.4115977620012</v>
      </c>
      <c r="AE64" s="699"/>
      <c r="AF64" s="699" t="n">
        <f aca="false">IF(AF65&lt;&gt;"",SQRT(AF65*4/3.14),"")</f>
        <v>72.4115977620012</v>
      </c>
      <c r="AG64" s="699"/>
      <c r="AH64" s="699" t="n">
        <f aca="false">IF(AH65&lt;&gt;"",SQRT(AH65*4/3.14),"")</f>
        <v>20.3316451911385</v>
      </c>
      <c r="AI64" s="699"/>
      <c r="AJ64" s="699" t="n">
        <f aca="false">IF(AJ65&lt;&gt;"",SQRT(AJ65*4/3.14),"")</f>
        <v>32.5224077578741</v>
      </c>
      <c r="AK64" s="699"/>
      <c r="AL64" s="699" t="n">
        <f aca="false">IF(AL65&lt;&gt;"",SQRT(AL65*4/3.14),"")</f>
        <v>25.3987310982512</v>
      </c>
      <c r="AM64" s="699"/>
      <c r="AN64" s="699" t="n">
        <f aca="false">IF(AN65&lt;&gt;"",SQRT(AN65*4/3.14),"")</f>
        <v>25.3987310982512</v>
      </c>
      <c r="AO64" s="699"/>
      <c r="AP64" s="699" t="n">
        <f aca="false">IF(AP65&lt;&gt;"",SQRT(AP65*4/3.14),"")</f>
        <v>59.7233537311136</v>
      </c>
      <c r="AQ64" s="699"/>
      <c r="AR64" s="699" t="n">
        <f aca="false">IF(AR65&lt;&gt;"",SQRT(AR65*4/3.14),"")</f>
        <v>25.3987310982512</v>
      </c>
      <c r="AS64" s="699"/>
      <c r="AT64" s="699" t="n">
        <f aca="false">IF(AT65&lt;&gt;"",SQRT(AT65*4/3.14),"")</f>
        <v>20.3316451911385</v>
      </c>
      <c r="AU64" s="699"/>
      <c r="AV64" s="699" t="n">
        <f aca="false">IF(AV65&lt;&gt;"",SQRT(AV65*4/3.14),"")</f>
        <v>48.4222405078098</v>
      </c>
      <c r="AW64" s="699"/>
      <c r="AX64" s="699" t="n">
        <f aca="false">IF(AX65&lt;&gt;"",SQRT(AX65*4/3.14),"")</f>
        <v>25.3987310982512</v>
      </c>
      <c r="AY64" s="699"/>
      <c r="AZ64" s="699" t="n">
        <f aca="false">IF(AZ65&lt;&gt;"",SQRT(AZ65*4/3.14),"")</f>
        <v>72.4115977620012</v>
      </c>
      <c r="BA64" s="699"/>
      <c r="BB64" s="699" t="str">
        <f aca="false">IF(BB65&lt;&gt;"",SQRT(BB65*4/3.14),"")</f>
        <v/>
      </c>
      <c r="BC64" s="699"/>
      <c r="BD64" s="699" t="str">
        <f aca="false">IF(BD65&lt;&gt;"",SQRT(BD65*4/3.14),"")</f>
        <v/>
      </c>
      <c r="BE64" s="699"/>
      <c r="BF64" s="699" t="str">
        <f aca="false">IF(BF65&lt;&gt;"",SQRT(BF65*4/3.14),"")</f>
        <v/>
      </c>
      <c r="BG64" s="699"/>
      <c r="BH64" s="699" t="str">
        <f aca="false">IF(BH65&lt;&gt;"",SQRT(BH65*4/3.14),"")</f>
        <v/>
      </c>
      <c r="BI64" s="699"/>
      <c r="BJ64" s="699" t="str">
        <f aca="false">IF(BJ65&lt;&gt;"",SQRT(BJ65*4/3.14),"")</f>
        <v/>
      </c>
      <c r="BK64" s="699"/>
      <c r="BL64" s="699" t="str">
        <f aca="false">IF(BL65&lt;&gt;"",SQRT(BL65*4/3.14),"")</f>
        <v/>
      </c>
      <c r="BM64" s="699"/>
      <c r="BN64" s="699" t="str">
        <f aca="false">IF(BN65&lt;&gt;"",SQRT(BN65*4/3.14),"")</f>
        <v/>
      </c>
      <c r="BO64" s="699"/>
      <c r="BP64" s="699" t="str">
        <f aca="false">IF(BP65&lt;&gt;"",SQRT(BP65*4/3.14),"")</f>
        <v/>
      </c>
      <c r="BQ64" s="699"/>
      <c r="BR64" s="699" t="str">
        <f aca="false">IF(BR65&lt;&gt;"",SQRT(BR65*4/3.14),"")</f>
        <v/>
      </c>
      <c r="BS64" s="699"/>
      <c r="BT64" s="699" t="str">
        <f aca="false">IF(BT65&lt;&gt;"",SQRT(BT65*4/3.14),"")</f>
        <v/>
      </c>
      <c r="BU64" s="699"/>
      <c r="BV64" s="699" t="str">
        <f aca="false">IF(BV65&lt;&gt;"",SQRT(BV65*4/3.14),"")</f>
        <v/>
      </c>
      <c r="BW64" s="699"/>
      <c r="BX64" s="699" t="str">
        <f aca="false">IF(BX65&lt;&gt;"",SQRT(BX65*4/3.14),"")</f>
        <v/>
      </c>
      <c r="BY64" s="699"/>
      <c r="BZ64" s="699" t="str">
        <f aca="false">IF(BZ65&lt;&gt;"",SQRT(BZ65*4/3.14),"")</f>
        <v/>
      </c>
      <c r="CA64" s="699"/>
      <c r="CB64" s="699" t="str">
        <f aca="false">IF(CB65&lt;&gt;"",SQRT(CB65*4/3.14),"")</f>
        <v/>
      </c>
      <c r="CC64" s="699"/>
      <c r="CD64" s="699" t="str">
        <f aca="false">IF(CD65&lt;&gt;"",SQRT(CD65*4/3.14),"")</f>
        <v/>
      </c>
      <c r="CE64" s="699"/>
      <c r="CF64" s="699" t="str">
        <f aca="false">IF(CF65&lt;&gt;"",SQRT(CF65*4/3.14),"")</f>
        <v/>
      </c>
      <c r="CG64" s="699"/>
      <c r="CH64" s="699" t="str">
        <f aca="false">IF(CH65&lt;&gt;"",SQRT(CH65*4/3.14),"")</f>
        <v/>
      </c>
      <c r="CI64" s="699"/>
      <c r="CJ64" s="701"/>
    </row>
    <row r="65" s="677" customFormat="true" ht="15" hidden="false" customHeight="false" outlineLevel="0" collapsed="false">
      <c r="A65" s="677" t="s">
        <v>1165</v>
      </c>
      <c r="B65" s="703" t="n">
        <f aca="false">IF(B61&lt;&gt;"",VLOOKUP(B$61,[2]安全阀型号!$B$19:$C$32,2,FALSE()),"")</f>
        <v>4116.1</v>
      </c>
      <c r="C65" s="703"/>
      <c r="D65" s="703" t="n">
        <f aca="false">IF(D61&lt;&gt;"",VLOOKUP(D$61,[2]安全阀型号!$B$19:$C$32,2,FALSE()),"")</f>
        <v>324.5</v>
      </c>
      <c r="E65" s="703"/>
      <c r="F65" s="703" t="n">
        <f aca="false">IF(F61&lt;&gt;"",VLOOKUP(F$61,[2]安全阀型号!$B$19:$C$32,2,FALSE()),"")</f>
        <v>1840.6</v>
      </c>
      <c r="G65" s="703"/>
      <c r="H65" s="703" t="n">
        <f aca="false">IF(H61&lt;&gt;"",VLOOKUP(H$61,[2]安全阀型号!$B$19:$C$32,2,FALSE()),"")</f>
        <v>830.3</v>
      </c>
      <c r="I65" s="703"/>
      <c r="J65" s="703" t="n">
        <f aca="false">IF(J61&lt;&gt;"",VLOOKUP(J$61,[2]安全阀型号!$B$19:$C$32,2,FALSE()),"")</f>
        <v>830.3</v>
      </c>
      <c r="K65" s="703"/>
      <c r="L65" s="703" t="n">
        <f aca="false">IF(L61&lt;&gt;"",VLOOKUP(L$61,[2]安全阀型号!$B$19:$C$32,2,FALSE()),"")</f>
        <v>2322.6</v>
      </c>
      <c r="M65" s="703"/>
      <c r="N65" s="703" t="n">
        <f aca="false">IF(N61&lt;&gt;"",VLOOKUP(N$61,[2]安全阀型号!$B$19:$C$32,2,FALSE()),"")</f>
        <v>7129</v>
      </c>
      <c r="O65" s="703"/>
      <c r="P65" s="703" t="n">
        <f aca="false">IF(P61&lt;&gt;"",VLOOKUP(P$61,[2]安全阀型号!$B$19:$C$32,2,FALSE()),"")</f>
        <v>10322.6</v>
      </c>
      <c r="Q65" s="703"/>
      <c r="R65" s="703" t="n">
        <f aca="false">IF(R61&lt;&gt;"",VLOOKUP(R$61,[2]安全阀型号!$B$19:$C$32,2,FALSE()),"")</f>
        <v>1185.8</v>
      </c>
      <c r="S65" s="703"/>
      <c r="T65" s="703" t="n">
        <f aca="false">IF(T61&lt;&gt;"",VLOOKUP(T$61,[2]安全阀型号!$B$19:$C$32,2,FALSE()),"")</f>
        <v>1185.8</v>
      </c>
      <c r="U65" s="703"/>
      <c r="V65" s="703" t="n">
        <f aca="false">IF(V61&lt;&gt;"",VLOOKUP(V$61,[2]安全阀型号!$B$19:$C$32,2,FALSE()),"")</f>
        <v>2322.6</v>
      </c>
      <c r="W65" s="703"/>
      <c r="X65" s="703" t="n">
        <f aca="false">IF(X61&lt;&gt;"",VLOOKUP(X$61,[2]安全阀型号!$B$19:$C$32,2,FALSE()),"")</f>
        <v>2322.6</v>
      </c>
      <c r="Y65" s="703"/>
      <c r="Z65" s="703" t="n">
        <f aca="false">IF(Z61&lt;&gt;"",VLOOKUP(Z$61,[2]安全阀型号!$B$19:$C$32,2,FALSE()),"")</f>
        <v>324.5</v>
      </c>
      <c r="AA65" s="703"/>
      <c r="AB65" s="704" t="n">
        <f aca="false">IF(AB61&lt;&gt;"",VLOOKUP(AB$61,[2]安全阀型号!$B$19:$C$32,2,FALSE()),"")</f>
        <v>71</v>
      </c>
      <c r="AC65" s="704"/>
      <c r="AD65" s="703" t="n">
        <f aca="false">IF(AD61&lt;&gt;"",VLOOKUP(AD$61,[2]安全阀型号!$B$19:$C$32,2,FALSE()),"")</f>
        <v>4116.1</v>
      </c>
      <c r="AE65" s="703"/>
      <c r="AF65" s="703" t="n">
        <f aca="false">IF(AF61&lt;&gt;"",VLOOKUP(AF$61,[2]安全阀型号!$B$19:$C$32,2,FALSE()),"")</f>
        <v>4116.1</v>
      </c>
      <c r="AG65" s="703"/>
      <c r="AH65" s="703" t="n">
        <f aca="false">IF(AH61&lt;&gt;"",VLOOKUP(AH$61,[2]安全阀型号!$B$19:$C$32,2,FALSE()),"")</f>
        <v>324.5</v>
      </c>
      <c r="AI65" s="703"/>
      <c r="AJ65" s="703" t="n">
        <f aca="false">IF(AJ61&lt;&gt;"",VLOOKUP(AJ$61,[2]安全阀型号!$B$19:$C$32,2,FALSE()),"")</f>
        <v>830.3</v>
      </c>
      <c r="AK65" s="703"/>
      <c r="AL65" s="703" t="n">
        <f aca="false">IF(AL61&lt;&gt;"",VLOOKUP(AL$61,[2]安全阀型号!$B$19:$C$32,2,FALSE()),"")</f>
        <v>506.4</v>
      </c>
      <c r="AM65" s="703"/>
      <c r="AN65" s="703" t="n">
        <f aca="false">IF(AN61&lt;&gt;"",VLOOKUP(AN$61,[2]安全阀型号!$B$19:$C$32,2,FALSE()),"")</f>
        <v>506.4</v>
      </c>
      <c r="AO65" s="703"/>
      <c r="AP65" s="703" t="n">
        <f aca="false">IF(AP61&lt;&gt;"",VLOOKUP(AP$61,[2]安全阀型号!$B$19:$C$32,2,FALSE()),"")</f>
        <v>2800</v>
      </c>
      <c r="AQ65" s="703"/>
      <c r="AR65" s="703" t="n">
        <f aca="false">IF(AR61&lt;&gt;"",VLOOKUP(AR$61,[2]安全阀型号!$B$19:$C$32,2,FALSE()),"")</f>
        <v>506.4</v>
      </c>
      <c r="AS65" s="703"/>
      <c r="AT65" s="703" t="n">
        <f aca="false">IF(AT61&lt;&gt;"",VLOOKUP(AT$61,[2]安全阀型号!$B$19:$C$32,2,FALSE()),"")</f>
        <v>324.5</v>
      </c>
      <c r="AU65" s="703"/>
      <c r="AV65" s="703" t="n">
        <f aca="false">IF(AV61&lt;&gt;"",VLOOKUP(AV$61,[2]安全阀型号!$B$19:$C$32,2,FALSE()),"")</f>
        <v>1840.6</v>
      </c>
      <c r="AW65" s="703"/>
      <c r="AX65" s="703" t="n">
        <f aca="false">IF(AX61&lt;&gt;"",VLOOKUP(AX$61,[2]安全阀型号!$B$19:$C$32,2,FALSE()),"")</f>
        <v>506.4</v>
      </c>
      <c r="AY65" s="703"/>
      <c r="AZ65" s="703" t="n">
        <f aca="false">IF(AZ61&lt;&gt;"",VLOOKUP(AZ$61,[2]安全阀型号!$B$19:$C$32,2,FALSE()),"")</f>
        <v>4116.1</v>
      </c>
      <c r="BA65" s="703"/>
      <c r="BB65" s="703" t="str">
        <f aca="false">IF(BB61&lt;&gt;"",VLOOKUP(BB$61,[2]安全阀型号!$B$19:$C$32,2,FALSE()),"")</f>
        <v/>
      </c>
      <c r="BC65" s="703"/>
      <c r="BD65" s="703" t="str">
        <f aca="false">IF(BD61&lt;&gt;"",VLOOKUP(BD$61,[2]安全阀型号!$B$19:$C$32,2,FALSE()),"")</f>
        <v/>
      </c>
      <c r="BE65" s="703"/>
      <c r="BF65" s="703" t="str">
        <f aca="false">IF(BF61&lt;&gt;"",VLOOKUP(BF$61,[2]安全阀型号!$B$19:$C$32,2,FALSE()),"")</f>
        <v/>
      </c>
      <c r="BG65" s="703"/>
      <c r="BH65" s="703" t="str">
        <f aca="false">IF(BH61&lt;&gt;"",VLOOKUP(BH$61,[2]安全阀型号!$B$19:$C$32,2,FALSE()),"")</f>
        <v/>
      </c>
      <c r="BI65" s="703"/>
      <c r="BJ65" s="703" t="str">
        <f aca="false">IF(BJ61&lt;&gt;"",VLOOKUP(BJ$61,[2]安全阀型号!$B$19:$C$32,2,FALSE()),"")</f>
        <v/>
      </c>
      <c r="BK65" s="703"/>
      <c r="BL65" s="703" t="str">
        <f aca="false">IF(BL61&lt;&gt;"",VLOOKUP(BL$61,[2]安全阀型号!$B$19:$C$32,2,FALSE()),"")</f>
        <v/>
      </c>
      <c r="BM65" s="703"/>
      <c r="BN65" s="703" t="str">
        <f aca="false">IF(BN61&lt;&gt;"",VLOOKUP(BN$61,[2]安全阀型号!$B$19:$C$32,2,FALSE()),"")</f>
        <v/>
      </c>
      <c r="BO65" s="703"/>
      <c r="BP65" s="703" t="str">
        <f aca="false">IF(BP61&lt;&gt;"",VLOOKUP(BP$61,[2]安全阀型号!$B$19:$C$32,2,FALSE()),"")</f>
        <v/>
      </c>
      <c r="BQ65" s="703"/>
      <c r="BR65" s="703" t="str">
        <f aca="false">IF(BR61&lt;&gt;"",VLOOKUP(BR$61,[2]安全阀型号!$B$19:$C$32,2,FALSE()),"")</f>
        <v/>
      </c>
      <c r="BS65" s="703"/>
      <c r="BT65" s="703" t="str">
        <f aca="false">IF(BT61&lt;&gt;"",VLOOKUP(BT$61,[2]安全阀型号!$B$19:$C$32,2,FALSE()),"")</f>
        <v/>
      </c>
      <c r="BU65" s="703"/>
      <c r="BV65" s="703" t="str">
        <f aca="false">IF(BV61&lt;&gt;"",VLOOKUP(BV$61,[2]安全阀型号!$B$19:$C$32,2,FALSE()),"")</f>
        <v/>
      </c>
      <c r="BW65" s="703"/>
      <c r="BX65" s="703" t="str">
        <f aca="false">IF(BX61&lt;&gt;"",VLOOKUP(BX$61,[2]安全阀型号!$B$19:$C$32,2,FALSE()),"")</f>
        <v/>
      </c>
      <c r="BY65" s="703"/>
      <c r="BZ65" s="703" t="str">
        <f aca="false">IF(BZ61&lt;&gt;"",VLOOKUP(BZ$61,[2]安全阀型号!$B$19:$C$32,2,FALSE()),"")</f>
        <v/>
      </c>
      <c r="CA65" s="703"/>
      <c r="CB65" s="703" t="str">
        <f aca="false">IF(CB61&lt;&gt;"",VLOOKUP(CB$61,[2]安全阀型号!$B$19:$C$32,2,FALSE()),"")</f>
        <v/>
      </c>
      <c r="CC65" s="703"/>
      <c r="CD65" s="703" t="str">
        <f aca="false">IF(CD61&lt;&gt;"",VLOOKUP(CD$61,[2]安全阀型号!$B$19:$C$32,2,FALSE()),"")</f>
        <v/>
      </c>
      <c r="CE65" s="703"/>
      <c r="CF65" s="703" t="str">
        <f aca="false">IF(CF61&lt;&gt;"",VLOOKUP(CF$61,[2]安全阀型号!$B$19:$C$32,2,FALSE()),"")</f>
        <v/>
      </c>
      <c r="CG65" s="703"/>
      <c r="CH65" s="703" t="str">
        <f aca="false">IF(CH61&lt;&gt;"",VLOOKUP(CH$61,[2]安全阀型号!$B$19:$C$32,2,FALSE()),"")</f>
        <v/>
      </c>
      <c r="CI65" s="703"/>
    </row>
    <row r="66" s="656" customFormat="true" ht="15" hidden="false" customHeight="false" outlineLevel="0" collapsed="false">
      <c r="A66" s="397" t="s">
        <v>1166</v>
      </c>
      <c r="B66" s="705" t="str">
        <f aca="false">IF(B61&lt;&gt;"",CONCATENATE(IF(B62&lt;&gt;ROUNDUP(B62,0),TEXT(B62,"# ?/?"),B62),B61,IF(B63&lt;&gt;ROUNDUP(B63,0),TEXT(B63,"# ?/?"),B63),IF(B56="火灾",IF(B8*0.16&lt;B9,"-HTB-","-HTO-"),IF(B8*0.1&lt;B9,"-HTB-","-HTO-")),IF(B25=0,"L",IF(C25=0,"G","G&amp;L"))),"")</f>
        <v>4P6-HTB-G</v>
      </c>
      <c r="C66" s="705"/>
      <c r="D66" s="705" t="str">
        <f aca="false">IF(D61&lt;&gt;"",CONCATENATE(IF(D62&lt;&gt;ROUNDUP(D62,0),TEXT(D62,"# ?/?"),D62),D61,IF(D63&lt;&gt;ROUNDUP(D63,0),TEXT(D63,"# ?/?"),D63),IF(D56="火灾",IF(D8*0.16&lt;D9,"-HTB-","-HTO-"),IF(D8*0.1&lt;D9,"-HTB-","-HTO-")),IF(D25=0,"L",IF(E25=0,"G","G&amp;L"))),"")</f>
        <v>1 1/2G3-HTB-L</v>
      </c>
      <c r="E66" s="705"/>
      <c r="F66" s="705" t="str">
        <f aca="false">IF(F61&lt;&gt;"",CONCATENATE(IF(F62&lt;&gt;ROUNDUP(F62,0),TEXT(F62,"# ?/?"),F62),F61,IF(F63&lt;&gt;ROUNDUP(F63,0),TEXT(F63,"# ?/?"),F63),IF(F56="火灾",IF(F8*0.16&lt;F9,"-HTB-","-HTO-"),IF(F8*0.1&lt;F9,"-HTB-","-HTO-")),IF(F25=0,"L",IF(G25=0,"G","G&amp;L"))),"")</f>
        <v>3L4-HTB-G&amp;L</v>
      </c>
      <c r="G66" s="705"/>
      <c r="H66" s="705" t="str">
        <f aca="false">IF(H61&lt;&gt;"",CONCATENATE(IF(H62&lt;&gt;ROUNDUP(H62,0),TEXT(H62,"# ?/?"),H62),H61,IF(H63&lt;&gt;ROUNDUP(H63,0),TEXT(H63,"# ?/?"),H63),IF(H56="火灾",IF(H8*0.16&lt;H9,"-HTB-","-HTO-"),IF(H8*0.1&lt;H9,"-HTB-","-HTO-")),IF(H25=0,"L",IF(I25=0,"G","G&amp;L"))),"")</f>
        <v>3J4-HTB-G</v>
      </c>
      <c r="I66" s="705"/>
      <c r="J66" s="705" t="str">
        <f aca="false">IF(J61&lt;&gt;"",CONCATENATE(IF(J62&lt;&gt;ROUNDUP(J62,0),TEXT(J62,"# ?/?"),J62),J61,IF(J63&lt;&gt;ROUNDUP(J63,0),TEXT(J63,"# ?/?"),J63),IF(J56="火灾",IF(J8*0.16&lt;J9,"-HTB-","-HTO-"),IF(J8*0.1&lt;J9,"-HTB-","-HTO-")),IF(J25=0,"L",IF(K25=0,"G","G&amp;L"))),"")</f>
        <v>3J4-HTO-G</v>
      </c>
      <c r="K66" s="705"/>
      <c r="L66" s="705" t="str">
        <f aca="false">IF(L61&lt;&gt;"",CONCATENATE(IF(L62&lt;&gt;ROUNDUP(L62,0),TEXT(L62,"# ?/?"),L62),L61,IF(L63&lt;&gt;ROUNDUP(L63,0),TEXT(L63,"# ?/?"),L63),IF(L56="火灾",IF(L8*0.16&lt;L9,"-HTB-","-HTO-"),IF(L8*0.1&lt;L9,"-HTB-","-HTO-")),IF(L25=0,"L",IF(M25=0,"G","G&amp;L"))),"")</f>
        <v>4M6-HTB-G</v>
      </c>
      <c r="M66" s="705"/>
      <c r="N66" s="705" t="str">
        <f aca="false">IF(N61&lt;&gt;"",CONCATENATE(IF(N62&lt;&gt;ROUNDUP(N62,0),TEXT(N62,"# ?/?"),N62),N61,IF(N63&lt;&gt;ROUNDUP(N63,0),TEXT(N63,"# ?/?"),N63),IF(N56="火灾",IF(N8*0.16&lt;N9,"-HTB-","-HTO-"),IF(N8*0.1&lt;N9,"-HTB-","-HTO-")),IF(N25=0,"L",IF(O25=0,"G","G&amp;L"))),"")</f>
        <v>6Q8-HTB-G</v>
      </c>
      <c r="O66" s="705"/>
      <c r="P66" s="705" t="str">
        <f aca="false">IF(P61&lt;&gt;"",CONCATENATE(IF(P62&lt;&gt;ROUNDUP(P62,0),TEXT(P62,"# ?/?"),P62),P61,IF(P63&lt;&gt;ROUNDUP(P63,0),TEXT(P63,"# ?/?"),P63),IF(P56="火灾",IF(P8*0.16&lt;P9,"-HTB-","-HTO-"),IF(P8*0.1&lt;P9,"-HTB-","-HTO-")),IF(P25=0,"L",IF(Q25=0,"G","G&amp;L"))),"")</f>
        <v>6R8-HTB-G</v>
      </c>
      <c r="Q66" s="705"/>
      <c r="R66" s="705" t="str">
        <f aca="false">IF(R61&lt;&gt;"",CONCATENATE(IF(R62&lt;&gt;ROUNDUP(R62,0),TEXT(R62,"# ?/?"),R62),R61,IF(R63&lt;&gt;ROUNDUP(R63,0),TEXT(R63,"# ?/?"),R63),IF(R56="火灾",IF(R8*0.16&lt;R9,"-HTB-","-HTO-"),IF(R8*0.1&lt;R9,"-HTB-","-HTO-")),IF(R25=0,"L",IF(S25=0,"G","G&amp;L"))),"")</f>
        <v>3K4-HTO-G</v>
      </c>
      <c r="S66" s="705"/>
      <c r="T66" s="705" t="str">
        <f aca="false">IF(T61&lt;&gt;"",CONCATENATE(IF(T62&lt;&gt;ROUNDUP(T62,0),TEXT(T62,"# ?/?"),T62),T61,IF(T63&lt;&gt;ROUNDUP(T63,0),TEXT(T63,"# ?/?"),T63),IF(T56="火灾",IF(T8*0.16&lt;T9,"-HTB-","-HTO-"),IF(T8*0.1&lt;T9,"-HTB-","-HTO-")),IF(T25=0,"L",IF(U25=0,"G","G&amp;L"))),"")</f>
        <v>3K4-HTO-G</v>
      </c>
      <c r="U66" s="705"/>
      <c r="V66" s="705" t="str">
        <f aca="false">IF(V61&lt;&gt;"",CONCATENATE(IF(V62&lt;&gt;ROUNDUP(V62,0),TEXT(V62,"# ?/?"),V62),V61,IF(V63&lt;&gt;ROUNDUP(V63,0),TEXT(V63,"# ?/?"),V63),IF(V56="火灾",IF(V8*0.16&lt;V9,"-HTB-","-HTO-"),IF(V8*0.1&lt;V9,"-HTB-","-HTO-")),IF(V25=0,"L",IF(W25=0,"G","G&amp;L"))),"")</f>
        <v>4M6-HTB-G</v>
      </c>
      <c r="W66" s="705"/>
      <c r="X66" s="705" t="str">
        <f aca="false">IF(X61&lt;&gt;"",CONCATENATE(IF(X62&lt;&gt;ROUNDUP(X62,0),TEXT(X62,"# ?/?"),X62),X61,IF(X63&lt;&gt;ROUNDUP(X63,0),TEXT(X63,"# ?/?"),X63),IF(X56="火灾",IF(X8*0.16&lt;X9,"-HTB-","-HTO-"),IF(X8*0.1&lt;X9,"-HTB-","-HTO-")),IF(X25=0,"L",IF(Y25=0,"G","G&amp;L"))),"")</f>
        <v>4M6-HTB-G</v>
      </c>
      <c r="Y66" s="705"/>
      <c r="Z66" s="705" t="str">
        <f aca="false">IF(Z61&lt;&gt;"",CONCATENATE(IF(Z62&lt;&gt;ROUNDUP(Z62,0),TEXT(Z62,"# ?/?"),Z62),Z61,IF(Z63&lt;&gt;ROUNDUP(Z63,0),TEXT(Z63,"# ?/?"),Z63),IF(Z56="火灾",IF(Z8*0.16&lt;Z9,"-HTB-","-HTO-"),IF(Z8*0.1&lt;Z9,"-HTB-","-HTO-")),IF(Z25=0,"L",IF(AA25=0,"G","G&amp;L"))),"")</f>
        <v>1 1/2G3-HTB-G</v>
      </c>
      <c r="AA66" s="705"/>
      <c r="AB66" s="706" t="str">
        <f aca="false">IF(AB61&lt;&gt;"",CONCATENATE(IF(AB62&lt;&gt;ROUNDUP(AB62,0),TEXT(AB62,"# ?/?"),AB62),AB61,IF(AB63&lt;&gt;ROUNDUP(AB63,0),TEXT(AB63,"# ?/?"),AB63),IF(AB56="火灾",IF(AB8*0.16&lt;AB9,"-HTB-","-HTO-"),IF(AB8*0.1&lt;AB9,"-HTB-","-HTO-")),IF(AB25=0,"L",IF(AC25=0,"G","G&amp;L"))),"")</f>
        <v>1D2-HTO-L</v>
      </c>
      <c r="AC66" s="706"/>
      <c r="AD66" s="705" t="str">
        <f aca="false">IF(AD61&lt;&gt;"",CONCATENATE(IF(AD62&lt;&gt;ROUNDUP(AD62,0),TEXT(AD62,"# ?/?"),AD62),AD61,IF(AD63&lt;&gt;ROUNDUP(AD63,0),TEXT(AD63,"# ?/?"),AD63),IF(AD56="火灾",IF(AD8*0.16&lt;AD9,"-HTB-","-HTO-"),IF(AD8*0.1&lt;AD9,"-HTB-","-HTO-")),IF(AD25=0,"L",IF(AE25=0,"G","G&amp;L"))),"")</f>
        <v>4P6-HTO-G</v>
      </c>
      <c r="AE66" s="705"/>
      <c r="AF66" s="705" t="str">
        <f aca="false">IF(AF61&lt;&gt;"",CONCATENATE(IF(AF62&lt;&gt;ROUNDUP(AF62,0),TEXT(AF62,"# ?/?"),AF62),AF61,IF(AF63&lt;&gt;ROUNDUP(AF63,0),TEXT(AF63,"# ?/?"),AF63),IF(AF56="火灾",IF(AF8*0.16&lt;AF9,"-HTB-","-HTO-"),IF(AF8*0.1&lt;AF9,"-HTB-","-HTO-")),IF(AF25=0,"L",IF(AG25=0,"G","G&amp;L"))),"")</f>
        <v>4P6-HTO-G</v>
      </c>
      <c r="AG66" s="705"/>
      <c r="AH66" s="705" t="str">
        <f aca="false">IF(AH61&lt;&gt;"",CONCATENATE(IF(AH62&lt;&gt;ROUNDUP(AH62,0),TEXT(AH62,"# ?/?"),AH62),AH61,IF(AH63&lt;&gt;ROUNDUP(AH63,0),TEXT(AH63,"# ?/?"),AH63),IF(AH56="火灾",IF(AH8*0.16&lt;AH9,"-HTB-","-HTO-"),IF(AH8*0.1&lt;AH9,"-HTB-","-HTO-")),IF(AH25=0,"L",IF(AI25=0,"G","G&amp;L"))),"")</f>
        <v>1 1/2G3-HTB-L</v>
      </c>
      <c r="AI66" s="705"/>
      <c r="AJ66" s="705" t="str">
        <f aca="false">IF(AJ61&lt;&gt;"",CONCATENATE(IF(AJ62&lt;&gt;ROUNDUP(AJ62,0),TEXT(AJ62,"# ?/?"),AJ62),AJ61,IF(AJ63&lt;&gt;ROUNDUP(AJ63,0),TEXT(AJ63,"# ?/?"),AJ63),IF(AJ56="火灾",IF(AJ8*0.16&lt;AJ9,"-HTB-","-HTO-"),IF(AJ8*0.1&lt;AJ9,"-HTB-","-HTO-")),IF(AJ25=0,"L",IF(AK25=0,"G","G&amp;L"))),"")</f>
        <v>3J4-HTB-G</v>
      </c>
      <c r="AK66" s="705"/>
      <c r="AL66" s="705" t="str">
        <f aca="false">IF(AL61&lt;&gt;"",CONCATENATE(IF(AL62&lt;&gt;ROUNDUP(AL62,0),TEXT(AL62,"# ?/?"),AL62),AL61,IF(AL63&lt;&gt;ROUNDUP(AL63,0),TEXT(AL63,"# ?/?"),AL63),IF(AL56="火灾",IF(AL8*0.16&lt;AL9,"-HTB-","-HTO-"),IF(AL8*0.1&lt;AL9,"-HTB-","-HTO-")),IF(AL25=0,"L",IF(AM25=0,"G","G&amp;L"))),"")</f>
        <v>2H3-HTB-G</v>
      </c>
      <c r="AM66" s="705"/>
      <c r="AN66" s="705" t="str">
        <f aca="false">IF(AN61&lt;&gt;"",CONCATENATE(IF(AN62&lt;&gt;ROUNDUP(AN62,0),TEXT(AN62,"# ?/?"),AN62),AN61,IF(AN63&lt;&gt;ROUNDUP(AN63,0),TEXT(AN63,"# ?/?"),AN63),IF(AN56="火灾",IF(AN8*0.16&lt;AN9,"-HTB-","-HTO-"),IF(AN8*0.1&lt;AN9,"-HTB-","-HTO-")),IF(AN25=0,"L",IF(AO25=0,"G","G&amp;L"))),"")</f>
        <v>1 1/2H3-HTB-G</v>
      </c>
      <c r="AO66" s="705"/>
      <c r="AP66" s="705" t="str">
        <f aca="false">IF(AP61&lt;&gt;"",CONCATENATE(IF(AP62&lt;&gt;ROUNDUP(AP62,0),TEXT(AP62,"# ?/?"),AP62),AP61,IF(AP63&lt;&gt;ROUNDUP(AP63,0),TEXT(AP63,"# ?/?"),AP63),IF(AP56="火灾",IF(AP8*0.16&lt;AP9,"-HTB-","-HTO-"),IF(AP8*0.1&lt;AP9,"-HTB-","-HTO-")),IF(AP25=0,"L",IF(AQ25=0,"G","G&amp;L"))),"")</f>
        <v>4N6-HTB-G</v>
      </c>
      <c r="AQ66" s="705"/>
      <c r="AR66" s="705" t="str">
        <f aca="false">IF(AR61&lt;&gt;"",CONCATENATE(IF(AR62&lt;&gt;ROUNDUP(AR62,0),TEXT(AR62,"# ?/?"),AR62),AR61,IF(AR63&lt;&gt;ROUNDUP(AR63,0),TEXT(AR63,"# ?/?"),AR63),IF(AR56="火灾",IF(AR8*0.16&lt;AR9,"-HTB-","-HTO-"),IF(AR8*0.1&lt;AR9,"-HTB-","-HTO-")),IF(AR25=0,"L",IF(AS25=0,"G","G&amp;L"))),"")</f>
        <v>1 1/2H3-HTB-G</v>
      </c>
      <c r="AS66" s="705"/>
      <c r="AT66" s="705" t="str">
        <f aca="false">IF(AT61&lt;&gt;"",CONCATENATE(IF(AT62&lt;&gt;ROUNDUP(AT62,0),TEXT(AT62,"# ?/?"),AT62),AT61,IF(AT63&lt;&gt;ROUNDUP(AT63,0),TEXT(AT63,"# ?/?"),AT63),IF(AT56="火灾",IF(AT8*0.16&lt;AT9,"-HTB-","-HTO-"),IF(AT8*0.1&lt;AT9,"-HTB-","-HTO-")),IF(AT25=0,"L",IF(AU25=0,"G","G&amp;L"))),"")</f>
        <v>1 1/2G3-HTB-G</v>
      </c>
      <c r="AU66" s="705"/>
      <c r="AV66" s="705" t="str">
        <f aca="false">IF(AV61&lt;&gt;"",CONCATENATE(IF(AV62&lt;&gt;ROUNDUP(AV62,0),TEXT(AV62,"# ?/?"),AV62),AV61,IF(AV63&lt;&gt;ROUNDUP(AV63,0),TEXT(AV63,"# ?/?"),AV63),IF(AV56="火灾",IF(AV8*0.16&lt;AV9,"-HTB-","-HTO-"),IF(AV8*0.1&lt;AV9,"-HTB-","-HTO-")),IF(AV25=0,"L",IF(AW25=0,"G","G&amp;L"))),"")</f>
        <v>3L4-HTB-G</v>
      </c>
      <c r="AW66" s="705"/>
      <c r="AX66" s="705" t="str">
        <f aca="false">IF(AX61&lt;&gt;"",CONCATENATE(IF(AX62&lt;&gt;ROUNDUP(AX62,0),TEXT(AX62,"# ?/?"),AX62),AX61,IF(AX63&lt;&gt;ROUNDUP(AX63,0),TEXT(AX63,"# ?/?"),AX63),IF(AX56="火灾",IF(AX8*0.16&lt;AX9,"-HTB-","-HTO-"),IF(AX8*0.1&lt;AX9,"-HTB-","-HTO-")),IF(AX25=0,"L",IF(AY25=0,"G","G&amp;L"))),"")</f>
        <v>1 1/2H3-HTB-G</v>
      </c>
      <c r="AY66" s="705"/>
      <c r="AZ66" s="705" t="str">
        <f aca="false">IF(AZ61&lt;&gt;"",CONCATENATE(IF(AZ62&lt;&gt;ROUNDUP(AZ62,0),TEXT(AZ62,"# ?/?"),AZ62),AZ61,IF(AZ63&lt;&gt;ROUNDUP(AZ63,0),TEXT(AZ63,"# ?/?"),AZ63),IF(AZ56="火灾",IF(AZ8*0.16&lt;AZ9,"-HTB-","-HTO-"),IF(AZ8*0.1&lt;AZ9,"-HTB-","-HTO-")),IF(AZ25=0,"L",IF(BA25=0,"G","G&amp;L"))),"")</f>
        <v>4P6-HTB-L</v>
      </c>
      <c r="BA66" s="705"/>
      <c r="BB66" s="705" t="str">
        <f aca="false">IF(BB61&lt;&gt;"",CONCATENATE(IF(BB62&lt;&gt;ROUNDUP(BB62,0),TEXT(BB62,"# ?/?"),BB62),BB61,IF(BB63&lt;&gt;ROUNDUP(BB63,0),TEXT(BB63,"# ?/?"),BB63),IF(BB56="火灾",IF(BB8*0.16&lt;BB9,"-HTB-","-HTO-"),IF(BB8*0.1&lt;BB9,"-HTB-","-HTO-")),IF(BB25=0,"L",IF(BC25=0,"G","G&amp;L"))),"")</f>
        <v/>
      </c>
      <c r="BC66" s="705"/>
      <c r="BD66" s="705" t="str">
        <f aca="false">IF(BD61&lt;&gt;"",CONCATENATE(IF(BD62&lt;&gt;ROUNDUP(BD62,0),TEXT(BD62,"# ?/?"),BD62),BD61,IF(BD63&lt;&gt;ROUNDUP(BD63,0),TEXT(BD63,"# ?/?"),BD63),IF(BD56="火灾",IF(BD8*0.16&lt;BD9,"-HTB-","-HTO-"),IF(BD8*0.1&lt;BD9,"-HTB-","-HTO-")),IF(BD25=0,"L",IF(BE25=0,"G","G&amp;L"))),"")</f>
        <v/>
      </c>
      <c r="BE66" s="705"/>
      <c r="BF66" s="705" t="str">
        <f aca="false">IF(BF61&lt;&gt;"",CONCATENATE(IF(BF62&lt;&gt;ROUNDUP(BF62,0),TEXT(BF62,"# ?/?"),BF62),BF61,IF(BF63&lt;&gt;ROUNDUP(BF63,0),TEXT(BF63,"# ?/?"),BF63),IF(BF56="火灾",IF(BF8*0.16&lt;BF9,"-HTB-","-HTO-"),IF(BF8*0.1&lt;BF9,"-HTB-","-HTO-")),IF(BF25=0,"L",IF(BG25=0,"G","G&amp;L"))),"")</f>
        <v/>
      </c>
      <c r="BG66" s="705"/>
      <c r="BH66" s="705" t="str">
        <f aca="false">IF(BH61&lt;&gt;"",CONCATENATE(IF(BH62&lt;&gt;ROUNDUP(BH62,0),TEXT(BH62,"# ?/?"),BH62),BH61,IF(BH63&lt;&gt;ROUNDUP(BH63,0),TEXT(BH63,"# ?/?"),BH63),IF(BH56="火灾",IF(BH8*0.16&lt;BH9,"-HTB-","-HTO-"),IF(BH8*0.1&lt;BH9,"-HTB-","-HTO-")),IF(BH25=0,"L",IF(BI25=0,"G","G&amp;L"))),"")</f>
        <v/>
      </c>
      <c r="BI66" s="705"/>
      <c r="BJ66" s="705" t="str">
        <f aca="false">IF(BJ61&lt;&gt;"",CONCATENATE(IF(BJ62&lt;&gt;ROUNDUP(BJ62,0),TEXT(BJ62,"# ?/?"),BJ62),BJ61,IF(BJ63&lt;&gt;ROUNDUP(BJ63,0),TEXT(BJ63,"# ?/?"),BJ63),IF(BJ56="火灾",IF(BJ8*0.16&lt;BJ9,"-HTB-","-HTO-"),IF(BJ8*0.1&lt;BJ9,"-HTB-","-HTO-")),IF(BJ25=0,"L",IF(BK25=0,"G","G&amp;L"))),"")</f>
        <v/>
      </c>
      <c r="BK66" s="705"/>
      <c r="BL66" s="705" t="str">
        <f aca="false">IF(BL61&lt;&gt;"",CONCATENATE(IF(BL62&lt;&gt;ROUNDUP(BL62,0),TEXT(BL62,"# ?/?"),BL62),BL61,IF(BL63&lt;&gt;ROUNDUP(BL63,0),TEXT(BL63,"# ?/?"),BL63),IF(BL56="火灾",IF(BL8*0.16&lt;BL9,"-HTB-","-HTO-"),IF(BL8*0.1&lt;BL9,"-HTB-","-HTO-")),IF(BL25=0,"L",IF(BM25=0,"G","G&amp;L"))),"")</f>
        <v/>
      </c>
      <c r="BM66" s="705"/>
      <c r="BN66" s="705" t="str">
        <f aca="false">IF(BN61&lt;&gt;"",CONCATENATE(IF(BN62&lt;&gt;ROUNDUP(BN62,0),TEXT(BN62,"# ?/?"),BN62),BN61,IF(BN63&lt;&gt;ROUNDUP(BN63,0),TEXT(BN63,"# ?/?"),BN63),IF(BN56="火灾",IF(BN8*0.16&lt;BN9,"-HTB-","-HTO-"),IF(BN8*0.1&lt;BN9,"-HTB-","-HTO-")),IF(BN25=0,"L",IF(BO25=0,"G","G&amp;L"))),"")</f>
        <v/>
      </c>
      <c r="BO66" s="705"/>
      <c r="BP66" s="705" t="str">
        <f aca="false">IF(BP61&lt;&gt;"",CONCATENATE(IF(BP62&lt;&gt;ROUNDUP(BP62,0),TEXT(BP62,"# ?/?"),BP62),BP61,IF(BP63&lt;&gt;ROUNDUP(BP63,0),TEXT(BP63,"# ?/?"),BP63),IF(BP56="火灾",IF(BP8*0.16&lt;BP9,"-HTB-","-HTO-"),IF(BP8*0.1&lt;BP9,"-HTB-","-HTO-")),IF(BP25=0,"L",IF(BQ25=0,"G","G&amp;L"))),"")</f>
        <v/>
      </c>
      <c r="BQ66" s="705"/>
      <c r="BR66" s="705" t="str">
        <f aca="false">IF(BR61&lt;&gt;"",CONCATENATE(IF(BR62&lt;&gt;ROUNDUP(BR62,0),TEXT(BR62,"# ?/?"),BR62),BR61,IF(BR63&lt;&gt;ROUNDUP(BR63,0),TEXT(BR63,"# ?/?"),BR63),IF(BR56="火灾",IF(BR8*0.16&lt;BR9,"-HTB-","-HTO-"),IF(BR8*0.1&lt;BR9,"-HTB-","-HTO-")),IF(BR25=0,"L",IF(BS25=0,"G","G&amp;L"))),"")</f>
        <v/>
      </c>
      <c r="BS66" s="705"/>
      <c r="BT66" s="705" t="str">
        <f aca="false">IF(BT61&lt;&gt;"",CONCATENATE(IF(BT62&lt;&gt;ROUNDUP(BT62,0),TEXT(BT62,"# ?/?"),BT62),BT61,IF(BT63&lt;&gt;ROUNDUP(BT63,0),TEXT(BT63,"# ?/?"),BT63),IF(BT56="火灾",IF(BT8*0.16&lt;BT9,"-HTB-","-HTO-"),IF(BT8*0.1&lt;BT9,"-HTB-","-HTO-")),IF(BT25=0,"L",IF(BU25=0,"G","G&amp;L"))),"")</f>
        <v/>
      </c>
      <c r="BU66" s="705"/>
      <c r="BV66" s="705" t="str">
        <f aca="false">IF(BV61&lt;&gt;"",CONCATENATE(IF(BV62&lt;&gt;ROUNDUP(BV62,0),TEXT(BV62,"# ?/?"),BV62),BV61,IF(BV63&lt;&gt;ROUNDUP(BV63,0),TEXT(BV63,"# ?/?"),BV63),IF(BV56="火灾",IF(BV8*0.16&lt;BV9,"-HTB-","-HTO-"),IF(BV8*0.1&lt;BV9,"-HTB-","-HTO-")),IF(BV25=0,"L",IF(BW25=0,"G","G&amp;L"))),"")</f>
        <v/>
      </c>
      <c r="BW66" s="705"/>
      <c r="BX66" s="705" t="str">
        <f aca="false">IF(BX61&lt;&gt;"",CONCATENATE(IF(BX62&lt;&gt;ROUNDUP(BX62,0),TEXT(BX62,"# ?/?"),BX62),BX61,IF(BX63&lt;&gt;ROUNDUP(BX63,0),TEXT(BX63,"# ?/?"),BX63),IF(BX56="火灾",IF(BX8*0.16&lt;BX9,"-HTB-","-HTO-"),IF(BX8*0.1&lt;BX9,"-HTB-","-HTO-")),IF(BX25=0,"L",IF(BY25=0,"G","G&amp;L"))),"")</f>
        <v/>
      </c>
      <c r="BY66" s="705"/>
      <c r="BZ66" s="705" t="str">
        <f aca="false">IF(BZ61&lt;&gt;"",CONCATENATE(IF(BZ62&lt;&gt;ROUNDUP(BZ62,0),TEXT(BZ62,"# ?/?"),BZ62),BZ61,IF(BZ63&lt;&gt;ROUNDUP(BZ63,0),TEXT(BZ63,"# ?/?"),BZ63),IF(BZ56="火灾",IF(BZ8*0.16&lt;BZ9,"-HTB-","-HTO-"),IF(BZ8*0.1&lt;BZ9,"-HTB-","-HTO-")),IF(BZ25=0,"L",IF(CA25=0,"G","G&amp;L"))),"")</f>
        <v/>
      </c>
      <c r="CA66" s="705"/>
      <c r="CB66" s="705" t="str">
        <f aca="false">IF(CB61&lt;&gt;"",CONCATENATE(IF(CB62&lt;&gt;ROUNDUP(CB62,0),TEXT(CB62,"# ?/?"),CB62),CB61,IF(CB63&lt;&gt;ROUNDUP(CB63,0),TEXT(CB63,"# ?/?"),CB63),IF(CB56="火灾",IF(CB8*0.16&lt;CB9,"-HTB-","-HTO-"),IF(CB8*0.1&lt;CB9,"-HTB-","-HTO-")),IF(CB25=0,"L",IF(CC25=0,"G","G&amp;L"))),"")</f>
        <v/>
      </c>
      <c r="CC66" s="705"/>
      <c r="CD66" s="705" t="str">
        <f aca="false">IF(CD61&lt;&gt;"",CONCATENATE(IF(CD62&lt;&gt;ROUNDUP(CD62,0),TEXT(CD62,"# ?/?"),CD62),CD61,IF(CD63&lt;&gt;ROUNDUP(CD63,0),TEXT(CD63,"# ?/?"),CD63),IF(CD56="火灾",IF(CD8*0.16&lt;CD9,"-HTB-","-HTO-"),IF(CD8*0.1&lt;CD9,"-HTB-","-HTO-")),IF(CD25=0,"L",IF(CE25=0,"G","G&amp;L"))),"")</f>
        <v/>
      </c>
      <c r="CE66" s="705"/>
      <c r="CF66" s="705" t="str">
        <f aca="false">IF(CF61&lt;&gt;"",CONCATENATE(IF(CF62&lt;&gt;ROUNDUP(CF62,0),TEXT(CF62,"# ?/?"),CF62),CF61,IF(CF63&lt;&gt;ROUNDUP(CF63,0),TEXT(CF63,"# ?/?"),CF63),IF(CF56="火灾",IF(CF8*0.16&lt;CF9,"-HTB-","-HTO-"),IF(CF8*0.1&lt;CF9,"-HTB-","-HTO-")),IF(CF25=0,"L",IF(CG25=0,"G","G&amp;L"))),"")</f>
        <v/>
      </c>
      <c r="CG66" s="705"/>
      <c r="CH66" s="705" t="str">
        <f aca="false">IF(CH61&lt;&gt;"",CONCATENATE(IF(CH62&lt;&gt;ROUNDUP(CH62,0),TEXT(CH62,"# ?/?"),CH62),CH61,IF(CH63&lt;&gt;ROUNDUP(CH63,0),TEXT(CH63,"# ?/?"),CH63),IF(CH56="火灾",IF(CH8*0.16&lt;CH9,"-HTB-","-HTO-"),IF(CH8*0.1&lt;CH9,"-HTB-","-HTO-")),IF(CH25=0,"L",IF(CI25=0,"G","G&amp;L"))),"")</f>
        <v/>
      </c>
      <c r="CI66" s="705"/>
      <c r="CJ66" s="655"/>
    </row>
    <row r="67" s="397" customFormat="true" ht="15" hidden="false" customHeight="false" outlineLevel="0" collapsed="false">
      <c r="A67" s="397" t="s">
        <v>1167</v>
      </c>
      <c r="B67" s="707" t="n">
        <f aca="false">IF(B62&lt;&gt;"",VLOOKUP(B62*1,[2]安全阀型号!$B$6:$C$15,2),"")</f>
        <v>100</v>
      </c>
      <c r="C67" s="707"/>
      <c r="D67" s="707" t="n">
        <f aca="false">IF(D62&lt;&gt;"",VLOOKUP(D62*1,[2]安全阀型号!$B$6:$C$15,2),"")</f>
        <v>40</v>
      </c>
      <c r="E67" s="707"/>
      <c r="F67" s="707" t="n">
        <f aca="false">IF(F62&lt;&gt;"",VLOOKUP(F62*1,[2]安全阀型号!$B$6:$C$15,2),"")</f>
        <v>80</v>
      </c>
      <c r="G67" s="707"/>
      <c r="H67" s="707" t="n">
        <f aca="false">IF(H62&lt;&gt;"",VLOOKUP(H62*1,[2]安全阀型号!$B$6:$C$15,2),"")</f>
        <v>80</v>
      </c>
      <c r="I67" s="707"/>
      <c r="J67" s="707" t="n">
        <f aca="false">IF(J62&lt;&gt;"",VLOOKUP(J62*1,[2]安全阀型号!$B$6:$C$15,2),"")</f>
        <v>80</v>
      </c>
      <c r="K67" s="707"/>
      <c r="L67" s="707" t="n">
        <f aca="false">IF(L62&lt;&gt;"",VLOOKUP(L62*1,[2]安全阀型号!$B$6:$C$15,2),"")</f>
        <v>100</v>
      </c>
      <c r="M67" s="707"/>
      <c r="N67" s="707" t="n">
        <f aca="false">IF(N62&lt;&gt;"",VLOOKUP(N62*1,[2]安全阀型号!$B$6:$C$15,2),"")</f>
        <v>150</v>
      </c>
      <c r="O67" s="707"/>
      <c r="P67" s="707" t="n">
        <f aca="false">IF(P62&lt;&gt;"",VLOOKUP(P62*1,[2]安全阀型号!$B$6:$C$15,2),"")</f>
        <v>150</v>
      </c>
      <c r="Q67" s="707"/>
      <c r="R67" s="707" t="n">
        <f aca="false">IF(R62&lt;&gt;"",VLOOKUP(R62*1,[2]安全阀型号!$B$6:$C$15,2),"")</f>
        <v>80</v>
      </c>
      <c r="S67" s="707"/>
      <c r="T67" s="707" t="n">
        <f aca="false">IF(T62&lt;&gt;"",VLOOKUP(T62*1,[2]安全阀型号!$B$6:$C$15,2),"")</f>
        <v>80</v>
      </c>
      <c r="U67" s="707"/>
      <c r="V67" s="707" t="n">
        <f aca="false">IF(V62&lt;&gt;"",VLOOKUP(V62*1,[2]安全阀型号!$B$6:$C$15,2),"")</f>
        <v>100</v>
      </c>
      <c r="W67" s="707"/>
      <c r="X67" s="707" t="n">
        <f aca="false">IF(X62&lt;&gt;"",VLOOKUP(X62*1,[2]安全阀型号!$B$6:$C$15,2),"")</f>
        <v>100</v>
      </c>
      <c r="Y67" s="707"/>
      <c r="Z67" s="707" t="n">
        <f aca="false">IF(Z62&lt;&gt;"",VLOOKUP(Z62*1,[2]安全阀型号!$B$6:$C$15,2),"")</f>
        <v>40</v>
      </c>
      <c r="AA67" s="707"/>
      <c r="AB67" s="708" t="n">
        <f aca="false">IF(AB62&lt;&gt;"",VLOOKUP(AB62*1,[2]安全阀型号!$B$6:$C$15,2),"")</f>
        <v>25</v>
      </c>
      <c r="AC67" s="708"/>
      <c r="AD67" s="707" t="n">
        <f aca="false">IF(AD62&lt;&gt;"",VLOOKUP(AD62*1,[2]安全阀型号!$B$6:$C$15,2),"")</f>
        <v>100</v>
      </c>
      <c r="AE67" s="707"/>
      <c r="AF67" s="707" t="n">
        <f aca="false">IF(AF62&lt;&gt;"",VLOOKUP(AF62*1,[2]安全阀型号!$B$6:$C$15,2),"")</f>
        <v>100</v>
      </c>
      <c r="AG67" s="707"/>
      <c r="AH67" s="707" t="n">
        <f aca="false">IF(AH62&lt;&gt;"",VLOOKUP(AH62*1,[2]安全阀型号!$B$6:$C$15,2),"")</f>
        <v>40</v>
      </c>
      <c r="AI67" s="707"/>
      <c r="AJ67" s="707" t="n">
        <f aca="false">IF(AJ62&lt;&gt;"",VLOOKUP(AJ62*1,[2]安全阀型号!$B$6:$C$15,2),"")</f>
        <v>80</v>
      </c>
      <c r="AK67" s="707"/>
      <c r="AL67" s="707" t="n">
        <f aca="false">IF(AL62&lt;&gt;"",VLOOKUP(AL62*1,[2]安全阀型号!$B$6:$C$15,2),"")</f>
        <v>50</v>
      </c>
      <c r="AM67" s="707"/>
      <c r="AN67" s="707" t="n">
        <f aca="false">IF(AN62&lt;&gt;"",VLOOKUP(AN62*1,[2]安全阀型号!$B$6:$C$15,2),"")</f>
        <v>40</v>
      </c>
      <c r="AO67" s="707"/>
      <c r="AP67" s="707" t="n">
        <f aca="false">IF(AP62&lt;&gt;"",VLOOKUP(AP62*1,[2]安全阀型号!$B$6:$C$15,2),"")</f>
        <v>100</v>
      </c>
      <c r="AQ67" s="707"/>
      <c r="AR67" s="707" t="n">
        <f aca="false">IF(AR62&lt;&gt;"",VLOOKUP(AR62*1,[2]安全阀型号!$B$6:$C$15,2),"")</f>
        <v>40</v>
      </c>
      <c r="AS67" s="707"/>
      <c r="AT67" s="707" t="n">
        <f aca="false">IF(AT62&lt;&gt;"",VLOOKUP(AT62*1,[2]安全阀型号!$B$6:$C$15,2),"")</f>
        <v>40</v>
      </c>
      <c r="AU67" s="707"/>
      <c r="AV67" s="707" t="n">
        <f aca="false">IF(AV62&lt;&gt;"",VLOOKUP(AV62*1,[2]安全阀型号!$B$6:$C$15,2),"")</f>
        <v>80</v>
      </c>
      <c r="AW67" s="707"/>
      <c r="AX67" s="707" t="n">
        <f aca="false">IF(AX62&lt;&gt;"",VLOOKUP(AX62*1,[2]安全阀型号!$B$6:$C$15,2),"")</f>
        <v>40</v>
      </c>
      <c r="AY67" s="707"/>
      <c r="AZ67" s="707" t="n">
        <f aca="false">IF(AZ62&lt;&gt;"",VLOOKUP(AZ62*1,[2]安全阀型号!$B$6:$C$15,2),"")</f>
        <v>100</v>
      </c>
      <c r="BA67" s="707"/>
      <c r="BB67" s="707" t="str">
        <f aca="false">IF(BB62&lt;&gt;"",VLOOKUP(BB62*1,[2]安全阀型号!$B$6:$C$15,2),"")</f>
        <v/>
      </c>
      <c r="BC67" s="707"/>
      <c r="BD67" s="707" t="str">
        <f aca="false">IF(BD62&lt;&gt;"",VLOOKUP(BD62*1,[2]安全阀型号!$B$6:$C$15,2),"")</f>
        <v/>
      </c>
      <c r="BE67" s="707"/>
      <c r="BF67" s="707" t="str">
        <f aca="false">IF(BF62&lt;&gt;"",VLOOKUP(BF62*1,[2]安全阀型号!$B$6:$C$15,2),"")</f>
        <v/>
      </c>
      <c r="BG67" s="707"/>
      <c r="BH67" s="707" t="str">
        <f aca="false">IF(BH62&lt;&gt;"",VLOOKUP(BH62*1,[2]安全阀型号!$B$6:$C$15,2),"")</f>
        <v/>
      </c>
      <c r="BI67" s="707"/>
      <c r="BJ67" s="707" t="str">
        <f aca="false">IF(BJ62&lt;&gt;"",VLOOKUP(BJ62*1,[2]安全阀型号!$B$6:$C$15,2),"")</f>
        <v/>
      </c>
      <c r="BK67" s="707"/>
      <c r="BL67" s="707" t="str">
        <f aca="false">IF(BL62&lt;&gt;"",VLOOKUP(BL62*1,[2]安全阀型号!$B$6:$C$15,2),"")</f>
        <v/>
      </c>
      <c r="BM67" s="707"/>
      <c r="BN67" s="707" t="str">
        <f aca="false">IF(BN62&lt;&gt;"",VLOOKUP(BN62*1,[2]安全阀型号!$B$6:$C$15,2),"")</f>
        <v/>
      </c>
      <c r="BO67" s="707"/>
      <c r="BP67" s="707" t="str">
        <f aca="false">IF(BP62&lt;&gt;"",VLOOKUP(BP62*1,[2]安全阀型号!$B$6:$C$15,2),"")</f>
        <v/>
      </c>
      <c r="BQ67" s="707"/>
      <c r="BR67" s="707" t="str">
        <f aca="false">IF(BR62&lt;&gt;"",VLOOKUP(BR62*1,[2]安全阀型号!$B$6:$C$15,2),"")</f>
        <v/>
      </c>
      <c r="BS67" s="707"/>
      <c r="BT67" s="707" t="str">
        <f aca="false">IF(BT62&lt;&gt;"",VLOOKUP(BT62*1,[2]安全阀型号!$B$6:$C$15,2),"")</f>
        <v/>
      </c>
      <c r="BU67" s="707"/>
      <c r="BV67" s="707" t="str">
        <f aca="false">IF(BV62&lt;&gt;"",VLOOKUP(BV62*1,[2]安全阀型号!$B$6:$C$15,2),"")</f>
        <v/>
      </c>
      <c r="BW67" s="707"/>
      <c r="BX67" s="707" t="str">
        <f aca="false">IF(BX62&lt;&gt;"",VLOOKUP(BX62*1,[2]安全阀型号!$B$6:$C$15,2),"")</f>
        <v/>
      </c>
      <c r="BY67" s="707"/>
      <c r="BZ67" s="707" t="str">
        <f aca="false">IF(BZ62&lt;&gt;"",VLOOKUP(BZ62*1,[2]安全阀型号!$B$6:$C$15,2),"")</f>
        <v/>
      </c>
      <c r="CA67" s="707"/>
      <c r="CB67" s="707" t="str">
        <f aca="false">IF(CB62&lt;&gt;"",VLOOKUP(CB62*1,[2]安全阀型号!$B$6:$C$15,2),"")</f>
        <v/>
      </c>
      <c r="CC67" s="707"/>
      <c r="CD67" s="707" t="str">
        <f aca="false">IF(CD62&lt;&gt;"",VLOOKUP(CD62*1,[2]安全阀型号!$B$6:$C$15,2),"")</f>
        <v/>
      </c>
      <c r="CE67" s="707"/>
      <c r="CF67" s="707" t="str">
        <f aca="false">IF(CF62&lt;&gt;"",VLOOKUP(CF62*1,[2]安全阀型号!$B$6:$C$15,2),"")</f>
        <v/>
      </c>
      <c r="CG67" s="707"/>
      <c r="CH67" s="707" t="str">
        <f aca="false">IF(CH62&lt;&gt;"",VLOOKUP(CH62*1,[2]安全阀型号!$B$6:$C$15,2),"")</f>
        <v/>
      </c>
      <c r="CI67" s="707"/>
      <c r="CJ67" s="390"/>
    </row>
    <row r="68" s="397" customFormat="true" ht="15" hidden="false" customHeight="false" outlineLevel="0" collapsed="false">
      <c r="A68" s="397" t="s">
        <v>1168</v>
      </c>
      <c r="B68" s="707" t="n">
        <f aca="false">IF(B63&lt;&gt;"",VLOOKUP(B$63*1,[2]安全阀型号!$B$6:$C$15,2),"")</f>
        <v>150</v>
      </c>
      <c r="C68" s="707"/>
      <c r="D68" s="707" t="n">
        <f aca="false">IF(D63&lt;&gt;"",VLOOKUP(D$63*1,[2]安全阀型号!$B$6:$C$15,2),"")</f>
        <v>80</v>
      </c>
      <c r="E68" s="707"/>
      <c r="F68" s="707" t="n">
        <f aca="false">IF(F63&lt;&gt;"",VLOOKUP(F$63*1,[2]安全阀型号!$B$6:$C$15,2),"")</f>
        <v>100</v>
      </c>
      <c r="G68" s="707"/>
      <c r="H68" s="707" t="n">
        <f aca="false">IF(H63&lt;&gt;"",VLOOKUP(H$63*1,[2]安全阀型号!$B$6:$C$15,2),"")</f>
        <v>100</v>
      </c>
      <c r="I68" s="707"/>
      <c r="J68" s="707" t="n">
        <f aca="false">IF(J63&lt;&gt;"",VLOOKUP(J$63*1,[2]安全阀型号!$B$6:$C$15,2),"")</f>
        <v>100</v>
      </c>
      <c r="K68" s="707"/>
      <c r="L68" s="707" t="n">
        <f aca="false">IF(L63&lt;&gt;"",VLOOKUP(L$63*1,[2]安全阀型号!$B$6:$C$15,2),"")</f>
        <v>150</v>
      </c>
      <c r="M68" s="707"/>
      <c r="N68" s="707" t="n">
        <f aca="false">IF(N63&lt;&gt;"",VLOOKUP(N$63*1,[2]安全阀型号!$B$6:$C$15,2),"")</f>
        <v>200</v>
      </c>
      <c r="O68" s="707"/>
      <c r="P68" s="707" t="n">
        <f aca="false">IF(P63&lt;&gt;"",VLOOKUP(P$63*1,[2]安全阀型号!$B$6:$C$15,2),"")</f>
        <v>200</v>
      </c>
      <c r="Q68" s="707"/>
      <c r="R68" s="707" t="n">
        <f aca="false">IF(R63&lt;&gt;"",VLOOKUP(R$63*1,[2]安全阀型号!$B$6:$C$15,2),"")</f>
        <v>100</v>
      </c>
      <c r="S68" s="707"/>
      <c r="T68" s="707" t="n">
        <f aca="false">IF(T63&lt;&gt;"",VLOOKUP(T$63*1,[2]安全阀型号!$B$6:$C$15,2),"")</f>
        <v>100</v>
      </c>
      <c r="U68" s="707"/>
      <c r="V68" s="707" t="n">
        <f aca="false">IF(V63&lt;&gt;"",VLOOKUP(V$63*1,[2]安全阀型号!$B$6:$C$15,2),"")</f>
        <v>150</v>
      </c>
      <c r="W68" s="707"/>
      <c r="X68" s="707" t="n">
        <f aca="false">IF(X63&lt;&gt;"",VLOOKUP(X$63*1,[2]安全阀型号!$B$6:$C$15,2),"")</f>
        <v>150</v>
      </c>
      <c r="Y68" s="707"/>
      <c r="Z68" s="707" t="n">
        <f aca="false">IF(Z63&lt;&gt;"",VLOOKUP(Z$63*1,[2]安全阀型号!$B$6:$C$15,2),"")</f>
        <v>80</v>
      </c>
      <c r="AA68" s="707"/>
      <c r="AB68" s="708" t="n">
        <f aca="false">IF(AB63&lt;&gt;"",VLOOKUP(AB$63*1,[2]安全阀型号!$B$6:$C$15,2),"")</f>
        <v>50</v>
      </c>
      <c r="AC68" s="708"/>
      <c r="AD68" s="707" t="n">
        <f aca="false">IF(AD63&lt;&gt;"",VLOOKUP(AD$63*1,[2]安全阀型号!$B$6:$C$15,2),"")</f>
        <v>150</v>
      </c>
      <c r="AE68" s="707"/>
      <c r="AF68" s="707" t="n">
        <f aca="false">IF(AF63&lt;&gt;"",VLOOKUP(AF$63*1,[2]安全阀型号!$B$6:$C$15,2),"")</f>
        <v>150</v>
      </c>
      <c r="AG68" s="707"/>
      <c r="AH68" s="707" t="n">
        <f aca="false">IF(AH63&lt;&gt;"",VLOOKUP(AH$63*1,[2]安全阀型号!$B$6:$C$15,2),"")</f>
        <v>80</v>
      </c>
      <c r="AI68" s="707"/>
      <c r="AJ68" s="707" t="n">
        <f aca="false">IF(AJ63&lt;&gt;"",VLOOKUP(AJ$63*1,[2]安全阀型号!$B$6:$C$15,2),"")</f>
        <v>100</v>
      </c>
      <c r="AK68" s="707"/>
      <c r="AL68" s="707" t="n">
        <f aca="false">IF(AL63&lt;&gt;"",VLOOKUP(AL$63*1,[2]安全阀型号!$B$6:$C$15,2),"")</f>
        <v>80</v>
      </c>
      <c r="AM68" s="707"/>
      <c r="AN68" s="707" t="n">
        <f aca="false">IF(AN63&lt;&gt;"",VLOOKUP(AN$63*1,[2]安全阀型号!$B$6:$C$15,2),"")</f>
        <v>80</v>
      </c>
      <c r="AO68" s="707"/>
      <c r="AP68" s="707" t="n">
        <f aca="false">IF(AP63&lt;&gt;"",VLOOKUP(AP$63*1,[2]安全阀型号!$B$6:$C$15,2),"")</f>
        <v>150</v>
      </c>
      <c r="AQ68" s="707"/>
      <c r="AR68" s="707" t="n">
        <f aca="false">IF(AR63&lt;&gt;"",VLOOKUP(AR$63*1,[2]安全阀型号!$B$6:$C$15,2),"")</f>
        <v>80</v>
      </c>
      <c r="AS68" s="707"/>
      <c r="AT68" s="707" t="n">
        <f aca="false">IF(AT63&lt;&gt;"",VLOOKUP(AT$63*1,[2]安全阀型号!$B$6:$C$15,2),"")</f>
        <v>80</v>
      </c>
      <c r="AU68" s="707"/>
      <c r="AV68" s="707" t="n">
        <f aca="false">IF(AV63&lt;&gt;"",VLOOKUP(AV$63*1,[2]安全阀型号!$B$6:$C$15,2),"")</f>
        <v>100</v>
      </c>
      <c r="AW68" s="707"/>
      <c r="AX68" s="707" t="n">
        <f aca="false">IF(AX63&lt;&gt;"",VLOOKUP(AX$63*1,[2]安全阀型号!$B$6:$C$15,2),"")</f>
        <v>80</v>
      </c>
      <c r="AY68" s="707"/>
      <c r="AZ68" s="707" t="n">
        <f aca="false">IF(AZ63&lt;&gt;"",VLOOKUP(AZ$63*1,[2]安全阀型号!$B$6:$C$15,2),"")</f>
        <v>150</v>
      </c>
      <c r="BA68" s="707"/>
      <c r="BB68" s="707" t="str">
        <f aca="false">IF(BB63&lt;&gt;"",VLOOKUP(BB$63*1,[2]安全阀型号!$B$6:$C$15,2),"")</f>
        <v/>
      </c>
      <c r="BC68" s="707"/>
      <c r="BD68" s="707" t="str">
        <f aca="false">IF(BD63&lt;&gt;"",VLOOKUP(BD$63*1,[2]安全阀型号!$B$6:$C$15,2),"")</f>
        <v/>
      </c>
      <c r="BE68" s="707"/>
      <c r="BF68" s="707" t="str">
        <f aca="false">IF(BF63&lt;&gt;"",VLOOKUP(BF$63*1,[2]安全阀型号!$B$6:$C$15,2),"")</f>
        <v/>
      </c>
      <c r="BG68" s="707"/>
      <c r="BH68" s="707" t="str">
        <f aca="false">IF(BH63&lt;&gt;"",VLOOKUP(BH$63*1,[2]安全阀型号!$B$6:$C$15,2),"")</f>
        <v/>
      </c>
      <c r="BI68" s="707"/>
      <c r="BJ68" s="707" t="str">
        <f aca="false">IF(BJ63&lt;&gt;"",VLOOKUP(BJ$63*1,[2]安全阀型号!$B$6:$C$15,2),"")</f>
        <v/>
      </c>
      <c r="BK68" s="707"/>
      <c r="BL68" s="707" t="str">
        <f aca="false">IF(BL63&lt;&gt;"",VLOOKUP(BL$63*1,[2]安全阀型号!$B$6:$C$15,2),"")</f>
        <v/>
      </c>
      <c r="BM68" s="707"/>
      <c r="BN68" s="707" t="str">
        <f aca="false">IF(BN63&lt;&gt;"",VLOOKUP(BN$63*1,[2]安全阀型号!$B$6:$C$15,2),"")</f>
        <v/>
      </c>
      <c r="BO68" s="707"/>
      <c r="BP68" s="707" t="str">
        <f aca="false">IF(BP63&lt;&gt;"",VLOOKUP(BP$63*1,[2]安全阀型号!$B$6:$C$15,2),"")</f>
        <v/>
      </c>
      <c r="BQ68" s="707"/>
      <c r="BR68" s="707" t="str">
        <f aca="false">IF(BR63&lt;&gt;"",VLOOKUP(BR$63*1,[2]安全阀型号!$B$6:$C$15,2),"")</f>
        <v/>
      </c>
      <c r="BS68" s="707"/>
      <c r="BT68" s="707" t="str">
        <f aca="false">IF(BT63&lt;&gt;"",VLOOKUP(BT$63*1,[2]安全阀型号!$B$6:$C$15,2),"")</f>
        <v/>
      </c>
      <c r="BU68" s="707"/>
      <c r="BV68" s="707" t="str">
        <f aca="false">IF(BV63&lt;&gt;"",VLOOKUP(BV$63*1,[2]安全阀型号!$B$6:$C$15,2),"")</f>
        <v/>
      </c>
      <c r="BW68" s="707"/>
      <c r="BX68" s="707" t="str">
        <f aca="false">IF(BX63&lt;&gt;"",VLOOKUP(BX$63*1,[2]安全阀型号!$B$6:$C$15,2),"")</f>
        <v/>
      </c>
      <c r="BY68" s="707"/>
      <c r="BZ68" s="707" t="str">
        <f aca="false">IF(BZ63&lt;&gt;"",VLOOKUP(BZ$63*1,[2]安全阀型号!$B$6:$C$15,2),"")</f>
        <v/>
      </c>
      <c r="CA68" s="707"/>
      <c r="CB68" s="707" t="str">
        <f aca="false">IF(CB63&lt;&gt;"",VLOOKUP(CB$63*1,[2]安全阀型号!$B$6:$C$15,2),"")</f>
        <v/>
      </c>
      <c r="CC68" s="707"/>
      <c r="CD68" s="707" t="str">
        <f aca="false">IF(CD63&lt;&gt;"",VLOOKUP(CD$63*1,[2]安全阀型号!$B$6:$C$15,2),"")</f>
        <v/>
      </c>
      <c r="CE68" s="707"/>
      <c r="CF68" s="707" t="str">
        <f aca="false">IF(CF63&lt;&gt;"",VLOOKUP(CF$63*1,[2]安全阀型号!$B$6:$C$15,2),"")</f>
        <v/>
      </c>
      <c r="CG68" s="707"/>
      <c r="CH68" s="707" t="str">
        <f aca="false">IF(CH63&lt;&gt;"",VLOOKUP(CH$63*1,[2]安全阀型号!$B$6:$C$15,2),"")</f>
        <v/>
      </c>
      <c r="CI68" s="707"/>
      <c r="CJ68" s="390"/>
    </row>
    <row r="69" s="397" customFormat="true" ht="15" hidden="false" customHeight="false" outlineLevel="0" collapsed="false">
      <c r="A69" s="397" t="s">
        <v>629</v>
      </c>
      <c r="B69" s="616" t="str">
        <f aca="false">IF(OR(B59&lt;&gt;"",B65&lt;&gt;""),IF(OR(B59&gt;B65,AND(RIGHT(B4,2)="蒸汽",B62&lt;0.75)),"请重新核算","核算通过"),"")</f>
        <v>核算通过</v>
      </c>
      <c r="C69" s="616"/>
      <c r="D69" s="616" t="str">
        <f aca="false">IF(OR(D59&lt;&gt;"",D65&lt;&gt;""),IF(OR(D59&gt;D65,AND(RIGHT(D4,2)="蒸汽",D62&lt;0.75)),"请重新核算","核算通过"),"")</f>
        <v>核算通过</v>
      </c>
      <c r="E69" s="616"/>
      <c r="F69" s="616" t="str">
        <f aca="false">IF(OR(F59&lt;&gt;"",F65&lt;&gt;""),IF(OR(F59&gt;F65,AND(RIGHT(F4,2)="蒸汽",F62&lt;0.75)),"请重新核算","核算通过"),"")</f>
        <v>核算通过</v>
      </c>
      <c r="G69" s="616"/>
      <c r="H69" s="616" t="str">
        <f aca="false">IF(OR(H59&lt;&gt;"",H65&lt;&gt;""),IF(OR(H59&gt;H65,AND(RIGHT(H4,2)="蒸汽",H62&lt;0.75)),"请重新核算","核算通过"),"")</f>
        <v>核算通过</v>
      </c>
      <c r="I69" s="616"/>
      <c r="J69" s="616" t="str">
        <f aca="false">IF(OR(J59&lt;&gt;"",J65&lt;&gt;""),IF(OR(J59&gt;J65,AND(RIGHT(J4,2)="蒸汽",J62&lt;0.75)),"请重新核算","核算通过"),"")</f>
        <v>核算通过</v>
      </c>
      <c r="K69" s="616"/>
      <c r="L69" s="616" t="str">
        <f aca="false">IF(OR(L59&lt;&gt;"",L65&lt;&gt;""),IF(OR(L59&gt;L65,AND(RIGHT(L4,2)="蒸汽",L62&lt;0.75)),"请重新核算","核算通过"),"")</f>
        <v>请重新核算</v>
      </c>
      <c r="M69" s="616"/>
      <c r="N69" s="616" t="str">
        <f aca="false">IF(OR(N59&lt;&gt;"",N65&lt;&gt;""),IF(OR(N59&gt;N65,AND(RIGHT(N4,2)="蒸汽",N62&lt;0.75)),"请重新核算","核算通过"),"")</f>
        <v>核算通过</v>
      </c>
      <c r="O69" s="616"/>
      <c r="P69" s="616" t="str">
        <f aca="false">IF(OR(P59&lt;&gt;"",P65&lt;&gt;""),IF(OR(P59&gt;P65,AND(RIGHT(P4,2)="蒸汽",P62&lt;0.75)),"请重新核算","核算通过"),"")</f>
        <v>核算通过</v>
      </c>
      <c r="Q69" s="616"/>
      <c r="R69" s="616" t="str">
        <f aca="false">IF(OR(R59&lt;&gt;"",R65&lt;&gt;""),IF(OR(R59&gt;R65,AND(RIGHT(R4,2)="蒸汽",R62&lt;0.75)),"请重新核算","核算通过"),"")</f>
        <v>核算通过</v>
      </c>
      <c r="S69" s="616"/>
      <c r="T69" s="616" t="str">
        <f aca="false">IF(OR(T59&lt;&gt;"",T65&lt;&gt;""),IF(OR(T59&gt;T65,AND(RIGHT(T4,2)="蒸汽",T62&lt;0.75)),"请重新核算","核算通过"),"")</f>
        <v>核算通过</v>
      </c>
      <c r="U69" s="616"/>
      <c r="V69" s="616" t="str">
        <f aca="false">IF(OR(V59&lt;&gt;"",V65&lt;&gt;""),IF(OR(V59&gt;V65,AND(RIGHT(V4,2)="蒸汽",V62&lt;0.75)),"请重新核算","核算通过"),"")</f>
        <v>核算通过</v>
      </c>
      <c r="W69" s="616"/>
      <c r="X69" s="616" t="str">
        <f aca="false">IF(OR(X59&lt;&gt;"",X65&lt;&gt;""),IF(OR(X59&gt;X65,AND(RIGHT(X4,2)="蒸汽",X62&lt;0.75)),"请重新核算","核算通过"),"")</f>
        <v>核算通过</v>
      </c>
      <c r="Y69" s="616"/>
      <c r="Z69" s="616" t="str">
        <f aca="false">IF(OR(Z59&lt;&gt;"",Z65&lt;&gt;""),IF(OR(Z59&gt;Z65,AND(RIGHT(Z4,2)="蒸汽",Z62&lt;0.75)),"请重新核算","核算通过"),"")</f>
        <v>核算通过</v>
      </c>
      <c r="AA69" s="616"/>
      <c r="AB69" s="709" t="str">
        <f aca="false">IF(OR(AB59&lt;&gt;"",AB65&lt;&gt;""),IF(OR(AB59&gt;AB65,AND(RIGHT(AB4,2)="蒸汽",AB62&lt;0.75)),"请重新核算","核算通过"),"")</f>
        <v>核算通过</v>
      </c>
      <c r="AC69" s="709"/>
      <c r="AD69" s="616" t="str">
        <f aca="false">IF(OR(AD59&lt;&gt;"",AD65&lt;&gt;""),IF(OR(AD59&gt;AD65,AND(RIGHT(AD4,2)="蒸汽",AD62&lt;0.75)),"请重新核算","核算通过"),"")</f>
        <v>核算通过</v>
      </c>
      <c r="AE69" s="616"/>
      <c r="AF69" s="616" t="str">
        <f aca="false">IF(OR(AF59&lt;&gt;"",AF65&lt;&gt;""),IF(OR(AF59&gt;AF65,AND(RIGHT(AF4,2)="蒸汽",AF62&lt;0.75)),"请重新核算","核算通过"),"")</f>
        <v>核算通过</v>
      </c>
      <c r="AG69" s="616"/>
      <c r="AH69" s="616" t="str">
        <f aca="false">IF(OR(AH59&lt;&gt;"",AH65&lt;&gt;""),IF(OR(AH59&gt;AH65,AND(RIGHT(AH4,2)="蒸汽",AH62&lt;0.75)),"请重新核算","核算通过"),"")</f>
        <v>核算通过</v>
      </c>
      <c r="AI69" s="616"/>
      <c r="AJ69" s="616" t="str">
        <f aca="false">IF(OR(AJ59&lt;&gt;"",AJ65&lt;&gt;""),IF(OR(AJ59&gt;AJ65,AND(RIGHT(AJ4,2)="蒸汽",AJ62&lt;0.75)),"请重新核算","核算通过"),"")</f>
        <v>核算通过</v>
      </c>
      <c r="AK69" s="616"/>
      <c r="AL69" s="616" t="str">
        <f aca="false">IF(OR(AL59&lt;&gt;"",AL65&lt;&gt;""),IF(OR(AL59&gt;AL65,AND(RIGHT(AL4,2)="蒸汽",AL62&lt;0.75)),"请重新核算","核算通过"),"")</f>
        <v>核算通过</v>
      </c>
      <c r="AM69" s="616"/>
      <c r="AN69" s="616" t="str">
        <f aca="false">IF(OR(AN59&lt;&gt;"",AN65&lt;&gt;""),IF(OR(AN59&gt;AN65,AND(RIGHT(AN4,2)="蒸汽",AN62&lt;0.75)),"请重新核算","核算通过"),"")</f>
        <v>请重新核算</v>
      </c>
      <c r="AO69" s="616"/>
      <c r="AP69" s="616" t="str">
        <f aca="false">IF(OR(AP59&lt;&gt;"",AP65&lt;&gt;""),IF(OR(AP59&gt;AP65,AND(RIGHT(AP4,2)="蒸汽",AP62&lt;0.75)),"请重新核算","核算通过"),"")</f>
        <v>核算通过</v>
      </c>
      <c r="AQ69" s="616"/>
      <c r="AR69" s="616" t="str">
        <f aca="false">IF(OR(AR59&lt;&gt;"",AR65&lt;&gt;""),IF(OR(AR59&gt;AR65,AND(RIGHT(AR4,2)="蒸汽",AR62&lt;0.75)),"请重新核算","核算通过"),"")</f>
        <v>核算通过</v>
      </c>
      <c r="AS69" s="616"/>
      <c r="AT69" s="616" t="str">
        <f aca="false">IF(OR(AT59&lt;&gt;"",AT65&lt;&gt;""),IF(OR(AT59&gt;AT65,AND(RIGHT(AT4,2)="蒸汽",AT62&lt;0.75)),"请重新核算","核算通过"),"")</f>
        <v>核算通过</v>
      </c>
      <c r="AU69" s="616"/>
      <c r="AV69" s="616" t="str">
        <f aca="false">IF(OR(AV59&lt;&gt;"",AV65&lt;&gt;""),IF(OR(AV59&gt;AV65,AND(RIGHT(AV4,2)="蒸汽",AV62&lt;0.75)),"请重新核算","核算通过"),"")</f>
        <v>核算通过</v>
      </c>
      <c r="AW69" s="616"/>
      <c r="AX69" s="616" t="str">
        <f aca="false">IF(OR(AX59&lt;&gt;"",AX65&lt;&gt;""),IF(OR(AX59&gt;AX65,AND(RIGHT(AX4,2)="蒸汽",AX62&lt;0.75)),"请重新核算","核算通过"),"")</f>
        <v>核算通过</v>
      </c>
      <c r="AY69" s="616"/>
      <c r="AZ69" s="616" t="str">
        <f aca="false">IF(OR(AZ59&lt;&gt;"",AZ65&lt;&gt;""),IF(OR(AZ59&gt;AZ65,AND(RIGHT(AZ4,2)="蒸汽",AZ62&lt;0.75)),"请重新核算","核算通过"),"")</f>
        <v>请重新核算</v>
      </c>
      <c r="BA69" s="616"/>
      <c r="BB69" s="616" t="str">
        <f aca="false">IF(OR(BB59&lt;&gt;"",BB65&lt;&gt;""),IF(OR(BB59&gt;BB65,AND(RIGHT(BB4,2)="蒸汽",BB62&lt;0.75)),"请重新核算","核算通过"),"")</f>
        <v/>
      </c>
      <c r="BC69" s="616"/>
      <c r="BD69" s="616" t="str">
        <f aca="false">IF(OR(BD59&lt;&gt;"",BD65&lt;&gt;""),IF(OR(BD59&gt;BD65,AND(RIGHT(BD4,2)="蒸汽",BD62&lt;0.75)),"请重新核算","核算通过"),"")</f>
        <v/>
      </c>
      <c r="BE69" s="616"/>
      <c r="BF69" s="616" t="str">
        <f aca="false">IF(OR(BF59&lt;&gt;"",BF65&lt;&gt;""),IF(OR(BF59&gt;BF65,AND(RIGHT(BF4,2)="蒸汽",BF62&lt;0.75)),"请重新核算","核算通过"),"")</f>
        <v/>
      </c>
      <c r="BG69" s="616"/>
      <c r="BH69" s="616" t="str">
        <f aca="false">IF(OR(BH59&lt;&gt;"",BH65&lt;&gt;""),IF(OR(BH59&gt;BH65,AND(RIGHT(BH4,2)="蒸汽",BH62&lt;0.75)),"请重新核算","核算通过"),"")</f>
        <v/>
      </c>
      <c r="BI69" s="616"/>
      <c r="BJ69" s="616" t="str">
        <f aca="false">IF(OR(BJ59&lt;&gt;"",BJ65&lt;&gt;""),IF(OR(BJ59&gt;BJ65,AND(RIGHT(BJ4,2)="蒸汽",BJ62&lt;0.75)),"请重新核算","核算通过"),"")</f>
        <v/>
      </c>
      <c r="BK69" s="616"/>
      <c r="BL69" s="616" t="str">
        <f aca="false">IF(OR(BL59&lt;&gt;"",BL65&lt;&gt;""),IF(OR(BL59&gt;BL65,AND(RIGHT(BL4,2)="蒸汽",BL62&lt;0.75)),"请重新核算","核算通过"),"")</f>
        <v/>
      </c>
      <c r="BM69" s="616"/>
      <c r="BN69" s="616" t="str">
        <f aca="false">IF(OR(BN59&lt;&gt;"",BN65&lt;&gt;""),IF(OR(BN59&gt;BN65,AND(RIGHT(BN4,2)="蒸汽",BN62&lt;0.75)),"请重新核算","核算通过"),"")</f>
        <v/>
      </c>
      <c r="BO69" s="616"/>
      <c r="BP69" s="616" t="str">
        <f aca="false">IF(OR(BP59&lt;&gt;"",BP65&lt;&gt;""),IF(OR(BP59&gt;BP65,AND(RIGHT(BP4,2)="蒸汽",BP62&lt;0.75)),"请重新核算","核算通过"),"")</f>
        <v/>
      </c>
      <c r="BQ69" s="616"/>
      <c r="BR69" s="616" t="str">
        <f aca="false">IF(OR(BR59&lt;&gt;"",BR65&lt;&gt;""),IF(OR(BR59&gt;BR65,AND(RIGHT(BR4,2)="蒸汽",BR62&lt;0.75)),"请重新核算","核算通过"),"")</f>
        <v/>
      </c>
      <c r="BS69" s="616"/>
      <c r="BT69" s="616" t="str">
        <f aca="false">IF(OR(BT59&lt;&gt;"",BT65&lt;&gt;""),IF(OR(BT59&gt;BT65,AND(RIGHT(BT4,2)="蒸汽",BT62&lt;0.75)),"请重新核算","核算通过"),"")</f>
        <v/>
      </c>
      <c r="BU69" s="616"/>
      <c r="BV69" s="616" t="str">
        <f aca="false">IF(OR(BV59&lt;&gt;"",BV65&lt;&gt;""),IF(OR(BV59&gt;BV65,AND(RIGHT(BV4,2)="蒸汽",BV62&lt;0.75)),"请重新核算","核算通过"),"")</f>
        <v/>
      </c>
      <c r="BW69" s="616"/>
      <c r="BX69" s="616" t="str">
        <f aca="false">IF(OR(BX59&lt;&gt;"",BX65&lt;&gt;""),IF(OR(BX59&gt;BX65,AND(RIGHT(BX4,2)="蒸汽",BX62&lt;0.75)),"请重新核算","核算通过"),"")</f>
        <v/>
      </c>
      <c r="BY69" s="616"/>
      <c r="BZ69" s="616" t="str">
        <f aca="false">IF(OR(BZ59&lt;&gt;"",BZ65&lt;&gt;""),IF(OR(BZ59&gt;BZ65,AND(RIGHT(BZ4,2)="蒸汽",BZ62&lt;0.75)),"请重新核算","核算通过"),"")</f>
        <v/>
      </c>
      <c r="CA69" s="616"/>
      <c r="CB69" s="616" t="str">
        <f aca="false">IF(OR(CB59&lt;&gt;"",CB65&lt;&gt;""),IF(OR(CB59&gt;CB65,AND(RIGHT(CB4,2)="蒸汽",CB62&lt;0.75)),"请重新核算","核算通过"),"")</f>
        <v/>
      </c>
      <c r="CC69" s="616"/>
      <c r="CD69" s="616" t="str">
        <f aca="false">IF(OR(CD59&lt;&gt;"",CD65&lt;&gt;""),IF(OR(CD59&gt;CD65,AND(RIGHT(CD4,2)="蒸汽",CD62&lt;0.75)),"请重新核算","核算通过"),"")</f>
        <v/>
      </c>
      <c r="CE69" s="616"/>
      <c r="CF69" s="616" t="str">
        <f aca="false">IF(OR(CF59&lt;&gt;"",CF65&lt;&gt;""),IF(OR(CF59&gt;CF65,AND(RIGHT(CF4,2)="蒸汽",CF62&lt;0.75)),"请重新核算","核算通过"),"")</f>
        <v/>
      </c>
      <c r="CG69" s="616"/>
      <c r="CH69" s="616" t="str">
        <f aca="false">IF(OR(CH59&lt;&gt;"",CH65&lt;&gt;""),IF(OR(CH59&gt;CH65,AND(RIGHT(CH4,2)="蒸汽",CH62&lt;0.75)),"请重新核算","核算通过"),"")</f>
        <v/>
      </c>
      <c r="CI69" s="616"/>
      <c r="CJ69" s="390"/>
    </row>
    <row r="70" s="669" customFormat="true" ht="15" hidden="false" customHeight="false" outlineLevel="0" collapsed="false">
      <c r="A70" s="669" t="s">
        <v>1169</v>
      </c>
      <c r="B70" s="611" t="n">
        <f aca="false">IF(B65&lt;&gt;"",IF(B57="液态 Liquid",B65/B32*C27,B65/B32*B27),"")</f>
        <v>14724.3755570201</v>
      </c>
      <c r="C70" s="611"/>
      <c r="D70" s="611" t="n">
        <f aca="false">IF(D65&lt;&gt;"",IF(D57="液态 Liquid",D65/D32*E27,D65/D32*D27),"")</f>
        <v>38166.6763251892</v>
      </c>
      <c r="E70" s="611"/>
      <c r="F70" s="611" t="n">
        <f aca="false">IF(F65&lt;&gt;"",IF(F57="液态 Liquid",F65/F32*G27,F65/F32*F27),"")</f>
        <v>38483.126942083</v>
      </c>
      <c r="G70" s="611"/>
      <c r="H70" s="611" t="n">
        <f aca="false">IF(H65&lt;&gt;"",IF(H57="液态 Liquid",H65/H32*I27,H65/H32*H27),"")</f>
        <v>41835.3028358682</v>
      </c>
      <c r="I70" s="611"/>
      <c r="J70" s="611" t="n">
        <f aca="false">IF(J65&lt;&gt;"",IF(J57="液态 Liquid",J65/J32*K27,J65/J32*J27),"")</f>
        <v>16040.024333461</v>
      </c>
      <c r="K70" s="611"/>
      <c r="L70" s="611" t="n">
        <f aca="false">IF(L65&lt;&gt;"",IF(L57="液态 Liquid",L65/L32*M27,L65/L32*L27),"")</f>
        <v>36678.4491027772</v>
      </c>
      <c r="M70" s="611"/>
      <c r="N70" s="611" t="n">
        <f aca="false">IF(N65&lt;&gt;"",IF(N57="液态 Liquid",N65/N32*O27,N65/N32*N27),"")</f>
        <v>58186.8635779809</v>
      </c>
      <c r="O70" s="611"/>
      <c r="P70" s="611" t="n">
        <f aca="false">IF(P65&lt;&gt;"",IF(P57="液态 Liquid",P65/P32*Q27,P65/P32*P27),"")</f>
        <v>79793.0484168716</v>
      </c>
      <c r="Q70" s="611"/>
      <c r="R70" s="611" t="n">
        <f aca="false">IF(R65&lt;&gt;"",IF(R57="液态 Liquid",R65/R32*S27,R65/R32*R27),"")</f>
        <v>12877.1308648208</v>
      </c>
      <c r="S70" s="611"/>
      <c r="T70" s="611" t="n">
        <f aca="false">IF(T65&lt;&gt;"",IF(T57="液态 Liquid",T65/T32*U27,T65/T32*T27),"")</f>
        <v>12877.0782409878</v>
      </c>
      <c r="U70" s="611"/>
      <c r="V70" s="611" t="n">
        <f aca="false">IF(V65&lt;&gt;"",IF(V57="液态 Liquid",V65/V32*W27,V65/V32*V27),"")</f>
        <v>11079.1199256425</v>
      </c>
      <c r="W70" s="611"/>
      <c r="X70" s="611" t="n">
        <f aca="false">IF(X65&lt;&gt;"",IF(X57="液态 Liquid",X65/X32*Y27,X65/X32*X27),"")</f>
        <v>11079.1199256425</v>
      </c>
      <c r="Y70" s="611"/>
      <c r="Z70" s="611" t="n">
        <f aca="false">IF(Z65&lt;&gt;"",IF(Z57="液态 Liquid",Z65/Z32*AA27,Z65/Z32*Z27),"")</f>
        <v>917.600624302364</v>
      </c>
      <c r="AA70" s="611"/>
      <c r="AB70" s="710" t="n">
        <f aca="false">IF(AB65&lt;&gt;"",IF(AB57="液态 Liquid",AB65/AB32*AC27,AB65/AB32*AB27),"")</f>
        <v>11912.2587203484</v>
      </c>
      <c r="AC70" s="710"/>
      <c r="AD70" s="611" t="n">
        <f aca="false">IF(AD65&lt;&gt;"",IF(AD57="液态 Liquid",AD65/AD32*AE27,AD65/AD32*AD27),"")</f>
        <v>43549.8747272063</v>
      </c>
      <c r="AE70" s="611"/>
      <c r="AF70" s="611" t="n">
        <f aca="false">IF(AF65&lt;&gt;"",IF(AF57="液态 Liquid",AF65/AF32*AG27,AF65/AF32*AF27),"")</f>
        <v>43549.8747272063</v>
      </c>
      <c r="AG70" s="611"/>
      <c r="AH70" s="611" t="e">
        <f aca="false">IF(AH65&lt;&gt;"",IF(AH57="液态 Liquid",AH65/AH32*AI27,AH65/AH32*AH27),"")</f>
        <v>#VALUE!</v>
      </c>
      <c r="AI70" s="611"/>
      <c r="AJ70" s="611" t="n">
        <f aca="false">IF(AJ65&lt;&gt;"",IF(AJ57="液态 Liquid",AJ65/AJ32*AK27,AJ65/AJ32*AJ27),"")</f>
        <v>5413.52404334898</v>
      </c>
      <c r="AK70" s="611"/>
      <c r="AL70" s="611" t="n">
        <f aca="false">IF(AL65&lt;&gt;"",IF(AL57="液态 Liquid",AL65/AL32*AM27,AL65/AL32*AL27),"")</f>
        <v>9151.54651966803</v>
      </c>
      <c r="AM70" s="611"/>
      <c r="AN70" s="611" t="n">
        <f aca="false">IF(AN65&lt;&gt;"",IF(AN57="液态 Liquid",AN65/AN32*AO27,AN65/AN32*AN27),"")</f>
        <v>3289.99081368157</v>
      </c>
      <c r="AO70" s="611"/>
      <c r="AP70" s="611" t="n">
        <f aca="false">IF(AP65&lt;&gt;"",IF(AP57="液态 Liquid",AP65/AP32*AQ27,AP65/AP32*AP27),"")</f>
        <v>11166.7869454977</v>
      </c>
      <c r="AQ70" s="611"/>
      <c r="AR70" s="611" t="n">
        <f aca="false">IF(AR65&lt;&gt;"",IF(AR57="液态 Liquid",AR65/AR32*AS27,AR65/AR32*AR27),"")</f>
        <v>3146.34623466559</v>
      </c>
      <c r="AS70" s="611"/>
      <c r="AT70" s="611" t="n">
        <f aca="false">IF(AT65&lt;&gt;"",IF(AT57="液态 Liquid",AT65/AT32*AU27,AT65/AT32*AT27),"")</f>
        <v>2016.17170843006</v>
      </c>
      <c r="AU70" s="611"/>
      <c r="AV70" s="611" t="n">
        <f aca="false">IF(AV65&lt;&gt;"",IF(AV57="液态 Liquid",AV65/AV32*AW27,AV65/AV32*AV27),"")</f>
        <v>6978.46379243198</v>
      </c>
      <c r="AW70" s="611"/>
      <c r="AX70" s="611" t="n">
        <f aca="false">IF(AX65&lt;&gt;"",IF(AX57="液态 Liquid",AX65/AX32*AY27,AX65/AX32*AX27),"")</f>
        <v>3215.44839376482</v>
      </c>
      <c r="AY70" s="611"/>
      <c r="AZ70" s="611" t="n">
        <f aca="false">IF(AZ65&lt;&gt;"",IF(AZ57="液态 Liquid",AZ65/AZ32*BA27,AZ65/AZ32*AZ27),"")</f>
        <v>320670.724898841</v>
      </c>
      <c r="BA70" s="611"/>
      <c r="BB70" s="611" t="str">
        <f aca="false">IF(BB65&lt;&gt;"",IF(BB57="液态 Liquid",BB65/BB32*BC27,BB65/BB32*BB27),"")</f>
        <v/>
      </c>
      <c r="BC70" s="611"/>
      <c r="BD70" s="611" t="str">
        <f aca="false">IF(BD65&lt;&gt;"",IF(BD57="液态 Liquid",BD65/BD32*BE27,BD65/BD32*BD27),"")</f>
        <v/>
      </c>
      <c r="BE70" s="611"/>
      <c r="BF70" s="611" t="str">
        <f aca="false">IF(BF65&lt;&gt;"",IF(BF57="液态 Liquid",BF65/BF32*BG27,BF65/BF32*BF27),"")</f>
        <v/>
      </c>
      <c r="BG70" s="611"/>
      <c r="BH70" s="611" t="str">
        <f aca="false">IF(BH65&lt;&gt;"",IF(BH57="液态 Liquid",BH65/BH32*BI27,BH65/BH32*BH27),"")</f>
        <v/>
      </c>
      <c r="BI70" s="611"/>
      <c r="BJ70" s="611" t="str">
        <f aca="false">IF(BJ65&lt;&gt;"",IF(BJ57="液态 Liquid",BJ65/BJ32*BK27,BJ65/BJ32*BJ27),"")</f>
        <v/>
      </c>
      <c r="BK70" s="611"/>
      <c r="BL70" s="611" t="str">
        <f aca="false">IF(BL65&lt;&gt;"",IF(BL57="液态 Liquid",BL65/BL32*BM27,BL65/BL32*BL27),"")</f>
        <v/>
      </c>
      <c r="BM70" s="611"/>
      <c r="BN70" s="611" t="str">
        <f aca="false">IF(BN65&lt;&gt;"",IF(BN57="液态 Liquid",BN65/BN32*BO27,BN65/BN32*BN27),"")</f>
        <v/>
      </c>
      <c r="BO70" s="611"/>
      <c r="BP70" s="611" t="str">
        <f aca="false">IF(BP65&lt;&gt;"",IF(BP57="液态 Liquid",BP65/BP32*BQ27,BP65/BP32*BP27),"")</f>
        <v/>
      </c>
      <c r="BQ70" s="611"/>
      <c r="BR70" s="611" t="str">
        <f aca="false">IF(BR65&lt;&gt;"",IF(BR57="液态 Liquid",BR65/BR32*BS27,BR65/BR32*BR27),"")</f>
        <v/>
      </c>
      <c r="BS70" s="611"/>
      <c r="BT70" s="611" t="str">
        <f aca="false">IF(BT65&lt;&gt;"",IF(BT57="液态 Liquid",BT65/BT32*BU27,BT65/BT32*BT27),"")</f>
        <v/>
      </c>
      <c r="BU70" s="611"/>
      <c r="BV70" s="611" t="str">
        <f aca="false">IF(BV65&lt;&gt;"",IF(BV57="液态 Liquid",BV65/BV32*BW27,BV65/BV32*BV27),"")</f>
        <v/>
      </c>
      <c r="BW70" s="611"/>
      <c r="BX70" s="611" t="str">
        <f aca="false">IF(BX65&lt;&gt;"",IF(BX57="液态 Liquid",BX65/BX32*BY27,BX65/BX32*BX27),"")</f>
        <v/>
      </c>
      <c r="BY70" s="611"/>
      <c r="BZ70" s="611" t="str">
        <f aca="false">IF(BZ65&lt;&gt;"",IF(BZ57="液态 Liquid",BZ65/BZ32*CA27,BZ65/BZ32*BZ27),"")</f>
        <v/>
      </c>
      <c r="CA70" s="611"/>
      <c r="CB70" s="611" t="str">
        <f aca="false">IF(CB65&lt;&gt;"",IF(CB57="液态 Liquid",CB65/CB32*CC27,CB65/CB32*CB27),"")</f>
        <v/>
      </c>
      <c r="CC70" s="611"/>
      <c r="CD70" s="611" t="str">
        <f aca="false">IF(CD65&lt;&gt;"",IF(CD57="液态 Liquid",CD65/CD32*CE27,CD65/CD32*CD27),"")</f>
        <v/>
      </c>
      <c r="CE70" s="611"/>
      <c r="CF70" s="611" t="str">
        <f aca="false">IF(CF65&lt;&gt;"",IF(CF57="液态 Liquid",CF65/CF32*CG27,CF65/CF32*CF27),"")</f>
        <v/>
      </c>
      <c r="CG70" s="611"/>
      <c r="CH70" s="611" t="str">
        <f aca="false">IF(CH65&lt;&gt;"",IF(CH57="液态 Liquid",CH65/CH32*CI27,CH65/CH32*CH27),"")</f>
        <v/>
      </c>
      <c r="CI70" s="611"/>
      <c r="CJ70" s="428"/>
    </row>
    <row r="71" s="669" customFormat="true" ht="15" hidden="false" customHeight="false" outlineLevel="0" collapsed="false">
      <c r="A71" s="669" t="s">
        <v>1170</v>
      </c>
      <c r="B71" s="611" t="str">
        <f aca="false">IF(OR(B54="",B65=""),"",B65/B54*B52)</f>
        <v/>
      </c>
      <c r="C71" s="611"/>
      <c r="D71" s="611" t="str">
        <f aca="false">IF(OR(D54="",D65=""),"",D65/D54*D52)</f>
        <v/>
      </c>
      <c r="E71" s="611"/>
      <c r="F71" s="611" t="str">
        <f aca="false">IF(OR(F54="",F65=""),"",F65/F54*F52)</f>
        <v/>
      </c>
      <c r="G71" s="611"/>
      <c r="H71" s="611" t="str">
        <f aca="false">IF(OR(H54="",H65=""),"",H65/H54*H52)</f>
        <v/>
      </c>
      <c r="I71" s="611"/>
      <c r="J71" s="611" t="str">
        <f aca="false">IF(OR(J54="",J65=""),"",J65/J54*J52)</f>
        <v/>
      </c>
      <c r="K71" s="611"/>
      <c r="L71" s="611" t="e">
        <f aca="false">IF(OR(L54="",L65=""),"",L65/L54*L52)</f>
        <v>#VALUE!</v>
      </c>
      <c r="M71" s="611"/>
      <c r="N71" s="611" t="e">
        <f aca="false">IF(OR(N54="",N65=""),"",N65/N54*N52)</f>
        <v>#VALUE!</v>
      </c>
      <c r="O71" s="611"/>
      <c r="P71" s="611" t="e">
        <f aca="false">IF(OR(P54="",P65=""),"",P65/P54*P52)</f>
        <v>#VALUE!</v>
      </c>
      <c r="Q71" s="611"/>
      <c r="R71" s="611" t="str">
        <f aca="false">IF(OR(R54="",R65=""),"",R65/R54*R52)</f>
        <v/>
      </c>
      <c r="S71" s="611"/>
      <c r="T71" s="611" t="str">
        <f aca="false">IF(OR(T54="",T65=""),"",T65/T54*T52)</f>
        <v/>
      </c>
      <c r="U71" s="611"/>
      <c r="V71" s="611" t="str">
        <f aca="false">IF(OR(V54="",V65=""),"",V65/V54*V52)</f>
        <v/>
      </c>
      <c r="W71" s="611"/>
      <c r="X71" s="611" t="str">
        <f aca="false">IF(OR(X54="",X65=""),"",X65/X54*X52)</f>
        <v/>
      </c>
      <c r="Y71" s="611"/>
      <c r="Z71" s="611" t="str">
        <f aca="false">IF(OR(Z54="",Z65=""),"",Z65/Z54*Z52)</f>
        <v/>
      </c>
      <c r="AA71" s="611"/>
      <c r="AB71" s="611" t="str">
        <f aca="false">IF(OR(AB54="",AB65=""),"",AB65/AB54*AB52)</f>
        <v/>
      </c>
      <c r="AC71" s="611"/>
      <c r="AD71" s="611" t="str">
        <f aca="false">IF(OR(AD54="",AD65=""),"",AD65/AD54*AD52)</f>
        <v/>
      </c>
      <c r="AE71" s="611"/>
      <c r="AF71" s="611" t="str">
        <f aca="false">IF(OR(AF54="",AF65=""),"",AF65/AF54*AF52)</f>
        <v/>
      </c>
      <c r="AG71" s="611"/>
      <c r="AH71" s="611" t="n">
        <f aca="false">IF(OR(AH54="",AH65=""),"",AH65/AH54*AH52)</f>
        <v>1433.48984872869</v>
      </c>
      <c r="AI71" s="611"/>
      <c r="AJ71" s="611" t="str">
        <f aca="false">IF(OR(AJ54="",AJ65=""),"",AJ65/AJ54*AJ52)</f>
        <v/>
      </c>
      <c r="AK71" s="611"/>
      <c r="AL71" s="611" t="e">
        <f aca="false">IF(OR(AL54="",AL65=""),"",AL65/AL54*AL52)</f>
        <v>#VALUE!</v>
      </c>
      <c r="AM71" s="611"/>
      <c r="AN71" s="611" t="n">
        <f aca="false">IF(OR(AN54="",AN65=""),"",AN65/AN54*AN52)</f>
        <v>3290.52140316464</v>
      </c>
      <c r="AO71" s="611"/>
      <c r="AP71" s="611" t="str">
        <f aca="false">IF(OR(AP54="",AP65=""),"",AP65/AP54*AP52)</f>
        <v/>
      </c>
      <c r="AQ71" s="611"/>
      <c r="AR71" s="611" t="str">
        <f aca="false">IF(OR(AR54="",AR65=""),"",AR65/AR54*AR52)</f>
        <v/>
      </c>
      <c r="AS71" s="611"/>
      <c r="AT71" s="611" t="str">
        <f aca="false">IF(OR(AT54="",AT65=""),"",AT65/AT54*AT52)</f>
        <v/>
      </c>
      <c r="AU71" s="611"/>
      <c r="AV71" s="611" t="str">
        <f aca="false">IF(OR(AV54="",AV65=""),"",AV65/AV54*AV52)</f>
        <v/>
      </c>
      <c r="AW71" s="611"/>
      <c r="AX71" s="611" t="str">
        <f aca="false">IF(OR(AX54="",AX65=""),"",AX65/AX54*AX52)</f>
        <v/>
      </c>
      <c r="AY71" s="611"/>
      <c r="AZ71" s="611" t="str">
        <f aca="false">IF(OR(AZ54="",AZ65=""),"",AZ65/AZ54*AZ52)</f>
        <v/>
      </c>
      <c r="BA71" s="611"/>
      <c r="BB71" s="611" t="str">
        <f aca="false">IF(OR(BB54="",BB65=""),"",BB65/BB54*BB52)</f>
        <v/>
      </c>
      <c r="BC71" s="611"/>
      <c r="BD71" s="611" t="str">
        <f aca="false">IF(OR(BD54="",BD65=""),"",BD65/BD54*BD52)</f>
        <v/>
      </c>
      <c r="BE71" s="611"/>
      <c r="BF71" s="611" t="str">
        <f aca="false">IF(OR(BF54="",BF65=""),"",BF65/BF54*BF52)</f>
        <v/>
      </c>
      <c r="BG71" s="611"/>
      <c r="BH71" s="611" t="str">
        <f aca="false">IF(OR(BH54="",BH65=""),"",BH65/BH54*BH52)</f>
        <v/>
      </c>
      <c r="BI71" s="611"/>
      <c r="BJ71" s="611" t="str">
        <f aca="false">IF(OR(BJ54="",BJ65=""),"",BJ65/BJ54*BJ52)</f>
        <v/>
      </c>
      <c r="BK71" s="611"/>
      <c r="BL71" s="611" t="str">
        <f aca="false">IF(OR(BL54="",BL65=""),"",BL65/BL54*BL52)</f>
        <v/>
      </c>
      <c r="BM71" s="611"/>
      <c r="BN71" s="611" t="str">
        <f aca="false">IF(OR(BN54="",BN65=""),"",BN65/BN54*BN52)</f>
        <v/>
      </c>
      <c r="BO71" s="611"/>
      <c r="BP71" s="611" t="str">
        <f aca="false">IF(OR(BP54="",BP65=""),"",BP65/BP54*BP52)</f>
        <v/>
      </c>
      <c r="BQ71" s="611"/>
      <c r="BR71" s="611" t="str">
        <f aca="false">IF(OR(BR54="",BR65=""),"",BR65/BR54*BR52)</f>
        <v/>
      </c>
      <c r="BS71" s="611"/>
      <c r="BT71" s="611" t="str">
        <f aca="false">IF(OR(BT54="",BT65=""),"",BT65/BT54*BT52)</f>
        <v/>
      </c>
      <c r="BU71" s="611"/>
      <c r="BV71" s="611" t="str">
        <f aca="false">IF(OR(BV54="",BV65=""),"",BV65/BV54*BV52)</f>
        <v/>
      </c>
      <c r="BW71" s="611"/>
      <c r="BX71" s="611" t="str">
        <f aca="false">IF(OR(BX54="",BX65=""),"",BX65/BX54*BX52)</f>
        <v/>
      </c>
      <c r="BY71" s="611"/>
      <c r="BZ71" s="611" t="str">
        <f aca="false">IF(OR(BZ54="",BZ65=""),"",BZ65/BZ54*BZ52)</f>
        <v/>
      </c>
      <c r="CA71" s="611"/>
      <c r="CB71" s="611" t="str">
        <f aca="false">IF(OR(CB54="",CB65=""),"",CB65/CB54*CB52)</f>
        <v/>
      </c>
      <c r="CC71" s="611"/>
      <c r="CD71" s="611" t="str">
        <f aca="false">IF(OR(CD54="",CD65=""),"",CD65/CD54*CD52)</f>
        <v/>
      </c>
      <c r="CE71" s="611"/>
      <c r="CF71" s="611" t="str">
        <f aca="false">IF(OR(CF54="",CF65=""),"",CF65/CF54*CF52)</f>
        <v/>
      </c>
      <c r="CG71" s="611"/>
      <c r="CH71" s="611" t="str">
        <f aca="false">IF(OR(CH54="",CH65=""),"",CH65/CH54*CH52)</f>
        <v/>
      </c>
      <c r="CI71" s="611"/>
      <c r="CJ71" s="428"/>
    </row>
    <row r="72" s="443" customFormat="true" ht="15" hidden="false" customHeight="false" outlineLevel="0" collapsed="false">
      <c r="A72" s="443" t="s">
        <v>277</v>
      </c>
      <c r="B72" s="603"/>
      <c r="C72" s="603"/>
      <c r="D72" s="603"/>
      <c r="E72" s="603"/>
      <c r="F72" s="603"/>
      <c r="G72" s="603"/>
      <c r="H72" s="603"/>
      <c r="I72" s="603"/>
      <c r="J72" s="603"/>
      <c r="K72" s="603"/>
      <c r="L72" s="603"/>
      <c r="M72" s="603"/>
      <c r="N72" s="603"/>
      <c r="O72" s="603"/>
      <c r="P72" s="603"/>
      <c r="Q72" s="603"/>
      <c r="R72" s="603"/>
      <c r="S72" s="603"/>
      <c r="T72" s="603"/>
      <c r="U72" s="603"/>
      <c r="V72" s="711"/>
      <c r="W72" s="711"/>
      <c r="X72" s="711"/>
      <c r="Y72" s="711"/>
      <c r="Z72" s="711"/>
      <c r="AA72" s="711"/>
      <c r="AB72" s="711" t="s">
        <v>1171</v>
      </c>
      <c r="AC72" s="711"/>
      <c r="AD72" s="711"/>
      <c r="AE72" s="711"/>
      <c r="AF72" s="711"/>
      <c r="AG72" s="711"/>
      <c r="AH72" s="711"/>
      <c r="AI72" s="711"/>
      <c r="AJ72" s="711"/>
      <c r="AK72" s="711"/>
      <c r="AL72" s="711"/>
      <c r="AM72" s="711"/>
      <c r="AN72" s="711"/>
      <c r="AO72" s="711"/>
      <c r="AP72" s="711"/>
      <c r="AQ72" s="711"/>
      <c r="AR72" s="711"/>
      <c r="AS72" s="711"/>
      <c r="AT72" s="711"/>
      <c r="AU72" s="711"/>
      <c r="AV72" s="711"/>
      <c r="AW72" s="711"/>
      <c r="AX72" s="711"/>
      <c r="AY72" s="711"/>
      <c r="AZ72" s="711"/>
      <c r="BA72" s="711"/>
      <c r="BB72" s="711"/>
      <c r="BC72" s="711"/>
      <c r="BD72" s="711"/>
      <c r="BE72" s="711"/>
      <c r="BF72" s="711"/>
      <c r="BG72" s="711"/>
      <c r="BH72" s="711"/>
      <c r="BI72" s="711"/>
      <c r="BJ72" s="711"/>
      <c r="BK72" s="711"/>
      <c r="BL72" s="711"/>
      <c r="BM72" s="711"/>
      <c r="BN72" s="711"/>
      <c r="BO72" s="711"/>
      <c r="BP72" s="711"/>
      <c r="BQ72" s="711"/>
      <c r="BR72" s="711"/>
      <c r="BS72" s="711"/>
      <c r="BT72" s="711"/>
      <c r="BU72" s="711"/>
      <c r="BV72" s="711"/>
      <c r="BW72" s="711"/>
      <c r="BX72" s="711"/>
      <c r="BY72" s="711"/>
      <c r="BZ72" s="711"/>
      <c r="CA72" s="711"/>
      <c r="CB72" s="711"/>
      <c r="CC72" s="711"/>
      <c r="CD72" s="711"/>
      <c r="CE72" s="711"/>
      <c r="CF72" s="711"/>
      <c r="CG72" s="711"/>
      <c r="CH72" s="711"/>
      <c r="CI72" s="711"/>
      <c r="CJ72" s="385"/>
    </row>
    <row r="73" customFormat="false" ht="15" hidden="false" customHeight="false" outlineLevel="0" collapsed="false">
      <c r="A73" s="712"/>
      <c r="B73" s="712"/>
      <c r="C73" s="712"/>
      <c r="D73" s="712"/>
      <c r="E73" s="712"/>
      <c r="F73" s="712"/>
      <c r="G73" s="712"/>
      <c r="H73" s="713"/>
      <c r="I73" s="712"/>
      <c r="J73" s="712"/>
      <c r="K73" s="712"/>
      <c r="L73" s="714"/>
      <c r="M73" s="714"/>
      <c r="N73" s="714"/>
      <c r="O73" s="714"/>
      <c r="P73" s="712"/>
      <c r="Q73" s="712"/>
      <c r="R73" s="712"/>
      <c r="S73" s="712"/>
      <c r="T73" s="712"/>
      <c r="U73" s="712"/>
      <c r="V73" s="712"/>
      <c r="W73" s="712"/>
      <c r="X73" s="712"/>
      <c r="Y73" s="712"/>
      <c r="Z73" s="712"/>
      <c r="AA73" s="712"/>
      <c r="AB73" s="712"/>
      <c r="AC73" s="712"/>
      <c r="AD73" s="712"/>
      <c r="AE73" s="712"/>
      <c r="AF73" s="712"/>
      <c r="AG73" s="712"/>
      <c r="AH73" s="712"/>
      <c r="AI73" s="712"/>
      <c r="AJ73" s="712"/>
      <c r="AK73" s="712"/>
      <c r="AL73" s="712"/>
      <c r="AM73" s="712"/>
      <c r="AN73" s="712"/>
      <c r="AO73" s="712"/>
      <c r="AP73" s="712"/>
      <c r="AQ73" s="712"/>
      <c r="AR73" s="712"/>
      <c r="AS73" s="712"/>
      <c r="AT73" s="712"/>
      <c r="AU73" s="712"/>
      <c r="AV73" s="712"/>
      <c r="AW73" s="712"/>
      <c r="AX73" s="712"/>
      <c r="AY73" s="712"/>
      <c r="AZ73" s="712"/>
      <c r="BA73" s="712"/>
      <c r="BB73" s="712"/>
      <c r="BC73" s="712"/>
      <c r="BD73" s="712"/>
      <c r="BE73" s="712"/>
      <c r="BF73" s="712"/>
      <c r="BG73" s="712"/>
      <c r="BH73" s="712"/>
      <c r="BI73" s="712"/>
      <c r="BJ73" s="712"/>
      <c r="BK73" s="712"/>
      <c r="BL73" s="712"/>
      <c r="BM73" s="712"/>
      <c r="BN73" s="712"/>
      <c r="BO73" s="712"/>
      <c r="BP73" s="712"/>
      <c r="BQ73" s="712"/>
      <c r="BR73" s="712"/>
      <c r="BS73" s="712"/>
      <c r="BT73" s="712"/>
      <c r="BU73" s="712"/>
      <c r="BV73" s="712"/>
      <c r="BW73" s="712"/>
      <c r="BX73" s="712"/>
      <c r="BY73" s="712"/>
      <c r="BZ73" s="712"/>
      <c r="CA73" s="712"/>
      <c r="CB73" s="712"/>
      <c r="CC73" s="712"/>
      <c r="CD73" s="712"/>
      <c r="CE73" s="712"/>
      <c r="CF73" s="712"/>
      <c r="CG73" s="712"/>
      <c r="CH73" s="712"/>
      <c r="CI73" s="712"/>
    </row>
    <row r="74" customFormat="false" ht="15" hidden="false" customHeight="false" outlineLevel="0" collapsed="false">
      <c r="A74" s="715" t="n">
        <f aca="false">[2]安全阀型号!$B8</f>
        <v>1</v>
      </c>
      <c r="B74" s="716"/>
      <c r="C74" s="717"/>
      <c r="D74" s="717"/>
      <c r="E74" s="717"/>
      <c r="F74" s="717"/>
      <c r="G74" s="717"/>
      <c r="H74" s="718"/>
      <c r="J74" s="379"/>
      <c r="K74" s="379"/>
      <c r="P74" s="379"/>
      <c r="Q74" s="379"/>
    </row>
    <row r="75" customFormat="false" ht="15" hidden="false" customHeight="false" outlineLevel="0" collapsed="false">
      <c r="A75" s="715" t="n">
        <f aca="false">[2]安全阀型号!$B9</f>
        <v>1.5</v>
      </c>
      <c r="B75" s="712"/>
      <c r="C75" s="712"/>
      <c r="D75" s="712"/>
      <c r="E75" s="712"/>
      <c r="F75" s="712"/>
      <c r="G75" s="712"/>
      <c r="H75" s="718"/>
      <c r="J75" s="379"/>
      <c r="K75" s="379"/>
      <c r="P75" s="379"/>
      <c r="Q75" s="379"/>
    </row>
    <row r="76" customFormat="false" ht="15" hidden="false" customHeight="false" outlineLevel="0" collapsed="false">
      <c r="A76" s="715" t="n">
        <f aca="false">[2]安全阀型号!$B10</f>
        <v>2</v>
      </c>
      <c r="B76" s="717"/>
      <c r="C76" s="717"/>
      <c r="D76" s="717"/>
      <c r="E76" s="717"/>
      <c r="F76" s="717"/>
      <c r="G76" s="717"/>
      <c r="H76" s="718"/>
      <c r="J76" s="379"/>
      <c r="K76" s="379"/>
      <c r="P76" s="379"/>
      <c r="Q76" s="379"/>
    </row>
    <row r="77" customFormat="false" ht="15" hidden="false" customHeight="false" outlineLevel="0" collapsed="false">
      <c r="A77" s="715" t="n">
        <f aca="false">[2]安全阀型号!$B11</f>
        <v>3</v>
      </c>
      <c r="B77" s="712"/>
      <c r="C77" s="712"/>
      <c r="D77" s="712"/>
      <c r="E77" s="712"/>
      <c r="F77" s="712"/>
      <c r="G77" s="712"/>
      <c r="H77" s="719"/>
      <c r="J77" s="379"/>
      <c r="K77" s="379"/>
      <c r="P77" s="379"/>
      <c r="Q77" s="379"/>
    </row>
    <row r="78" customFormat="false" ht="15" hidden="false" customHeight="false" outlineLevel="0" collapsed="false">
      <c r="A78" s="715" t="n">
        <f aca="false">[2]安全阀型号!$B12</f>
        <v>4</v>
      </c>
      <c r="J78" s="379"/>
      <c r="K78" s="379"/>
      <c r="P78" s="379"/>
      <c r="Q78" s="379"/>
    </row>
    <row r="79" customFormat="false" ht="15" hidden="false" customHeight="false" outlineLevel="0" collapsed="false">
      <c r="A79" s="715" t="n">
        <f aca="false">[2]安全阀型号!$B13</f>
        <v>6</v>
      </c>
      <c r="J79" s="379"/>
      <c r="K79" s="379"/>
      <c r="P79" s="379"/>
      <c r="Q79" s="379"/>
    </row>
    <row r="80" customFormat="false" ht="15" hidden="false" customHeight="false" outlineLevel="0" collapsed="false">
      <c r="A80" s="715" t="n">
        <f aca="false">[2]安全阀型号!$B14</f>
        <v>8</v>
      </c>
      <c r="J80" s="379"/>
      <c r="K80" s="379"/>
      <c r="P80" s="379"/>
      <c r="Q80" s="379"/>
    </row>
    <row r="81" customFormat="false" ht="15" hidden="false" customHeight="false" outlineLevel="0" collapsed="false">
      <c r="A81" s="715" t="n">
        <f aca="false">[2]安全阀型号!$B15</f>
        <v>10</v>
      </c>
      <c r="J81" s="379"/>
      <c r="K81" s="379"/>
      <c r="P81" s="379"/>
      <c r="Q81" s="379"/>
    </row>
    <row r="82" customFormat="false" ht="15" hidden="false" customHeight="false" outlineLevel="0" collapsed="false">
      <c r="A82" s="715"/>
      <c r="J82" s="379"/>
      <c r="K82" s="379"/>
      <c r="P82" s="379"/>
      <c r="Q82" s="379"/>
    </row>
    <row r="83" customFormat="false" ht="15" hidden="false" customHeight="false" outlineLevel="0" collapsed="false">
      <c r="J83" s="379"/>
      <c r="K83" s="379"/>
      <c r="P83" s="379"/>
      <c r="Q83" s="379"/>
    </row>
    <row r="84" customFormat="false" ht="15" hidden="false" customHeight="false" outlineLevel="0" collapsed="false">
      <c r="J84" s="379"/>
      <c r="K84" s="379"/>
      <c r="P84" s="379"/>
      <c r="Q84" s="379"/>
    </row>
    <row r="85" customFormat="false" ht="15" hidden="false" customHeight="false" outlineLevel="0" collapsed="false">
      <c r="J85" s="379"/>
      <c r="K85" s="379"/>
      <c r="P85" s="379"/>
      <c r="Q85" s="379"/>
    </row>
    <row r="86" customFormat="false" ht="15" hidden="false" customHeight="false" outlineLevel="0" collapsed="false">
      <c r="J86" s="379"/>
      <c r="K86" s="379"/>
      <c r="M86" s="379"/>
      <c r="O86" s="379"/>
      <c r="P86" s="379"/>
      <c r="Q86" s="379"/>
    </row>
    <row r="87" customFormat="false" ht="15" hidden="false" customHeight="false" outlineLevel="0" collapsed="false">
      <c r="J87" s="379"/>
      <c r="K87" s="379"/>
      <c r="M87" s="379"/>
      <c r="O87" s="379"/>
      <c r="P87" s="379"/>
      <c r="Q87" s="379"/>
    </row>
    <row r="88" customFormat="false" ht="15" hidden="false" customHeight="false" outlineLevel="0" collapsed="false">
      <c r="J88" s="379"/>
      <c r="K88" s="379"/>
      <c r="M88" s="379"/>
      <c r="O88" s="379"/>
      <c r="P88" s="379"/>
      <c r="Q88" s="379"/>
    </row>
    <row r="89" customFormat="false" ht="15" hidden="false" customHeight="false" outlineLevel="0" collapsed="false">
      <c r="J89" s="379"/>
      <c r="K89" s="379"/>
      <c r="M89" s="379"/>
      <c r="O89" s="379"/>
      <c r="P89" s="379"/>
      <c r="Q89" s="379"/>
    </row>
    <row r="90" customFormat="false" ht="15" hidden="false" customHeight="false" outlineLevel="0" collapsed="false">
      <c r="J90" s="379"/>
      <c r="K90" s="379"/>
      <c r="M90" s="379"/>
      <c r="O90" s="379"/>
      <c r="P90" s="379"/>
      <c r="Q90" s="379"/>
    </row>
    <row r="91" customFormat="false" ht="15" hidden="false" customHeight="false" outlineLevel="0" collapsed="false">
      <c r="J91" s="379"/>
      <c r="K91" s="379"/>
      <c r="M91" s="379"/>
      <c r="O91" s="379"/>
      <c r="P91" s="379"/>
      <c r="Q91" s="379"/>
    </row>
    <row r="92" customFormat="false" ht="15" hidden="false" customHeight="false" outlineLevel="0" collapsed="false">
      <c r="J92" s="379"/>
      <c r="K92" s="379"/>
      <c r="M92" s="379"/>
      <c r="O92" s="379"/>
      <c r="P92" s="379"/>
      <c r="Q92" s="379"/>
    </row>
    <row r="93" customFormat="false" ht="15" hidden="false" customHeight="false" outlineLevel="0" collapsed="false">
      <c r="J93" s="379"/>
      <c r="K93" s="379"/>
      <c r="M93" s="379"/>
      <c r="O93" s="379"/>
      <c r="P93" s="379"/>
      <c r="Q93" s="379"/>
    </row>
    <row r="94" customFormat="false" ht="15" hidden="false" customHeight="false" outlineLevel="0" collapsed="false">
      <c r="J94" s="379"/>
      <c r="K94" s="379"/>
      <c r="M94" s="379"/>
      <c r="O94" s="379"/>
      <c r="P94" s="379"/>
      <c r="Q94" s="379"/>
    </row>
    <row r="95" customFormat="false" ht="15" hidden="false" customHeight="false" outlineLevel="0" collapsed="false">
      <c r="J95" s="379"/>
      <c r="K95" s="379"/>
      <c r="M95" s="379"/>
      <c r="O95" s="379"/>
      <c r="P95" s="379"/>
      <c r="Q95" s="379"/>
    </row>
    <row r="96" customFormat="false" ht="15" hidden="false" customHeight="false" outlineLevel="0" collapsed="false">
      <c r="J96" s="379"/>
      <c r="K96" s="379"/>
      <c r="M96" s="379"/>
      <c r="O96" s="379"/>
      <c r="P96" s="379"/>
      <c r="Q96" s="379"/>
    </row>
    <row r="97" customFormat="false" ht="15" hidden="false" customHeight="false" outlineLevel="0" collapsed="false">
      <c r="J97" s="379"/>
      <c r="K97" s="379"/>
      <c r="M97" s="379"/>
      <c r="O97" s="379"/>
      <c r="P97" s="379"/>
      <c r="Q97" s="379"/>
    </row>
    <row r="98" customFormat="false" ht="15" hidden="false" customHeight="false" outlineLevel="0" collapsed="false">
      <c r="J98" s="379"/>
      <c r="K98" s="379"/>
      <c r="M98" s="379"/>
      <c r="O98" s="379"/>
      <c r="P98" s="379"/>
      <c r="Q98" s="379"/>
    </row>
    <row r="99" customFormat="false" ht="15" hidden="false" customHeight="false" outlineLevel="0" collapsed="false">
      <c r="J99" s="379"/>
      <c r="K99" s="379"/>
      <c r="M99" s="379"/>
      <c r="O99" s="379"/>
      <c r="P99" s="379"/>
      <c r="Q99" s="379"/>
    </row>
    <row r="100" customFormat="false" ht="15" hidden="false" customHeight="false" outlineLevel="0" collapsed="false">
      <c r="J100" s="379"/>
      <c r="K100" s="379"/>
      <c r="M100" s="379"/>
      <c r="O100" s="379"/>
      <c r="P100" s="379"/>
      <c r="Q100" s="379"/>
    </row>
    <row r="101" customFormat="false" ht="15" hidden="false" customHeight="false" outlineLevel="0" collapsed="false">
      <c r="J101" s="379"/>
      <c r="K101" s="379"/>
      <c r="M101" s="379"/>
      <c r="O101" s="379"/>
      <c r="P101" s="379"/>
      <c r="Q101" s="379"/>
    </row>
    <row r="102" customFormat="false" ht="15" hidden="false" customHeight="false" outlineLevel="0" collapsed="false">
      <c r="J102" s="379"/>
      <c r="K102" s="379"/>
      <c r="M102" s="379"/>
      <c r="O102" s="379"/>
      <c r="P102" s="379"/>
      <c r="Q102" s="379"/>
    </row>
    <row r="103" customFormat="false" ht="15" hidden="false" customHeight="false" outlineLevel="0" collapsed="false">
      <c r="J103" s="379"/>
      <c r="K103" s="379"/>
      <c r="M103" s="379"/>
      <c r="O103" s="379"/>
      <c r="P103" s="379"/>
      <c r="Q103" s="379"/>
    </row>
    <row r="104" customFormat="false" ht="15" hidden="false" customHeight="false" outlineLevel="0" collapsed="false">
      <c r="J104" s="379"/>
      <c r="K104" s="379"/>
      <c r="M104" s="379"/>
      <c r="O104" s="379"/>
      <c r="P104" s="379"/>
      <c r="Q104" s="379"/>
    </row>
    <row r="105" customFormat="false" ht="15" hidden="false" customHeight="false" outlineLevel="0" collapsed="false">
      <c r="J105" s="379"/>
      <c r="K105" s="379"/>
      <c r="M105" s="379"/>
      <c r="O105" s="379"/>
      <c r="P105" s="379"/>
      <c r="Q105" s="379"/>
    </row>
    <row r="106" customFormat="false" ht="15" hidden="false" customHeight="false" outlineLevel="0" collapsed="false">
      <c r="J106" s="379"/>
      <c r="K106" s="379"/>
      <c r="M106" s="379"/>
      <c r="O106" s="379"/>
      <c r="P106" s="379"/>
      <c r="Q106" s="379"/>
    </row>
    <row r="107" customFormat="false" ht="15" hidden="false" customHeight="false" outlineLevel="0" collapsed="false">
      <c r="J107" s="379"/>
      <c r="K107" s="379"/>
      <c r="M107" s="379"/>
      <c r="O107" s="379"/>
      <c r="P107" s="379"/>
      <c r="Q107" s="379"/>
    </row>
    <row r="108" customFormat="false" ht="15" hidden="false" customHeight="false" outlineLevel="0" collapsed="false">
      <c r="J108" s="379"/>
      <c r="K108" s="379"/>
      <c r="M108" s="379"/>
      <c r="O108" s="379"/>
      <c r="P108" s="379"/>
      <c r="Q108" s="379"/>
    </row>
    <row r="109" customFormat="false" ht="15" hidden="false" customHeight="false" outlineLevel="0" collapsed="false">
      <c r="J109" s="379"/>
      <c r="K109" s="379"/>
      <c r="M109" s="379"/>
      <c r="O109" s="379"/>
      <c r="P109" s="379"/>
      <c r="Q109" s="379"/>
    </row>
    <row r="110" customFormat="false" ht="15" hidden="false" customHeight="false" outlineLevel="0" collapsed="false">
      <c r="J110" s="379"/>
      <c r="K110" s="379"/>
      <c r="M110" s="379"/>
      <c r="O110" s="379"/>
      <c r="P110" s="379"/>
      <c r="Q110" s="379"/>
    </row>
    <row r="111" customFormat="false" ht="15" hidden="false" customHeight="false" outlineLevel="0" collapsed="false">
      <c r="J111" s="379"/>
      <c r="K111" s="379"/>
      <c r="M111" s="379"/>
      <c r="O111" s="379"/>
      <c r="P111" s="379"/>
      <c r="Q111" s="379"/>
    </row>
    <row r="112" customFormat="false" ht="15" hidden="false" customHeight="false" outlineLevel="0" collapsed="false">
      <c r="J112" s="379"/>
      <c r="K112" s="379"/>
      <c r="M112" s="379"/>
      <c r="O112" s="379"/>
      <c r="P112" s="379"/>
      <c r="Q112" s="379"/>
    </row>
    <row r="113" customFormat="false" ht="15" hidden="false" customHeight="false" outlineLevel="0" collapsed="false">
      <c r="J113" s="379"/>
      <c r="K113" s="379"/>
      <c r="M113" s="379"/>
      <c r="O113" s="379"/>
      <c r="P113" s="379"/>
      <c r="Q113" s="379"/>
    </row>
    <row r="114" customFormat="false" ht="15" hidden="false" customHeight="false" outlineLevel="0" collapsed="false">
      <c r="J114" s="379"/>
      <c r="K114" s="379"/>
      <c r="M114" s="379"/>
      <c r="O114" s="379"/>
      <c r="P114" s="379"/>
      <c r="Q114" s="379"/>
    </row>
    <row r="115" customFormat="false" ht="15" hidden="false" customHeight="false" outlineLevel="0" collapsed="false">
      <c r="J115" s="379"/>
      <c r="K115" s="379"/>
      <c r="M115" s="379"/>
      <c r="O115" s="379"/>
      <c r="P115" s="379"/>
      <c r="Q115" s="379"/>
    </row>
    <row r="116" customFormat="false" ht="15" hidden="false" customHeight="false" outlineLevel="0" collapsed="false">
      <c r="J116" s="379"/>
      <c r="K116" s="379"/>
      <c r="M116" s="379"/>
      <c r="O116" s="379"/>
      <c r="P116" s="379"/>
      <c r="Q116" s="379"/>
    </row>
    <row r="117" customFormat="false" ht="15" hidden="false" customHeight="false" outlineLevel="0" collapsed="false">
      <c r="J117" s="379"/>
      <c r="K117" s="379"/>
      <c r="M117" s="379"/>
      <c r="O117" s="379"/>
      <c r="P117" s="379"/>
      <c r="Q117" s="379"/>
    </row>
    <row r="118" customFormat="false" ht="15" hidden="false" customHeight="false" outlineLevel="0" collapsed="false">
      <c r="J118" s="379"/>
      <c r="K118" s="379"/>
      <c r="M118" s="379"/>
      <c r="O118" s="379"/>
      <c r="P118" s="379"/>
      <c r="Q118" s="379"/>
    </row>
  </sheetData>
  <mergeCells count="1940">
    <mergeCell ref="B1:C1"/>
    <mergeCell ref="D1:E1"/>
    <mergeCell ref="F1:G1"/>
    <mergeCell ref="H1:I1"/>
    <mergeCell ref="J1:K1"/>
    <mergeCell ref="L1:M1"/>
    <mergeCell ref="N1:O1"/>
    <mergeCell ref="P1:Q1"/>
    <mergeCell ref="R1:S1"/>
    <mergeCell ref="T1:U1"/>
    <mergeCell ref="V1:W1"/>
    <mergeCell ref="X1:Y1"/>
    <mergeCell ref="Z1:AA1"/>
    <mergeCell ref="AB1:AC1"/>
    <mergeCell ref="AD1:AE1"/>
    <mergeCell ref="AF1:AG1"/>
    <mergeCell ref="AH1:AI1"/>
    <mergeCell ref="AJ1:AK1"/>
    <mergeCell ref="AL1:AM1"/>
    <mergeCell ref="AN1:AO1"/>
    <mergeCell ref="AP1:AQ1"/>
    <mergeCell ref="AR1:AS1"/>
    <mergeCell ref="AT1:AU1"/>
    <mergeCell ref="AV1:AW1"/>
    <mergeCell ref="AX1:AY1"/>
    <mergeCell ref="AZ1:BA1"/>
    <mergeCell ref="BB1:BC1"/>
    <mergeCell ref="BD1:BE1"/>
    <mergeCell ref="BF1:BG1"/>
    <mergeCell ref="BH1:BI1"/>
    <mergeCell ref="BJ1:BK1"/>
    <mergeCell ref="BL1:BM1"/>
    <mergeCell ref="BN1:BO1"/>
    <mergeCell ref="BP1:BQ1"/>
    <mergeCell ref="BR1:BS1"/>
    <mergeCell ref="BT1:BU1"/>
    <mergeCell ref="BV1:BW1"/>
    <mergeCell ref="BX1:BY1"/>
    <mergeCell ref="BZ1:CA1"/>
    <mergeCell ref="CB1:CC1"/>
    <mergeCell ref="CD1:CE1"/>
    <mergeCell ref="CF1:CG1"/>
    <mergeCell ref="CH1:CI1"/>
    <mergeCell ref="B2:C2"/>
    <mergeCell ref="D2:E2"/>
    <mergeCell ref="F2:G2"/>
    <mergeCell ref="H2:I2"/>
    <mergeCell ref="J2:K2"/>
    <mergeCell ref="L2:M2"/>
    <mergeCell ref="N2:O2"/>
    <mergeCell ref="P2:Q2"/>
    <mergeCell ref="R2:S2"/>
    <mergeCell ref="T2:U2"/>
    <mergeCell ref="V2:W2"/>
    <mergeCell ref="X2:Y2"/>
    <mergeCell ref="Z2:AA2"/>
    <mergeCell ref="AB2:AC2"/>
    <mergeCell ref="AD2:AE2"/>
    <mergeCell ref="AF2:AG2"/>
    <mergeCell ref="AH2:AI2"/>
    <mergeCell ref="AJ2:AK2"/>
    <mergeCell ref="AL2:AM2"/>
    <mergeCell ref="AN2:AO2"/>
    <mergeCell ref="AP2:AQ2"/>
    <mergeCell ref="AR2:AS2"/>
    <mergeCell ref="AT2:AU2"/>
    <mergeCell ref="AV2:AW2"/>
    <mergeCell ref="AX2:AY2"/>
    <mergeCell ref="AZ2:BA2"/>
    <mergeCell ref="BB2:BC2"/>
    <mergeCell ref="BD2:BE2"/>
    <mergeCell ref="BF2:BG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B3:C3"/>
    <mergeCell ref="D3:E3"/>
    <mergeCell ref="F3:G3"/>
    <mergeCell ref="H3:I3"/>
    <mergeCell ref="J3:K3"/>
    <mergeCell ref="L3:M3"/>
    <mergeCell ref="N3:O3"/>
    <mergeCell ref="P3:Q3"/>
    <mergeCell ref="R3:S3"/>
    <mergeCell ref="T3:U3"/>
    <mergeCell ref="V3:W3"/>
    <mergeCell ref="X3:Y3"/>
    <mergeCell ref="Z3:AA3"/>
    <mergeCell ref="AB3:AC3"/>
    <mergeCell ref="AD3:AE3"/>
    <mergeCell ref="AF3:AG3"/>
    <mergeCell ref="AH3:AI3"/>
    <mergeCell ref="AJ3:AK3"/>
    <mergeCell ref="AL3:AM3"/>
    <mergeCell ref="AN3:AO3"/>
    <mergeCell ref="AP3:AQ3"/>
    <mergeCell ref="AR3:AS3"/>
    <mergeCell ref="AT3:AU3"/>
    <mergeCell ref="AV3:AW3"/>
    <mergeCell ref="AX3:AY3"/>
    <mergeCell ref="AZ3:BA3"/>
    <mergeCell ref="BB3:BC3"/>
    <mergeCell ref="BD3:BE3"/>
    <mergeCell ref="BF3:BG3"/>
    <mergeCell ref="BH3:BI3"/>
    <mergeCell ref="BJ3:BK3"/>
    <mergeCell ref="BL3:BM3"/>
    <mergeCell ref="BN3:BO3"/>
    <mergeCell ref="BP3:BQ3"/>
    <mergeCell ref="BR3:BS3"/>
    <mergeCell ref="BT3:BU3"/>
    <mergeCell ref="BV3:BW3"/>
    <mergeCell ref="BX3:BY3"/>
    <mergeCell ref="BZ3:CA3"/>
    <mergeCell ref="CB3:CC3"/>
    <mergeCell ref="CD3:CE3"/>
    <mergeCell ref="CF3:CG3"/>
    <mergeCell ref="CH3:CI3"/>
    <mergeCell ref="B4:C4"/>
    <mergeCell ref="D4:E4"/>
    <mergeCell ref="F4:G4"/>
    <mergeCell ref="H4:I4"/>
    <mergeCell ref="J4:K4"/>
    <mergeCell ref="L4:M4"/>
    <mergeCell ref="N4:O4"/>
    <mergeCell ref="P4:Q4"/>
    <mergeCell ref="R4:S4"/>
    <mergeCell ref="T4:U4"/>
    <mergeCell ref="V4:W4"/>
    <mergeCell ref="X4:Y4"/>
    <mergeCell ref="Z4:AA4"/>
    <mergeCell ref="AB4:AC4"/>
    <mergeCell ref="AD4:AE4"/>
    <mergeCell ref="AF4:AG4"/>
    <mergeCell ref="AH4:AI4"/>
    <mergeCell ref="AJ4:AK4"/>
    <mergeCell ref="AL4:AM4"/>
    <mergeCell ref="AN4:AO4"/>
    <mergeCell ref="AP4:AQ4"/>
    <mergeCell ref="AR4:AS4"/>
    <mergeCell ref="AT4:AU4"/>
    <mergeCell ref="AV4:AW4"/>
    <mergeCell ref="AX4:AY4"/>
    <mergeCell ref="AZ4:BA4"/>
    <mergeCell ref="BB4:BC4"/>
    <mergeCell ref="BD4:BE4"/>
    <mergeCell ref="BF4:BG4"/>
    <mergeCell ref="BH4:BI4"/>
    <mergeCell ref="BJ4:BK4"/>
    <mergeCell ref="BL4:BM4"/>
    <mergeCell ref="BN4:BO4"/>
    <mergeCell ref="BP4:BQ4"/>
    <mergeCell ref="BR4:BS4"/>
    <mergeCell ref="BT4:BU4"/>
    <mergeCell ref="BV4:BW4"/>
    <mergeCell ref="BX4:BY4"/>
    <mergeCell ref="BZ4:CA4"/>
    <mergeCell ref="CB4:CC4"/>
    <mergeCell ref="CD4:CE4"/>
    <mergeCell ref="CF4:CG4"/>
    <mergeCell ref="CH4:CI4"/>
    <mergeCell ref="B5:C5"/>
    <mergeCell ref="D5:E5"/>
    <mergeCell ref="F5:G5"/>
    <mergeCell ref="H5:I5"/>
    <mergeCell ref="J5:K5"/>
    <mergeCell ref="L5:M5"/>
    <mergeCell ref="N5:O5"/>
    <mergeCell ref="P5:Q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V5:BW5"/>
    <mergeCell ref="BX5:BY5"/>
    <mergeCell ref="BZ5:CA5"/>
    <mergeCell ref="CB5:CC5"/>
    <mergeCell ref="CD5:CE5"/>
    <mergeCell ref="CF5:CG5"/>
    <mergeCell ref="CH5:CI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B9:C9"/>
    <mergeCell ref="D9:E9"/>
    <mergeCell ref="F9:G9"/>
    <mergeCell ref="H9:I9"/>
    <mergeCell ref="J9:K9"/>
    <mergeCell ref="L9:M9"/>
    <mergeCell ref="N9:O9"/>
    <mergeCell ref="P9:Q9"/>
    <mergeCell ref="R9:S9"/>
    <mergeCell ref="T9:U9"/>
    <mergeCell ref="V9:W9"/>
    <mergeCell ref="X9:Y9"/>
    <mergeCell ref="Z9:AA9"/>
    <mergeCell ref="AB9:AC9"/>
    <mergeCell ref="AD9:AE9"/>
    <mergeCell ref="AF9:AG9"/>
    <mergeCell ref="AH9:AI9"/>
    <mergeCell ref="AJ9:AK9"/>
    <mergeCell ref="AL9:AM9"/>
    <mergeCell ref="AN9:AO9"/>
    <mergeCell ref="AP9:AQ9"/>
    <mergeCell ref="AR9:AS9"/>
    <mergeCell ref="AT9:AU9"/>
    <mergeCell ref="AV9:AW9"/>
    <mergeCell ref="AX9:AY9"/>
    <mergeCell ref="AZ9:BA9"/>
    <mergeCell ref="BB9:BC9"/>
    <mergeCell ref="BD9:BE9"/>
    <mergeCell ref="BF9:BG9"/>
    <mergeCell ref="BH9:BI9"/>
    <mergeCell ref="BJ9:BK9"/>
    <mergeCell ref="BL9:BM9"/>
    <mergeCell ref="BN9:BO9"/>
    <mergeCell ref="BP9:BQ9"/>
    <mergeCell ref="BR9:BS9"/>
    <mergeCell ref="BT9:BU9"/>
    <mergeCell ref="BV9:BW9"/>
    <mergeCell ref="BX9:BY9"/>
    <mergeCell ref="BZ9:CA9"/>
    <mergeCell ref="CB9:CC9"/>
    <mergeCell ref="CD9:CE9"/>
    <mergeCell ref="CF9:CG9"/>
    <mergeCell ref="CH9:CI9"/>
    <mergeCell ref="V10:W10"/>
    <mergeCell ref="X10:Y10"/>
    <mergeCell ref="Z10:AA10"/>
    <mergeCell ref="AB10:AC10"/>
    <mergeCell ref="AD10:AE10"/>
    <mergeCell ref="AF10:AG10"/>
    <mergeCell ref="AH10:AI10"/>
    <mergeCell ref="AJ10:AK10"/>
    <mergeCell ref="AL10:AM10"/>
    <mergeCell ref="AN10:AO10"/>
    <mergeCell ref="AP10:AQ10"/>
    <mergeCell ref="AR10:AS10"/>
    <mergeCell ref="AT10:AU10"/>
    <mergeCell ref="AV10:AW10"/>
    <mergeCell ref="AX10:AY10"/>
    <mergeCell ref="AZ10:BA10"/>
    <mergeCell ref="BB10:BC10"/>
    <mergeCell ref="BD10:BE10"/>
    <mergeCell ref="BF10:BG10"/>
    <mergeCell ref="BH10:BI10"/>
    <mergeCell ref="BJ10:BK10"/>
    <mergeCell ref="BL10:BM10"/>
    <mergeCell ref="BN10:BO10"/>
    <mergeCell ref="BP10:BQ10"/>
    <mergeCell ref="BR10:BS10"/>
    <mergeCell ref="BT10:BU10"/>
    <mergeCell ref="BV10:BW10"/>
    <mergeCell ref="BX10:BY10"/>
    <mergeCell ref="BZ10:CA10"/>
    <mergeCell ref="CB10:CC10"/>
    <mergeCell ref="CD10:CE10"/>
    <mergeCell ref="CF10:CG10"/>
    <mergeCell ref="CH10:CI10"/>
    <mergeCell ref="B11:C11"/>
    <mergeCell ref="D11:E11"/>
    <mergeCell ref="F11:G11"/>
    <mergeCell ref="H11:I11"/>
    <mergeCell ref="J11:K11"/>
    <mergeCell ref="L11:M11"/>
    <mergeCell ref="N11:O11"/>
    <mergeCell ref="P11:Q11"/>
    <mergeCell ref="B12:C12"/>
    <mergeCell ref="D12:E12"/>
    <mergeCell ref="F12:G12"/>
    <mergeCell ref="H12:I12"/>
    <mergeCell ref="J12:K12"/>
    <mergeCell ref="L12:M12"/>
    <mergeCell ref="N12:O12"/>
    <mergeCell ref="P12:Q12"/>
    <mergeCell ref="R12:S12"/>
    <mergeCell ref="T12:U12"/>
    <mergeCell ref="V12:W12"/>
    <mergeCell ref="X12:Y12"/>
    <mergeCell ref="Z12:AA12"/>
    <mergeCell ref="AB12:AC12"/>
    <mergeCell ref="AD12:AE12"/>
    <mergeCell ref="AF12:AG12"/>
    <mergeCell ref="AH12:AI12"/>
    <mergeCell ref="AJ12:AK12"/>
    <mergeCell ref="AL12:AM12"/>
    <mergeCell ref="AN12:AO12"/>
    <mergeCell ref="AP12:AQ12"/>
    <mergeCell ref="AR12:AS12"/>
    <mergeCell ref="AT12:AU12"/>
    <mergeCell ref="AV12:AW12"/>
    <mergeCell ref="AX12:AY12"/>
    <mergeCell ref="AZ12:BA12"/>
    <mergeCell ref="BB12:BC12"/>
    <mergeCell ref="BD12:BE12"/>
    <mergeCell ref="BF12:BG12"/>
    <mergeCell ref="BH12:BI12"/>
    <mergeCell ref="BJ12:BK12"/>
    <mergeCell ref="BL12:BM12"/>
    <mergeCell ref="BN12:BO12"/>
    <mergeCell ref="BP12:BQ12"/>
    <mergeCell ref="BR12:BS12"/>
    <mergeCell ref="BT12:BU12"/>
    <mergeCell ref="BV12:BW12"/>
    <mergeCell ref="BX12:BY12"/>
    <mergeCell ref="BZ12:CA12"/>
    <mergeCell ref="CB12:CC12"/>
    <mergeCell ref="CD12:CE12"/>
    <mergeCell ref="CF12:CG12"/>
    <mergeCell ref="CH12:CI12"/>
    <mergeCell ref="B13:C13"/>
    <mergeCell ref="D13:E13"/>
    <mergeCell ref="F13:G13"/>
    <mergeCell ref="H13:I13"/>
    <mergeCell ref="J13:K13"/>
    <mergeCell ref="L13:M13"/>
    <mergeCell ref="N13:O13"/>
    <mergeCell ref="P13:Q13"/>
    <mergeCell ref="R13:S13"/>
    <mergeCell ref="T13:U13"/>
    <mergeCell ref="V13:W13"/>
    <mergeCell ref="X13:Y13"/>
    <mergeCell ref="Z13:AA13"/>
    <mergeCell ref="AB13:AC13"/>
    <mergeCell ref="AD13:AE13"/>
    <mergeCell ref="AF13:AG13"/>
    <mergeCell ref="AH13:AI13"/>
    <mergeCell ref="AJ13:AK13"/>
    <mergeCell ref="AL13:AM13"/>
    <mergeCell ref="AN13:AO13"/>
    <mergeCell ref="AP13:AQ13"/>
    <mergeCell ref="AR13:AS13"/>
    <mergeCell ref="AT13:AU13"/>
    <mergeCell ref="AV13:AW13"/>
    <mergeCell ref="AX13:AY13"/>
    <mergeCell ref="AZ13:BA13"/>
    <mergeCell ref="BB13:BC13"/>
    <mergeCell ref="BD13:BE13"/>
    <mergeCell ref="BF13:BG13"/>
    <mergeCell ref="BH13:BI13"/>
    <mergeCell ref="BJ13:BK13"/>
    <mergeCell ref="BL13:BM13"/>
    <mergeCell ref="BN13:BO13"/>
    <mergeCell ref="BP13:BQ13"/>
    <mergeCell ref="BR13:BS13"/>
    <mergeCell ref="BT13:BU13"/>
    <mergeCell ref="BV13:BW13"/>
    <mergeCell ref="BX13:BY13"/>
    <mergeCell ref="BZ13:CA13"/>
    <mergeCell ref="CB13:CC13"/>
    <mergeCell ref="CD13:CE13"/>
    <mergeCell ref="CF13:CG13"/>
    <mergeCell ref="CH13:CI13"/>
    <mergeCell ref="B14:C14"/>
    <mergeCell ref="D14:E14"/>
    <mergeCell ref="F14:G14"/>
    <mergeCell ref="H14:I14"/>
    <mergeCell ref="J14:K14"/>
    <mergeCell ref="L14:M14"/>
    <mergeCell ref="N14:O14"/>
    <mergeCell ref="P14:Q14"/>
    <mergeCell ref="R14:S14"/>
    <mergeCell ref="T14:U14"/>
    <mergeCell ref="V14:W14"/>
    <mergeCell ref="X14:Y14"/>
    <mergeCell ref="Z14:AA14"/>
    <mergeCell ref="AB14:AC14"/>
    <mergeCell ref="AD14:AE14"/>
    <mergeCell ref="AF14:AG14"/>
    <mergeCell ref="AH14:AI14"/>
    <mergeCell ref="AJ14:AK14"/>
    <mergeCell ref="AL14:AM14"/>
    <mergeCell ref="AN14:AO14"/>
    <mergeCell ref="AP14:AQ14"/>
    <mergeCell ref="AR14:AS14"/>
    <mergeCell ref="AT14:AU14"/>
    <mergeCell ref="AV14:AW14"/>
    <mergeCell ref="AX14:AY14"/>
    <mergeCell ref="AZ14:BA14"/>
    <mergeCell ref="BB14:BC14"/>
    <mergeCell ref="BD14:BE14"/>
    <mergeCell ref="BF14:BG14"/>
    <mergeCell ref="BH14:BI14"/>
    <mergeCell ref="BJ14:BK14"/>
    <mergeCell ref="BL14:BM14"/>
    <mergeCell ref="BN14:BO14"/>
    <mergeCell ref="BP14:BQ14"/>
    <mergeCell ref="BR14:BS14"/>
    <mergeCell ref="BT14:BU14"/>
    <mergeCell ref="BV14:BW14"/>
    <mergeCell ref="BX14:BY14"/>
    <mergeCell ref="BZ14:CA14"/>
    <mergeCell ref="CB14:CC14"/>
    <mergeCell ref="CD14:CE14"/>
    <mergeCell ref="CF14:CG14"/>
    <mergeCell ref="CH14:CI14"/>
    <mergeCell ref="B15:C15"/>
    <mergeCell ref="D15:E15"/>
    <mergeCell ref="F15:G15"/>
    <mergeCell ref="H15:I15"/>
    <mergeCell ref="J15:K15"/>
    <mergeCell ref="L15:M15"/>
    <mergeCell ref="N15:O15"/>
    <mergeCell ref="P15:Q15"/>
    <mergeCell ref="R15:S15"/>
    <mergeCell ref="T15:U15"/>
    <mergeCell ref="V15:W15"/>
    <mergeCell ref="X15:Y15"/>
    <mergeCell ref="Z15:AA15"/>
    <mergeCell ref="AB15:AC15"/>
    <mergeCell ref="AD15:AE15"/>
    <mergeCell ref="AF15:AG15"/>
    <mergeCell ref="AH15:AI15"/>
    <mergeCell ref="AJ15:AK15"/>
    <mergeCell ref="AL15:AM15"/>
    <mergeCell ref="AN15:AO15"/>
    <mergeCell ref="AP15:AQ15"/>
    <mergeCell ref="AR15:AS15"/>
    <mergeCell ref="AT15:AU15"/>
    <mergeCell ref="AV15:AW15"/>
    <mergeCell ref="AX15:AY15"/>
    <mergeCell ref="AZ15:BA15"/>
    <mergeCell ref="BB15:BC15"/>
    <mergeCell ref="BD15:BE15"/>
    <mergeCell ref="BF15:BG15"/>
    <mergeCell ref="BH15:BI15"/>
    <mergeCell ref="BJ15:BK15"/>
    <mergeCell ref="BL15:BM15"/>
    <mergeCell ref="BN15:BO15"/>
    <mergeCell ref="BP15:BQ15"/>
    <mergeCell ref="BR15:BS15"/>
    <mergeCell ref="BT15:BU15"/>
    <mergeCell ref="BV15:BW15"/>
    <mergeCell ref="BX15:BY15"/>
    <mergeCell ref="BZ15:CA15"/>
    <mergeCell ref="CB15:CC15"/>
    <mergeCell ref="CD15:CE15"/>
    <mergeCell ref="CF15:CG15"/>
    <mergeCell ref="CH15:CI15"/>
    <mergeCell ref="B16:C16"/>
    <mergeCell ref="D16:E16"/>
    <mergeCell ref="F16:G16"/>
    <mergeCell ref="H16:I16"/>
    <mergeCell ref="J16:K16"/>
    <mergeCell ref="L16:M16"/>
    <mergeCell ref="N16:O16"/>
    <mergeCell ref="P16:Q16"/>
    <mergeCell ref="R16:S16"/>
    <mergeCell ref="T16:U16"/>
    <mergeCell ref="V16:W16"/>
    <mergeCell ref="X16:Y16"/>
    <mergeCell ref="Z16:AA16"/>
    <mergeCell ref="AB16:AC16"/>
    <mergeCell ref="AD16:AE16"/>
    <mergeCell ref="AF16:AG16"/>
    <mergeCell ref="AH16:AI16"/>
    <mergeCell ref="AJ16:AK16"/>
    <mergeCell ref="AL16:AM16"/>
    <mergeCell ref="AN16:AO16"/>
    <mergeCell ref="AP16:AQ16"/>
    <mergeCell ref="AR16:AS16"/>
    <mergeCell ref="AT16:AU16"/>
    <mergeCell ref="AV16:AW16"/>
    <mergeCell ref="AX16:AY16"/>
    <mergeCell ref="AZ16:BA16"/>
    <mergeCell ref="BB16:BC16"/>
    <mergeCell ref="BD16:BE16"/>
    <mergeCell ref="BF16:BG16"/>
    <mergeCell ref="BH16:BI16"/>
    <mergeCell ref="BJ16:BK16"/>
    <mergeCell ref="BL16:BM16"/>
    <mergeCell ref="BN16:BO16"/>
    <mergeCell ref="BP16:BQ16"/>
    <mergeCell ref="BR16:BS16"/>
    <mergeCell ref="BT16:BU16"/>
    <mergeCell ref="BV16:BW16"/>
    <mergeCell ref="BX16:BY16"/>
    <mergeCell ref="BZ16:CA16"/>
    <mergeCell ref="CB16:CC16"/>
    <mergeCell ref="CD16:CE16"/>
    <mergeCell ref="CF16:CG16"/>
    <mergeCell ref="CH16:CI16"/>
    <mergeCell ref="B26:C26"/>
    <mergeCell ref="D26:E26"/>
    <mergeCell ref="F26:G26"/>
    <mergeCell ref="H26:I26"/>
    <mergeCell ref="J26:K26"/>
    <mergeCell ref="L26:M26"/>
    <mergeCell ref="N26:O26"/>
    <mergeCell ref="P26:Q26"/>
    <mergeCell ref="R26:S26"/>
    <mergeCell ref="T26:U26"/>
    <mergeCell ref="V26:W26"/>
    <mergeCell ref="X26:Y26"/>
    <mergeCell ref="Z26:AA26"/>
    <mergeCell ref="AB26:AC26"/>
    <mergeCell ref="AD26:AE26"/>
    <mergeCell ref="AF26:AG26"/>
    <mergeCell ref="AH26:AI26"/>
    <mergeCell ref="AJ26:AK26"/>
    <mergeCell ref="AL26:AM26"/>
    <mergeCell ref="AN26:AO26"/>
    <mergeCell ref="AP26:AQ26"/>
    <mergeCell ref="AR26:AS26"/>
    <mergeCell ref="AT26:AU26"/>
    <mergeCell ref="AV26:AW26"/>
    <mergeCell ref="AX26:AY26"/>
    <mergeCell ref="AZ26:BA26"/>
    <mergeCell ref="BB26:BC26"/>
    <mergeCell ref="BD26:BE26"/>
    <mergeCell ref="BF26:BG26"/>
    <mergeCell ref="BH26:BI26"/>
    <mergeCell ref="BJ26:BK26"/>
    <mergeCell ref="BL26:BM26"/>
    <mergeCell ref="BN26:BO26"/>
    <mergeCell ref="BP26:BQ26"/>
    <mergeCell ref="BR26:BS26"/>
    <mergeCell ref="BT26:BU26"/>
    <mergeCell ref="BV26:BW26"/>
    <mergeCell ref="BX26:BY26"/>
    <mergeCell ref="BZ26:CA26"/>
    <mergeCell ref="CB26:CC26"/>
    <mergeCell ref="CD26:CE26"/>
    <mergeCell ref="CF26:CG26"/>
    <mergeCell ref="CH26:CI26"/>
    <mergeCell ref="B28:C28"/>
    <mergeCell ref="D28:E28"/>
    <mergeCell ref="F28:G28"/>
    <mergeCell ref="H28:I28"/>
    <mergeCell ref="J28:K28"/>
    <mergeCell ref="L28:M28"/>
    <mergeCell ref="N28:O28"/>
    <mergeCell ref="P28:Q28"/>
    <mergeCell ref="R28:S28"/>
    <mergeCell ref="T28:U28"/>
    <mergeCell ref="V28:W28"/>
    <mergeCell ref="X28:Y28"/>
    <mergeCell ref="Z28:AA28"/>
    <mergeCell ref="AB28:AC28"/>
    <mergeCell ref="AD28:AE28"/>
    <mergeCell ref="AF28:AG28"/>
    <mergeCell ref="AH28:AI28"/>
    <mergeCell ref="AJ28:AK28"/>
    <mergeCell ref="AL28:AM28"/>
    <mergeCell ref="AN28:AO28"/>
    <mergeCell ref="AP28:AQ28"/>
    <mergeCell ref="AR28:AS28"/>
    <mergeCell ref="AT28:AU28"/>
    <mergeCell ref="AV28:AW28"/>
    <mergeCell ref="AX28:AY28"/>
    <mergeCell ref="AZ28:BA28"/>
    <mergeCell ref="BB28:BC28"/>
    <mergeCell ref="BD28:BE28"/>
    <mergeCell ref="BF28:BG28"/>
    <mergeCell ref="BH28:BI28"/>
    <mergeCell ref="BJ28:BK28"/>
    <mergeCell ref="BL28:BM28"/>
    <mergeCell ref="BN28:BO28"/>
    <mergeCell ref="BP28:BQ28"/>
    <mergeCell ref="BR28:BS28"/>
    <mergeCell ref="BT28:BU28"/>
    <mergeCell ref="BV28:BW28"/>
    <mergeCell ref="BX28:BY28"/>
    <mergeCell ref="BZ28:CA28"/>
    <mergeCell ref="CB28:CC28"/>
    <mergeCell ref="CD28:CE28"/>
    <mergeCell ref="CF28:CG28"/>
    <mergeCell ref="CH28:CI28"/>
    <mergeCell ref="B32:C32"/>
    <mergeCell ref="D32:E32"/>
    <mergeCell ref="F32:G32"/>
    <mergeCell ref="H32:I32"/>
    <mergeCell ref="J32:K32"/>
    <mergeCell ref="L32:M32"/>
    <mergeCell ref="N32:O32"/>
    <mergeCell ref="P32:Q32"/>
    <mergeCell ref="R32:S32"/>
    <mergeCell ref="T32:U32"/>
    <mergeCell ref="V32:W32"/>
    <mergeCell ref="X32:Y32"/>
    <mergeCell ref="Z32:AA32"/>
    <mergeCell ref="AB32:AC32"/>
    <mergeCell ref="AD32:AE32"/>
    <mergeCell ref="AF32:AG32"/>
    <mergeCell ref="AH32:AI32"/>
    <mergeCell ref="AJ32:AK32"/>
    <mergeCell ref="AL32:AM32"/>
    <mergeCell ref="AN32:AO32"/>
    <mergeCell ref="AP32:AQ32"/>
    <mergeCell ref="AR32:AS32"/>
    <mergeCell ref="AT32:AU32"/>
    <mergeCell ref="AV32:AW32"/>
    <mergeCell ref="AX32:AY32"/>
    <mergeCell ref="AZ32:BA32"/>
    <mergeCell ref="BB32:BC32"/>
    <mergeCell ref="BD32:BE32"/>
    <mergeCell ref="BF32:BG32"/>
    <mergeCell ref="BH32:BI32"/>
    <mergeCell ref="BJ32:BK32"/>
    <mergeCell ref="BL32:BM32"/>
    <mergeCell ref="BN32:BO32"/>
    <mergeCell ref="BP32:BQ32"/>
    <mergeCell ref="BR32:BS32"/>
    <mergeCell ref="BT32:BU32"/>
    <mergeCell ref="BV32:BW32"/>
    <mergeCell ref="BX32:BY32"/>
    <mergeCell ref="BZ32:CA32"/>
    <mergeCell ref="CB32:CC32"/>
    <mergeCell ref="CD32:CE32"/>
    <mergeCell ref="CF32:CG32"/>
    <mergeCell ref="CH32:CI32"/>
    <mergeCell ref="B34:C34"/>
    <mergeCell ref="D34:E34"/>
    <mergeCell ref="F34:G34"/>
    <mergeCell ref="H34:I34"/>
    <mergeCell ref="J34:K34"/>
    <mergeCell ref="L34:M34"/>
    <mergeCell ref="N34:O34"/>
    <mergeCell ref="P34:Q34"/>
    <mergeCell ref="B35:C35"/>
    <mergeCell ref="D35:E35"/>
    <mergeCell ref="F35:G35"/>
    <mergeCell ref="H35:I35"/>
    <mergeCell ref="J35:K35"/>
    <mergeCell ref="L35:M35"/>
    <mergeCell ref="N35:O35"/>
    <mergeCell ref="P35:Q35"/>
    <mergeCell ref="R35:S35"/>
    <mergeCell ref="T35:U35"/>
    <mergeCell ref="V35:W35"/>
    <mergeCell ref="X35:Y35"/>
    <mergeCell ref="Z35:AA35"/>
    <mergeCell ref="AB35:AC35"/>
    <mergeCell ref="AD35:AE35"/>
    <mergeCell ref="AF35:AG35"/>
    <mergeCell ref="AH35:AI35"/>
    <mergeCell ref="AJ35:AK35"/>
    <mergeCell ref="AL35:AM35"/>
    <mergeCell ref="AN35:AO35"/>
    <mergeCell ref="AP35:AQ35"/>
    <mergeCell ref="AR35:AS35"/>
    <mergeCell ref="AT35:AU35"/>
    <mergeCell ref="AV35:AW35"/>
    <mergeCell ref="AX35:AY35"/>
    <mergeCell ref="AZ35:BA35"/>
    <mergeCell ref="BB35:BC35"/>
    <mergeCell ref="BD35:BE35"/>
    <mergeCell ref="BF35:BG35"/>
    <mergeCell ref="BH35:BI35"/>
    <mergeCell ref="BJ35:BK35"/>
    <mergeCell ref="BL35:BM35"/>
    <mergeCell ref="BN35:BO35"/>
    <mergeCell ref="BP35:BQ35"/>
    <mergeCell ref="BR35:BS35"/>
    <mergeCell ref="BT35:BU35"/>
    <mergeCell ref="BV35:BW35"/>
    <mergeCell ref="BX35:BY35"/>
    <mergeCell ref="BZ35:CA35"/>
    <mergeCell ref="CB35:CC35"/>
    <mergeCell ref="CD35:CE35"/>
    <mergeCell ref="CF35:CG35"/>
    <mergeCell ref="CH35:CI35"/>
    <mergeCell ref="B36:C36"/>
    <mergeCell ref="D36:E36"/>
    <mergeCell ref="F36:G36"/>
    <mergeCell ref="H36:I36"/>
    <mergeCell ref="J36:K36"/>
    <mergeCell ref="L36:M36"/>
    <mergeCell ref="N36:O36"/>
    <mergeCell ref="R36:S36"/>
    <mergeCell ref="T36:U36"/>
    <mergeCell ref="V36:W36"/>
    <mergeCell ref="X36:Y36"/>
    <mergeCell ref="Z36:AA36"/>
    <mergeCell ref="AB36:AC36"/>
    <mergeCell ref="AD36:AE36"/>
    <mergeCell ref="AF36:AG36"/>
    <mergeCell ref="AH36:AI36"/>
    <mergeCell ref="AJ36:AK36"/>
    <mergeCell ref="AL36:AM36"/>
    <mergeCell ref="AN36:AO36"/>
    <mergeCell ref="AP36:AQ36"/>
    <mergeCell ref="AR36:AS36"/>
    <mergeCell ref="AT36:AU36"/>
    <mergeCell ref="AV36:AW36"/>
    <mergeCell ref="AX36:AY36"/>
    <mergeCell ref="AZ36:BA36"/>
    <mergeCell ref="BB36:BC36"/>
    <mergeCell ref="BD36:BE36"/>
    <mergeCell ref="BF36:BG36"/>
    <mergeCell ref="BH36:BI36"/>
    <mergeCell ref="BJ36:BK36"/>
    <mergeCell ref="BL36:BM36"/>
    <mergeCell ref="BN36:BO36"/>
    <mergeCell ref="BP36:BQ36"/>
    <mergeCell ref="BR36:BS36"/>
    <mergeCell ref="BT36:BU36"/>
    <mergeCell ref="BV36:BW36"/>
    <mergeCell ref="BX36:BY36"/>
    <mergeCell ref="BZ36:CA36"/>
    <mergeCell ref="CB36:CC36"/>
    <mergeCell ref="CD36:CE36"/>
    <mergeCell ref="CF36:CG36"/>
    <mergeCell ref="CH36:CI36"/>
    <mergeCell ref="B37:C37"/>
    <mergeCell ref="D37:E37"/>
    <mergeCell ref="F37:G37"/>
    <mergeCell ref="H37:I37"/>
    <mergeCell ref="J37:K37"/>
    <mergeCell ref="L37:M37"/>
    <mergeCell ref="N37:O37"/>
    <mergeCell ref="P37:Q37"/>
    <mergeCell ref="R37:S37"/>
    <mergeCell ref="T37:U37"/>
    <mergeCell ref="V37:W37"/>
    <mergeCell ref="X37:Y37"/>
    <mergeCell ref="Z37:AA37"/>
    <mergeCell ref="AB37:AC37"/>
    <mergeCell ref="AD37:AE37"/>
    <mergeCell ref="AF37:AG37"/>
    <mergeCell ref="AH37:AI37"/>
    <mergeCell ref="AJ37:AK37"/>
    <mergeCell ref="AL37:AM37"/>
    <mergeCell ref="AN37:AO37"/>
    <mergeCell ref="AP37:AQ37"/>
    <mergeCell ref="AR37:AS37"/>
    <mergeCell ref="AT37:AU37"/>
    <mergeCell ref="AV37:AW37"/>
    <mergeCell ref="AX37:AY37"/>
    <mergeCell ref="AZ37:BA37"/>
    <mergeCell ref="BB37:BC37"/>
    <mergeCell ref="BD37:BE37"/>
    <mergeCell ref="BF37:BG37"/>
    <mergeCell ref="BH37:BI37"/>
    <mergeCell ref="BJ37:BK37"/>
    <mergeCell ref="BL37:BM37"/>
    <mergeCell ref="BN37:BO37"/>
    <mergeCell ref="BP37:BQ37"/>
    <mergeCell ref="BR37:BS37"/>
    <mergeCell ref="BT37:BU37"/>
    <mergeCell ref="BV37:BW37"/>
    <mergeCell ref="BX37:BY37"/>
    <mergeCell ref="BZ37:CA37"/>
    <mergeCell ref="CB37:CC37"/>
    <mergeCell ref="CD37:CE37"/>
    <mergeCell ref="CF37:CG37"/>
    <mergeCell ref="CH37:CI37"/>
    <mergeCell ref="B38:C38"/>
    <mergeCell ref="D38:E38"/>
    <mergeCell ref="F38:G38"/>
    <mergeCell ref="H38:I38"/>
    <mergeCell ref="J38:K38"/>
    <mergeCell ref="L38:M38"/>
    <mergeCell ref="N38:O38"/>
    <mergeCell ref="P38:Q38"/>
    <mergeCell ref="R38:S38"/>
    <mergeCell ref="T38:U38"/>
    <mergeCell ref="V38:W38"/>
    <mergeCell ref="X38:Y38"/>
    <mergeCell ref="Z38:AA38"/>
    <mergeCell ref="AB38:AC38"/>
    <mergeCell ref="AD38:AE38"/>
    <mergeCell ref="AF38:AG38"/>
    <mergeCell ref="AH38:AI38"/>
    <mergeCell ref="AJ38:AK38"/>
    <mergeCell ref="AL38:AM38"/>
    <mergeCell ref="AN38:AO38"/>
    <mergeCell ref="AP38:AQ38"/>
    <mergeCell ref="AR38:AS38"/>
    <mergeCell ref="AT38:AU38"/>
    <mergeCell ref="AV38:AW38"/>
    <mergeCell ref="AX38:AY38"/>
    <mergeCell ref="AZ38:BA38"/>
    <mergeCell ref="BB38:BC38"/>
    <mergeCell ref="BD38:BE38"/>
    <mergeCell ref="BF38:BG38"/>
    <mergeCell ref="BH38:BI38"/>
    <mergeCell ref="BJ38:BK38"/>
    <mergeCell ref="BL38:BM38"/>
    <mergeCell ref="BN38:BO38"/>
    <mergeCell ref="BP38:BQ38"/>
    <mergeCell ref="BR38:BS38"/>
    <mergeCell ref="BT38:BU38"/>
    <mergeCell ref="BV38:BW38"/>
    <mergeCell ref="BX38:BY38"/>
    <mergeCell ref="BZ38:CA38"/>
    <mergeCell ref="CB38:CC38"/>
    <mergeCell ref="CD38:CE38"/>
    <mergeCell ref="CF38:CG38"/>
    <mergeCell ref="CH38:CI38"/>
    <mergeCell ref="B39:C39"/>
    <mergeCell ref="D39:E39"/>
    <mergeCell ref="F39:G39"/>
    <mergeCell ref="H39:I39"/>
    <mergeCell ref="J39:K39"/>
    <mergeCell ref="L39:M39"/>
    <mergeCell ref="N39:O39"/>
    <mergeCell ref="P39:Q39"/>
    <mergeCell ref="R39:S39"/>
    <mergeCell ref="T39:U39"/>
    <mergeCell ref="V39:W39"/>
    <mergeCell ref="X39:Y39"/>
    <mergeCell ref="Z39:AA39"/>
    <mergeCell ref="AB39:AC39"/>
    <mergeCell ref="AD39:AE39"/>
    <mergeCell ref="AF39:AG39"/>
    <mergeCell ref="AH39:AI39"/>
    <mergeCell ref="AJ39:AK39"/>
    <mergeCell ref="AL39:AM39"/>
    <mergeCell ref="AN39:AO39"/>
    <mergeCell ref="AP39:AQ39"/>
    <mergeCell ref="AR39:AS39"/>
    <mergeCell ref="AT39:AU39"/>
    <mergeCell ref="AV39:AW39"/>
    <mergeCell ref="AX39:AY39"/>
    <mergeCell ref="AZ39:BA39"/>
    <mergeCell ref="BB39:BC39"/>
    <mergeCell ref="BD39:BE39"/>
    <mergeCell ref="BF39:BG39"/>
    <mergeCell ref="BH39:BI39"/>
    <mergeCell ref="BJ39:BK39"/>
    <mergeCell ref="BL39:BM39"/>
    <mergeCell ref="BN39:BO39"/>
    <mergeCell ref="BP39:BQ39"/>
    <mergeCell ref="BR39:BS39"/>
    <mergeCell ref="BT39:BU39"/>
    <mergeCell ref="BV39:BW39"/>
    <mergeCell ref="BX39:BY39"/>
    <mergeCell ref="BZ39:CA39"/>
    <mergeCell ref="CB39:CC39"/>
    <mergeCell ref="CD39:CE39"/>
    <mergeCell ref="CF39:CG39"/>
    <mergeCell ref="CH39:CI39"/>
    <mergeCell ref="B40:C40"/>
    <mergeCell ref="D40:E40"/>
    <mergeCell ref="F40:G40"/>
    <mergeCell ref="H40:I40"/>
    <mergeCell ref="J40:K40"/>
    <mergeCell ref="L40:M40"/>
    <mergeCell ref="N40:O40"/>
    <mergeCell ref="P40:Q40"/>
    <mergeCell ref="R40:S40"/>
    <mergeCell ref="T40:U40"/>
    <mergeCell ref="V40:W40"/>
    <mergeCell ref="X40:Y40"/>
    <mergeCell ref="Z40:AA40"/>
    <mergeCell ref="AB40:AC40"/>
    <mergeCell ref="AD40:AE40"/>
    <mergeCell ref="AF40:AG40"/>
    <mergeCell ref="AH40:AI40"/>
    <mergeCell ref="AJ40:AK40"/>
    <mergeCell ref="AL40:AM40"/>
    <mergeCell ref="AN40:AO40"/>
    <mergeCell ref="AP40:AQ40"/>
    <mergeCell ref="AR40:AS40"/>
    <mergeCell ref="AT40:AU40"/>
    <mergeCell ref="AV40:AW40"/>
    <mergeCell ref="AX40:AY40"/>
    <mergeCell ref="AZ40:BA40"/>
    <mergeCell ref="BB40:BC40"/>
    <mergeCell ref="BD40:BE40"/>
    <mergeCell ref="BF40:BG40"/>
    <mergeCell ref="BH40:BI40"/>
    <mergeCell ref="BJ40:BK40"/>
    <mergeCell ref="BL40:BM40"/>
    <mergeCell ref="BN40:BO40"/>
    <mergeCell ref="BP40:BQ40"/>
    <mergeCell ref="BR40:BS40"/>
    <mergeCell ref="BT40:BU40"/>
    <mergeCell ref="BV40:BW40"/>
    <mergeCell ref="BX40:BY40"/>
    <mergeCell ref="BZ40:CA40"/>
    <mergeCell ref="CB40:CC40"/>
    <mergeCell ref="CD40:CE40"/>
    <mergeCell ref="CF40:CG40"/>
    <mergeCell ref="CH40:CI40"/>
    <mergeCell ref="B41:C41"/>
    <mergeCell ref="D41:E41"/>
    <mergeCell ref="F41:G41"/>
    <mergeCell ref="H41:I41"/>
    <mergeCell ref="J41:K41"/>
    <mergeCell ref="L41:M41"/>
    <mergeCell ref="N41:O41"/>
    <mergeCell ref="P41:Q41"/>
    <mergeCell ref="R41:S41"/>
    <mergeCell ref="T41:U41"/>
    <mergeCell ref="V41:W41"/>
    <mergeCell ref="X41:Y41"/>
    <mergeCell ref="Z41:AA41"/>
    <mergeCell ref="AB41:AC41"/>
    <mergeCell ref="AD41:AE41"/>
    <mergeCell ref="AF41:AG41"/>
    <mergeCell ref="AH41:AI41"/>
    <mergeCell ref="AJ41:AK41"/>
    <mergeCell ref="AL41:AM41"/>
    <mergeCell ref="AN41:AO41"/>
    <mergeCell ref="AP41:AQ41"/>
    <mergeCell ref="AR41:AS41"/>
    <mergeCell ref="AT41:AU41"/>
    <mergeCell ref="AV41:AW41"/>
    <mergeCell ref="AX41:AY41"/>
    <mergeCell ref="AZ41:BA41"/>
    <mergeCell ref="BB41:BC41"/>
    <mergeCell ref="BD41:BE41"/>
    <mergeCell ref="BF41:BG41"/>
    <mergeCell ref="BH41:BI41"/>
    <mergeCell ref="BJ41:BK41"/>
    <mergeCell ref="BL41:BM41"/>
    <mergeCell ref="BN41:BO41"/>
    <mergeCell ref="BP41:BQ41"/>
    <mergeCell ref="BR41:BS41"/>
    <mergeCell ref="BT41:BU41"/>
    <mergeCell ref="BV41:BW41"/>
    <mergeCell ref="BX41:BY41"/>
    <mergeCell ref="BZ41:CA41"/>
    <mergeCell ref="CB41:CC41"/>
    <mergeCell ref="CD41:CE41"/>
    <mergeCell ref="CF41:CG41"/>
    <mergeCell ref="CH41:CI41"/>
    <mergeCell ref="B42:C42"/>
    <mergeCell ref="D42:E42"/>
    <mergeCell ref="F42:G42"/>
    <mergeCell ref="H42:I42"/>
    <mergeCell ref="J42:K42"/>
    <mergeCell ref="L42:M42"/>
    <mergeCell ref="N42:O42"/>
    <mergeCell ref="P42:Q42"/>
    <mergeCell ref="R42:S42"/>
    <mergeCell ref="T42:U42"/>
    <mergeCell ref="V42:W42"/>
    <mergeCell ref="X42:Y42"/>
    <mergeCell ref="Z42:AA42"/>
    <mergeCell ref="AB42:AC42"/>
    <mergeCell ref="AD42:AE42"/>
    <mergeCell ref="AF42:AG42"/>
    <mergeCell ref="AH42:AI42"/>
    <mergeCell ref="AJ42:AK42"/>
    <mergeCell ref="AL42:AM42"/>
    <mergeCell ref="AN42:AO42"/>
    <mergeCell ref="AP42:AQ42"/>
    <mergeCell ref="AR42:AS42"/>
    <mergeCell ref="AT42:AU42"/>
    <mergeCell ref="AV42:AW42"/>
    <mergeCell ref="AX42:AY42"/>
    <mergeCell ref="AZ42:BA42"/>
    <mergeCell ref="BB42:BC42"/>
    <mergeCell ref="BD42:BE42"/>
    <mergeCell ref="BF42:BG42"/>
    <mergeCell ref="BH42:BI42"/>
    <mergeCell ref="BJ42:BK42"/>
    <mergeCell ref="BL42:BM42"/>
    <mergeCell ref="BN42:BO42"/>
    <mergeCell ref="BP42:BQ42"/>
    <mergeCell ref="BR42:BS42"/>
    <mergeCell ref="BT42:BU42"/>
    <mergeCell ref="BV42:BW42"/>
    <mergeCell ref="BX42:BY42"/>
    <mergeCell ref="BZ42:CA42"/>
    <mergeCell ref="CB42:CC42"/>
    <mergeCell ref="CD42:CE42"/>
    <mergeCell ref="CF42:CG42"/>
    <mergeCell ref="CH42:CI42"/>
    <mergeCell ref="B43:C43"/>
    <mergeCell ref="D43:E43"/>
    <mergeCell ref="F43:G43"/>
    <mergeCell ref="H43:I43"/>
    <mergeCell ref="J43:K43"/>
    <mergeCell ref="L43:M43"/>
    <mergeCell ref="N43:O43"/>
    <mergeCell ref="P43:Q43"/>
    <mergeCell ref="R43:S43"/>
    <mergeCell ref="T43:U43"/>
    <mergeCell ref="V43:W43"/>
    <mergeCell ref="X43:Y43"/>
    <mergeCell ref="Z43:AA43"/>
    <mergeCell ref="AB43:AC43"/>
    <mergeCell ref="AD43:AE43"/>
    <mergeCell ref="AF43:AG43"/>
    <mergeCell ref="AH43:AI43"/>
    <mergeCell ref="AJ43:AK43"/>
    <mergeCell ref="AL43:AM43"/>
    <mergeCell ref="AN43:AO43"/>
    <mergeCell ref="AP43:AQ43"/>
    <mergeCell ref="AR43:AS43"/>
    <mergeCell ref="AT43:AU43"/>
    <mergeCell ref="AV43:AW43"/>
    <mergeCell ref="AX43:AY43"/>
    <mergeCell ref="AZ43:BA43"/>
    <mergeCell ref="BB43:BC43"/>
    <mergeCell ref="BD43:BE43"/>
    <mergeCell ref="BF43:BG43"/>
    <mergeCell ref="BH43:BI43"/>
    <mergeCell ref="BJ43:BK43"/>
    <mergeCell ref="BL43:BM43"/>
    <mergeCell ref="BN43:BO43"/>
    <mergeCell ref="BP43:BQ43"/>
    <mergeCell ref="BR43:BS43"/>
    <mergeCell ref="BT43:BU43"/>
    <mergeCell ref="BV43:BW43"/>
    <mergeCell ref="BX43:BY43"/>
    <mergeCell ref="BZ43:CA43"/>
    <mergeCell ref="CB43:CC43"/>
    <mergeCell ref="CD43:CE43"/>
    <mergeCell ref="CF43:CG43"/>
    <mergeCell ref="CH43:CI43"/>
    <mergeCell ref="B48:C48"/>
    <mergeCell ref="D48:E48"/>
    <mergeCell ref="F48:G48"/>
    <mergeCell ref="H48:I48"/>
    <mergeCell ref="J48:K48"/>
    <mergeCell ref="L48:M48"/>
    <mergeCell ref="N48:O48"/>
    <mergeCell ref="P48:Q48"/>
    <mergeCell ref="R48:S48"/>
    <mergeCell ref="T48:U48"/>
    <mergeCell ref="V48:W48"/>
    <mergeCell ref="X48:Y48"/>
    <mergeCell ref="Z48:AA48"/>
    <mergeCell ref="AB48:AC48"/>
    <mergeCell ref="AD48:AE48"/>
    <mergeCell ref="AF48:AG48"/>
    <mergeCell ref="AH48:AI48"/>
    <mergeCell ref="AJ48:AK48"/>
    <mergeCell ref="AL48:AM48"/>
    <mergeCell ref="AN48:AO48"/>
    <mergeCell ref="AP48:AQ48"/>
    <mergeCell ref="AR48:AS48"/>
    <mergeCell ref="AT48:AU48"/>
    <mergeCell ref="AV48:AW48"/>
    <mergeCell ref="AX48:AY48"/>
    <mergeCell ref="AZ48:BA48"/>
    <mergeCell ref="BB48:BC48"/>
    <mergeCell ref="BD48:BE48"/>
    <mergeCell ref="BF48:BG48"/>
    <mergeCell ref="BH48:BI48"/>
    <mergeCell ref="BJ48:BK48"/>
    <mergeCell ref="BL48:BM48"/>
    <mergeCell ref="BN48:BO48"/>
    <mergeCell ref="BP48:BQ48"/>
    <mergeCell ref="BR48:BS48"/>
    <mergeCell ref="BT48:BU48"/>
    <mergeCell ref="BV48:BW48"/>
    <mergeCell ref="BX48:BY48"/>
    <mergeCell ref="BZ48:CA48"/>
    <mergeCell ref="CB48:CC48"/>
    <mergeCell ref="CD48:CE48"/>
    <mergeCell ref="CF48:CG48"/>
    <mergeCell ref="CH48:CI48"/>
    <mergeCell ref="B56:C56"/>
    <mergeCell ref="D56:E56"/>
    <mergeCell ref="F56:G56"/>
    <mergeCell ref="H56:I56"/>
    <mergeCell ref="J56:K56"/>
    <mergeCell ref="L56:M56"/>
    <mergeCell ref="N56:O56"/>
    <mergeCell ref="P56:Q56"/>
    <mergeCell ref="R56:S56"/>
    <mergeCell ref="T56:U56"/>
    <mergeCell ref="V56:W56"/>
    <mergeCell ref="X56:Y56"/>
    <mergeCell ref="Z56:AA56"/>
    <mergeCell ref="AB56:AC56"/>
    <mergeCell ref="AD56:AE56"/>
    <mergeCell ref="AF56:AG56"/>
    <mergeCell ref="AH56:AI56"/>
    <mergeCell ref="AJ56:AK56"/>
    <mergeCell ref="AL56:AM56"/>
    <mergeCell ref="AN56:AO56"/>
    <mergeCell ref="AP56:AQ56"/>
    <mergeCell ref="AR56:AS56"/>
    <mergeCell ref="AT56:AU56"/>
    <mergeCell ref="AV56:AW56"/>
    <mergeCell ref="AX56:AY56"/>
    <mergeCell ref="AZ56:BA56"/>
    <mergeCell ref="BB56:BC56"/>
    <mergeCell ref="BD56:BE56"/>
    <mergeCell ref="BF56:BG56"/>
    <mergeCell ref="BH56:BI56"/>
    <mergeCell ref="BJ56:BK56"/>
    <mergeCell ref="BL56:BM56"/>
    <mergeCell ref="BN56:BO56"/>
    <mergeCell ref="BP56:BQ56"/>
    <mergeCell ref="BR56:BS56"/>
    <mergeCell ref="BT56:BU56"/>
    <mergeCell ref="BV56:BW56"/>
    <mergeCell ref="BX56:BY56"/>
    <mergeCell ref="BZ56:CA56"/>
    <mergeCell ref="CB56:CC56"/>
    <mergeCell ref="CD56:CE56"/>
    <mergeCell ref="CF56:CG56"/>
    <mergeCell ref="CH56:CI56"/>
    <mergeCell ref="B57:C57"/>
    <mergeCell ref="D57:E57"/>
    <mergeCell ref="F57:G57"/>
    <mergeCell ref="H57:I57"/>
    <mergeCell ref="J57:K57"/>
    <mergeCell ref="L57:M57"/>
    <mergeCell ref="N57:O57"/>
    <mergeCell ref="P57:Q57"/>
    <mergeCell ref="R57:S57"/>
    <mergeCell ref="T57:U57"/>
    <mergeCell ref="V57:W57"/>
    <mergeCell ref="X57:Y57"/>
    <mergeCell ref="Z57:AA57"/>
    <mergeCell ref="AB57:AC57"/>
    <mergeCell ref="AD57:AE57"/>
    <mergeCell ref="AF57:AG57"/>
    <mergeCell ref="AH57:AI57"/>
    <mergeCell ref="AJ57:AK57"/>
    <mergeCell ref="AL57:AM57"/>
    <mergeCell ref="AN57:AO57"/>
    <mergeCell ref="AP57:AQ57"/>
    <mergeCell ref="AR57:AS57"/>
    <mergeCell ref="AT57:AU57"/>
    <mergeCell ref="AV57:AW57"/>
    <mergeCell ref="AX57:AY57"/>
    <mergeCell ref="AZ57:BA57"/>
    <mergeCell ref="BB57:BC57"/>
    <mergeCell ref="BD57:BE57"/>
    <mergeCell ref="BF57:BG57"/>
    <mergeCell ref="BH57:BI57"/>
    <mergeCell ref="BJ57:BK57"/>
    <mergeCell ref="BL57:BM57"/>
    <mergeCell ref="BN57:BO57"/>
    <mergeCell ref="BP57:BQ57"/>
    <mergeCell ref="BR57:BS57"/>
    <mergeCell ref="BT57:BU57"/>
    <mergeCell ref="BV57:BW57"/>
    <mergeCell ref="BX57:BY57"/>
    <mergeCell ref="BZ57:CA57"/>
    <mergeCell ref="CB57:CC57"/>
    <mergeCell ref="CD57:CE57"/>
    <mergeCell ref="CF57:CG57"/>
    <mergeCell ref="CH57:CI57"/>
    <mergeCell ref="B58:C58"/>
    <mergeCell ref="D58:E58"/>
    <mergeCell ref="F58:G58"/>
    <mergeCell ref="H58:I58"/>
    <mergeCell ref="J58:K58"/>
    <mergeCell ref="L58:M58"/>
    <mergeCell ref="N58:O58"/>
    <mergeCell ref="P58:Q58"/>
    <mergeCell ref="R58:S58"/>
    <mergeCell ref="T58:U58"/>
    <mergeCell ref="V58:W58"/>
    <mergeCell ref="X58:Y58"/>
    <mergeCell ref="Z58:AA58"/>
    <mergeCell ref="AB58:AC58"/>
    <mergeCell ref="AD58:AE58"/>
    <mergeCell ref="AF58:AG58"/>
    <mergeCell ref="AH58:AI58"/>
    <mergeCell ref="AJ58:AK58"/>
    <mergeCell ref="AL58:AM58"/>
    <mergeCell ref="AN58:AO58"/>
    <mergeCell ref="AP58:AQ58"/>
    <mergeCell ref="AR58:AS58"/>
    <mergeCell ref="AT58:AU58"/>
    <mergeCell ref="AV58:AW58"/>
    <mergeCell ref="AX58:AY58"/>
    <mergeCell ref="AZ58:BA58"/>
    <mergeCell ref="BB58:BC58"/>
    <mergeCell ref="BD58:BE58"/>
    <mergeCell ref="BF58:BG58"/>
    <mergeCell ref="BH58:BI58"/>
    <mergeCell ref="BJ58:BK58"/>
    <mergeCell ref="BL58:BM58"/>
    <mergeCell ref="BN58:BO58"/>
    <mergeCell ref="BP58:BQ58"/>
    <mergeCell ref="BR58:BS58"/>
    <mergeCell ref="BT58:BU58"/>
    <mergeCell ref="BV58:BW58"/>
    <mergeCell ref="BX58:BY58"/>
    <mergeCell ref="BZ58:CA58"/>
    <mergeCell ref="CB58:CC58"/>
    <mergeCell ref="CD58:CE58"/>
    <mergeCell ref="CF58:CG58"/>
    <mergeCell ref="CH58:CI58"/>
    <mergeCell ref="B59:C59"/>
    <mergeCell ref="D59:E59"/>
    <mergeCell ref="F59:G59"/>
    <mergeCell ref="H59:I59"/>
    <mergeCell ref="J59:K59"/>
    <mergeCell ref="L59:M59"/>
    <mergeCell ref="N59:O59"/>
    <mergeCell ref="P59:Q59"/>
    <mergeCell ref="R59:S59"/>
    <mergeCell ref="T59:U59"/>
    <mergeCell ref="V59:W59"/>
    <mergeCell ref="X59:Y59"/>
    <mergeCell ref="Z59:AA59"/>
    <mergeCell ref="AB59:AC59"/>
    <mergeCell ref="AD59:AE59"/>
    <mergeCell ref="AF59:AG59"/>
    <mergeCell ref="AH59:AI59"/>
    <mergeCell ref="AJ59:AK59"/>
    <mergeCell ref="AL59:AM59"/>
    <mergeCell ref="AN59:AO59"/>
    <mergeCell ref="AP59:AQ59"/>
    <mergeCell ref="AR59:AS59"/>
    <mergeCell ref="AT59:AU59"/>
    <mergeCell ref="AV59:AW59"/>
    <mergeCell ref="AX59:AY59"/>
    <mergeCell ref="AZ59:BA59"/>
    <mergeCell ref="BB59:BC59"/>
    <mergeCell ref="BD59:BE59"/>
    <mergeCell ref="BF59:BG59"/>
    <mergeCell ref="BH59:BI59"/>
    <mergeCell ref="BJ59:BK59"/>
    <mergeCell ref="BL59:BM59"/>
    <mergeCell ref="BN59:BO59"/>
    <mergeCell ref="BP59:BQ59"/>
    <mergeCell ref="BR59:BS59"/>
    <mergeCell ref="BT59:BU59"/>
    <mergeCell ref="BV59:BW59"/>
    <mergeCell ref="BX59:BY59"/>
    <mergeCell ref="BZ59:CA59"/>
    <mergeCell ref="CB59:CC59"/>
    <mergeCell ref="CD59:CE59"/>
    <mergeCell ref="CF59:CG59"/>
    <mergeCell ref="CH59:CI59"/>
    <mergeCell ref="B60:C60"/>
    <mergeCell ref="D60:E60"/>
    <mergeCell ref="F60:G60"/>
    <mergeCell ref="H60:I60"/>
    <mergeCell ref="J60:K60"/>
    <mergeCell ref="L60:M60"/>
    <mergeCell ref="N60:O60"/>
    <mergeCell ref="P60:Q60"/>
    <mergeCell ref="R60:S60"/>
    <mergeCell ref="T60:U60"/>
    <mergeCell ref="V60:W60"/>
    <mergeCell ref="X60:Y60"/>
    <mergeCell ref="Z60:AA60"/>
    <mergeCell ref="AB60:AC60"/>
    <mergeCell ref="AD60:AE60"/>
    <mergeCell ref="AF60:AG60"/>
    <mergeCell ref="AH60:AI60"/>
    <mergeCell ref="AJ60:AK60"/>
    <mergeCell ref="AL60:AM60"/>
    <mergeCell ref="AN60:AO60"/>
    <mergeCell ref="AP60:AQ60"/>
    <mergeCell ref="AR60:AS60"/>
    <mergeCell ref="AT60:AU60"/>
    <mergeCell ref="AV60:AW60"/>
    <mergeCell ref="AX60:AY60"/>
    <mergeCell ref="AZ60:BA60"/>
    <mergeCell ref="BB60:BC60"/>
    <mergeCell ref="BD60:BE60"/>
    <mergeCell ref="BF60:BG60"/>
    <mergeCell ref="BH60:BI60"/>
    <mergeCell ref="BJ60:BK60"/>
    <mergeCell ref="BL60:BM60"/>
    <mergeCell ref="BN60:BO60"/>
    <mergeCell ref="BP60:BQ60"/>
    <mergeCell ref="BR60:BS60"/>
    <mergeCell ref="BT60:BU60"/>
    <mergeCell ref="BV60:BW60"/>
    <mergeCell ref="BX60:BY60"/>
    <mergeCell ref="BZ60:CA60"/>
    <mergeCell ref="CB60:CC60"/>
    <mergeCell ref="CD60:CE60"/>
    <mergeCell ref="CF60:CG60"/>
    <mergeCell ref="CH60:CI60"/>
    <mergeCell ref="B61:C61"/>
    <mergeCell ref="D61:E61"/>
    <mergeCell ref="F61:G61"/>
    <mergeCell ref="H61:I61"/>
    <mergeCell ref="J61:K61"/>
    <mergeCell ref="L61:M61"/>
    <mergeCell ref="N61:O61"/>
    <mergeCell ref="P61:Q61"/>
    <mergeCell ref="R61:S61"/>
    <mergeCell ref="T61:U61"/>
    <mergeCell ref="V61:W61"/>
    <mergeCell ref="X61:Y61"/>
    <mergeCell ref="Z61:AA61"/>
    <mergeCell ref="AB61:AC61"/>
    <mergeCell ref="AD61:AE61"/>
    <mergeCell ref="AF61:AG61"/>
    <mergeCell ref="AH61:AI61"/>
    <mergeCell ref="AJ61:AK61"/>
    <mergeCell ref="AL61:AM61"/>
    <mergeCell ref="AN61:AO61"/>
    <mergeCell ref="AP61:AQ61"/>
    <mergeCell ref="AR61:AS61"/>
    <mergeCell ref="AT61:AU61"/>
    <mergeCell ref="AV61:AW61"/>
    <mergeCell ref="AX61:AY61"/>
    <mergeCell ref="AZ61:BA61"/>
    <mergeCell ref="BB61:BC61"/>
    <mergeCell ref="BD61:BE61"/>
    <mergeCell ref="BF61:BG61"/>
    <mergeCell ref="BH61:BI61"/>
    <mergeCell ref="BJ61:BK61"/>
    <mergeCell ref="BL61:BM61"/>
    <mergeCell ref="BN61:BO61"/>
    <mergeCell ref="BP61:BQ61"/>
    <mergeCell ref="BR61:BS61"/>
    <mergeCell ref="BT61:BU61"/>
    <mergeCell ref="BV61:BW61"/>
    <mergeCell ref="BX61:BY61"/>
    <mergeCell ref="BZ61:CA61"/>
    <mergeCell ref="CB61:CC61"/>
    <mergeCell ref="CD61:CE61"/>
    <mergeCell ref="CF61:CG61"/>
    <mergeCell ref="CH61:CI61"/>
    <mergeCell ref="B62:C62"/>
    <mergeCell ref="D62:E62"/>
    <mergeCell ref="F62:G62"/>
    <mergeCell ref="H62:I62"/>
    <mergeCell ref="J62:K62"/>
    <mergeCell ref="L62:M62"/>
    <mergeCell ref="N62:O62"/>
    <mergeCell ref="P62:Q62"/>
    <mergeCell ref="R62:S62"/>
    <mergeCell ref="T62:U62"/>
    <mergeCell ref="V62:W62"/>
    <mergeCell ref="X62:Y62"/>
    <mergeCell ref="Z62:AA62"/>
    <mergeCell ref="AB62:AC62"/>
    <mergeCell ref="AD62:AE62"/>
    <mergeCell ref="AF62:AG62"/>
    <mergeCell ref="AH62:AI62"/>
    <mergeCell ref="AJ62:AK62"/>
    <mergeCell ref="AL62:AM62"/>
    <mergeCell ref="AN62:AO62"/>
    <mergeCell ref="AP62:AQ62"/>
    <mergeCell ref="AR62:AS62"/>
    <mergeCell ref="AT62:AU62"/>
    <mergeCell ref="AV62:AW62"/>
    <mergeCell ref="AX62:AY62"/>
    <mergeCell ref="AZ62:BA62"/>
    <mergeCell ref="BB62:BC62"/>
    <mergeCell ref="BD62:BE62"/>
    <mergeCell ref="BF62:BG62"/>
    <mergeCell ref="BH62:BI62"/>
    <mergeCell ref="BJ62:BK62"/>
    <mergeCell ref="BL62:BM62"/>
    <mergeCell ref="BN62:BO62"/>
    <mergeCell ref="BP62:BQ62"/>
    <mergeCell ref="BR62:BS62"/>
    <mergeCell ref="BT62:BU62"/>
    <mergeCell ref="BV62:BW62"/>
    <mergeCell ref="BX62:BY62"/>
    <mergeCell ref="BZ62:CA62"/>
    <mergeCell ref="CB62:CC62"/>
    <mergeCell ref="CD62:CE62"/>
    <mergeCell ref="CF62:CG62"/>
    <mergeCell ref="CH62:CI62"/>
    <mergeCell ref="B63:C63"/>
    <mergeCell ref="D63:E63"/>
    <mergeCell ref="F63:G63"/>
    <mergeCell ref="H63:I63"/>
    <mergeCell ref="J63:K63"/>
    <mergeCell ref="L63:M63"/>
    <mergeCell ref="N63:O63"/>
    <mergeCell ref="P63:Q63"/>
    <mergeCell ref="R63:S63"/>
    <mergeCell ref="T63:U63"/>
    <mergeCell ref="V63:W63"/>
    <mergeCell ref="X63:Y63"/>
    <mergeCell ref="Z63:AA63"/>
    <mergeCell ref="AB63:AC63"/>
    <mergeCell ref="AD63:AE63"/>
    <mergeCell ref="AF63:AG63"/>
    <mergeCell ref="AH63:AI63"/>
    <mergeCell ref="AJ63:AK63"/>
    <mergeCell ref="AL63:AM63"/>
    <mergeCell ref="AN63:AO63"/>
    <mergeCell ref="AP63:AQ63"/>
    <mergeCell ref="AR63:AS63"/>
    <mergeCell ref="AT63:AU63"/>
    <mergeCell ref="AV63:AW63"/>
    <mergeCell ref="AX63:AY63"/>
    <mergeCell ref="AZ63:BA63"/>
    <mergeCell ref="BB63:BC63"/>
    <mergeCell ref="BD63:BE63"/>
    <mergeCell ref="BF63:BG63"/>
    <mergeCell ref="BH63:BI63"/>
    <mergeCell ref="BJ63:BK63"/>
    <mergeCell ref="BL63:BM63"/>
    <mergeCell ref="BN63:BO63"/>
    <mergeCell ref="BP63:BQ63"/>
    <mergeCell ref="BR63:BS63"/>
    <mergeCell ref="BT63:BU63"/>
    <mergeCell ref="BV63:BW63"/>
    <mergeCell ref="BX63:BY63"/>
    <mergeCell ref="BZ63:CA63"/>
    <mergeCell ref="CB63:CC63"/>
    <mergeCell ref="CD63:CE63"/>
    <mergeCell ref="CF63:CG63"/>
    <mergeCell ref="CH63:CI63"/>
    <mergeCell ref="B64:C64"/>
    <mergeCell ref="D64:E64"/>
    <mergeCell ref="F64:G64"/>
    <mergeCell ref="H64:I64"/>
    <mergeCell ref="J64:K64"/>
    <mergeCell ref="L64:M64"/>
    <mergeCell ref="N64:O64"/>
    <mergeCell ref="P64:Q64"/>
    <mergeCell ref="R64:S64"/>
    <mergeCell ref="T64:U64"/>
    <mergeCell ref="V64:W64"/>
    <mergeCell ref="X64:Y64"/>
    <mergeCell ref="Z64:AA64"/>
    <mergeCell ref="AB64:AC64"/>
    <mergeCell ref="AD64:AE64"/>
    <mergeCell ref="AF64:AG64"/>
    <mergeCell ref="AH64:AI64"/>
    <mergeCell ref="AJ64:AK64"/>
    <mergeCell ref="AL64:AM64"/>
    <mergeCell ref="AN64:AO64"/>
    <mergeCell ref="AP64:AQ64"/>
    <mergeCell ref="AR64:AS64"/>
    <mergeCell ref="AT64:AU64"/>
    <mergeCell ref="AV64:AW64"/>
    <mergeCell ref="AX64:AY64"/>
    <mergeCell ref="AZ64:BA64"/>
    <mergeCell ref="BB64:BC64"/>
    <mergeCell ref="BD64:BE64"/>
    <mergeCell ref="BF64:BG64"/>
    <mergeCell ref="BH64:BI64"/>
    <mergeCell ref="BJ64:BK64"/>
    <mergeCell ref="BL64:BM64"/>
    <mergeCell ref="BN64:BO64"/>
    <mergeCell ref="BP64:BQ64"/>
    <mergeCell ref="BR64:BS64"/>
    <mergeCell ref="BT64:BU64"/>
    <mergeCell ref="BV64:BW64"/>
    <mergeCell ref="BX64:BY64"/>
    <mergeCell ref="BZ64:CA64"/>
    <mergeCell ref="CB64:CC64"/>
    <mergeCell ref="CD64:CE64"/>
    <mergeCell ref="CF64:CG64"/>
    <mergeCell ref="CH64:CI64"/>
    <mergeCell ref="B65:C65"/>
    <mergeCell ref="D65:E65"/>
    <mergeCell ref="F65:G65"/>
    <mergeCell ref="H65:I65"/>
    <mergeCell ref="J65:K65"/>
    <mergeCell ref="L65:M65"/>
    <mergeCell ref="N65:O65"/>
    <mergeCell ref="P65:Q65"/>
    <mergeCell ref="R65:S65"/>
    <mergeCell ref="T65:U65"/>
    <mergeCell ref="V65:W65"/>
    <mergeCell ref="X65:Y65"/>
    <mergeCell ref="Z65:AA65"/>
    <mergeCell ref="AB65:AC65"/>
    <mergeCell ref="AD65:AE65"/>
    <mergeCell ref="AF65:AG65"/>
    <mergeCell ref="AH65:AI65"/>
    <mergeCell ref="AJ65:AK65"/>
    <mergeCell ref="AL65:AM65"/>
    <mergeCell ref="AN65:AO65"/>
    <mergeCell ref="AP65:AQ65"/>
    <mergeCell ref="AR65:AS65"/>
    <mergeCell ref="AT65:AU65"/>
    <mergeCell ref="AV65:AW65"/>
    <mergeCell ref="AX65:AY65"/>
    <mergeCell ref="AZ65:BA65"/>
    <mergeCell ref="BB65:BC65"/>
    <mergeCell ref="BD65:BE65"/>
    <mergeCell ref="BF65:BG65"/>
    <mergeCell ref="BH65:BI65"/>
    <mergeCell ref="BJ65:BK65"/>
    <mergeCell ref="BL65:BM65"/>
    <mergeCell ref="BN65:BO65"/>
    <mergeCell ref="BP65:BQ65"/>
    <mergeCell ref="BR65:BS65"/>
    <mergeCell ref="BT65:BU65"/>
    <mergeCell ref="BV65:BW65"/>
    <mergeCell ref="BX65:BY65"/>
    <mergeCell ref="BZ65:CA65"/>
    <mergeCell ref="CB65:CC65"/>
    <mergeCell ref="CD65:CE65"/>
    <mergeCell ref="CF65:CG65"/>
    <mergeCell ref="CH65:CI65"/>
    <mergeCell ref="B66:C66"/>
    <mergeCell ref="D66:E66"/>
    <mergeCell ref="F66:G66"/>
    <mergeCell ref="H66:I66"/>
    <mergeCell ref="J66:K66"/>
    <mergeCell ref="L66:M66"/>
    <mergeCell ref="N66:O66"/>
    <mergeCell ref="P66:Q66"/>
    <mergeCell ref="R66:S66"/>
    <mergeCell ref="T66:U66"/>
    <mergeCell ref="V66:W66"/>
    <mergeCell ref="X66:Y66"/>
    <mergeCell ref="Z66:AA66"/>
    <mergeCell ref="AB66:AC66"/>
    <mergeCell ref="AD66:AE66"/>
    <mergeCell ref="AF66:AG66"/>
    <mergeCell ref="AH66:AI66"/>
    <mergeCell ref="AJ66:AK66"/>
    <mergeCell ref="AL66:AM66"/>
    <mergeCell ref="AN66:AO66"/>
    <mergeCell ref="AP66:AQ66"/>
    <mergeCell ref="AR66:AS66"/>
    <mergeCell ref="AT66:AU66"/>
    <mergeCell ref="AV66:AW66"/>
    <mergeCell ref="AX66:AY66"/>
    <mergeCell ref="AZ66:BA66"/>
    <mergeCell ref="BB66:BC66"/>
    <mergeCell ref="BD66:BE66"/>
    <mergeCell ref="BF66:BG66"/>
    <mergeCell ref="BH66:BI66"/>
    <mergeCell ref="BJ66:BK66"/>
    <mergeCell ref="BL66:BM66"/>
    <mergeCell ref="BN66:BO66"/>
    <mergeCell ref="BP66:BQ66"/>
    <mergeCell ref="BR66:BS66"/>
    <mergeCell ref="BT66:BU66"/>
    <mergeCell ref="BV66:BW66"/>
    <mergeCell ref="BX66:BY66"/>
    <mergeCell ref="BZ66:CA66"/>
    <mergeCell ref="CB66:CC66"/>
    <mergeCell ref="CD66:CE66"/>
    <mergeCell ref="CF66:CG66"/>
    <mergeCell ref="CH66:CI66"/>
    <mergeCell ref="B67:C67"/>
    <mergeCell ref="D67:E67"/>
    <mergeCell ref="F67:G67"/>
    <mergeCell ref="H67:I67"/>
    <mergeCell ref="J67:K67"/>
    <mergeCell ref="L67:M67"/>
    <mergeCell ref="N67:O67"/>
    <mergeCell ref="P67:Q67"/>
    <mergeCell ref="R67:S67"/>
    <mergeCell ref="T67:U67"/>
    <mergeCell ref="V67:W67"/>
    <mergeCell ref="X67:Y67"/>
    <mergeCell ref="Z67:AA67"/>
    <mergeCell ref="AB67:AC67"/>
    <mergeCell ref="AD67:AE67"/>
    <mergeCell ref="AF67:AG67"/>
    <mergeCell ref="AH67:AI67"/>
    <mergeCell ref="AJ67:AK67"/>
    <mergeCell ref="AL67:AM67"/>
    <mergeCell ref="AN67:AO67"/>
    <mergeCell ref="AP67:AQ67"/>
    <mergeCell ref="AR67:AS67"/>
    <mergeCell ref="AT67:AU67"/>
    <mergeCell ref="AV67:AW67"/>
    <mergeCell ref="AX67:AY67"/>
    <mergeCell ref="AZ67:BA67"/>
    <mergeCell ref="BB67:BC67"/>
    <mergeCell ref="BD67:BE67"/>
    <mergeCell ref="BF67:BG67"/>
    <mergeCell ref="BH67:BI67"/>
    <mergeCell ref="BJ67:BK67"/>
    <mergeCell ref="BL67:BM67"/>
    <mergeCell ref="BN67:BO67"/>
    <mergeCell ref="BP67:BQ67"/>
    <mergeCell ref="BR67:BS67"/>
    <mergeCell ref="BT67:BU67"/>
    <mergeCell ref="BV67:BW67"/>
    <mergeCell ref="BX67:BY67"/>
    <mergeCell ref="BZ67:CA67"/>
    <mergeCell ref="CB67:CC67"/>
    <mergeCell ref="CD67:CE67"/>
    <mergeCell ref="CF67:CG67"/>
    <mergeCell ref="CH67:CI67"/>
    <mergeCell ref="B68:C68"/>
    <mergeCell ref="D68:E68"/>
    <mergeCell ref="F68:G68"/>
    <mergeCell ref="H68:I68"/>
    <mergeCell ref="J68:K68"/>
    <mergeCell ref="L68:M68"/>
    <mergeCell ref="N68:O68"/>
    <mergeCell ref="P68:Q68"/>
    <mergeCell ref="R68:S68"/>
    <mergeCell ref="T68:U68"/>
    <mergeCell ref="V68:W68"/>
    <mergeCell ref="X68:Y68"/>
    <mergeCell ref="Z68:AA68"/>
    <mergeCell ref="AB68:AC68"/>
    <mergeCell ref="AD68:AE68"/>
    <mergeCell ref="AF68:AG68"/>
    <mergeCell ref="AH68:AI68"/>
    <mergeCell ref="AJ68:AK68"/>
    <mergeCell ref="AL68:AM68"/>
    <mergeCell ref="AN68:AO68"/>
    <mergeCell ref="AP68:AQ68"/>
    <mergeCell ref="AR68:AS68"/>
    <mergeCell ref="AT68:AU68"/>
    <mergeCell ref="AV68:AW68"/>
    <mergeCell ref="AX68:AY68"/>
    <mergeCell ref="AZ68:BA68"/>
    <mergeCell ref="BB68:BC68"/>
    <mergeCell ref="BD68:BE68"/>
    <mergeCell ref="BF68:BG68"/>
    <mergeCell ref="BH68:BI68"/>
    <mergeCell ref="BJ68:BK68"/>
    <mergeCell ref="BL68:BM68"/>
    <mergeCell ref="BN68:BO68"/>
    <mergeCell ref="BP68:BQ68"/>
    <mergeCell ref="BR68:BS68"/>
    <mergeCell ref="BT68:BU68"/>
    <mergeCell ref="BV68:BW68"/>
    <mergeCell ref="BX68:BY68"/>
    <mergeCell ref="BZ68:CA68"/>
    <mergeCell ref="CB68:CC68"/>
    <mergeCell ref="CD68:CE68"/>
    <mergeCell ref="CF68:CG68"/>
    <mergeCell ref="CH68:CI68"/>
    <mergeCell ref="B69:C69"/>
    <mergeCell ref="D69:E69"/>
    <mergeCell ref="F69:G69"/>
    <mergeCell ref="H69:I69"/>
    <mergeCell ref="J69:K69"/>
    <mergeCell ref="L69:M69"/>
    <mergeCell ref="N69:O69"/>
    <mergeCell ref="P69:Q69"/>
    <mergeCell ref="R69:S69"/>
    <mergeCell ref="T69:U69"/>
    <mergeCell ref="V69:W69"/>
    <mergeCell ref="X69:Y69"/>
    <mergeCell ref="Z69:AA69"/>
    <mergeCell ref="AB69:AC69"/>
    <mergeCell ref="AD69:AE69"/>
    <mergeCell ref="AF69:AG69"/>
    <mergeCell ref="AH69:AI69"/>
    <mergeCell ref="AJ69:AK69"/>
    <mergeCell ref="AL69:AM69"/>
    <mergeCell ref="AN69:AO69"/>
    <mergeCell ref="AP69:AQ69"/>
    <mergeCell ref="AR69:AS69"/>
    <mergeCell ref="AT69:AU69"/>
    <mergeCell ref="AV69:AW69"/>
    <mergeCell ref="AX69:AY69"/>
    <mergeCell ref="AZ69:BA69"/>
    <mergeCell ref="BB69:BC69"/>
    <mergeCell ref="BD69:BE69"/>
    <mergeCell ref="BF69:BG69"/>
    <mergeCell ref="BH69:BI69"/>
    <mergeCell ref="BJ69:BK69"/>
    <mergeCell ref="BL69:BM69"/>
    <mergeCell ref="BN69:BO69"/>
    <mergeCell ref="BP69:BQ69"/>
    <mergeCell ref="BR69:BS69"/>
    <mergeCell ref="BT69:BU69"/>
    <mergeCell ref="BV69:BW69"/>
    <mergeCell ref="BX69:BY69"/>
    <mergeCell ref="BZ69:CA69"/>
    <mergeCell ref="CB69:CC69"/>
    <mergeCell ref="CD69:CE69"/>
    <mergeCell ref="CF69:CG69"/>
    <mergeCell ref="CH69:CI69"/>
    <mergeCell ref="B70:C70"/>
    <mergeCell ref="D70:E70"/>
    <mergeCell ref="F70:G70"/>
    <mergeCell ref="H70:I70"/>
    <mergeCell ref="J70:K70"/>
    <mergeCell ref="L70:M70"/>
    <mergeCell ref="N70:O70"/>
    <mergeCell ref="P70:Q70"/>
    <mergeCell ref="R70:S70"/>
    <mergeCell ref="T70:U70"/>
    <mergeCell ref="V70:W70"/>
    <mergeCell ref="X70:Y70"/>
    <mergeCell ref="Z70:AA70"/>
    <mergeCell ref="AB70:AC70"/>
    <mergeCell ref="AD70:AE70"/>
    <mergeCell ref="AF70:AG70"/>
    <mergeCell ref="AH70:AI70"/>
    <mergeCell ref="AJ70:AK70"/>
    <mergeCell ref="AL70:AM70"/>
    <mergeCell ref="AN70:AO70"/>
    <mergeCell ref="AP70:AQ70"/>
    <mergeCell ref="AR70:AS70"/>
    <mergeCell ref="AT70:AU70"/>
    <mergeCell ref="AV70:AW70"/>
    <mergeCell ref="AX70:AY70"/>
    <mergeCell ref="AZ70:BA70"/>
    <mergeCell ref="BB70:BC70"/>
    <mergeCell ref="BD70:BE70"/>
    <mergeCell ref="BF70:BG70"/>
    <mergeCell ref="BH70:BI70"/>
    <mergeCell ref="BJ70:BK70"/>
    <mergeCell ref="BL70:BM70"/>
    <mergeCell ref="BN70:BO70"/>
    <mergeCell ref="BP70:BQ70"/>
    <mergeCell ref="BR70:BS70"/>
    <mergeCell ref="BT70:BU70"/>
    <mergeCell ref="BV70:BW70"/>
    <mergeCell ref="BX70:BY70"/>
    <mergeCell ref="BZ70:CA70"/>
    <mergeCell ref="CB70:CC70"/>
    <mergeCell ref="CD70:CE70"/>
    <mergeCell ref="CF70:CG70"/>
    <mergeCell ref="CH70:CI70"/>
    <mergeCell ref="B71:C71"/>
    <mergeCell ref="D71:E71"/>
    <mergeCell ref="F71:G71"/>
    <mergeCell ref="H71:I71"/>
    <mergeCell ref="J71:K71"/>
    <mergeCell ref="L71:M71"/>
    <mergeCell ref="N71:O71"/>
    <mergeCell ref="P71:Q71"/>
    <mergeCell ref="R71:S71"/>
    <mergeCell ref="T71:U71"/>
    <mergeCell ref="V71:W71"/>
    <mergeCell ref="X71:Y71"/>
    <mergeCell ref="Z71:AA71"/>
    <mergeCell ref="AB71:AC71"/>
    <mergeCell ref="AD71:AE71"/>
    <mergeCell ref="AF71:AG71"/>
    <mergeCell ref="AH71:AI71"/>
    <mergeCell ref="AJ71:AK71"/>
    <mergeCell ref="AL71:AM71"/>
    <mergeCell ref="AN71:AO71"/>
    <mergeCell ref="AP71:AQ71"/>
    <mergeCell ref="AR71:AS71"/>
    <mergeCell ref="AT71:AU71"/>
    <mergeCell ref="AV71:AW71"/>
    <mergeCell ref="AX71:AY71"/>
    <mergeCell ref="AZ71:BA71"/>
    <mergeCell ref="BB71:BC71"/>
    <mergeCell ref="BD71:BE71"/>
    <mergeCell ref="BF71:BG71"/>
    <mergeCell ref="BH71:BI71"/>
    <mergeCell ref="BJ71:BK71"/>
    <mergeCell ref="BL71:BM71"/>
    <mergeCell ref="BN71:BO71"/>
    <mergeCell ref="BP71:BQ71"/>
    <mergeCell ref="BR71:BS71"/>
    <mergeCell ref="BT71:BU71"/>
    <mergeCell ref="BV71:BW71"/>
    <mergeCell ref="BX71:BY71"/>
    <mergeCell ref="BZ71:CA71"/>
    <mergeCell ref="CB71:CC71"/>
    <mergeCell ref="CD71:CE71"/>
    <mergeCell ref="CF71:CG71"/>
    <mergeCell ref="CH71:CI71"/>
    <mergeCell ref="B72:C72"/>
    <mergeCell ref="D72:E72"/>
    <mergeCell ref="F72:G72"/>
    <mergeCell ref="H72:I72"/>
    <mergeCell ref="J72:K72"/>
    <mergeCell ref="L72:M72"/>
    <mergeCell ref="N72:O72"/>
    <mergeCell ref="P72:Q72"/>
    <mergeCell ref="R72:S72"/>
    <mergeCell ref="T72:U72"/>
    <mergeCell ref="V72:W72"/>
    <mergeCell ref="X72:Y72"/>
    <mergeCell ref="Z72:AA72"/>
    <mergeCell ref="AB72:AC72"/>
    <mergeCell ref="AD72:AE72"/>
    <mergeCell ref="AF72:AG72"/>
    <mergeCell ref="AH72:AI72"/>
    <mergeCell ref="AJ72:AK72"/>
    <mergeCell ref="AL72:AM72"/>
    <mergeCell ref="AN72:AO72"/>
    <mergeCell ref="AP72:AQ72"/>
    <mergeCell ref="AR72:AS72"/>
    <mergeCell ref="AT72:AU72"/>
    <mergeCell ref="AV72:AW72"/>
    <mergeCell ref="AX72:AY72"/>
    <mergeCell ref="AZ72:BA72"/>
    <mergeCell ref="BB72:BC72"/>
    <mergeCell ref="BD72:BE72"/>
    <mergeCell ref="BF72:BG72"/>
    <mergeCell ref="BH72:BI72"/>
    <mergeCell ref="BJ72:BK72"/>
    <mergeCell ref="BL72:BM72"/>
    <mergeCell ref="BN72:BO72"/>
    <mergeCell ref="BP72:BQ72"/>
    <mergeCell ref="BR72:BS72"/>
    <mergeCell ref="BT72:BU72"/>
    <mergeCell ref="BV72:BW72"/>
    <mergeCell ref="BX72:BY72"/>
    <mergeCell ref="BZ72:CA72"/>
    <mergeCell ref="CB72:CC72"/>
    <mergeCell ref="CD72:CE72"/>
    <mergeCell ref="CF72:CG72"/>
    <mergeCell ref="CH72:CI72"/>
  </mergeCells>
  <conditionalFormatting sqref="CH72">
    <cfRule type="containsText" priority="2" operator="containsText" aboveAverage="0" equalAverage="0" bottom="0" percent="0" rank="0" text="请重新核算" dxfId="592">
      <formula>NOT(ISERROR(SEARCH("请重新核算",CH72)))</formula>
    </cfRule>
  </conditionalFormatting>
  <conditionalFormatting sqref="CF72">
    <cfRule type="containsText" priority="3" operator="containsText" aboveAverage="0" equalAverage="0" bottom="0" percent="0" rank="0" text="请重新核算" dxfId="593">
      <formula>NOT(ISERROR(SEARCH("请重新核算",CF72)))</formula>
    </cfRule>
  </conditionalFormatting>
  <conditionalFormatting sqref="CD72">
    <cfRule type="containsText" priority="4" operator="containsText" aboveAverage="0" equalAverage="0" bottom="0" percent="0" rank="0" text="请重新核算" dxfId="594">
      <formula>NOT(ISERROR(SEARCH("请重新核算",CD72)))</formula>
    </cfRule>
  </conditionalFormatting>
  <conditionalFormatting sqref="CB72">
    <cfRule type="containsText" priority="5" operator="containsText" aboveAverage="0" equalAverage="0" bottom="0" percent="0" rank="0" text="请重新核算" dxfId="595">
      <formula>NOT(ISERROR(SEARCH("请重新核算",CB72)))</formula>
    </cfRule>
  </conditionalFormatting>
  <conditionalFormatting sqref="BZ72">
    <cfRule type="containsText" priority="6" operator="containsText" aboveAverage="0" equalAverage="0" bottom="0" percent="0" rank="0" text="请重新核算" dxfId="596">
      <formula>NOT(ISERROR(SEARCH("请重新核算",BZ72)))</formula>
    </cfRule>
  </conditionalFormatting>
  <conditionalFormatting sqref="BX72">
    <cfRule type="containsText" priority="7" operator="containsText" aboveAverage="0" equalAverage="0" bottom="0" percent="0" rank="0" text="请重新核算" dxfId="597">
      <formula>NOT(ISERROR(SEARCH("请重新核算",BX72)))</formula>
    </cfRule>
  </conditionalFormatting>
  <conditionalFormatting sqref="BV72">
    <cfRule type="containsText" priority="8" operator="containsText" aboveAverage="0" equalAverage="0" bottom="0" percent="0" rank="0" text="请重新核算" dxfId="598">
      <formula>NOT(ISERROR(SEARCH("请重新核算",BV72)))</formula>
    </cfRule>
  </conditionalFormatting>
  <conditionalFormatting sqref="BT72">
    <cfRule type="containsText" priority="9" operator="containsText" aboveAverage="0" equalAverage="0" bottom="0" percent="0" rank="0" text="请重新核算" dxfId="599">
      <formula>NOT(ISERROR(SEARCH("请重新核算",BT72)))</formula>
    </cfRule>
  </conditionalFormatting>
  <conditionalFormatting sqref="BR72">
    <cfRule type="containsText" priority="10" operator="containsText" aboveAverage="0" equalAverage="0" bottom="0" percent="0" rank="0" text="请重新核算" dxfId="600">
      <formula>NOT(ISERROR(SEARCH("请重新核算",BR72)))</formula>
    </cfRule>
  </conditionalFormatting>
  <conditionalFormatting sqref="BP72">
    <cfRule type="containsText" priority="11" operator="containsText" aboveAverage="0" equalAverage="0" bottom="0" percent="0" rank="0" text="请重新核算" dxfId="601">
      <formula>NOT(ISERROR(SEARCH("请重新核算",BP72)))</formula>
    </cfRule>
  </conditionalFormatting>
  <conditionalFormatting sqref="BN72">
    <cfRule type="containsText" priority="12" operator="containsText" aboveAverage="0" equalAverage="0" bottom="0" percent="0" rank="0" text="请重新核算" dxfId="602">
      <formula>NOT(ISERROR(SEARCH("请重新核算",BN72)))</formula>
    </cfRule>
  </conditionalFormatting>
  <conditionalFormatting sqref="BL72">
    <cfRule type="containsText" priority="13" operator="containsText" aboveAverage="0" equalAverage="0" bottom="0" percent="0" rank="0" text="请重新核算" dxfId="603">
      <formula>NOT(ISERROR(SEARCH("请重新核算",BL72)))</formula>
    </cfRule>
  </conditionalFormatting>
  <conditionalFormatting sqref="BJ72">
    <cfRule type="containsText" priority="14" operator="containsText" aboveAverage="0" equalAverage="0" bottom="0" percent="0" rank="0" text="请重新核算" dxfId="604">
      <formula>NOT(ISERROR(SEARCH("请重新核算",BJ72)))</formula>
    </cfRule>
  </conditionalFormatting>
  <conditionalFormatting sqref="BH72">
    <cfRule type="containsText" priority="15" operator="containsText" aboveAverage="0" equalAverage="0" bottom="0" percent="0" rank="0" text="请重新核算" dxfId="605">
      <formula>NOT(ISERROR(SEARCH("请重新核算",BH72)))</formula>
    </cfRule>
  </conditionalFormatting>
  <conditionalFormatting sqref="BF72">
    <cfRule type="containsText" priority="16" operator="containsText" aboveAverage="0" equalAverage="0" bottom="0" percent="0" rank="0" text="请重新核算" dxfId="606">
      <formula>NOT(ISERROR(SEARCH("请重新核算",BF72)))</formula>
    </cfRule>
  </conditionalFormatting>
  <conditionalFormatting sqref="BD72">
    <cfRule type="containsText" priority="17" operator="containsText" aboveAverage="0" equalAverage="0" bottom="0" percent="0" rank="0" text="请重新核算" dxfId="607">
      <formula>NOT(ISERROR(SEARCH("请重新核算",BD72)))</formula>
    </cfRule>
  </conditionalFormatting>
  <conditionalFormatting sqref="BB72">
    <cfRule type="containsText" priority="18" operator="containsText" aboveAverage="0" equalAverage="0" bottom="0" percent="0" rank="0" text="请重新核算" dxfId="608">
      <formula>NOT(ISERROR(SEARCH("请重新核算",BB72)))</formula>
    </cfRule>
  </conditionalFormatting>
  <conditionalFormatting sqref="AZ72">
    <cfRule type="containsText" priority="19" operator="containsText" aboveAverage="0" equalAverage="0" bottom="0" percent="0" rank="0" text="请重新核算" dxfId="609">
      <formula>NOT(ISERROR(SEARCH("请重新核算",AZ72)))</formula>
    </cfRule>
  </conditionalFormatting>
  <conditionalFormatting sqref="AX72">
    <cfRule type="containsText" priority="20" operator="containsText" aboveAverage="0" equalAverage="0" bottom="0" percent="0" rank="0" text="请重新核算" dxfId="610">
      <formula>NOT(ISERROR(SEARCH("请重新核算",AX72)))</formula>
    </cfRule>
  </conditionalFormatting>
  <conditionalFormatting sqref="AV72">
    <cfRule type="containsText" priority="21" operator="containsText" aboveAverage="0" equalAverage="0" bottom="0" percent="0" rank="0" text="请重新核算" dxfId="611">
      <formula>NOT(ISERROR(SEARCH("请重新核算",AV72)))</formula>
    </cfRule>
  </conditionalFormatting>
  <conditionalFormatting sqref="AT72">
    <cfRule type="containsText" priority="22" operator="containsText" aboveAverage="0" equalAverage="0" bottom="0" percent="0" rank="0" text="请重新核算" dxfId="612">
      <formula>NOT(ISERROR(SEARCH("请重新核算",AT72)))</formula>
    </cfRule>
  </conditionalFormatting>
  <conditionalFormatting sqref="AR72">
    <cfRule type="containsText" priority="23" operator="containsText" aboveAverage="0" equalAverage="0" bottom="0" percent="0" rank="0" text="请重新核算" dxfId="613">
      <formula>NOT(ISERROR(SEARCH("请重新核算",AR72)))</formula>
    </cfRule>
  </conditionalFormatting>
  <conditionalFormatting sqref="AP72">
    <cfRule type="containsText" priority="24" operator="containsText" aboveAverage="0" equalAverage="0" bottom="0" percent="0" rank="0" text="请重新核算" dxfId="614">
      <formula>NOT(ISERROR(SEARCH("请重新核算",AP72)))</formula>
    </cfRule>
  </conditionalFormatting>
  <conditionalFormatting sqref="AN72">
    <cfRule type="containsText" priority="25" operator="containsText" aboveAverage="0" equalAverage="0" bottom="0" percent="0" rank="0" text="请重新核算" dxfId="615">
      <formula>NOT(ISERROR(SEARCH("请重新核算",AN72)))</formula>
    </cfRule>
  </conditionalFormatting>
  <conditionalFormatting sqref="AL72">
    <cfRule type="containsText" priority="26" operator="containsText" aboveAverage="0" equalAverage="0" bottom="0" percent="0" rank="0" text="请重新核算" dxfId="616">
      <formula>NOT(ISERROR(SEARCH("请重新核算",AL72)))</formula>
    </cfRule>
  </conditionalFormatting>
  <conditionalFormatting sqref="AJ72">
    <cfRule type="containsText" priority="27" operator="containsText" aboveAverage="0" equalAverage="0" bottom="0" percent="0" rank="0" text="请重新核算" dxfId="617">
      <formula>NOT(ISERROR(SEARCH("请重新核算",AJ72)))</formula>
    </cfRule>
  </conditionalFormatting>
  <conditionalFormatting sqref="AH72">
    <cfRule type="containsText" priority="28" operator="containsText" aboveAverage="0" equalAverage="0" bottom="0" percent="0" rank="0" text="请重新核算" dxfId="618">
      <formula>NOT(ISERROR(SEARCH("请重新核算",AH72)))</formula>
    </cfRule>
  </conditionalFormatting>
  <conditionalFormatting sqref="AF72">
    <cfRule type="containsText" priority="29" operator="containsText" aboveAverage="0" equalAverage="0" bottom="0" percent="0" rank="0" text="请重新核算" dxfId="619">
      <formula>NOT(ISERROR(SEARCH("请重新核算",AF72)))</formula>
    </cfRule>
  </conditionalFormatting>
  <conditionalFormatting sqref="AD72">
    <cfRule type="containsText" priority="30" operator="containsText" aboveAverage="0" equalAverage="0" bottom="0" percent="0" rank="0" text="请重新核算" dxfId="620">
      <formula>NOT(ISERROR(SEARCH("请重新核算",AD72)))</formula>
    </cfRule>
  </conditionalFormatting>
  <conditionalFormatting sqref="AB72">
    <cfRule type="containsText" priority="31" operator="containsText" aboveAverage="0" equalAverage="0" bottom="0" percent="0" rank="0" text="请重新核算" dxfId="621">
      <formula>NOT(ISERROR(SEARCH("请重新核算",AB72)))</formula>
    </cfRule>
  </conditionalFormatting>
  <conditionalFormatting sqref="Z72">
    <cfRule type="containsText" priority="32" operator="containsText" aboveAverage="0" equalAverage="0" bottom="0" percent="0" rank="0" text="请重新核算" dxfId="622">
      <formula>NOT(ISERROR(SEARCH("请重新核算",Z72)))</formula>
    </cfRule>
  </conditionalFormatting>
  <conditionalFormatting sqref="X72">
    <cfRule type="containsText" priority="33" operator="containsText" aboveAverage="0" equalAverage="0" bottom="0" percent="0" rank="0" text="请重新核算" dxfId="623">
      <formula>NOT(ISERROR(SEARCH("请重新核算",X72)))</formula>
    </cfRule>
  </conditionalFormatting>
  <conditionalFormatting sqref="B69 D69 F69 H69 J69 L69 N69 P69 R69 T69 V69 X69 Z69 AB69 AD69 AF69 AH69 AJ69 AL69 AN69 AP69 AR69 AT69 AV69 AX69 AZ69 BB69 BD69 BF69 BH69 BJ69 BL69 BN69 BP69 BR69 BT69 BV69 BX69 BZ69 CB69 CD69 CF69 CH69">
    <cfRule type="containsText" priority="34" operator="containsText" aboveAverage="0" equalAverage="0" bottom="0" percent="0" rank="0" text="请重新核算" dxfId="624">
      <formula>NOT(ISERROR(SEARCH("请重新核算",B69)))</formula>
    </cfRule>
  </conditionalFormatting>
  <conditionalFormatting sqref="B70:B71 D70:D71 F70:F71 H70:H71 J70:J71 L70:L71 N70:N71 P70:P71 R70:R71 T70:T71 V70:V72 X70:X71 Z70:Z71 AB70:AB71 AD70:AD71 AF70:AF71 AH70:AH71 AJ70:AJ71 AL70:AL71 AN70:AN71 AP70:AP71 AR70:AR71 AT70:AT71 AV70:AV71 AX70:AX71 AZ70:AZ71 BB70:BB71 BD70:BD71 BF70:BF71 BH70:BH71 BJ70:BJ71 BL70:BL71 BN70:BN71 BP70:BP71 BR70:BR71 BT70:BT71 BV70:BV71 BX70:BX71 BZ70:BZ71 CB70:CB71 CD70:CD71 CF70:CF71 CH70:CH71">
    <cfRule type="containsText" priority="35" operator="containsText" aboveAverage="0" equalAverage="0" bottom="0" percent="0" rank="0" text="请重新核算" dxfId="625">
      <formula>NOT(ISERROR(SEARCH("请重新核算",B70)))</formula>
    </cfRule>
  </conditionalFormatting>
  <dataValidations count="6">
    <dataValidation allowBlank="true" errorStyle="stop" operator="between" showDropDown="false" showErrorMessage="true" showInputMessage="true" sqref="CJ42:XFD42" type="list">
      <formula1>"液态 Liquid,气态 Gas,气液混相 Gas &amp; Liquid Mixed"</formula1>
      <formula2>0</formula2>
    </dataValidation>
    <dataValidation allowBlank="true" errorStyle="stop" operator="between" showDropDown="false" showErrorMessage="true" showInputMessage="true" sqref="B62:BA62" type="list">
      <formula1>IF(OR(B$61="D",B$61="E"),$A$74:$A$75,IF(OR(B$61="G",B$61="H"),$A$75:$A$76,IF(OR(B$61="M",B$61="N",B$61="P"),$A$78,IF(B$61="K",$A$77,IF(B$61="L",$A$77:$A$78,IF(OR(B$61="Q",B$61="R"),$A$79,IF(B$61="T",$A$80,IF(B$61="J",$A$76:$A$77,$A75))))))))</formula1>
      <formula2>0</formula2>
    </dataValidation>
    <dataValidation allowBlank="true" errorStyle="stop" operator="between" showDropDown="false" showErrorMessage="true" showInputMessage="true" sqref="B63:BA63" type="list">
      <formula1>IF(OR(B$61="D",B$61="E",B$61="F"),$A$76:$A$77,IF(OR(B$61="G",B$61="H"),$A$77,IF(OR(B$61="M",B$61="N",B$61="P"),$A$79,IF(OR(B$61="K",B$61="L"),$A$78:$A$79,IF(B$61="Q",$A$80,IF(B$61="J",$A$77:$A$78,IF(B$61="R",$A$80:$A$81,$A$81)))))))</formula1>
      <formula2>0</formula2>
    </dataValidation>
    <dataValidation allowBlank="true" errorStyle="stop" operator="between" showDropDown="false" showErrorMessage="true" showInputMessage="true" sqref="B48:BA48" type="list">
      <formula1>"复合硅酸铝镁管,复合硅酸铝镁板,硅酸铝纤维制品"</formula1>
      <formula2>0</formula2>
    </dataValidation>
    <dataValidation allowBlank="true" errorStyle="stop" operator="between" showDropDown="false" showErrorMessage="true" showInputMessage="true" sqref="B61:BA61 GF61:GK63" type="list">
      <formula1>"D,E,F,G,H,J,K,L,M,N,O,P,Q,R,T"</formula1>
      <formula2>0</formula2>
    </dataValidation>
    <dataValidation allowBlank="true" errorStyle="stop" operator="between" showDropDown="false" showErrorMessage="true" showInputMessage="true" sqref="B17:XFD17 B44:XFD44" type="list">
      <formula1>"气态,液态"</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01" r:id="rId4" name="Button 1">
              <controlPr defaultSize="0" print="false" autoFill="0" autoPict="0">
                <anchor moveWithCells="true" sizeWithCells="false">
                  <from>
                    <xdr:col>0</xdr:col>
                    <xdr:colOff>1379520</xdr:colOff>
                    <xdr:row>0</xdr:row>
                    <xdr:rowOff>30600</xdr:rowOff>
                  </from>
                  <to>
                    <xdr:col>1</xdr:col>
                    <xdr:colOff>-997920</xdr:colOff>
                    <xdr:row>1</xdr:row>
                    <xdr:rowOff>-53280</xdr:rowOff>
                  </to>
                </anchor>
              </controlPr>
            </control>
          </mc:Choice>
        </mc:AlternateContent>
      </controls>
    </mc:Choice>
  </mc:AlternateConten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R107"/>
  <sheetViews>
    <sheetView showFormulas="false" showGridLines="true" showRowColHeaders="true" showZeros="true" rightToLeft="false" tabSelected="true" showOutlineSymbols="true" defaultGridColor="true" view="normal" topLeftCell="A1" colorId="64" zoomScale="90" zoomScaleNormal="9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F26" activeCellId="0" sqref="1:1048576"/>
    </sheetView>
  </sheetViews>
  <sheetFormatPr defaultColWidth="9.00390625" defaultRowHeight="15" zeroHeight="false" outlineLevelRow="0" outlineLevelCol="0"/>
  <cols>
    <col collapsed="false" customWidth="true" hidden="false" outlineLevel="0" max="1" min="1" style="379" width="38.5"/>
    <col collapsed="false" customWidth="true" hidden="false" outlineLevel="0" max="9" min="2" style="449" width="13.63"/>
    <col collapsed="false" customWidth="true" hidden="false" outlineLevel="0" max="10" min="10" style="449" width="15.37"/>
    <col collapsed="false" customWidth="true" hidden="false" outlineLevel="0" max="11" min="11" style="449" width="15.5"/>
    <col collapsed="false" customWidth="true" hidden="false" outlineLevel="0" max="14" min="12" style="449" width="13.63"/>
    <col collapsed="false" customWidth="true" hidden="false" outlineLevel="0" max="15" min="15" style="449" width="15.5"/>
    <col collapsed="false" customWidth="true" hidden="false" outlineLevel="0" max="17" min="16" style="449" width="13.63"/>
    <col collapsed="false" customWidth="true" hidden="false" outlineLevel="0" max="18" min="18" style="449" width="14.25"/>
    <col collapsed="false" customWidth="true" hidden="false" outlineLevel="0" max="19" min="19" style="449" width="15.12"/>
    <col collapsed="false" customWidth="true" hidden="false" outlineLevel="0" max="27" min="20" style="449" width="13.63"/>
    <col collapsed="false" customWidth="true" hidden="false" outlineLevel="0" max="28" min="28" style="379" width="9.87"/>
    <col collapsed="false" customWidth="true" hidden="false" outlineLevel="0" max="29" min="29" style="379" width="11.38"/>
    <col collapsed="false" customWidth="true" hidden="false" outlineLevel="0" max="30" min="30" style="379" width="10.5"/>
    <col collapsed="false" customWidth="true" hidden="false" outlineLevel="0" max="32" min="31" style="379" width="11.75"/>
    <col collapsed="false" customWidth="true" hidden="false" outlineLevel="0" max="33" min="33" style="379" width="13.63"/>
    <col collapsed="false" customWidth="true" hidden="false" outlineLevel="0" max="34" min="34" style="379" width="13.88"/>
    <col collapsed="false" customWidth="true" hidden="false" outlineLevel="0" max="35" min="35" style="379" width="14.13"/>
    <col collapsed="false" customWidth="true" hidden="false" outlineLevel="0" max="36" min="36" style="379" width="13.88"/>
    <col collapsed="false" customWidth="true" hidden="false" outlineLevel="0" max="37" min="37" style="379" width="14.13"/>
    <col collapsed="false" customWidth="true" hidden="false" outlineLevel="0" max="38" min="38" style="379" width="15"/>
    <col collapsed="false" customWidth="true" hidden="false" outlineLevel="0" max="39" min="39" style="379" width="16.5"/>
    <col collapsed="false" customWidth="true" hidden="false" outlineLevel="0" max="40" min="40" style="379" width="15.37"/>
    <col collapsed="false" customWidth="true" hidden="false" outlineLevel="0" max="41" min="41" style="379" width="14.13"/>
    <col collapsed="false" customWidth="true" hidden="false" outlineLevel="0" max="43" min="42" style="449" width="13.63"/>
    <col collapsed="false" customWidth="true" hidden="false" outlineLevel="0" max="51" min="44" style="379" width="17.13"/>
    <col collapsed="false" customWidth="true" hidden="false" outlineLevel="0" max="52" min="52" style="379" width="11.75"/>
    <col collapsed="false" customWidth="true" hidden="false" outlineLevel="0" max="53" min="53" style="379" width="13.63"/>
    <col collapsed="false" customWidth="true" hidden="false" outlineLevel="0" max="54" min="54" style="720" width="15.37"/>
    <col collapsed="false" customWidth="true" hidden="false" outlineLevel="0" max="55" min="55" style="379" width="14.13"/>
    <col collapsed="false" customWidth="true" hidden="false" outlineLevel="0" max="56" min="56" style="379" width="15"/>
    <col collapsed="false" customWidth="true" hidden="false" outlineLevel="0" max="57" min="57" style="379" width="16.5"/>
    <col collapsed="false" customWidth="true" hidden="false" outlineLevel="0" max="58" min="58" style="379" width="15.37"/>
    <col collapsed="false" customWidth="true" hidden="false" outlineLevel="0" max="59" min="59" style="379" width="14.13"/>
    <col collapsed="false" customWidth="true" hidden="false" outlineLevel="0" max="60" min="60" style="379" width="14.88"/>
    <col collapsed="false" customWidth="true" hidden="false" outlineLevel="0" max="61" min="61" style="379" width="13.5"/>
    <col collapsed="false" customWidth="true" hidden="false" outlineLevel="0" max="62" min="62" style="379" width="14.25"/>
    <col collapsed="false" customWidth="true" hidden="false" outlineLevel="0" max="63" min="63" style="379" width="13.63"/>
    <col collapsed="false" customWidth="true" hidden="false" outlineLevel="0" max="64" min="64" style="379" width="14.25"/>
    <col collapsed="false" customWidth="true" hidden="false" outlineLevel="0" max="65" min="65" style="379" width="13.63"/>
    <col collapsed="false" customWidth="true" hidden="false" outlineLevel="0" max="66" min="66" style="379" width="14.25"/>
    <col collapsed="false" customWidth="true" hidden="false" outlineLevel="0" max="67" min="67" style="379" width="13.63"/>
    <col collapsed="false" customWidth="false" hidden="false" outlineLevel="0" max="16384" min="68" style="379" width="9"/>
  </cols>
  <sheetData>
    <row r="1" customFormat="false" ht="15" hidden="false" customHeight="false" outlineLevel="0" collapsed="false">
      <c r="A1" s="381" t="s">
        <v>1172</v>
      </c>
      <c r="AR1" s="577"/>
      <c r="AS1" s="577"/>
      <c r="AT1" s="577"/>
      <c r="AU1" s="577"/>
      <c r="AV1" s="577"/>
      <c r="AW1" s="577"/>
      <c r="AX1" s="577"/>
      <c r="AY1" s="577"/>
    </row>
    <row r="2" s="724" customFormat="true" ht="15" hidden="false" customHeight="false" outlineLevel="0" collapsed="false">
      <c r="A2" s="379" t="s">
        <v>389</v>
      </c>
      <c r="B2" s="577" t="s">
        <v>1173</v>
      </c>
      <c r="C2" s="577"/>
      <c r="D2" s="577" t="s">
        <v>1174</v>
      </c>
      <c r="E2" s="577"/>
      <c r="F2" s="577" t="s">
        <v>1175</v>
      </c>
      <c r="G2" s="577"/>
      <c r="H2" s="577" t="s">
        <v>1176</v>
      </c>
      <c r="I2" s="577"/>
      <c r="J2" s="577" t="s">
        <v>1177</v>
      </c>
      <c r="K2" s="577"/>
      <c r="L2" s="577" t="s">
        <v>1178</v>
      </c>
      <c r="M2" s="577"/>
      <c r="N2" s="577" t="s">
        <v>1179</v>
      </c>
      <c r="O2" s="577"/>
      <c r="P2" s="577" t="s">
        <v>1180</v>
      </c>
      <c r="Q2" s="577"/>
      <c r="R2" s="577" t="s">
        <v>1181</v>
      </c>
      <c r="S2" s="577"/>
      <c r="T2" s="577" t="s">
        <v>1182</v>
      </c>
      <c r="U2" s="577"/>
      <c r="V2" s="721" t="s">
        <v>1183</v>
      </c>
      <c r="W2" s="721"/>
      <c r="X2" s="721" t="s">
        <v>1184</v>
      </c>
      <c r="Y2" s="721"/>
      <c r="Z2" s="722" t="s">
        <v>1185</v>
      </c>
      <c r="AA2" s="722"/>
      <c r="AB2" s="577" t="s">
        <v>1186</v>
      </c>
      <c r="AC2" s="577"/>
      <c r="AD2" s="577" t="s">
        <v>1187</v>
      </c>
      <c r="AE2" s="577"/>
      <c r="AF2" s="577" t="s">
        <v>1188</v>
      </c>
      <c r="AG2" s="577"/>
      <c r="AH2" s="577" t="s">
        <v>1189</v>
      </c>
      <c r="AI2" s="577"/>
      <c r="AJ2" s="577" t="s">
        <v>1190</v>
      </c>
      <c r="AK2" s="577"/>
      <c r="AL2" s="577" t="s">
        <v>1191</v>
      </c>
      <c r="AM2" s="577"/>
      <c r="AN2" s="577" t="s">
        <v>1192</v>
      </c>
      <c r="AO2" s="577"/>
      <c r="AP2" s="577" t="s">
        <v>1193</v>
      </c>
      <c r="AQ2" s="577"/>
      <c r="AR2" s="577" t="s">
        <v>1194</v>
      </c>
      <c r="AS2" s="577"/>
      <c r="AT2" s="577" t="s">
        <v>1195</v>
      </c>
      <c r="AU2" s="577"/>
      <c r="AV2" s="577" t="s">
        <v>1196</v>
      </c>
      <c r="AW2" s="577"/>
      <c r="AX2" s="577" t="s">
        <v>1197</v>
      </c>
      <c r="AY2" s="577"/>
      <c r="AZ2" s="723" t="s">
        <v>1198</v>
      </c>
      <c r="BA2" s="723"/>
      <c r="BB2" s="577" t="s">
        <v>1199</v>
      </c>
      <c r="BC2" s="577"/>
      <c r="BD2" s="581" t="s">
        <v>1200</v>
      </c>
      <c r="BE2" s="581"/>
      <c r="BF2" s="577" t="s">
        <v>1201</v>
      </c>
      <c r="BG2" s="577"/>
      <c r="BH2" s="577" t="s">
        <v>1202</v>
      </c>
      <c r="BI2" s="577"/>
      <c r="BJ2" s="577" t="s">
        <v>1203</v>
      </c>
      <c r="BK2" s="577"/>
      <c r="BL2" s="577" t="s">
        <v>1204</v>
      </c>
      <c r="BM2" s="577"/>
      <c r="BN2" s="577" t="s">
        <v>1205</v>
      </c>
      <c r="BO2" s="577"/>
    </row>
    <row r="3" s="724" customFormat="true" ht="15" hidden="false" customHeight="false" outlineLevel="0" collapsed="false">
      <c r="A3" s="379" t="s">
        <v>1095</v>
      </c>
      <c r="B3" s="581" t="s">
        <v>1206</v>
      </c>
      <c r="C3" s="581"/>
      <c r="D3" s="581"/>
      <c r="E3" s="581"/>
      <c r="F3" s="581" t="s">
        <v>1207</v>
      </c>
      <c r="G3" s="581"/>
      <c r="H3" s="581" t="s">
        <v>1208</v>
      </c>
      <c r="I3" s="581"/>
      <c r="J3" s="581" t="s">
        <v>1209</v>
      </c>
      <c r="K3" s="581"/>
      <c r="L3" s="581" t="s">
        <v>1210</v>
      </c>
      <c r="M3" s="581"/>
      <c r="N3" s="581" t="s">
        <v>1211</v>
      </c>
      <c r="O3" s="581"/>
      <c r="P3" s="581" t="s">
        <v>1212</v>
      </c>
      <c r="Q3" s="581"/>
      <c r="R3" s="581" t="s">
        <v>1213</v>
      </c>
      <c r="S3" s="581"/>
      <c r="T3" s="581" t="s">
        <v>1214</v>
      </c>
      <c r="U3" s="581"/>
      <c r="V3" s="581" t="s">
        <v>1215</v>
      </c>
      <c r="W3" s="581"/>
      <c r="X3" s="581" t="s">
        <v>1216</v>
      </c>
      <c r="Y3" s="581"/>
      <c r="Z3" s="581" t="s">
        <v>1217</v>
      </c>
      <c r="AA3" s="581"/>
      <c r="AB3" s="581" t="s">
        <v>1218</v>
      </c>
      <c r="AC3" s="581"/>
      <c r="AD3" s="581" t="s">
        <v>1219</v>
      </c>
      <c r="AE3" s="581"/>
      <c r="AF3" s="581" t="s">
        <v>1220</v>
      </c>
      <c r="AG3" s="581"/>
      <c r="AH3" s="581" t="s">
        <v>1221</v>
      </c>
      <c r="AI3" s="581"/>
      <c r="AJ3" s="581" t="s">
        <v>1222</v>
      </c>
      <c r="AK3" s="581"/>
      <c r="AL3" s="725" t="s">
        <v>1223</v>
      </c>
      <c r="AM3" s="725"/>
      <c r="AN3" s="581" t="s">
        <v>1224</v>
      </c>
      <c r="AO3" s="581"/>
      <c r="AP3" s="581" t="s">
        <v>1225</v>
      </c>
      <c r="AQ3" s="581"/>
      <c r="AR3" s="581" t="s">
        <v>1226</v>
      </c>
      <c r="AS3" s="581"/>
      <c r="AT3" s="581" t="s">
        <v>1227</v>
      </c>
      <c r="AU3" s="581"/>
      <c r="AV3" s="581" t="s">
        <v>1228</v>
      </c>
      <c r="AW3" s="581"/>
      <c r="AX3" s="581" t="s">
        <v>1229</v>
      </c>
      <c r="AY3" s="581"/>
      <c r="AZ3" s="581" t="s">
        <v>1230</v>
      </c>
      <c r="BA3" s="581"/>
      <c r="BB3" s="581" t="s">
        <v>1231</v>
      </c>
      <c r="BC3" s="581"/>
      <c r="BD3" s="581" t="s">
        <v>1232</v>
      </c>
      <c r="BE3" s="581"/>
      <c r="BF3" s="581" t="s">
        <v>1233</v>
      </c>
      <c r="BG3" s="581"/>
      <c r="BH3" s="581" t="s">
        <v>1234</v>
      </c>
      <c r="BI3" s="581"/>
      <c r="BJ3" s="581" t="s">
        <v>1235</v>
      </c>
      <c r="BK3" s="581"/>
      <c r="BL3" s="581" t="s">
        <v>1236</v>
      </c>
      <c r="BM3" s="581"/>
      <c r="BN3" s="581" t="s">
        <v>1237</v>
      </c>
      <c r="BO3" s="581"/>
    </row>
    <row r="4" s="724" customFormat="true" ht="15" hidden="false" customHeight="false" outlineLevel="0" collapsed="false">
      <c r="A4" s="379" t="s">
        <v>1098</v>
      </c>
      <c r="B4" s="581" t="s">
        <v>1238</v>
      </c>
      <c r="C4" s="581"/>
      <c r="D4" s="581" t="s">
        <v>1239</v>
      </c>
      <c r="E4" s="581"/>
      <c r="F4" s="581" t="s">
        <v>1240</v>
      </c>
      <c r="G4" s="581"/>
      <c r="H4" s="581" t="s">
        <v>1241</v>
      </c>
      <c r="I4" s="581"/>
      <c r="J4" s="581" t="s">
        <v>1242</v>
      </c>
      <c r="K4" s="581"/>
      <c r="L4" s="581" t="s">
        <v>1243</v>
      </c>
      <c r="M4" s="581"/>
      <c r="N4" s="581" t="s">
        <v>1244</v>
      </c>
      <c r="O4" s="581"/>
      <c r="P4" s="581" t="s">
        <v>1245</v>
      </c>
      <c r="Q4" s="581"/>
      <c r="R4" s="581" t="s">
        <v>1246</v>
      </c>
      <c r="S4" s="581"/>
      <c r="T4" s="581" t="s">
        <v>1246</v>
      </c>
      <c r="U4" s="581"/>
      <c r="V4" s="581" t="s">
        <v>1247</v>
      </c>
      <c r="W4" s="581"/>
      <c r="X4" s="581" t="s">
        <v>1247</v>
      </c>
      <c r="Y4" s="581"/>
      <c r="Z4" s="726" t="s">
        <v>1248</v>
      </c>
      <c r="AA4" s="726"/>
      <c r="AB4" s="581" t="s">
        <v>1249</v>
      </c>
      <c r="AC4" s="581"/>
      <c r="AD4" s="581" t="s">
        <v>1250</v>
      </c>
      <c r="AE4" s="581"/>
      <c r="AF4" s="581" t="s">
        <v>1250</v>
      </c>
      <c r="AG4" s="581"/>
      <c r="AH4" s="581" t="s">
        <v>1251</v>
      </c>
      <c r="AI4" s="581"/>
      <c r="AJ4" s="581" t="s">
        <v>1252</v>
      </c>
      <c r="AK4" s="581"/>
      <c r="AL4" s="725" t="s">
        <v>1253</v>
      </c>
      <c r="AM4" s="725"/>
      <c r="AN4" s="725" t="s">
        <v>1254</v>
      </c>
      <c r="AO4" s="725"/>
      <c r="AP4" s="581" t="s">
        <v>1255</v>
      </c>
      <c r="AQ4" s="581"/>
      <c r="AR4" s="727" t="s">
        <v>1256</v>
      </c>
      <c r="AS4" s="727"/>
      <c r="AT4" s="727" t="s">
        <v>1257</v>
      </c>
      <c r="AU4" s="727"/>
      <c r="AV4" s="727" t="s">
        <v>1258</v>
      </c>
      <c r="AW4" s="727"/>
      <c r="AX4" s="727" t="s">
        <v>1259</v>
      </c>
      <c r="AY4" s="727"/>
      <c r="AZ4" s="581" t="s">
        <v>1260</v>
      </c>
      <c r="BA4" s="581"/>
      <c r="BB4" s="581" t="s">
        <v>1261</v>
      </c>
      <c r="BC4" s="581"/>
      <c r="BD4" s="581" t="s">
        <v>1262</v>
      </c>
      <c r="BE4" s="581"/>
      <c r="BF4" s="581" t="s">
        <v>1263</v>
      </c>
      <c r="BG4" s="581"/>
      <c r="BH4" s="581" t="s">
        <v>1264</v>
      </c>
      <c r="BI4" s="581"/>
      <c r="BJ4" s="581" t="s">
        <v>1265</v>
      </c>
      <c r="BK4" s="581"/>
      <c r="BL4" s="581" t="s">
        <v>1266</v>
      </c>
      <c r="BM4" s="581"/>
      <c r="BN4" s="581" t="s">
        <v>1267</v>
      </c>
      <c r="BO4" s="581"/>
    </row>
    <row r="5" s="724" customFormat="true" ht="15" hidden="false" customHeight="false" outlineLevel="0" collapsed="false">
      <c r="A5" s="379" t="s">
        <v>1100</v>
      </c>
      <c r="B5" s="581" t="s">
        <v>1268</v>
      </c>
      <c r="C5" s="581"/>
      <c r="D5" s="581" t="s">
        <v>1269</v>
      </c>
      <c r="E5" s="581"/>
      <c r="F5" s="581" t="s">
        <v>1270</v>
      </c>
      <c r="G5" s="581"/>
      <c r="H5" s="581" t="s">
        <v>1271</v>
      </c>
      <c r="I5" s="581"/>
      <c r="J5" s="581" t="s">
        <v>1272</v>
      </c>
      <c r="K5" s="581"/>
      <c r="L5" s="581" t="s">
        <v>1273</v>
      </c>
      <c r="M5" s="581"/>
      <c r="N5" s="581" t="s">
        <v>1274</v>
      </c>
      <c r="O5" s="581"/>
      <c r="P5" s="581" t="s">
        <v>645</v>
      </c>
      <c r="Q5" s="581"/>
      <c r="R5" s="581" t="s">
        <v>1275</v>
      </c>
      <c r="S5" s="581"/>
      <c r="T5" s="581" t="s">
        <v>1275</v>
      </c>
      <c r="U5" s="581"/>
      <c r="V5" s="581" t="s">
        <v>1276</v>
      </c>
      <c r="W5" s="581"/>
      <c r="X5" s="581" t="s">
        <v>1276</v>
      </c>
      <c r="Y5" s="581"/>
      <c r="Z5" s="581" t="s">
        <v>1276</v>
      </c>
      <c r="AA5" s="581"/>
      <c r="AB5" s="581" t="s">
        <v>1277</v>
      </c>
      <c r="AC5" s="581"/>
      <c r="AD5" s="581" t="s">
        <v>1275</v>
      </c>
      <c r="AE5" s="581"/>
      <c r="AF5" s="581" t="s">
        <v>1275</v>
      </c>
      <c r="AG5" s="581"/>
      <c r="AH5" s="581" t="s">
        <v>1278</v>
      </c>
      <c r="AI5" s="581"/>
      <c r="AJ5" s="581" t="s">
        <v>1101</v>
      </c>
      <c r="AK5" s="581"/>
      <c r="AL5" s="581" t="s">
        <v>1279</v>
      </c>
      <c r="AM5" s="581"/>
      <c r="AN5" s="581" t="s">
        <v>1280</v>
      </c>
      <c r="AO5" s="581"/>
      <c r="AP5" s="581" t="s">
        <v>1268</v>
      </c>
      <c r="AQ5" s="581"/>
      <c r="AR5" s="581" t="s">
        <v>1281</v>
      </c>
      <c r="AS5" s="581"/>
      <c r="AT5" s="581" t="s">
        <v>1281</v>
      </c>
      <c r="AU5" s="581"/>
      <c r="AV5" s="581" t="s">
        <v>608</v>
      </c>
      <c r="AW5" s="581"/>
      <c r="AX5" s="581" t="s">
        <v>1282</v>
      </c>
      <c r="AY5" s="581"/>
      <c r="AZ5" s="581" t="s">
        <v>1275</v>
      </c>
      <c r="BA5" s="581"/>
      <c r="BB5" s="581" t="s">
        <v>1283</v>
      </c>
      <c r="BC5" s="581"/>
      <c r="BD5" s="581" t="s">
        <v>680</v>
      </c>
      <c r="BE5" s="581"/>
      <c r="BF5" s="581" t="s">
        <v>609</v>
      </c>
      <c r="BG5" s="581"/>
      <c r="BH5" s="581" t="s">
        <v>608</v>
      </c>
      <c r="BI5" s="581"/>
      <c r="BJ5" s="581" t="s">
        <v>1281</v>
      </c>
      <c r="BK5" s="581"/>
      <c r="BL5" s="581" t="s">
        <v>1284</v>
      </c>
      <c r="BM5" s="581"/>
      <c r="BN5" s="581" t="s">
        <v>1285</v>
      </c>
      <c r="BO5" s="581"/>
    </row>
    <row r="6" s="728" customFormat="true" ht="15" hidden="false" customHeight="false" outlineLevel="0" collapsed="false">
      <c r="A6" s="728" t="s">
        <v>1286</v>
      </c>
      <c r="B6" s="577" t="n">
        <v>2.03</v>
      </c>
      <c r="C6" s="577"/>
      <c r="D6" s="223"/>
      <c r="E6" s="223"/>
      <c r="F6" s="223" t="n">
        <v>12.71</v>
      </c>
      <c r="G6" s="223"/>
      <c r="H6" s="577" t="n">
        <v>219.3</v>
      </c>
      <c r="I6" s="577"/>
      <c r="J6" s="729" t="n">
        <v>13.7</v>
      </c>
      <c r="K6" s="729"/>
      <c r="L6" s="577" t="n">
        <v>150.97</v>
      </c>
      <c r="M6" s="577"/>
      <c r="N6" s="729" t="n">
        <v>247.58</v>
      </c>
      <c r="O6" s="729"/>
      <c r="P6" s="577" t="n">
        <v>218.58</v>
      </c>
      <c r="Q6" s="577"/>
      <c r="R6" s="729" t="n">
        <v>18.02</v>
      </c>
      <c r="S6" s="729"/>
      <c r="T6" s="729" t="n">
        <v>18.02</v>
      </c>
      <c r="U6" s="729"/>
      <c r="V6" s="729" t="n">
        <v>18.02</v>
      </c>
      <c r="W6" s="729"/>
      <c r="X6" s="729" t="n">
        <v>18.02</v>
      </c>
      <c r="Y6" s="729"/>
      <c r="Z6" s="729" t="n">
        <v>18.02</v>
      </c>
      <c r="AA6" s="729"/>
      <c r="AB6" s="730" t="n">
        <v>18</v>
      </c>
      <c r="AC6" s="730"/>
      <c r="AD6" s="730" t="n">
        <v>18.02</v>
      </c>
      <c r="AE6" s="730"/>
      <c r="AF6" s="730" t="n">
        <v>18.02</v>
      </c>
      <c r="AG6" s="730"/>
      <c r="AH6" s="730" t="n">
        <v>18.2</v>
      </c>
      <c r="AI6" s="730"/>
      <c r="AJ6" s="730" t="n">
        <v>2.03</v>
      </c>
      <c r="AK6" s="730"/>
      <c r="AL6" s="730" t="n">
        <v>8.69</v>
      </c>
      <c r="AM6" s="730"/>
      <c r="AN6" s="730" t="n">
        <v>18.24</v>
      </c>
      <c r="AO6" s="730"/>
      <c r="AP6" s="577" t="n">
        <v>2.03</v>
      </c>
      <c r="AQ6" s="577"/>
      <c r="AR6" s="730" t="n">
        <v>28</v>
      </c>
      <c r="AS6" s="730"/>
      <c r="AT6" s="730" t="n">
        <v>28</v>
      </c>
      <c r="AU6" s="730"/>
      <c r="AV6" s="730" t="n">
        <v>18.8</v>
      </c>
      <c r="AW6" s="730"/>
      <c r="AX6" s="730" t="n">
        <v>29</v>
      </c>
      <c r="AY6" s="730"/>
      <c r="AZ6" s="730" t="n">
        <v>18.02</v>
      </c>
      <c r="BA6" s="730"/>
      <c r="BB6" s="730" t="n">
        <v>18</v>
      </c>
      <c r="BC6" s="730"/>
      <c r="BD6" s="730" t="n">
        <f aca="false">BJ6</f>
        <v>28</v>
      </c>
      <c r="BE6" s="730"/>
      <c r="BF6" s="730" t="n">
        <v>29</v>
      </c>
      <c r="BG6" s="730"/>
      <c r="BH6" s="730" t="n">
        <v>19.5</v>
      </c>
      <c r="BI6" s="730"/>
      <c r="BJ6" s="730" t="n">
        <v>28</v>
      </c>
      <c r="BK6" s="730"/>
      <c r="BL6" s="730" t="n">
        <v>2.03</v>
      </c>
      <c r="BM6" s="730"/>
      <c r="BN6" s="730" t="n">
        <v>28</v>
      </c>
      <c r="BO6" s="730"/>
    </row>
    <row r="7" s="541" customFormat="true" ht="15" hidden="false" customHeight="false" outlineLevel="0" collapsed="false">
      <c r="A7" s="541" t="s">
        <v>1287</v>
      </c>
      <c r="B7" s="731" t="n">
        <v>1.8</v>
      </c>
      <c r="C7" s="731"/>
      <c r="D7" s="731" t="n">
        <v>1.8</v>
      </c>
      <c r="E7" s="731"/>
      <c r="F7" s="731" t="n">
        <v>15.7</v>
      </c>
      <c r="G7" s="731"/>
      <c r="H7" s="731" t="n">
        <v>1.6</v>
      </c>
      <c r="I7" s="731"/>
      <c r="J7" s="731" t="n">
        <v>3.1</v>
      </c>
      <c r="K7" s="731"/>
      <c r="L7" s="732" t="n">
        <v>1.2</v>
      </c>
      <c r="M7" s="732"/>
      <c r="N7" s="731" t="n">
        <v>0.4</v>
      </c>
      <c r="O7" s="731"/>
      <c r="P7" s="731" t="n">
        <v>0.4</v>
      </c>
      <c r="Q7" s="731"/>
      <c r="R7" s="731" t="n">
        <v>1.7</v>
      </c>
      <c r="S7" s="731"/>
      <c r="T7" s="731" t="n">
        <v>1.7</v>
      </c>
      <c r="U7" s="731"/>
      <c r="V7" s="731" t="n">
        <v>0.7</v>
      </c>
      <c r="W7" s="731"/>
      <c r="X7" s="733" t="n">
        <v>0.7</v>
      </c>
      <c r="Y7" s="733"/>
      <c r="Z7" s="733" t="n">
        <v>0.4</v>
      </c>
      <c r="AA7" s="733"/>
      <c r="AB7" s="733" t="n">
        <v>2.8</v>
      </c>
      <c r="AC7" s="733"/>
      <c r="AD7" s="733" t="n">
        <v>1.7</v>
      </c>
      <c r="AE7" s="733"/>
      <c r="AF7" s="733" t="n">
        <v>1.7</v>
      </c>
      <c r="AG7" s="733"/>
      <c r="AH7" s="731" t="n">
        <v>0.9</v>
      </c>
      <c r="AI7" s="731"/>
      <c r="AJ7" s="733" t="n">
        <v>2.7</v>
      </c>
      <c r="AK7" s="733"/>
      <c r="AL7" s="731" t="n">
        <v>3.8</v>
      </c>
      <c r="AM7" s="731"/>
      <c r="AN7" s="731" t="n">
        <v>1</v>
      </c>
      <c r="AO7" s="731"/>
      <c r="AP7" s="731" t="n">
        <v>1.8</v>
      </c>
      <c r="AQ7" s="731"/>
      <c r="AR7" s="731" t="n">
        <f aca="false">IF(AR8&lt;=1.8,AR8+0.18,IF(AR8&lt;4,AR8*1.1,IF(AR8&lt;8,AR8+0.4,AR8*1.05)))</f>
        <v>0.98</v>
      </c>
      <c r="AS7" s="731"/>
      <c r="AT7" s="731" t="n">
        <f aca="false">IF(AT8&lt;=1.8,AT8+0.18,IF(AT8&lt;4,AT8*1.1,IF(AT8&lt;8,AT8+0.4,AT8*1.05)))</f>
        <v>0.98</v>
      </c>
      <c r="AU7" s="731"/>
      <c r="AV7" s="731" t="n">
        <f aca="false">IF(AV8&lt;=1.8,AV8+0.18,IF(AV8&lt;4,AV8*1.1,IF(AV8&lt;8,AV8+0.4,AV8*1.05)))</f>
        <v>0.73</v>
      </c>
      <c r="AW7" s="731"/>
      <c r="AX7" s="731" t="n">
        <f aca="false">IF(AX8&lt;=1.8,AX8+0.18,IF(AX8&lt;4,AX8*1.1,IF(AX8&lt;8,AX8+0.4,AX8*1.05)))</f>
        <v>0.98</v>
      </c>
      <c r="AY7" s="731"/>
      <c r="AZ7" s="733" t="n">
        <v>1.73</v>
      </c>
      <c r="BA7" s="733"/>
      <c r="BB7" s="733" t="n">
        <f aca="false">IF(BB8&lt;=1.8,BB8+0.18,IF(BB8&lt;4,BB8*1.1,IF(BB8&lt;8,BB8+0.4,BB8*1.05)))</f>
        <v>1.48</v>
      </c>
      <c r="BC7" s="733"/>
      <c r="BD7" s="733" t="n">
        <f aca="false">IF(BD8&lt;=1.8,BD8+0.18,IF(BD8&lt;4,BD8*1.1,IF(BD8&lt;8,BD8+0.4,BD8*1.05)))</f>
        <v>0.98</v>
      </c>
      <c r="BE7" s="733"/>
      <c r="BF7" s="733" t="n">
        <f aca="false">IF(BF8&lt;=1.8,BF8+0.18,IF(BF8&lt;4,BF8*1.1,IF(BF8&lt;8,BF8+0.4,BF8*1.05)))</f>
        <v>0.98</v>
      </c>
      <c r="BG7" s="733"/>
      <c r="BH7" s="733" t="n">
        <f aca="false">IF(BH8&lt;=1.8,BH8+0.18,IF(BH8&lt;4,BH8*1.1,IF(BH8&lt;8,BH8+0.4,BH8*1.05)))</f>
        <v>0.78</v>
      </c>
      <c r="BI7" s="733"/>
      <c r="BJ7" s="733" t="n">
        <f aca="false">IF(BJ8&lt;=1.8,BJ8+0.18,IF(BJ8&lt;4,BJ8*1.1,IF(BJ8&lt;8,BJ8+0.4,BJ8*1.05)))</f>
        <v>0.18</v>
      </c>
      <c r="BK7" s="733"/>
      <c r="BL7" s="733" t="n">
        <f aca="false">IF(BL8&lt;=1.8,BL8+0.18,IF(BL8&lt;4,BL8*1.1,IF(BL8&lt;8,BL8+0.4,BL8*1.05)))</f>
        <v>0.18</v>
      </c>
      <c r="BM7" s="733"/>
      <c r="BN7" s="733" t="n">
        <f aca="false">IF(BN8&lt;=1.8,BN8+0.18,IF(BN8&lt;4,BN8*1.1,IF(BN8&lt;8,BN8+0.4,BN8*1.05)))</f>
        <v>1.48</v>
      </c>
      <c r="BO7" s="733"/>
    </row>
    <row r="8" s="741" customFormat="true" ht="15" hidden="false" customHeight="false" outlineLevel="0" collapsed="false">
      <c r="A8" s="734" t="s">
        <v>1288</v>
      </c>
      <c r="B8" s="735" t="n">
        <v>0.6</v>
      </c>
      <c r="C8" s="735"/>
      <c r="D8" s="735" t="n">
        <v>1.8</v>
      </c>
      <c r="E8" s="735"/>
      <c r="F8" s="735" t="n">
        <v>14.8</v>
      </c>
      <c r="G8" s="735"/>
      <c r="H8" s="736" t="n">
        <v>1</v>
      </c>
      <c r="I8" s="736"/>
      <c r="J8" s="735" t="n">
        <v>2.9</v>
      </c>
      <c r="K8" s="735"/>
      <c r="L8" s="736" t="n">
        <v>1</v>
      </c>
      <c r="M8" s="736"/>
      <c r="N8" s="735" t="n">
        <v>0.3</v>
      </c>
      <c r="O8" s="735"/>
      <c r="P8" s="737" t="n">
        <v>0.2</v>
      </c>
      <c r="Q8" s="737"/>
      <c r="R8" s="735" t="n">
        <v>1.5</v>
      </c>
      <c r="S8" s="735"/>
      <c r="T8" s="738" t="n">
        <v>1.5</v>
      </c>
      <c r="U8" s="738"/>
      <c r="V8" s="739" t="n">
        <v>0.5</v>
      </c>
      <c r="W8" s="739"/>
      <c r="X8" s="736" t="n">
        <v>0.5</v>
      </c>
      <c r="Y8" s="736"/>
      <c r="Z8" s="736" t="n">
        <v>0.35</v>
      </c>
      <c r="AA8" s="736"/>
      <c r="AB8" s="736" t="n">
        <v>2.6</v>
      </c>
      <c r="AC8" s="736"/>
      <c r="AD8" s="736" t="n">
        <v>1.5</v>
      </c>
      <c r="AE8" s="736"/>
      <c r="AF8" s="736" t="n">
        <v>1.5</v>
      </c>
      <c r="AG8" s="736"/>
      <c r="AH8" s="736" t="n">
        <v>0.6</v>
      </c>
      <c r="AI8" s="736"/>
      <c r="AJ8" s="736" t="n">
        <v>2.5</v>
      </c>
      <c r="AK8" s="736"/>
      <c r="AL8" s="738" t="n">
        <v>3</v>
      </c>
      <c r="AM8" s="738"/>
      <c r="AN8" s="736" t="n">
        <v>0.6</v>
      </c>
      <c r="AO8" s="736"/>
      <c r="AP8" s="735" t="n">
        <v>0.6</v>
      </c>
      <c r="AQ8" s="735"/>
      <c r="AR8" s="736" t="n">
        <v>0.8</v>
      </c>
      <c r="AS8" s="736"/>
      <c r="AT8" s="736" t="n">
        <v>0.8</v>
      </c>
      <c r="AU8" s="736"/>
      <c r="AV8" s="736" t="n">
        <v>0.55</v>
      </c>
      <c r="AW8" s="736"/>
      <c r="AX8" s="736" t="n">
        <v>0.8</v>
      </c>
      <c r="AY8" s="736"/>
      <c r="AZ8" s="736" t="n">
        <v>1.45</v>
      </c>
      <c r="BA8" s="736"/>
      <c r="BB8" s="577" t="n">
        <v>1.3</v>
      </c>
      <c r="BC8" s="577"/>
      <c r="BD8" s="577" t="n">
        <v>0.8</v>
      </c>
      <c r="BE8" s="577"/>
      <c r="BF8" s="577" t="n">
        <v>0.8</v>
      </c>
      <c r="BG8" s="577"/>
      <c r="BH8" s="577" t="n">
        <f aca="false">汽液分离罐核算!V14</f>
        <v>0.6</v>
      </c>
      <c r="BI8" s="577"/>
      <c r="BJ8" s="740" t="n">
        <f aca="false">缓冲罐核算!V13</f>
        <v>0</v>
      </c>
      <c r="BK8" s="740"/>
      <c r="BL8" s="740" t="n">
        <f aca="false">汽液分离罐核算!C14</f>
        <v>0</v>
      </c>
      <c r="BM8" s="740"/>
      <c r="BN8" s="740" t="n">
        <v>1.3</v>
      </c>
      <c r="BO8" s="740"/>
    </row>
    <row r="9" s="541" customFormat="true" ht="15" hidden="false" customHeight="false" outlineLevel="0" collapsed="false">
      <c r="A9" s="541" t="s">
        <v>1289</v>
      </c>
      <c r="B9" s="733" t="n">
        <v>1.8</v>
      </c>
      <c r="C9" s="733"/>
      <c r="D9" s="733" t="n">
        <f aca="false">D7</f>
        <v>1.8</v>
      </c>
      <c r="E9" s="733"/>
      <c r="F9" s="733" t="n">
        <f aca="false">F7</f>
        <v>15.7</v>
      </c>
      <c r="G9" s="733"/>
      <c r="H9" s="733" t="n">
        <f aca="false">H7</f>
        <v>1.6</v>
      </c>
      <c r="I9" s="733"/>
      <c r="J9" s="733" t="n">
        <f aca="false">J7</f>
        <v>3.1</v>
      </c>
      <c r="K9" s="733"/>
      <c r="L9" s="742" t="n">
        <v>1.3</v>
      </c>
      <c r="M9" s="742"/>
      <c r="N9" s="733" t="n">
        <f aca="false">N7</f>
        <v>0.4</v>
      </c>
      <c r="O9" s="733"/>
      <c r="P9" s="733" t="n">
        <f aca="false">P7</f>
        <v>0.4</v>
      </c>
      <c r="Q9" s="733"/>
      <c r="R9" s="733" t="n">
        <f aca="false">R7</f>
        <v>1.7</v>
      </c>
      <c r="S9" s="733"/>
      <c r="T9" s="733" t="n">
        <f aca="false">T7</f>
        <v>1.7</v>
      </c>
      <c r="U9" s="733"/>
      <c r="V9" s="733" t="n">
        <f aca="false">V7</f>
        <v>0.7</v>
      </c>
      <c r="W9" s="733"/>
      <c r="X9" s="733" t="n">
        <f aca="false">X7</f>
        <v>0.7</v>
      </c>
      <c r="Y9" s="733"/>
      <c r="Z9" s="733" t="n">
        <f aca="false">Z7</f>
        <v>0.4</v>
      </c>
      <c r="AA9" s="733"/>
      <c r="AB9" s="733" t="n">
        <f aca="false">AB7</f>
        <v>2.8</v>
      </c>
      <c r="AC9" s="733"/>
      <c r="AD9" s="733" t="n">
        <f aca="false">AD7</f>
        <v>1.7</v>
      </c>
      <c r="AE9" s="733"/>
      <c r="AF9" s="733" t="n">
        <f aca="false">AF7</f>
        <v>1.7</v>
      </c>
      <c r="AG9" s="733"/>
      <c r="AH9" s="733" t="n">
        <f aca="false">AH7</f>
        <v>0.9</v>
      </c>
      <c r="AI9" s="733"/>
      <c r="AJ9" s="733" t="n">
        <f aca="false">AJ7</f>
        <v>2.7</v>
      </c>
      <c r="AK9" s="733"/>
      <c r="AL9" s="733" t="n">
        <f aca="false">AL7</f>
        <v>3.8</v>
      </c>
      <c r="AM9" s="733"/>
      <c r="AN9" s="733" t="n">
        <f aca="false">AN7</f>
        <v>1</v>
      </c>
      <c r="AO9" s="733"/>
      <c r="AP9" s="733" t="n">
        <f aca="false">AP7</f>
        <v>1.8</v>
      </c>
      <c r="AQ9" s="733"/>
      <c r="AR9" s="733" t="n">
        <f aca="false">AR7</f>
        <v>0.98</v>
      </c>
      <c r="AS9" s="733"/>
      <c r="AT9" s="733" t="n">
        <f aca="false">AT7</f>
        <v>0.98</v>
      </c>
      <c r="AU9" s="733"/>
      <c r="AV9" s="733" t="n">
        <f aca="false">AV7</f>
        <v>0.73</v>
      </c>
      <c r="AW9" s="733"/>
      <c r="AX9" s="733" t="n">
        <f aca="false">AX7</f>
        <v>0.98</v>
      </c>
      <c r="AY9" s="733"/>
      <c r="AZ9" s="733" t="n">
        <f aca="false">AZ7</f>
        <v>1.73</v>
      </c>
      <c r="BA9" s="733"/>
      <c r="BB9" s="733" t="n">
        <f aca="false">BB7</f>
        <v>1.48</v>
      </c>
      <c r="BC9" s="733"/>
      <c r="BD9" s="733" t="n">
        <f aca="false">BD7</f>
        <v>0.98</v>
      </c>
      <c r="BE9" s="733"/>
      <c r="BF9" s="733" t="n">
        <f aca="false">BF7</f>
        <v>0.98</v>
      </c>
      <c r="BG9" s="733"/>
      <c r="BH9" s="733" t="n">
        <f aca="false">BH7</f>
        <v>0.78</v>
      </c>
      <c r="BI9" s="733"/>
      <c r="BJ9" s="733" t="n">
        <f aca="false">BJ7</f>
        <v>0.18</v>
      </c>
      <c r="BK9" s="733"/>
      <c r="BL9" s="733" t="n">
        <f aca="false">BL7</f>
        <v>0.18</v>
      </c>
      <c r="BM9" s="733"/>
      <c r="BN9" s="733" t="n">
        <f aca="false">BN7</f>
        <v>1.48</v>
      </c>
      <c r="BO9" s="733"/>
    </row>
    <row r="10" s="541" customFormat="true" ht="15" hidden="false" customHeight="false" outlineLevel="0" collapsed="false">
      <c r="A10" s="743" t="s">
        <v>1290</v>
      </c>
      <c r="B10" s="744" t="n">
        <f aca="false">0.1*B9</f>
        <v>0.18</v>
      </c>
      <c r="C10" s="744"/>
      <c r="D10" s="733" t="n">
        <f aca="false">0.1*D9</f>
        <v>0.18</v>
      </c>
      <c r="E10" s="733"/>
      <c r="F10" s="733" t="n">
        <f aca="false">0.1*F9</f>
        <v>1.57</v>
      </c>
      <c r="G10" s="733"/>
      <c r="H10" s="733" t="n">
        <f aca="false">0.2*H9</f>
        <v>0.32</v>
      </c>
      <c r="I10" s="733"/>
      <c r="J10" s="733" t="n">
        <f aca="false">0.1*J9</f>
        <v>0.31</v>
      </c>
      <c r="K10" s="733"/>
      <c r="L10" s="733" t="n">
        <f aca="false">0.21*L9</f>
        <v>0.273</v>
      </c>
      <c r="M10" s="733"/>
      <c r="N10" s="733" t="n">
        <f aca="false">0.21*N9</f>
        <v>0.084</v>
      </c>
      <c r="O10" s="733"/>
      <c r="P10" s="733" t="n">
        <f aca="false">0.21*P9</f>
        <v>0.084</v>
      </c>
      <c r="Q10" s="733"/>
      <c r="R10" s="733" t="n">
        <f aca="false">0.21*R9</f>
        <v>0.357</v>
      </c>
      <c r="S10" s="733"/>
      <c r="T10" s="733" t="n">
        <f aca="false">0.21*T9</f>
        <v>0.357</v>
      </c>
      <c r="U10" s="733"/>
      <c r="V10" s="733" t="n">
        <f aca="false">0.21*V9</f>
        <v>0.147</v>
      </c>
      <c r="W10" s="733"/>
      <c r="X10" s="733" t="n">
        <f aca="false">0.21*X9</f>
        <v>0.147</v>
      </c>
      <c r="Y10" s="733"/>
      <c r="Z10" s="733" t="n">
        <f aca="false">0.1*Z9</f>
        <v>0.04</v>
      </c>
      <c r="AA10" s="733"/>
      <c r="AB10" s="733" t="n">
        <f aca="false">0.1*AB9</f>
        <v>0.28</v>
      </c>
      <c r="AC10" s="733"/>
      <c r="AD10" s="733" t="n">
        <f aca="false">0.1*AD9</f>
        <v>0.17</v>
      </c>
      <c r="AE10" s="733"/>
      <c r="AF10" s="733" t="n">
        <f aca="false">0.1*AF9</f>
        <v>0.17</v>
      </c>
      <c r="AG10" s="733"/>
      <c r="AH10" s="733" t="n">
        <f aca="false">0.1*AH9</f>
        <v>0.09</v>
      </c>
      <c r="AI10" s="733"/>
      <c r="AJ10" s="733" t="n">
        <f aca="false">0.21*AJ9</f>
        <v>0.567</v>
      </c>
      <c r="AK10" s="733"/>
      <c r="AL10" s="733" t="n">
        <f aca="false">0.1*AL9</f>
        <v>0.38</v>
      </c>
      <c r="AM10" s="733"/>
      <c r="AN10" s="744" t="n">
        <f aca="false">0.21*AN9</f>
        <v>0.21</v>
      </c>
      <c r="AO10" s="744"/>
      <c r="AP10" s="744" t="n">
        <f aca="false">0.1*AP9</f>
        <v>0.18</v>
      </c>
      <c r="AQ10" s="744"/>
      <c r="AR10" s="744" t="n">
        <f aca="false">0.1*AR9</f>
        <v>0.098</v>
      </c>
      <c r="AS10" s="744"/>
      <c r="AT10" s="744" t="n">
        <f aca="false">0.1*AT9</f>
        <v>0.098</v>
      </c>
      <c r="AU10" s="744"/>
      <c r="AV10" s="744" t="n">
        <f aca="false">0.1*AV9</f>
        <v>0.073</v>
      </c>
      <c r="AW10" s="744"/>
      <c r="AX10" s="744" t="n">
        <f aca="false">0.1*AX9</f>
        <v>0.098</v>
      </c>
      <c r="AY10" s="744"/>
      <c r="AZ10" s="733" t="n">
        <f aca="false">0.1*AZ9</f>
        <v>0.173</v>
      </c>
      <c r="BA10" s="733"/>
      <c r="BB10" s="744" t="n">
        <f aca="false">0.03*BB9</f>
        <v>0.0444</v>
      </c>
      <c r="BC10" s="744"/>
      <c r="BD10" s="733" t="n">
        <f aca="false">0.1*BD9</f>
        <v>0.098</v>
      </c>
      <c r="BE10" s="733"/>
      <c r="BF10" s="733" t="n">
        <f aca="false">0.1*BF9</f>
        <v>0.098</v>
      </c>
      <c r="BG10" s="733"/>
      <c r="BH10" s="733" t="n">
        <f aca="false">0.1*BH9</f>
        <v>0.078</v>
      </c>
      <c r="BI10" s="733"/>
      <c r="BJ10" s="733" t="n">
        <f aca="false">0.1*BJ9</f>
        <v>0.018</v>
      </c>
      <c r="BK10" s="733"/>
      <c r="BL10" s="733" t="n">
        <f aca="false">0.1*BL9</f>
        <v>0.018</v>
      </c>
      <c r="BM10" s="733"/>
      <c r="BN10" s="733" t="n">
        <f aca="false">0.1*BN9</f>
        <v>0.148</v>
      </c>
      <c r="BO10" s="733"/>
    </row>
    <row r="11" s="541" customFormat="true" ht="15" hidden="false" customHeight="false" outlineLevel="0" collapsed="false">
      <c r="A11" s="743" t="s">
        <v>1291</v>
      </c>
      <c r="B11" s="733" t="n">
        <f aca="false">B9+B10+0.1</f>
        <v>2.08</v>
      </c>
      <c r="C11" s="733"/>
      <c r="D11" s="733" t="n">
        <f aca="false">D9+D10+0.1</f>
        <v>2.08</v>
      </c>
      <c r="E11" s="733"/>
      <c r="F11" s="733" t="n">
        <f aca="false">F9+F10+0.1</f>
        <v>17.37</v>
      </c>
      <c r="G11" s="733"/>
      <c r="H11" s="733" t="n">
        <f aca="false">H9+H10+0.1</f>
        <v>2.02</v>
      </c>
      <c r="I11" s="733"/>
      <c r="J11" s="733" t="n">
        <f aca="false">J9+J10+0.1</f>
        <v>3.51</v>
      </c>
      <c r="K11" s="733"/>
      <c r="L11" s="733" t="n">
        <f aca="false">L9+L10+0.1</f>
        <v>1.673</v>
      </c>
      <c r="M11" s="733"/>
      <c r="N11" s="733" t="n">
        <f aca="false">N9+N10+0.1</f>
        <v>0.584</v>
      </c>
      <c r="O11" s="733"/>
      <c r="P11" s="733" t="n">
        <f aca="false">P9+P10+0.1</f>
        <v>0.584</v>
      </c>
      <c r="Q11" s="733"/>
      <c r="R11" s="733" t="n">
        <f aca="false">R9+R10+0.1</f>
        <v>2.157</v>
      </c>
      <c r="S11" s="733"/>
      <c r="T11" s="733" t="n">
        <f aca="false">T9+T10+0.1</f>
        <v>2.157</v>
      </c>
      <c r="U11" s="733"/>
      <c r="V11" s="733" t="n">
        <f aca="false">V9+V10+0.1</f>
        <v>0.947</v>
      </c>
      <c r="W11" s="733"/>
      <c r="X11" s="733" t="n">
        <f aca="false">X9+X10+0.1</f>
        <v>0.947</v>
      </c>
      <c r="Y11" s="733"/>
      <c r="Z11" s="733" t="n">
        <f aca="false">Z9+Z10+0.1</f>
        <v>0.54</v>
      </c>
      <c r="AA11" s="733"/>
      <c r="AB11" s="733" t="n">
        <f aca="false">AB9+AB10+0.1</f>
        <v>3.18</v>
      </c>
      <c r="AC11" s="733"/>
      <c r="AD11" s="733" t="n">
        <f aca="false">AD9+AD10+0.1</f>
        <v>1.97</v>
      </c>
      <c r="AE11" s="733"/>
      <c r="AF11" s="733" t="n">
        <f aca="false">AF9+AF10+0.1</f>
        <v>1.97</v>
      </c>
      <c r="AG11" s="733"/>
      <c r="AH11" s="733" t="n">
        <f aca="false">AH9+AH10+0.1</f>
        <v>1.09</v>
      </c>
      <c r="AI11" s="733"/>
      <c r="AJ11" s="733" t="n">
        <f aca="false">AJ9+AJ10+0.1</f>
        <v>3.367</v>
      </c>
      <c r="AK11" s="733"/>
      <c r="AL11" s="733" t="n">
        <f aca="false">AL9+AL10+0.1</f>
        <v>4.28</v>
      </c>
      <c r="AM11" s="733"/>
      <c r="AN11" s="733" t="n">
        <f aca="false">AN9+AN10+0.1</f>
        <v>1.31</v>
      </c>
      <c r="AO11" s="733"/>
      <c r="AP11" s="733" t="n">
        <f aca="false">AP9+AP10+0.1</f>
        <v>2.08</v>
      </c>
      <c r="AQ11" s="733"/>
      <c r="AR11" s="733" t="n">
        <f aca="false">AR9+AR10+0.1</f>
        <v>1.178</v>
      </c>
      <c r="AS11" s="733"/>
      <c r="AT11" s="733" t="n">
        <f aca="false">AT9+AT10+0.1</f>
        <v>1.178</v>
      </c>
      <c r="AU11" s="733"/>
      <c r="AV11" s="733" t="n">
        <f aca="false">AV9+AV10+0.1</f>
        <v>0.903</v>
      </c>
      <c r="AW11" s="733"/>
      <c r="AX11" s="733" t="n">
        <f aca="false">AX9+AX10+0.1</f>
        <v>1.178</v>
      </c>
      <c r="AY11" s="733"/>
      <c r="AZ11" s="733" t="n">
        <f aca="false">AZ9+AZ10+0.1</f>
        <v>2.003</v>
      </c>
      <c r="BA11" s="733"/>
      <c r="BB11" s="733" t="n">
        <f aca="false">BB9+BB10+0.1</f>
        <v>1.6244</v>
      </c>
      <c r="BC11" s="733"/>
      <c r="BD11" s="733" t="n">
        <f aca="false">BD9+BD10+0.1</f>
        <v>1.178</v>
      </c>
      <c r="BE11" s="733"/>
      <c r="BF11" s="733" t="n">
        <f aca="false">BF9+BF10+0.1</f>
        <v>1.178</v>
      </c>
      <c r="BG11" s="733"/>
      <c r="BH11" s="733" t="n">
        <f aca="false">BH9+BH10+0.1</f>
        <v>0.958</v>
      </c>
      <c r="BI11" s="733"/>
      <c r="BJ11" s="733" t="n">
        <f aca="false">BJ9+BJ10+0.1</f>
        <v>0.298</v>
      </c>
      <c r="BK11" s="733"/>
      <c r="BL11" s="733" t="n">
        <f aca="false">BL9+BL10+0.1</f>
        <v>0.298</v>
      </c>
      <c r="BM11" s="733"/>
      <c r="BN11" s="733" t="n">
        <f aca="false">BN9+BN10+0.1</f>
        <v>1.728</v>
      </c>
      <c r="BO11" s="733"/>
    </row>
    <row r="12" s="746" customFormat="true" ht="15" hidden="false" customHeight="false" outlineLevel="0" collapsed="false">
      <c r="A12" s="743" t="s">
        <v>1292</v>
      </c>
      <c r="B12" s="745" t="n">
        <v>0.15</v>
      </c>
      <c r="C12" s="745"/>
      <c r="D12" s="577" t="n">
        <v>0.4</v>
      </c>
      <c r="E12" s="577"/>
      <c r="F12" s="577" t="n">
        <v>2.99</v>
      </c>
      <c r="G12" s="577"/>
      <c r="H12" s="577" t="n">
        <v>0.15</v>
      </c>
      <c r="I12" s="577"/>
      <c r="J12" s="577" t="n">
        <v>0.15</v>
      </c>
      <c r="K12" s="577"/>
      <c r="L12" s="577" t="n">
        <f aca="false">H12</f>
        <v>0.15</v>
      </c>
      <c r="M12" s="577"/>
      <c r="N12" s="577" t="n">
        <f aca="false">L12</f>
        <v>0.15</v>
      </c>
      <c r="O12" s="577"/>
      <c r="P12" s="577" t="n">
        <f aca="false">N12</f>
        <v>0.15</v>
      </c>
      <c r="Q12" s="577"/>
      <c r="R12" s="577" t="n">
        <v>0</v>
      </c>
      <c r="S12" s="577"/>
      <c r="T12" s="577" t="n">
        <v>0</v>
      </c>
      <c r="U12" s="577"/>
      <c r="V12" s="577" t="n">
        <v>0</v>
      </c>
      <c r="W12" s="577"/>
      <c r="X12" s="577" t="n">
        <v>0</v>
      </c>
      <c r="Y12" s="577"/>
      <c r="Z12" s="577" t="n">
        <v>0</v>
      </c>
      <c r="AA12" s="577"/>
      <c r="AB12" s="577" t="n">
        <v>0</v>
      </c>
      <c r="AC12" s="577"/>
      <c r="AD12" s="577" t="n">
        <v>0</v>
      </c>
      <c r="AE12" s="577"/>
      <c r="AF12" s="577" t="n">
        <v>0</v>
      </c>
      <c r="AG12" s="577"/>
      <c r="AH12" s="577" t="n">
        <v>0.15</v>
      </c>
      <c r="AI12" s="577"/>
      <c r="AJ12" s="577" t="n">
        <v>0.4</v>
      </c>
      <c r="AK12" s="577"/>
      <c r="AL12" s="577" t="n">
        <v>0.4</v>
      </c>
      <c r="AM12" s="577"/>
      <c r="AN12" s="577" t="n">
        <v>0.15</v>
      </c>
      <c r="AO12" s="577"/>
      <c r="AP12" s="745" t="n">
        <v>0.15</v>
      </c>
      <c r="AQ12" s="745"/>
      <c r="AR12" s="577" t="n">
        <v>0.15</v>
      </c>
      <c r="AS12" s="577"/>
      <c r="AT12" s="577" t="n">
        <v>0.15</v>
      </c>
      <c r="AU12" s="577"/>
      <c r="AV12" s="577" t="n">
        <v>0.15</v>
      </c>
      <c r="AW12" s="577"/>
      <c r="AX12" s="577" t="n">
        <v>0</v>
      </c>
      <c r="AY12" s="577"/>
      <c r="AZ12" s="577" t="n">
        <v>0</v>
      </c>
      <c r="BA12" s="577"/>
      <c r="BB12" s="577" t="n">
        <v>0.06</v>
      </c>
      <c r="BC12" s="577"/>
      <c r="BD12" s="577" t="n">
        <v>0.06</v>
      </c>
      <c r="BE12" s="577"/>
      <c r="BF12" s="577" t="n">
        <v>0</v>
      </c>
      <c r="BG12" s="577"/>
      <c r="BH12" s="577" t="n">
        <v>0.06</v>
      </c>
      <c r="BI12" s="577"/>
      <c r="BJ12" s="577" t="n">
        <v>0.06</v>
      </c>
      <c r="BK12" s="577"/>
      <c r="BL12" s="577" t="n">
        <v>0.06</v>
      </c>
      <c r="BM12" s="577"/>
      <c r="BN12" s="577" t="n">
        <v>0.06</v>
      </c>
      <c r="BO12" s="577"/>
    </row>
    <row r="13" customFormat="false" ht="15" hidden="false" customHeight="false" outlineLevel="0" collapsed="false">
      <c r="A13" s="747"/>
      <c r="B13" s="748"/>
      <c r="C13" s="748"/>
      <c r="D13" s="748"/>
      <c r="E13" s="748"/>
      <c r="F13" s="748"/>
      <c r="G13" s="748"/>
      <c r="H13" s="748"/>
      <c r="I13" s="748"/>
      <c r="J13" s="748"/>
      <c r="K13" s="748"/>
      <c r="L13" s="748"/>
      <c r="M13" s="748"/>
      <c r="N13" s="748"/>
      <c r="O13" s="748"/>
      <c r="P13" s="748"/>
      <c r="Q13" s="748"/>
      <c r="R13" s="748"/>
      <c r="S13" s="748"/>
      <c r="T13" s="748"/>
      <c r="U13" s="748"/>
      <c r="V13" s="748"/>
      <c r="W13" s="748"/>
      <c r="X13" s="748"/>
      <c r="Y13" s="748"/>
      <c r="Z13" s="748"/>
      <c r="AA13" s="748"/>
      <c r="AP13" s="748"/>
      <c r="AQ13" s="748"/>
      <c r="AR13" s="748"/>
      <c r="AS13" s="748"/>
      <c r="AT13" s="748"/>
      <c r="AU13" s="748"/>
      <c r="AV13" s="748"/>
      <c r="AW13" s="748"/>
      <c r="AX13" s="748"/>
      <c r="AY13" s="748"/>
    </row>
    <row r="14" customFormat="false" ht="15" hidden="false" customHeight="false" outlineLevel="0" collapsed="false">
      <c r="A14" s="749" t="s">
        <v>1293</v>
      </c>
      <c r="B14" s="750"/>
      <c r="C14" s="750"/>
      <c r="D14" s="750"/>
      <c r="E14" s="750"/>
      <c r="F14" s="750"/>
      <c r="G14" s="750"/>
      <c r="H14" s="750"/>
      <c r="I14" s="750"/>
      <c r="J14" s="750"/>
      <c r="K14" s="750"/>
      <c r="L14" s="750"/>
      <c r="M14" s="750"/>
      <c r="N14" s="750"/>
      <c r="O14" s="750"/>
      <c r="P14" s="750"/>
      <c r="Q14" s="750"/>
      <c r="R14" s="750"/>
      <c r="S14" s="750"/>
      <c r="T14" s="750"/>
      <c r="U14" s="750"/>
      <c r="V14" s="750"/>
      <c r="W14" s="750"/>
      <c r="X14" s="750"/>
      <c r="Y14" s="750"/>
      <c r="Z14" s="750"/>
      <c r="AA14" s="750"/>
      <c r="AP14" s="750"/>
      <c r="AQ14" s="750"/>
      <c r="AR14" s="449"/>
      <c r="AS14" s="449"/>
      <c r="AT14" s="449"/>
      <c r="AU14" s="449"/>
      <c r="AV14" s="449"/>
      <c r="AW14" s="449"/>
      <c r="AX14" s="449"/>
      <c r="AY14" s="449"/>
    </row>
    <row r="15" s="526" customFormat="true" ht="15" hidden="false" customHeight="false" outlineLevel="0" collapsed="false">
      <c r="A15" s="526" t="s">
        <v>1112</v>
      </c>
      <c r="B15" s="577" t="n">
        <v>109.18</v>
      </c>
      <c r="C15" s="577"/>
      <c r="D15" s="729" t="n">
        <v>185</v>
      </c>
      <c r="E15" s="729"/>
      <c r="F15" s="729" t="n">
        <v>400.58</v>
      </c>
      <c r="G15" s="729"/>
      <c r="H15" s="751" t="n">
        <v>456.5</v>
      </c>
      <c r="I15" s="751"/>
      <c r="J15" s="729" t="n">
        <v>40</v>
      </c>
      <c r="K15" s="729"/>
      <c r="L15" s="751" t="n">
        <v>489.91</v>
      </c>
      <c r="M15" s="751"/>
      <c r="N15" s="729" t="n">
        <v>455.7</v>
      </c>
      <c r="O15" s="729"/>
      <c r="P15" s="729" t="n">
        <v>427.39</v>
      </c>
      <c r="Q15" s="729"/>
      <c r="R15" s="729" t="n">
        <v>216.25</v>
      </c>
      <c r="S15" s="729"/>
      <c r="T15" s="729" t="n">
        <v>216.254</v>
      </c>
      <c r="U15" s="729"/>
      <c r="V15" s="729" t="n">
        <v>177.59</v>
      </c>
      <c r="W15" s="729"/>
      <c r="X15" s="729" t="n">
        <v>177.59</v>
      </c>
      <c r="Y15" s="729"/>
      <c r="Z15" s="729" t="n">
        <v>221</v>
      </c>
      <c r="AA15" s="729"/>
      <c r="AB15" s="729" t="s">
        <v>1294</v>
      </c>
      <c r="AC15" s="729"/>
      <c r="AD15" s="729" t="n">
        <v>216.25</v>
      </c>
      <c r="AE15" s="729"/>
      <c r="AF15" s="729" t="n">
        <v>216.25</v>
      </c>
      <c r="AG15" s="729"/>
      <c r="AH15" s="729" t="n">
        <v>93.25</v>
      </c>
      <c r="AI15" s="729"/>
      <c r="AJ15" s="729" t="n">
        <v>40</v>
      </c>
      <c r="AK15" s="729"/>
      <c r="AL15" s="729" t="n">
        <v>55.88</v>
      </c>
      <c r="AM15" s="729"/>
      <c r="AN15" s="729" t="n">
        <v>192.01</v>
      </c>
      <c r="AO15" s="729"/>
      <c r="AP15" s="577" t="n">
        <v>109.18</v>
      </c>
      <c r="AQ15" s="577"/>
      <c r="AR15" s="729" t="n">
        <v>40</v>
      </c>
      <c r="AS15" s="729"/>
      <c r="AT15" s="729" t="n">
        <v>40</v>
      </c>
      <c r="AU15" s="729"/>
      <c r="AV15" s="729" t="n">
        <v>40</v>
      </c>
      <c r="AW15" s="729"/>
      <c r="AX15" s="729" t="n">
        <v>40</v>
      </c>
      <c r="AY15" s="729"/>
      <c r="AZ15" s="729" t="n">
        <v>250</v>
      </c>
      <c r="BA15" s="729"/>
      <c r="BB15" s="223" t="n">
        <v>188</v>
      </c>
      <c r="BC15" s="223"/>
      <c r="BD15" s="577" t="n">
        <v>40</v>
      </c>
      <c r="BE15" s="577"/>
      <c r="BF15" s="223" t="n">
        <v>40</v>
      </c>
      <c r="BG15" s="223"/>
      <c r="BH15" s="223" t="n">
        <v>40</v>
      </c>
      <c r="BI15" s="223"/>
      <c r="BJ15" s="223" t="n">
        <v>65</v>
      </c>
      <c r="BK15" s="223"/>
      <c r="BL15" s="223" t="n">
        <v>40</v>
      </c>
      <c r="BM15" s="223"/>
      <c r="BN15" s="223" t="n">
        <v>386.6</v>
      </c>
      <c r="BO15" s="223"/>
      <c r="CR15" s="379"/>
    </row>
    <row r="16" s="526" customFormat="true" ht="15" hidden="false" customHeight="false" outlineLevel="0" collapsed="false">
      <c r="A16" s="752" t="s">
        <v>1295</v>
      </c>
      <c r="B16" s="753" t="n">
        <f aca="false">B15+273.15</f>
        <v>382.33</v>
      </c>
      <c r="C16" s="753"/>
      <c r="D16" s="753" t="n">
        <f aca="false">D15+273.15</f>
        <v>458.15</v>
      </c>
      <c r="E16" s="753"/>
      <c r="F16" s="753" t="n">
        <f aca="false">F15+273.15</f>
        <v>673.73</v>
      </c>
      <c r="G16" s="753"/>
      <c r="H16" s="753" t="n">
        <f aca="false">H15+273.15</f>
        <v>729.65</v>
      </c>
      <c r="I16" s="753"/>
      <c r="J16" s="753" t="n">
        <f aca="false">J15+273.15</f>
        <v>313.15</v>
      </c>
      <c r="K16" s="753"/>
      <c r="L16" s="753" t="n">
        <f aca="false">L15+273.15</f>
        <v>763.06</v>
      </c>
      <c r="M16" s="753"/>
      <c r="N16" s="753" t="n">
        <f aca="false">N15+273.15</f>
        <v>728.85</v>
      </c>
      <c r="O16" s="753"/>
      <c r="P16" s="753" t="n">
        <f aca="false">P15+273.15</f>
        <v>700.54</v>
      </c>
      <c r="Q16" s="753"/>
      <c r="R16" s="753" t="n">
        <f aca="false">R15+273.15</f>
        <v>489.4</v>
      </c>
      <c r="S16" s="753"/>
      <c r="T16" s="753" t="n">
        <f aca="false">T15+273.15</f>
        <v>489.404</v>
      </c>
      <c r="U16" s="753"/>
      <c r="V16" s="753" t="n">
        <f aca="false">V15+273.15</f>
        <v>450.74</v>
      </c>
      <c r="W16" s="753"/>
      <c r="X16" s="753" t="n">
        <f aca="false">X15+273.15</f>
        <v>450.74</v>
      </c>
      <c r="Y16" s="753"/>
      <c r="Z16" s="753" t="n">
        <f aca="false">Z15+273.15</f>
        <v>494.15</v>
      </c>
      <c r="AA16" s="753"/>
      <c r="AB16" s="753" t="n">
        <f aca="false">AB15+273.15</f>
        <v>500.48</v>
      </c>
      <c r="AC16" s="753"/>
      <c r="AD16" s="753" t="n">
        <f aca="false">AD15+273.15</f>
        <v>489.4</v>
      </c>
      <c r="AE16" s="753"/>
      <c r="AF16" s="753" t="n">
        <f aca="false">AF15+273.15</f>
        <v>489.4</v>
      </c>
      <c r="AG16" s="753"/>
      <c r="AH16" s="753" t="n">
        <f aca="false">AH15+273.15</f>
        <v>366.4</v>
      </c>
      <c r="AI16" s="753"/>
      <c r="AJ16" s="753" t="n">
        <f aca="false">AJ15+273.15</f>
        <v>313.15</v>
      </c>
      <c r="AK16" s="753"/>
      <c r="AL16" s="753" t="n">
        <f aca="false">AH16</f>
        <v>366.4</v>
      </c>
      <c r="AM16" s="753"/>
      <c r="AN16" s="753" t="n">
        <f aca="false">AN15+273.15</f>
        <v>465.16</v>
      </c>
      <c r="AO16" s="753"/>
      <c r="AP16" s="753" t="n">
        <f aca="false">AP15+273.15</f>
        <v>382.33</v>
      </c>
      <c r="AQ16" s="753"/>
      <c r="AR16" s="753" t="n">
        <f aca="false">AR15+273.15</f>
        <v>313.15</v>
      </c>
      <c r="AS16" s="753"/>
      <c r="AT16" s="753" t="n">
        <f aca="false">AT15+273.15</f>
        <v>313.15</v>
      </c>
      <c r="AU16" s="753"/>
      <c r="AV16" s="753" t="n">
        <f aca="false">AV15+273.15</f>
        <v>313.15</v>
      </c>
      <c r="AW16" s="753"/>
      <c r="AX16" s="753" t="n">
        <f aca="false">AX15+273.15</f>
        <v>313.15</v>
      </c>
      <c r="AY16" s="753"/>
      <c r="AZ16" s="753" t="n">
        <f aca="false">AZ15+273.15</f>
        <v>523.15</v>
      </c>
      <c r="BA16" s="753"/>
      <c r="BB16" s="753" t="n">
        <f aca="false">BB15+273.15</f>
        <v>461.15</v>
      </c>
      <c r="BC16" s="753"/>
      <c r="BD16" s="753" t="n">
        <f aca="false">BD15+273.15</f>
        <v>313.15</v>
      </c>
      <c r="BE16" s="753"/>
      <c r="BF16" s="753" t="n">
        <f aca="false">BF15+273.15</f>
        <v>313.15</v>
      </c>
      <c r="BG16" s="753"/>
      <c r="BH16" s="753" t="n">
        <f aca="false">BH15+273.15</f>
        <v>313.15</v>
      </c>
      <c r="BI16" s="753"/>
      <c r="BJ16" s="753" t="n">
        <f aca="false">BJ15+273.15</f>
        <v>338.15</v>
      </c>
      <c r="BK16" s="753"/>
      <c r="BL16" s="753" t="n">
        <f aca="false">BL15+273.15</f>
        <v>313.15</v>
      </c>
      <c r="BM16" s="753"/>
      <c r="BN16" s="753" t="n">
        <f aca="false">BN15+273.15</f>
        <v>659.75</v>
      </c>
      <c r="BO16" s="753"/>
      <c r="CR16" s="379"/>
    </row>
    <row r="17" customFormat="false" ht="15" hidden="false" customHeight="false" outlineLevel="0" collapsed="false">
      <c r="A17" s="379" t="s">
        <v>1116</v>
      </c>
      <c r="B17" s="750" t="str">
        <f aca="false">IF(B24=0,"液态 Liquid",IF(C24=0,"气态 Gas","气液混相 Gas &amp; Liquid Mixed"))</f>
        <v>气态 Gas</v>
      </c>
      <c r="C17" s="750"/>
      <c r="D17" s="750" t="str">
        <f aca="false">IF(D24=0,"液态 Liquid",IF(E24=0,"气态 Gas","气液混相 Gas &amp; Liquid Mixed"))</f>
        <v>液态 Liquid</v>
      </c>
      <c r="E17" s="750"/>
      <c r="F17" s="750" t="str">
        <f aca="false">IF(F24=0,"液态 Liquid",IF(G24=0,"气态 Gas","气液混相 Gas &amp; Liquid Mixed"))</f>
        <v>气液混相 Gas &amp; Liquid Mixed</v>
      </c>
      <c r="G17" s="750"/>
      <c r="H17" s="750" t="str">
        <f aca="false">IF(H24=0,"液态 Liquid",IF(I24=0,"气态 Gas","气液混相 Gas &amp; Liquid Mixed"))</f>
        <v>气态 Gas</v>
      </c>
      <c r="I17" s="750"/>
      <c r="J17" s="750" t="str">
        <f aca="false">IF(J24=0,"液态 Liquid",IF(K24=0,"气态 Gas","气液混相 Gas &amp; Liquid Mixed"))</f>
        <v>气态 Gas</v>
      </c>
      <c r="K17" s="750"/>
      <c r="L17" s="750" t="str">
        <f aca="false">IF(L24=0,"液态 Liquid",IF(M24=0,"气态 Gas","气液混相 Gas &amp; Liquid Mixed"))</f>
        <v>气态 Gas</v>
      </c>
      <c r="M17" s="750"/>
      <c r="N17" s="750" t="str">
        <f aca="false">IF(N24=0,"液态 Liquid",IF(O24=0,"气态 Gas","气液混相 Gas &amp; Liquid Mixed"))</f>
        <v>气态 Gas</v>
      </c>
      <c r="O17" s="750"/>
      <c r="P17" s="750" t="str">
        <f aca="false">IF(P24=0,"液态 Liquid",IF(Q24=0,"气态 Gas","气液混相 Gas &amp; Liquid Mixed"))</f>
        <v>气态 Gas</v>
      </c>
      <c r="Q17" s="750"/>
      <c r="R17" s="750" t="str">
        <f aca="false">IF(R24=0,"液态 Liquid",IF(S24=0,"气态 Gas","气液混相 Gas &amp; Liquid Mixed"))</f>
        <v>气态 Gas</v>
      </c>
      <c r="S17" s="750"/>
      <c r="T17" s="750" t="str">
        <f aca="false">IF(T24=0,"液态 Liquid",IF(U24=0,"气态 Gas","气液混相 Gas &amp; Liquid Mixed"))</f>
        <v>气态 Gas</v>
      </c>
      <c r="U17" s="750"/>
      <c r="V17" s="750" t="str">
        <f aca="false">IF(V24=0,"液态 Liquid",IF(W24=0,"气态 Gas","气液混相 Gas &amp; Liquid Mixed"))</f>
        <v>气态 Gas</v>
      </c>
      <c r="W17" s="750"/>
      <c r="X17" s="750" t="str">
        <f aca="false">IF(X24=0,"液态 Liquid",IF(Y24=0,"气态 Gas","气液混相 Gas &amp; Liquid Mixed"))</f>
        <v>气态 Gas</v>
      </c>
      <c r="Y17" s="750"/>
      <c r="Z17" s="750" t="str">
        <f aca="false">IF(Z24=0,"液态 Liquid",IF(AA24=0,"气态 Gas","气液混相 Gas &amp; Liquid Mixed"))</f>
        <v>气态 Gas</v>
      </c>
      <c r="AA17" s="750"/>
      <c r="AB17" s="750" t="str">
        <f aca="false">IF(AB24=0,"液态 Liquid",IF(AC24=0,"气态 Gas","气液混相 Gas &amp; Liquid Mixed"))</f>
        <v>液态 Liquid</v>
      </c>
      <c r="AC17" s="750"/>
      <c r="AD17" s="750" t="str">
        <f aca="false">IF(AD24=0,"液态 Liquid",IF(AE24=0,"气态 Gas","气液混相 Gas &amp; Liquid Mixed"))</f>
        <v>气态 Gas</v>
      </c>
      <c r="AE17" s="750"/>
      <c r="AF17" s="750" t="str">
        <f aca="false">IF(AF24=0,"液态 Liquid",IF(AG24=0,"气态 Gas","气液混相 Gas &amp; Liquid Mixed"))</f>
        <v>气态 Gas</v>
      </c>
      <c r="AG17" s="750"/>
      <c r="AH17" s="750" t="str">
        <f aca="false">IF(AH24=0,"液态 Liquid",IF(AI24=0,"气态 Gas","气液混相 Gas &amp; Liquid Mixed"))</f>
        <v>液态 Liquid</v>
      </c>
      <c r="AI17" s="750"/>
      <c r="AJ17" s="750" t="str">
        <f aca="false">IF(AJ24=0,"液态 Liquid",IF(AK24=0,"气态 Gas","气液混相 Gas &amp; Liquid Mixed"))</f>
        <v>气态 Gas</v>
      </c>
      <c r="AK17" s="750"/>
      <c r="AL17" s="750" t="str">
        <f aca="false">IF(AL24=0,"液态 Liquid",IF(AM24=0,"气态 Gas","气液混相 Gas &amp; Liquid Mixed"))</f>
        <v>气态 Gas</v>
      </c>
      <c r="AM17" s="750"/>
      <c r="AN17" s="750" t="str">
        <f aca="false">IF(AN24=0,"液态 Liquid",IF(AO24=0,"气态 Gas","气液混相 Gas &amp; Liquid Mixed"))</f>
        <v>气态 Gas</v>
      </c>
      <c r="AO17" s="750"/>
      <c r="AP17" s="750" t="str">
        <f aca="false">IF(AP24=0,"液态 Liquid",IF(AQ24=0,"气态 Gas","气液混相 Gas &amp; Liquid Mixed"))</f>
        <v>气态 Gas</v>
      </c>
      <c r="AQ17" s="750"/>
      <c r="AR17" s="750" t="str">
        <f aca="false">IF(AR24=0,"液态 Liquid",IF(AS24=0,"气态 Gas","气液混相 Gas &amp; Liquid Mixed"))</f>
        <v>气态 Gas</v>
      </c>
      <c r="AS17" s="750"/>
      <c r="AT17" s="750" t="str">
        <f aca="false">IF(AT24=0,"液态 Liquid",IF(AU24=0,"气态 Gas","气液混相 Gas &amp; Liquid Mixed"))</f>
        <v>气态 Gas</v>
      </c>
      <c r="AU17" s="750"/>
      <c r="AV17" s="750" t="str">
        <f aca="false">IF(AV24=0,"液态 Liquid",IF(AW24=0,"气态 Gas","气液混相 Gas &amp; Liquid Mixed"))</f>
        <v>气态 Gas</v>
      </c>
      <c r="AW17" s="750"/>
      <c r="AX17" s="750" t="str">
        <f aca="false">IF(AX24=0,"液态 Liquid",IF(AY24=0,"气态 Gas","气液混相 Gas &amp; Liquid Mixed"))</f>
        <v>气态 Gas</v>
      </c>
      <c r="AY17" s="750"/>
      <c r="AZ17" s="750" t="str">
        <f aca="false">IF(AZ24=0,"液态 Liquid",IF(BA24=0,"气态 Gas","气液混相 Gas &amp; Liquid Mixed"))</f>
        <v>气态 Gas</v>
      </c>
      <c r="BA17" s="750"/>
      <c r="BB17" s="750" t="str">
        <f aca="false">IF(BB24=0,"液态 Liquid",IF(BC24=0,"气态 Gas","气液混相 Gas &amp; Liquid Mixed"))</f>
        <v>气态 Gas</v>
      </c>
      <c r="BC17" s="750"/>
      <c r="BD17" s="750" t="str">
        <f aca="false">IF(BD24=0,"液态 Liquid",IF(BE24=0,"气态 Gas","气液混相 Gas &amp; Liquid Mixed"))</f>
        <v>液态 Liquid</v>
      </c>
      <c r="BE17" s="750"/>
      <c r="BF17" s="750" t="str">
        <f aca="false">IF(BF24=0,"液态 Liquid",IF(BG24=0,"气态 Gas","气液混相 Gas &amp; Liquid Mixed"))</f>
        <v>气态 Gas</v>
      </c>
      <c r="BG17" s="750"/>
      <c r="BH17" s="750" t="str">
        <f aca="false">IF(BH24=0,"液态 Liquid",IF(BI24=0,"气态 Gas","气液混相 Gas &amp; Liquid Mixed"))</f>
        <v>气态 Gas</v>
      </c>
      <c r="BI17" s="750"/>
      <c r="BJ17" s="750" t="str">
        <f aca="false">IF(BJ24=0,"液态 Liquid",IF(BK24=0,"气态 Gas","气液混相 Gas &amp; Liquid Mixed"))</f>
        <v>气态 Gas</v>
      </c>
      <c r="BK17" s="750"/>
      <c r="BL17" s="750" t="str">
        <f aca="false">IF(BL24=0,"液态 Liquid",IF(BM24=0,"气态 Gas","气液混相 Gas &amp; Liquid Mixed"))</f>
        <v>气态 Gas</v>
      </c>
      <c r="BM17" s="750"/>
      <c r="BN17" s="750" t="str">
        <f aca="false">IF(BN24=0,"液态 Liquid",IF(BO24=0,"气态 Gas","气液混相 Gas &amp; Liquid Mixed"))</f>
        <v>气态 Gas</v>
      </c>
      <c r="BO17" s="750"/>
    </row>
    <row r="18" customFormat="false" ht="15" hidden="false" customHeight="false" outlineLevel="0" collapsed="false">
      <c r="A18" s="379" t="s">
        <v>1117</v>
      </c>
      <c r="B18" s="449" t="s">
        <v>1118</v>
      </c>
      <c r="C18" s="449" t="s">
        <v>1119</v>
      </c>
      <c r="D18" s="449" t="s">
        <v>1118</v>
      </c>
      <c r="E18" s="449" t="s">
        <v>1119</v>
      </c>
      <c r="F18" s="449" t="s">
        <v>1118</v>
      </c>
      <c r="G18" s="449" t="s">
        <v>1119</v>
      </c>
      <c r="H18" s="449" t="s">
        <v>1118</v>
      </c>
      <c r="I18" s="449" t="s">
        <v>1119</v>
      </c>
      <c r="J18" s="449" t="s">
        <v>1118</v>
      </c>
      <c r="K18" s="449" t="s">
        <v>1119</v>
      </c>
      <c r="L18" s="449" t="s">
        <v>1118</v>
      </c>
      <c r="M18" s="449" t="s">
        <v>1119</v>
      </c>
      <c r="N18" s="449" t="s">
        <v>1118</v>
      </c>
      <c r="O18" s="449" t="s">
        <v>1119</v>
      </c>
      <c r="P18" s="449" t="s">
        <v>1118</v>
      </c>
      <c r="Q18" s="449" t="s">
        <v>1119</v>
      </c>
      <c r="R18" s="449" t="s">
        <v>1118</v>
      </c>
      <c r="S18" s="449" t="s">
        <v>1119</v>
      </c>
      <c r="T18" s="449" t="s">
        <v>1118</v>
      </c>
      <c r="U18" s="449" t="s">
        <v>1119</v>
      </c>
      <c r="V18" s="449" t="s">
        <v>1118</v>
      </c>
      <c r="W18" s="449" t="s">
        <v>1119</v>
      </c>
      <c r="X18" s="449" t="s">
        <v>1118</v>
      </c>
      <c r="Y18" s="449" t="s">
        <v>1119</v>
      </c>
      <c r="Z18" s="449" t="s">
        <v>1118</v>
      </c>
      <c r="AA18" s="449" t="s">
        <v>1119</v>
      </c>
      <c r="AB18" s="449" t="s">
        <v>1118</v>
      </c>
      <c r="AC18" s="449" t="s">
        <v>1119</v>
      </c>
      <c r="AD18" s="449" t="s">
        <v>1118</v>
      </c>
      <c r="AE18" s="449" t="s">
        <v>1119</v>
      </c>
      <c r="AF18" s="449" t="s">
        <v>1118</v>
      </c>
      <c r="AG18" s="449" t="s">
        <v>1119</v>
      </c>
      <c r="AH18" s="449" t="s">
        <v>1118</v>
      </c>
      <c r="AI18" s="449" t="s">
        <v>1119</v>
      </c>
      <c r="AJ18" s="449" t="s">
        <v>1118</v>
      </c>
      <c r="AK18" s="449" t="s">
        <v>1119</v>
      </c>
      <c r="AL18" s="449" t="s">
        <v>1118</v>
      </c>
      <c r="AM18" s="449" t="s">
        <v>1119</v>
      </c>
      <c r="AN18" s="449" t="s">
        <v>1118</v>
      </c>
      <c r="AO18" s="449" t="s">
        <v>1119</v>
      </c>
      <c r="AP18" s="449" t="s">
        <v>1118</v>
      </c>
      <c r="AQ18" s="449" t="s">
        <v>1119</v>
      </c>
      <c r="AR18" s="449" t="s">
        <v>1118</v>
      </c>
      <c r="AS18" s="449" t="s">
        <v>1119</v>
      </c>
      <c r="AT18" s="449" t="s">
        <v>1118</v>
      </c>
      <c r="AU18" s="449" t="s">
        <v>1119</v>
      </c>
      <c r="AV18" s="449" t="s">
        <v>1118</v>
      </c>
      <c r="AW18" s="449" t="s">
        <v>1119</v>
      </c>
      <c r="AX18" s="449" t="s">
        <v>1118</v>
      </c>
      <c r="AY18" s="449" t="s">
        <v>1119</v>
      </c>
      <c r="AZ18" s="449" t="s">
        <v>1118</v>
      </c>
      <c r="BA18" s="449" t="s">
        <v>1119</v>
      </c>
      <c r="BB18" s="754" t="s">
        <v>1118</v>
      </c>
      <c r="BC18" s="449" t="s">
        <v>1119</v>
      </c>
      <c r="BD18" s="449" t="s">
        <v>1118</v>
      </c>
      <c r="BE18" s="449" t="s">
        <v>1119</v>
      </c>
      <c r="BF18" s="449" t="s">
        <v>1118</v>
      </c>
      <c r="BG18" s="449" t="s">
        <v>1119</v>
      </c>
      <c r="BH18" s="449" t="s">
        <v>1118</v>
      </c>
      <c r="BI18" s="449" t="s">
        <v>1119</v>
      </c>
      <c r="BJ18" s="449" t="s">
        <v>1118</v>
      </c>
      <c r="BK18" s="449" t="s">
        <v>1119</v>
      </c>
      <c r="BL18" s="449" t="s">
        <v>1118</v>
      </c>
      <c r="BM18" s="449" t="s">
        <v>1119</v>
      </c>
      <c r="BN18" s="449" t="s">
        <v>1118</v>
      </c>
      <c r="BO18" s="449" t="s">
        <v>1119</v>
      </c>
    </row>
    <row r="19" s="755" customFormat="true" ht="15" hidden="false" customHeight="false" outlineLevel="0" collapsed="false">
      <c r="A19" s="755" t="s">
        <v>1296</v>
      </c>
      <c r="B19" s="756" t="n">
        <v>1.41</v>
      </c>
      <c r="C19" s="757"/>
      <c r="D19" s="756"/>
      <c r="E19" s="757"/>
      <c r="F19" s="756" t="n">
        <v>1.201</v>
      </c>
      <c r="G19" s="757"/>
      <c r="H19" s="758" t="n">
        <v>1.91</v>
      </c>
      <c r="I19" s="757"/>
      <c r="J19" s="759" t="n">
        <v>1.35</v>
      </c>
      <c r="K19" s="757"/>
      <c r="L19" s="759" t="n">
        <v>1.01</v>
      </c>
      <c r="M19" s="757"/>
      <c r="N19" s="759" t="n">
        <v>1.03</v>
      </c>
      <c r="O19" s="757"/>
      <c r="P19" s="756" t="n">
        <v>1.03</v>
      </c>
      <c r="Q19" s="757"/>
      <c r="R19" s="756" t="n">
        <v>1.49</v>
      </c>
      <c r="S19" s="757"/>
      <c r="T19" s="756" t="n">
        <v>1.49</v>
      </c>
      <c r="U19" s="757"/>
      <c r="V19" s="756" t="n">
        <v>1.41</v>
      </c>
      <c r="W19" s="757"/>
      <c r="X19" s="756" t="n">
        <v>1.41</v>
      </c>
      <c r="Y19" s="757"/>
      <c r="Z19" s="756" t="n">
        <v>1.41</v>
      </c>
      <c r="AA19" s="757"/>
      <c r="AB19" s="627"/>
      <c r="AC19" s="627"/>
      <c r="AD19" s="756" t="n">
        <v>1.45</v>
      </c>
      <c r="AE19" s="627"/>
      <c r="AF19" s="756" t="n">
        <v>1.45</v>
      </c>
      <c r="AG19" s="627"/>
      <c r="AH19" s="756"/>
      <c r="AI19" s="627"/>
      <c r="AJ19" s="756" t="n">
        <v>1.42</v>
      </c>
      <c r="AK19" s="627"/>
      <c r="AL19" s="756" t="n">
        <v>1.34</v>
      </c>
      <c r="AM19" s="627"/>
      <c r="AN19" s="756" t="n">
        <v>1.42</v>
      </c>
      <c r="AO19" s="627"/>
      <c r="AP19" s="756" t="n">
        <v>1.41</v>
      </c>
      <c r="AQ19" s="757"/>
      <c r="AR19" s="760" t="n">
        <v>1.41</v>
      </c>
      <c r="AS19" s="757"/>
      <c r="AT19" s="760" t="n">
        <v>1.41</v>
      </c>
      <c r="AU19" s="757"/>
      <c r="AV19" s="760" t="n">
        <v>1.303</v>
      </c>
      <c r="AW19" s="757"/>
      <c r="AX19" s="627" t="n">
        <v>1.421</v>
      </c>
      <c r="AY19" s="757"/>
      <c r="AZ19" s="756" t="n">
        <v>1.45</v>
      </c>
      <c r="BA19" s="627"/>
      <c r="BB19" s="761" t="n">
        <v>1.385</v>
      </c>
      <c r="BC19" s="627"/>
      <c r="BD19" s="627" t="n">
        <f aca="false">BJ19</f>
        <v>1.399</v>
      </c>
      <c r="BE19" s="627"/>
      <c r="BF19" s="627" t="n">
        <v>1.421</v>
      </c>
      <c r="BG19" s="627"/>
      <c r="BH19" s="627" t="n">
        <v>1.203</v>
      </c>
      <c r="BI19" s="627"/>
      <c r="BJ19" s="627" t="n">
        <v>1.399</v>
      </c>
      <c r="BK19" s="627"/>
      <c r="BL19" s="627" t="n">
        <v>1.419</v>
      </c>
      <c r="BM19" s="627"/>
      <c r="BN19" s="627" t="n">
        <v>1.048</v>
      </c>
      <c r="BO19" s="627"/>
    </row>
    <row r="20" s="762" customFormat="true" ht="15" hidden="false" customHeight="false" outlineLevel="0" collapsed="false">
      <c r="A20" s="762" t="s">
        <v>1122</v>
      </c>
      <c r="B20" s="763" t="n">
        <f aca="false">520*SQRT(B19*(POWER(2/(B19+1),(B19+1)/(B19-1))))</f>
        <v>356.93570525814</v>
      </c>
      <c r="C20" s="763" t="n">
        <f aca="false">520*SQRT(C19*(POWER(2/(C19+1),(C19+1)/(C19-1))))</f>
        <v>0</v>
      </c>
      <c r="D20" s="763"/>
      <c r="E20" s="763"/>
      <c r="F20" s="763" t="n">
        <f aca="false">520*SQRT(F19*(POWER(2/(F19+1),(F19+1)/(F19-1))))</f>
        <v>337.337147096451</v>
      </c>
      <c r="G20" s="763"/>
      <c r="H20" s="763" t="n">
        <f aca="false">520*SQRT(H19*(POWER(2/(H19+1),(H19+1)/(H19-1))))</f>
        <v>394.564681887597</v>
      </c>
      <c r="I20" s="763"/>
      <c r="J20" s="763" t="n">
        <f aca="false">520*SQRT(J19*(POWER(2/(J19+1),(J19+1)/(J19-1))))</f>
        <v>351.595335073394</v>
      </c>
      <c r="K20" s="763"/>
      <c r="L20" s="763" t="n">
        <f aca="false">520*SQRT(L19*(POWER(2/(L19+1),(L19+1)/(L19-1))))</f>
        <v>316.573694069394</v>
      </c>
      <c r="M20" s="763"/>
      <c r="N20" s="763" t="n">
        <f aca="false">520*SQRT(N19*(POWER(2/(N19+1),(N19+1)/(N19-1))))</f>
        <v>318.899760604517</v>
      </c>
      <c r="O20" s="763"/>
      <c r="P20" s="763" t="n">
        <f aca="false">520*SQRT(P19*(POWER(2/(P19+1),(P19+1)/(P19-1))))</f>
        <v>318.899760604517</v>
      </c>
      <c r="Q20" s="763"/>
      <c r="R20" s="763" t="n">
        <f aca="false">520*SQRT(R19*(POWER(2/(R19+1),(R19+1)/(R19-1))))</f>
        <v>363.737967688476</v>
      </c>
      <c r="S20" s="763"/>
      <c r="T20" s="763" t="n">
        <f aca="false">520*SQRT(T19*(POWER(2/(T19+1),(T19+1)/(T19-1))))</f>
        <v>363.737967688476</v>
      </c>
      <c r="U20" s="763"/>
      <c r="V20" s="763" t="n">
        <f aca="false">520*SQRT(V19*(POWER(2/(V19+1),(V19+1)/(V19-1))))</f>
        <v>356.93570525814</v>
      </c>
      <c r="W20" s="763"/>
      <c r="X20" s="763" t="n">
        <f aca="false">520*SQRT(X19*(POWER(2/(X19+1),(X19+1)/(X19-1))))</f>
        <v>356.93570525814</v>
      </c>
      <c r="Y20" s="763"/>
      <c r="Z20" s="763" t="n">
        <f aca="false">520*SQRT(Z19*(POWER(2/(Z19+1),(Z19+1)/(Z19-1))))</f>
        <v>356.93570525814</v>
      </c>
      <c r="AA20" s="763"/>
      <c r="AB20" s="763"/>
      <c r="AC20" s="763"/>
      <c r="AD20" s="763" t="n">
        <f aca="false">520*SQRT(AD19*(POWER(2/(AD19+1),(AD19+1)/(AD19-1))))</f>
        <v>360.380534865121</v>
      </c>
      <c r="AE20" s="763"/>
      <c r="AF20" s="763" t="n">
        <f aca="false">520*SQRT(AF19*(POWER(2/(AF19+1),(AF19+1)/(AF19-1))))</f>
        <v>360.380534865121</v>
      </c>
      <c r="AG20" s="763"/>
      <c r="AH20" s="764"/>
      <c r="AI20" s="763"/>
      <c r="AJ20" s="763" t="n">
        <f aca="false">520*SQRT(AJ19*(POWER(2/(AJ19+1),(AJ19+1)/(AJ19-1))))</f>
        <v>357.805330341912</v>
      </c>
      <c r="AK20" s="763"/>
      <c r="AL20" s="763" t="n">
        <f aca="false">520*SQRT(AL19*(POWER(2/(AL19+1),(AL19+1)/(AL19-1))))</f>
        <v>350.684168080492</v>
      </c>
      <c r="AM20" s="763"/>
      <c r="AN20" s="763" t="n">
        <f aca="false">520*SQRT(AN19*(POWER(2/(AN19+1),(AN19+1)/(AN19-1))))</f>
        <v>357.805330341912</v>
      </c>
      <c r="AO20" s="763"/>
      <c r="AP20" s="763" t="n">
        <f aca="false">520*SQRT(AP19*(POWER(2/(AP19+1),(AP19+1)/(AP19-1))))</f>
        <v>356.93570525814</v>
      </c>
      <c r="AQ20" s="763" t="n">
        <f aca="false">520*SQRT(AQ19*(POWER(2/(AQ19+1),(AQ19+1)/(AQ19-1))))</f>
        <v>0</v>
      </c>
      <c r="AR20" s="763" t="n">
        <f aca="false">520*SQRT(AR19*(POWER(2/(AR19+1),(AR19+1)/(AR19-1))))</f>
        <v>356.93570525814</v>
      </c>
      <c r="AS20" s="763"/>
      <c r="AT20" s="763" t="n">
        <f aca="false">520*SQRT(AT19*(POWER(2/(AT19+1),(AT19+1)/(AT19-1))))</f>
        <v>356.93570525814</v>
      </c>
      <c r="AU20" s="763"/>
      <c r="AV20" s="763" t="n">
        <f aca="false">520*SQRT(AV19*(POWER(2/(AV19+1),(AV19+1)/(AV19-1))))</f>
        <v>347.258073553139</v>
      </c>
      <c r="AW20" s="763"/>
      <c r="AX20" s="763" t="n">
        <f aca="false">520*SQRT(AX19*(POWER(2/(AX19+1),(AX19+1)/(AX19-1))))</f>
        <v>357.891980691823</v>
      </c>
      <c r="AY20" s="763"/>
      <c r="AZ20" s="763" t="n">
        <f aca="false">520*SQRT(AZ19*(POWER(2/(AZ19+1),(AZ19+1)/(AZ19-1))))</f>
        <v>360.380534865121</v>
      </c>
      <c r="BA20" s="763"/>
      <c r="BB20" s="765" t="n">
        <f aca="false">520*SQRT(BB19*(POWER(2/(BB19+1),(BB19+1)/(BB19-1))))</f>
        <v>354.736454985469</v>
      </c>
      <c r="BC20" s="763"/>
      <c r="BD20" s="763" t="n">
        <f aca="false">520*SQRT(BD19*(POWER(2/(BD19+1),(BD19+1)/(BD19-1))))</f>
        <v>355.972505140378</v>
      </c>
      <c r="BE20" s="763"/>
      <c r="BF20" s="763" t="n">
        <f aca="false">520*SQRT(BF19*(POWER(2/(BF19+1),(BF19+1)/(BF19-1))))</f>
        <v>357.891980691823</v>
      </c>
      <c r="BG20" s="763"/>
      <c r="BH20" s="763" t="n">
        <f aca="false">520*SQRT(BH19*(POWER(2/(BH19+1),(BH19+1)/(BH19-1))))</f>
        <v>337.538800089491</v>
      </c>
      <c r="BI20" s="763"/>
      <c r="BJ20" s="763" t="n">
        <f aca="false">520*SQRT(BJ19*(POWER(2/(BJ19+1),(BJ19+1)/(BJ19-1))))</f>
        <v>355.972505140378</v>
      </c>
      <c r="BK20" s="763"/>
      <c r="BL20" s="763" t="n">
        <f aca="false">520*SQRT(BL19*(POWER(2/(BL19+1),(BL19+1)/(BL19-1))))</f>
        <v>357.718623436703</v>
      </c>
      <c r="BM20" s="763"/>
      <c r="BN20" s="763" t="n">
        <f aca="false">520*SQRT(BN19*(POWER(2/(BN19+1),(BN19+1)/(BN19-1))))</f>
        <v>320.960491683896</v>
      </c>
      <c r="BO20" s="763"/>
    </row>
    <row r="21" s="541" customFormat="true" ht="15" hidden="false" customHeight="false" outlineLevel="0" collapsed="false">
      <c r="A21" s="743" t="s">
        <v>1297</v>
      </c>
      <c r="B21" s="766" t="n">
        <f aca="false">POWER(2/(B19+1),B19/(B19-1))*B11</f>
        <v>1.09533484902212</v>
      </c>
      <c r="C21" s="766" t="n">
        <f aca="false">POWER(2/(C19+1),C19/(C19-1))*C11</f>
        <v>0</v>
      </c>
      <c r="D21" s="766"/>
      <c r="E21" s="766"/>
      <c r="F21" s="766" t="n">
        <f aca="false">POWER(2/(F19+1),F19/(F19-1))*F11</f>
        <v>9.8015354588073</v>
      </c>
      <c r="G21" s="766"/>
      <c r="H21" s="766" t="n">
        <f aca="false">POWER(2/(H19+1),H19/(H19-1))*H11</f>
        <v>0.919428695023062</v>
      </c>
      <c r="I21" s="766"/>
      <c r="J21" s="766" t="n">
        <f aca="false">POWER(2/(J19+1),J19/(J19-1))*J11</f>
        <v>1.88434777655437</v>
      </c>
      <c r="K21" s="766"/>
      <c r="L21" s="766" t="n">
        <f aca="false">POWER(2/(L19+1),L19/(L19-1))*L11</f>
        <v>1.01093609605401</v>
      </c>
      <c r="M21" s="766"/>
      <c r="N21" s="766" t="n">
        <f aca="false">POWER(2/(N19+1),N19/(N19-1))*N11</f>
        <v>0.350277356291092</v>
      </c>
      <c r="O21" s="766"/>
      <c r="P21" s="766" t="n">
        <f aca="false">POWER(2/(P19+1),P19/(P19-1))*P11</f>
        <v>0.350277356291092</v>
      </c>
      <c r="Q21" s="766"/>
      <c r="R21" s="766" t="n">
        <f aca="false">POWER(2/(R19+1),R19/(R19-1))*R11</f>
        <v>1.10779047705603</v>
      </c>
      <c r="S21" s="766"/>
      <c r="T21" s="766" t="n">
        <f aca="false">POWER(2/(T19+1),T19/(T19-1))*T11</f>
        <v>1.10779047705603</v>
      </c>
      <c r="U21" s="766"/>
      <c r="V21" s="766" t="n">
        <f aca="false">POWER(2/(V19+1),V19/(V19-1))*V11</f>
        <v>0.498693318280743</v>
      </c>
      <c r="W21" s="766"/>
      <c r="X21" s="766" t="n">
        <f aca="false">POWER(2/(X19+1),X19/(X19-1))*X11</f>
        <v>0.498693318280743</v>
      </c>
      <c r="Y21" s="766"/>
      <c r="Z21" s="766" t="n">
        <f aca="false">POWER(2/(Z19+1),Z19/(Z19-1))*Z11</f>
        <v>0.284365778111511</v>
      </c>
      <c r="AA21" s="766"/>
      <c r="AB21" s="766"/>
      <c r="AC21" s="766"/>
      <c r="AD21" s="766" t="n">
        <f aca="false">POWER(2/(AD19+1),AD19/(AD19-1))*AD11</f>
        <v>1.0244061157723</v>
      </c>
      <c r="AE21" s="766"/>
      <c r="AF21" s="766" t="n">
        <f aca="false">POWER(2/(AF19+1),AF19/(AF19-1))*AF11</f>
        <v>1.0244061157723</v>
      </c>
      <c r="AG21" s="766"/>
      <c r="AH21" s="767"/>
      <c r="AI21" s="766"/>
      <c r="AJ21" s="766" t="n">
        <f aca="false">POWER(2/(AJ19+1),AJ19/(AJ19-1))*AJ11</f>
        <v>1.76746051928703</v>
      </c>
      <c r="AK21" s="766"/>
      <c r="AL21" s="766" t="n">
        <f aca="false">POWER(2/(AL19+1),AL19/(AL19-1))*AL11</f>
        <v>2.30521403504669</v>
      </c>
      <c r="AM21" s="766"/>
      <c r="AN21" s="766" t="n">
        <f aca="false">POWER(2/(AN19+1),AN19/(AN19-1))*AN11</f>
        <v>0.687666551905557</v>
      </c>
      <c r="AO21" s="766"/>
      <c r="AP21" s="766" t="n">
        <f aca="false">POWER(2/(AP19+1),AP19/(AP19-1))*AP11</f>
        <v>1.09533484902212</v>
      </c>
      <c r="AQ21" s="766" t="n">
        <f aca="false">POWER(2/(AQ19+1),AQ19/(AQ19-1))*AQ11</f>
        <v>0</v>
      </c>
      <c r="AR21" s="766" t="n">
        <f aca="false">POWER(2/(AR19+1),AR19/(AR19-1))*AR11</f>
        <v>0.620338678917334</v>
      </c>
      <c r="AS21" s="766"/>
      <c r="AT21" s="766" t="n">
        <f aca="false">POWER(2/(AT19+1),AT19/(AT19-1))*AT11</f>
        <v>0.620338678917334</v>
      </c>
      <c r="AU21" s="766"/>
      <c r="AV21" s="766" t="n">
        <f aca="false">POWER(2/(AV19+1),AV19/(AV19-1))*AV11</f>
        <v>0.492303109969314</v>
      </c>
      <c r="AW21" s="766"/>
      <c r="AX21" s="766" t="n">
        <f aca="false">POWER(2/(AX19+1),AX19/(AX19-1))*AX11</f>
        <v>0.618179328134845</v>
      </c>
      <c r="AY21" s="766"/>
      <c r="AZ21" s="766" t="n">
        <f aca="false">POWER(2/(AZ19+1),AZ19/(AZ19-1))*AZ11</f>
        <v>1.04156621821925</v>
      </c>
      <c r="BA21" s="766"/>
      <c r="BB21" s="768" t="n">
        <f aca="false">POWER(2/(BB19+1),BB19/(BB19-1))*BB11</f>
        <v>0.862266231286413</v>
      </c>
      <c r="BC21" s="766"/>
      <c r="BD21" s="766" t="n">
        <f aca="false">POWER(2/(BD19+1),BD19/(BD19-1))*BD11</f>
        <v>0.622514423445033</v>
      </c>
      <c r="BE21" s="766"/>
      <c r="BF21" s="766" t="n">
        <f aca="false">POWER(2/(BF19+1),BF19/(BF19-1))*BF11</f>
        <v>0.618179328134845</v>
      </c>
      <c r="BG21" s="766"/>
      <c r="BH21" s="766" t="n">
        <f aca="false">POWER(2/(BH19+1),BH19/(BH19-1))*BH11</f>
        <v>0.540207741036874</v>
      </c>
      <c r="BI21" s="766"/>
      <c r="BJ21" s="766" t="n">
        <f aca="false">POWER(2/(BJ19+1),BJ19/(BJ19-1))*BJ11</f>
        <v>0.157478181822258</v>
      </c>
      <c r="BK21" s="766"/>
      <c r="BL21" s="766" t="n">
        <f aca="false">POWER(2/(BL19+1),BL19/(BL19-1))*BL11</f>
        <v>0.156480540378398</v>
      </c>
      <c r="BM21" s="766"/>
      <c r="BN21" s="766" t="n">
        <f aca="false">POWER(2/(BN19+1),BN19/(BN19-1))*BN11</f>
        <v>1.0295829725515</v>
      </c>
      <c r="BO21" s="766"/>
    </row>
    <row r="22" s="771" customFormat="true" ht="15" hidden="false" customHeight="false" outlineLevel="0" collapsed="false">
      <c r="A22" s="755" t="s">
        <v>1298</v>
      </c>
      <c r="B22" s="756" t="n">
        <v>1.01</v>
      </c>
      <c r="C22" s="627"/>
      <c r="D22" s="756"/>
      <c r="E22" s="769"/>
      <c r="F22" s="756" t="n">
        <v>1.049</v>
      </c>
      <c r="G22" s="769"/>
      <c r="H22" s="758" t="n">
        <v>0.35</v>
      </c>
      <c r="I22" s="769"/>
      <c r="J22" s="770" t="n">
        <v>0.98</v>
      </c>
      <c r="K22" s="769"/>
      <c r="L22" s="769" t="n">
        <v>0.88</v>
      </c>
      <c r="M22" s="769"/>
      <c r="N22" s="770" t="n">
        <v>0.83</v>
      </c>
      <c r="O22" s="769"/>
      <c r="P22" s="756" t="n">
        <v>0.85</v>
      </c>
      <c r="Q22" s="769"/>
      <c r="R22" s="756" t="n">
        <v>0.88</v>
      </c>
      <c r="S22" s="769"/>
      <c r="T22" s="756" t="n">
        <v>0.88</v>
      </c>
      <c r="U22" s="769"/>
      <c r="V22" s="756" t="n">
        <v>0.93</v>
      </c>
      <c r="W22" s="769"/>
      <c r="X22" s="756" t="n">
        <v>0.93</v>
      </c>
      <c r="Y22" s="769"/>
      <c r="Z22" s="756" t="n">
        <v>0.93</v>
      </c>
      <c r="AA22" s="769"/>
      <c r="AB22" s="627"/>
      <c r="AC22" s="627"/>
      <c r="AD22" s="756" t="n">
        <v>0.91</v>
      </c>
      <c r="AE22" s="627"/>
      <c r="AF22" s="756" t="n">
        <v>0.91</v>
      </c>
      <c r="AG22" s="627"/>
      <c r="AH22" s="756"/>
      <c r="AI22" s="627"/>
      <c r="AJ22" s="756" t="n">
        <v>1.01</v>
      </c>
      <c r="AK22" s="627"/>
      <c r="AL22" s="756" t="n">
        <v>1</v>
      </c>
      <c r="AM22" s="627"/>
      <c r="AN22" s="756" t="n">
        <v>0.9401</v>
      </c>
      <c r="AO22" s="627"/>
      <c r="AP22" s="756" t="n">
        <v>1.01</v>
      </c>
      <c r="AQ22" s="627"/>
      <c r="AR22" s="760" t="n">
        <v>0.999</v>
      </c>
      <c r="AS22" s="627"/>
      <c r="AT22" s="760" t="n">
        <v>0.999</v>
      </c>
      <c r="AU22" s="627"/>
      <c r="AV22" s="760" t="n">
        <v>0.98</v>
      </c>
      <c r="AW22" s="627"/>
      <c r="AX22" s="627" t="n">
        <v>0.996</v>
      </c>
      <c r="AY22" s="627"/>
      <c r="AZ22" s="756" t="n">
        <v>0.91</v>
      </c>
      <c r="BA22" s="627"/>
      <c r="BB22" s="761" t="n">
        <v>0.9401</v>
      </c>
      <c r="BC22" s="627"/>
      <c r="BD22" s="627" t="n">
        <f aca="false">BJ22</f>
        <v>1</v>
      </c>
      <c r="BE22" s="627"/>
      <c r="BF22" s="627" t="n">
        <v>0.9961</v>
      </c>
      <c r="BG22" s="627"/>
      <c r="BH22" s="627" t="n">
        <v>0.953</v>
      </c>
      <c r="BI22" s="627"/>
      <c r="BJ22" s="627" t="n">
        <v>1</v>
      </c>
      <c r="BK22" s="627"/>
      <c r="BL22" s="627" t="n">
        <v>1.01</v>
      </c>
      <c r="BM22" s="627"/>
      <c r="BN22" s="627" t="n">
        <v>0.9491</v>
      </c>
      <c r="BO22" s="627"/>
    </row>
    <row r="23" s="563" customFormat="true" ht="15" hidden="false" customHeight="false" outlineLevel="0" collapsed="false">
      <c r="A23" s="563" t="s">
        <v>1142</v>
      </c>
      <c r="B23" s="763"/>
      <c r="C23" s="763" t="n">
        <v>0</v>
      </c>
      <c r="D23" s="763"/>
      <c r="E23" s="764" t="n">
        <v>796.1</v>
      </c>
      <c r="F23" s="763"/>
      <c r="G23" s="764" t="n">
        <v>575</v>
      </c>
      <c r="H23" s="763"/>
      <c r="I23" s="763"/>
      <c r="J23" s="763"/>
      <c r="K23" s="763"/>
      <c r="L23" s="763"/>
      <c r="M23" s="763" t="n">
        <f aca="false">I23</f>
        <v>0</v>
      </c>
      <c r="N23" s="763"/>
      <c r="O23" s="763"/>
      <c r="P23" s="763"/>
      <c r="Q23" s="763"/>
      <c r="R23" s="763"/>
      <c r="S23" s="763"/>
      <c r="T23" s="763"/>
      <c r="U23" s="763"/>
      <c r="V23" s="763"/>
      <c r="W23" s="763"/>
      <c r="X23" s="763"/>
      <c r="Y23" s="763"/>
      <c r="Z23" s="763"/>
      <c r="AA23" s="763"/>
      <c r="AC23" s="772" t="n">
        <v>831.01</v>
      </c>
      <c r="AH23" s="772"/>
      <c r="AI23" s="772" t="n">
        <v>953.71</v>
      </c>
      <c r="AK23" s="563" t="n">
        <v>0</v>
      </c>
      <c r="AP23" s="763"/>
      <c r="AQ23" s="763" t="n">
        <v>0</v>
      </c>
      <c r="AR23" s="763"/>
      <c r="AS23" s="763"/>
      <c r="AT23" s="763"/>
      <c r="AU23" s="763"/>
      <c r="AV23" s="763"/>
      <c r="AW23" s="763"/>
      <c r="AX23" s="763"/>
      <c r="AY23" s="763"/>
      <c r="BB23" s="773"/>
    </row>
    <row r="24" s="774" customFormat="true" ht="15" hidden="false" customHeight="false" outlineLevel="0" collapsed="false">
      <c r="A24" s="774" t="s">
        <v>1299</v>
      </c>
      <c r="B24" s="729" t="n">
        <v>10027.35</v>
      </c>
      <c r="C24" s="645"/>
      <c r="D24" s="775"/>
      <c r="E24" s="729" t="n">
        <f aca="false">309524*0.1</f>
        <v>30952.4</v>
      </c>
      <c r="F24" s="775" t="n">
        <v>21160</v>
      </c>
      <c r="G24" s="729" t="n">
        <v>294700</v>
      </c>
      <c r="H24" s="716" t="n">
        <v>19935.43</v>
      </c>
      <c r="I24" s="645"/>
      <c r="J24" s="775" t="n">
        <v>11804.68</v>
      </c>
      <c r="K24" s="645"/>
      <c r="L24" s="775" t="n">
        <v>35884.16</v>
      </c>
      <c r="M24" s="645" t="n">
        <f aca="false">I24</f>
        <v>0</v>
      </c>
      <c r="N24" s="775" t="n">
        <v>38398.87</v>
      </c>
      <c r="O24" s="645"/>
      <c r="P24" s="729" t="n">
        <v>69094.35</v>
      </c>
      <c r="Q24" s="645"/>
      <c r="R24" s="776" t="n">
        <v>10606.54</v>
      </c>
      <c r="S24" s="645"/>
      <c r="T24" s="729" t="n">
        <v>10606.54</v>
      </c>
      <c r="U24" s="645"/>
      <c r="V24" s="729" t="n">
        <v>9822.897</v>
      </c>
      <c r="W24" s="645"/>
      <c r="X24" s="729" t="n">
        <v>9822.897</v>
      </c>
      <c r="Y24" s="645"/>
      <c r="Z24" s="729" t="n">
        <v>470</v>
      </c>
      <c r="AA24" s="645"/>
      <c r="AB24" s="645"/>
      <c r="AC24" s="729" t="s">
        <v>1300</v>
      </c>
      <c r="AD24" s="729" t="n">
        <v>26881.05</v>
      </c>
      <c r="AE24" s="645"/>
      <c r="AF24" s="729" t="n">
        <v>26881.05</v>
      </c>
      <c r="AG24" s="645"/>
      <c r="AH24" s="729"/>
      <c r="AI24" s="729" t="n">
        <v>13100</v>
      </c>
      <c r="AJ24" s="777" t="n">
        <v>3370</v>
      </c>
      <c r="AK24" s="645" t="n">
        <v>0</v>
      </c>
      <c r="AL24" s="729" t="n">
        <v>6034.9</v>
      </c>
      <c r="AM24" s="645"/>
      <c r="AN24" s="729" t="n">
        <v>3110.92</v>
      </c>
      <c r="AO24" s="645"/>
      <c r="AP24" s="729" t="n">
        <v>10027.35</v>
      </c>
      <c r="AQ24" s="645"/>
      <c r="AR24" s="778" t="n">
        <v>2000</v>
      </c>
      <c r="AS24" s="645"/>
      <c r="AT24" s="729" t="n">
        <f aca="false">25.58*10.55*4</f>
        <v>1079.476</v>
      </c>
      <c r="AU24" s="645"/>
      <c r="AV24" s="729" t="n">
        <v>3800</v>
      </c>
      <c r="AW24" s="645"/>
      <c r="AX24" s="729" t="n">
        <v>1500</v>
      </c>
      <c r="AY24" s="645"/>
      <c r="AZ24" s="729" t="n">
        <v>20250</v>
      </c>
      <c r="BA24" s="645"/>
      <c r="BB24" s="779" t="n">
        <f aca="false">17222-5551</f>
        <v>11671</v>
      </c>
      <c r="BC24" s="645"/>
      <c r="BD24" s="645" t="n">
        <f aca="false">'机泵选型(基础设计)'!AH15*(BD8+0.1)/0.1*28</f>
        <v>0</v>
      </c>
      <c r="BE24" s="645"/>
      <c r="BF24" s="645" t="n">
        <v>900</v>
      </c>
      <c r="BG24" s="645"/>
      <c r="BH24" s="645" t="n">
        <v>2400</v>
      </c>
      <c r="BI24" s="645"/>
      <c r="BJ24" s="645" t="n">
        <f aca="false">129200/1000/22.4*28*(BJ8+0.1)/0.1</f>
        <v>161.5</v>
      </c>
      <c r="BK24" s="645"/>
      <c r="BL24" s="645" t="n">
        <f aca="false">汽液分离罐核算!C15</f>
        <v>4045</v>
      </c>
      <c r="BM24" s="645"/>
      <c r="BN24" s="645" t="n">
        <v>13090</v>
      </c>
      <c r="BO24" s="645"/>
    </row>
    <row r="25" s="780" customFormat="true" ht="15" hidden="false" customHeight="false" outlineLevel="0" collapsed="false">
      <c r="A25" s="379" t="s">
        <v>533</v>
      </c>
      <c r="B25" s="577" t="n">
        <v>1.1</v>
      </c>
      <c r="C25" s="577"/>
      <c r="D25" s="577" t="n">
        <v>1.1</v>
      </c>
      <c r="E25" s="577"/>
      <c r="F25" s="577" t="n">
        <v>1.1</v>
      </c>
      <c r="G25" s="577"/>
      <c r="H25" s="577" t="n">
        <v>1.1</v>
      </c>
      <c r="I25" s="577"/>
      <c r="J25" s="577" t="n">
        <v>1.1</v>
      </c>
      <c r="K25" s="577"/>
      <c r="L25" s="577" t="n">
        <f aca="false">H25</f>
        <v>1.1</v>
      </c>
      <c r="M25" s="577"/>
      <c r="N25" s="577" t="n">
        <f aca="false">L25</f>
        <v>1.1</v>
      </c>
      <c r="O25" s="577"/>
      <c r="P25" s="577" t="n">
        <v>1.1</v>
      </c>
      <c r="Q25" s="577"/>
      <c r="R25" s="577" t="n">
        <v>1.1</v>
      </c>
      <c r="S25" s="577"/>
      <c r="T25" s="577" t="n">
        <v>1.1</v>
      </c>
      <c r="U25" s="577"/>
      <c r="V25" s="577" t="n">
        <v>1.1</v>
      </c>
      <c r="W25" s="577"/>
      <c r="X25" s="577" t="n">
        <v>1.1</v>
      </c>
      <c r="Y25" s="577"/>
      <c r="Z25" s="577" t="n">
        <v>1.1</v>
      </c>
      <c r="AA25" s="577"/>
      <c r="AB25" s="577" t="n">
        <v>1.1</v>
      </c>
      <c r="AC25" s="577"/>
      <c r="AD25" s="577" t="n">
        <v>1.1</v>
      </c>
      <c r="AE25" s="577"/>
      <c r="AF25" s="577" t="n">
        <v>1.1</v>
      </c>
      <c r="AG25" s="577"/>
      <c r="AH25" s="577" t="n">
        <v>1.1</v>
      </c>
      <c r="AI25" s="577"/>
      <c r="AJ25" s="577" t="n">
        <v>1.1</v>
      </c>
      <c r="AK25" s="577"/>
      <c r="AL25" s="577" t="n">
        <f aca="false">AH25</f>
        <v>1.1</v>
      </c>
      <c r="AM25" s="577"/>
      <c r="AN25" s="577" t="n">
        <v>1.1</v>
      </c>
      <c r="AO25" s="577"/>
      <c r="AP25" s="577" t="n">
        <v>1.1</v>
      </c>
      <c r="AQ25" s="577"/>
      <c r="AR25" s="577" t="n">
        <v>1.1</v>
      </c>
      <c r="AS25" s="577"/>
      <c r="AT25" s="577" t="n">
        <v>1.1</v>
      </c>
      <c r="AU25" s="577"/>
      <c r="AV25" s="577" t="n">
        <v>1.2</v>
      </c>
      <c r="AW25" s="577"/>
      <c r="AX25" s="577" t="n">
        <v>1.2</v>
      </c>
      <c r="AY25" s="577"/>
      <c r="AZ25" s="577" t="n">
        <v>1.1</v>
      </c>
      <c r="BA25" s="577"/>
      <c r="BB25" s="577" t="n">
        <v>1.1</v>
      </c>
      <c r="BC25" s="577"/>
      <c r="BD25" s="577" t="n">
        <v>1.1</v>
      </c>
      <c r="BE25" s="577"/>
      <c r="BF25" s="577" t="n">
        <v>1.1</v>
      </c>
      <c r="BG25" s="577"/>
      <c r="BH25" s="577" t="n">
        <v>1.1</v>
      </c>
      <c r="BI25" s="577"/>
      <c r="BJ25" s="577" t="n">
        <v>1.1</v>
      </c>
      <c r="BK25" s="577"/>
      <c r="BL25" s="577" t="n">
        <v>1.1</v>
      </c>
      <c r="BM25" s="577"/>
      <c r="BN25" s="577" t="n">
        <v>1.1</v>
      </c>
      <c r="BO25" s="577"/>
    </row>
    <row r="26" s="724" customFormat="true" ht="15" hidden="false" customHeight="false" outlineLevel="0" collapsed="false">
      <c r="A26" s="781" t="s">
        <v>1301</v>
      </c>
      <c r="B26" s="577" t="n">
        <v>0.975</v>
      </c>
      <c r="C26" s="577"/>
      <c r="D26" s="577" t="n">
        <v>0.65</v>
      </c>
      <c r="E26" s="577"/>
      <c r="F26" s="745" t="n">
        <v>0.98</v>
      </c>
      <c r="G26" s="745"/>
      <c r="H26" s="577" t="n">
        <v>0.975</v>
      </c>
      <c r="I26" s="577"/>
      <c r="J26" s="577" t="n">
        <v>0.975</v>
      </c>
      <c r="K26" s="577"/>
      <c r="L26" s="577" t="n">
        <f aca="false">H26</f>
        <v>0.975</v>
      </c>
      <c r="M26" s="577"/>
      <c r="N26" s="577" t="n">
        <f aca="false">L26</f>
        <v>0.975</v>
      </c>
      <c r="O26" s="577"/>
      <c r="P26" s="577" t="n">
        <v>0.975</v>
      </c>
      <c r="Q26" s="577" t="e">
        <f aca="false">#REF!</f>
        <v>#REF!</v>
      </c>
      <c r="R26" s="577" t="n">
        <v>0.975</v>
      </c>
      <c r="S26" s="577"/>
      <c r="T26" s="577" t="n">
        <v>0.975</v>
      </c>
      <c r="U26" s="577" t="n">
        <v>0.65</v>
      </c>
      <c r="V26" s="577" t="n">
        <v>0.975</v>
      </c>
      <c r="W26" s="577" t="n">
        <v>0.65</v>
      </c>
      <c r="X26" s="577" t="n">
        <v>0.975</v>
      </c>
      <c r="Y26" s="577"/>
      <c r="Z26" s="577" t="n">
        <v>0.975</v>
      </c>
      <c r="AA26" s="577"/>
      <c r="AB26" s="577" t="n">
        <v>0.65</v>
      </c>
      <c r="AC26" s="577"/>
      <c r="AD26" s="577" t="n">
        <v>0.975</v>
      </c>
      <c r="AE26" s="577"/>
      <c r="AF26" s="577" t="n">
        <v>0.975</v>
      </c>
      <c r="AG26" s="577"/>
      <c r="AH26" s="577" t="n">
        <v>0.65</v>
      </c>
      <c r="AI26" s="577"/>
      <c r="AJ26" s="577" t="n">
        <v>0.975</v>
      </c>
      <c r="AK26" s="577"/>
      <c r="AL26" s="577" t="n">
        <v>0.975</v>
      </c>
      <c r="AM26" s="577" t="n">
        <f aca="false">AI26</f>
        <v>0</v>
      </c>
      <c r="AN26" s="577" t="n">
        <v>0.975</v>
      </c>
      <c r="AO26" s="577"/>
      <c r="AP26" s="577" t="n">
        <v>0.975</v>
      </c>
      <c r="AQ26" s="577"/>
      <c r="AR26" s="577" t="n">
        <v>0.65</v>
      </c>
      <c r="AS26" s="577"/>
      <c r="AT26" s="577" t="n">
        <v>0.65</v>
      </c>
      <c r="AU26" s="577"/>
      <c r="AV26" s="577" t="n">
        <v>0.65</v>
      </c>
      <c r="AW26" s="577"/>
      <c r="AX26" s="577" t="n">
        <v>0.65</v>
      </c>
      <c r="AY26" s="577"/>
      <c r="AZ26" s="577" t="n">
        <v>0.975</v>
      </c>
      <c r="BA26" s="577"/>
      <c r="BB26" s="577" t="n">
        <v>0.65</v>
      </c>
      <c r="BC26" s="577"/>
      <c r="BD26" s="577" t="n">
        <v>0.65</v>
      </c>
      <c r="BE26" s="577"/>
      <c r="BF26" s="577" t="n">
        <v>0.65</v>
      </c>
      <c r="BG26" s="577"/>
      <c r="BH26" s="577" t="n">
        <v>0.65</v>
      </c>
      <c r="BI26" s="577"/>
      <c r="BJ26" s="577" t="n">
        <v>0.65</v>
      </c>
      <c r="BK26" s="577"/>
      <c r="BL26" s="577" t="n">
        <v>0.65</v>
      </c>
      <c r="BM26" s="577"/>
      <c r="BN26" s="577" t="n">
        <v>0.65</v>
      </c>
      <c r="BO26" s="577"/>
    </row>
    <row r="27" s="724" customFormat="true" ht="15" hidden="false" customHeight="false" outlineLevel="0" collapsed="false">
      <c r="A27" s="781" t="s">
        <v>1302</v>
      </c>
      <c r="B27" s="577" t="n">
        <v>1</v>
      </c>
      <c r="C27" s="577"/>
      <c r="D27" s="577" t="n">
        <v>1</v>
      </c>
      <c r="E27" s="577"/>
      <c r="F27" s="577" t="n">
        <v>1</v>
      </c>
      <c r="G27" s="577"/>
      <c r="H27" s="577" t="n">
        <v>1</v>
      </c>
      <c r="I27" s="577"/>
      <c r="J27" s="577" t="n">
        <v>1</v>
      </c>
      <c r="K27" s="577"/>
      <c r="L27" s="577" t="n">
        <f aca="false">H27</f>
        <v>1</v>
      </c>
      <c r="M27" s="577"/>
      <c r="N27" s="577" t="n">
        <f aca="false">L27</f>
        <v>1</v>
      </c>
      <c r="O27" s="577"/>
      <c r="P27" s="577" t="n">
        <v>1</v>
      </c>
      <c r="Q27" s="577"/>
      <c r="R27" s="577" t="n">
        <v>1</v>
      </c>
      <c r="S27" s="577"/>
      <c r="T27" s="577" t="n">
        <v>1</v>
      </c>
      <c r="U27" s="577" t="n">
        <v>1</v>
      </c>
      <c r="V27" s="577" t="n">
        <v>1</v>
      </c>
      <c r="W27" s="577" t="n">
        <v>1</v>
      </c>
      <c r="X27" s="577" t="n">
        <v>1</v>
      </c>
      <c r="Y27" s="577"/>
      <c r="Z27" s="577" t="n">
        <v>1</v>
      </c>
      <c r="AA27" s="577"/>
      <c r="AB27" s="577" t="n">
        <v>1</v>
      </c>
      <c r="AC27" s="577"/>
      <c r="AD27" s="577" t="n">
        <v>1</v>
      </c>
      <c r="AE27" s="577"/>
      <c r="AF27" s="577" t="n">
        <v>1</v>
      </c>
      <c r="AG27" s="577"/>
      <c r="AH27" s="577" t="n">
        <v>1</v>
      </c>
      <c r="AI27" s="577"/>
      <c r="AJ27" s="577" t="n">
        <v>1</v>
      </c>
      <c r="AK27" s="577"/>
      <c r="AL27" s="577" t="n">
        <f aca="false">AH27</f>
        <v>1</v>
      </c>
      <c r="AM27" s="577"/>
      <c r="AN27" s="577" t="n">
        <v>1</v>
      </c>
      <c r="AO27" s="577"/>
      <c r="AP27" s="577" t="n">
        <v>1</v>
      </c>
      <c r="AQ27" s="577"/>
      <c r="AR27" s="577" t="n">
        <v>1</v>
      </c>
      <c r="AS27" s="577"/>
      <c r="AT27" s="577" t="n">
        <v>1</v>
      </c>
      <c r="AU27" s="577"/>
      <c r="AV27" s="577" t="n">
        <v>1</v>
      </c>
      <c r="AW27" s="577"/>
      <c r="AX27" s="577" t="n">
        <v>1</v>
      </c>
      <c r="AY27" s="577"/>
      <c r="AZ27" s="577" t="n">
        <v>1</v>
      </c>
      <c r="BA27" s="577"/>
      <c r="BB27" s="577" t="n">
        <v>1</v>
      </c>
      <c r="BC27" s="577"/>
      <c r="BD27" s="577" t="n">
        <v>1</v>
      </c>
      <c r="BE27" s="577"/>
      <c r="BF27" s="577" t="n">
        <v>1</v>
      </c>
      <c r="BG27" s="577"/>
      <c r="BH27" s="577" t="n">
        <v>1</v>
      </c>
      <c r="BI27" s="577"/>
      <c r="BJ27" s="577" t="n">
        <v>1</v>
      </c>
      <c r="BK27" s="577"/>
      <c r="BL27" s="577" t="n">
        <v>1</v>
      </c>
      <c r="BM27" s="577"/>
      <c r="BN27" s="577" t="n">
        <v>1</v>
      </c>
      <c r="BO27" s="577"/>
    </row>
    <row r="28" s="724" customFormat="true" ht="15" hidden="false" customHeight="false" outlineLevel="0" collapsed="false">
      <c r="A28" s="781" t="s">
        <v>1303</v>
      </c>
      <c r="B28" s="780" t="n">
        <v>1</v>
      </c>
      <c r="C28" s="581"/>
      <c r="D28" s="581"/>
      <c r="E28" s="581" t="n">
        <v>1</v>
      </c>
      <c r="F28" s="581" t="n">
        <v>1</v>
      </c>
      <c r="G28" s="581" t="n">
        <v>1</v>
      </c>
      <c r="H28" s="581" t="n">
        <v>1</v>
      </c>
      <c r="I28" s="782"/>
      <c r="J28" s="581" t="n">
        <v>1</v>
      </c>
      <c r="K28" s="782"/>
      <c r="L28" s="581" t="n">
        <f aca="false">H28</f>
        <v>1</v>
      </c>
      <c r="M28" s="782"/>
      <c r="N28" s="581" t="n">
        <f aca="false">L28</f>
        <v>1</v>
      </c>
      <c r="O28" s="782"/>
      <c r="P28" s="782"/>
      <c r="Q28" s="581" t="n">
        <v>1</v>
      </c>
      <c r="R28" s="581" t="n">
        <v>1</v>
      </c>
      <c r="S28" s="782"/>
      <c r="T28" s="782" t="n">
        <v>1</v>
      </c>
      <c r="U28" s="581" t="n">
        <v>1</v>
      </c>
      <c r="V28" s="782" t="n">
        <v>1</v>
      </c>
      <c r="W28" s="581"/>
      <c r="X28" s="780" t="n">
        <v>1</v>
      </c>
      <c r="Y28" s="780"/>
      <c r="Z28" s="780" t="n">
        <v>1</v>
      </c>
      <c r="AA28" s="780"/>
      <c r="AB28" s="724" t="n">
        <v>1</v>
      </c>
      <c r="AC28" s="724" t="n">
        <v>1</v>
      </c>
      <c r="AD28" s="724" t="n">
        <v>1</v>
      </c>
      <c r="AF28" s="724" t="n">
        <v>1</v>
      </c>
      <c r="AH28" s="724" t="n">
        <v>1</v>
      </c>
      <c r="AI28" s="724" t="n">
        <v>1</v>
      </c>
      <c r="AJ28" s="724" t="n">
        <v>1</v>
      </c>
      <c r="AK28" s="724" t="n">
        <v>1</v>
      </c>
      <c r="AM28" s="724" t="n">
        <f aca="false">AI28</f>
        <v>1</v>
      </c>
      <c r="AN28" s="724" t="n">
        <v>1</v>
      </c>
      <c r="AP28" s="780" t="n">
        <v>1</v>
      </c>
      <c r="AQ28" s="581"/>
      <c r="AR28" s="581" t="n">
        <v>1</v>
      </c>
      <c r="AS28" s="581"/>
      <c r="AT28" s="581" t="n">
        <v>1</v>
      </c>
      <c r="AU28" s="581"/>
      <c r="AV28" s="581" t="n">
        <v>1</v>
      </c>
      <c r="AW28" s="581"/>
      <c r="AX28" s="581" t="n">
        <v>1</v>
      </c>
      <c r="AY28" s="581"/>
      <c r="AZ28" s="724" t="n">
        <v>1</v>
      </c>
      <c r="BB28" s="783" t="n">
        <v>1</v>
      </c>
      <c r="BD28" s="724" t="n">
        <v>1</v>
      </c>
      <c r="BF28" s="724" t="n">
        <v>1</v>
      </c>
      <c r="BH28" s="724" t="n">
        <v>1</v>
      </c>
      <c r="BJ28" s="724" t="n">
        <v>1</v>
      </c>
      <c r="BL28" s="724" t="n">
        <v>1</v>
      </c>
      <c r="BN28" s="724" t="n">
        <v>1</v>
      </c>
    </row>
    <row r="29" s="774" customFormat="true" ht="15" hidden="false" customHeight="false" outlineLevel="0" collapsed="false">
      <c r="A29" s="774" t="s">
        <v>1304</v>
      </c>
      <c r="B29" s="716" t="n">
        <f aca="false">B24*B25</f>
        <v>11030.085</v>
      </c>
      <c r="C29" s="716" t="n">
        <f aca="false">C24*B25</f>
        <v>0</v>
      </c>
      <c r="D29" s="716"/>
      <c r="E29" s="716" t="n">
        <f aca="false">E24*D25</f>
        <v>34047.64</v>
      </c>
      <c r="F29" s="716" t="n">
        <f aca="false">F24*F25</f>
        <v>23276</v>
      </c>
      <c r="G29" s="716" t="n">
        <f aca="false">G24*F25</f>
        <v>324170</v>
      </c>
      <c r="H29" s="716" t="n">
        <f aca="false">H24*H25</f>
        <v>21928.973</v>
      </c>
      <c r="I29" s="716"/>
      <c r="J29" s="716" t="n">
        <f aca="false">J24*J25</f>
        <v>12985.148</v>
      </c>
      <c r="K29" s="716" t="n">
        <f aca="false">K24*J25</f>
        <v>0</v>
      </c>
      <c r="L29" s="716" t="n">
        <f aca="false">L24*L25</f>
        <v>39472.576</v>
      </c>
      <c r="M29" s="716" t="n">
        <f aca="false">I29</f>
        <v>0</v>
      </c>
      <c r="N29" s="716" t="n">
        <f aca="false">N24*N25</f>
        <v>42238.757</v>
      </c>
      <c r="O29" s="716" t="n">
        <f aca="false">M29</f>
        <v>0</v>
      </c>
      <c r="P29" s="716" t="n">
        <f aca="false">P24*P25</f>
        <v>76003.785</v>
      </c>
      <c r="Q29" s="716" t="n">
        <f aca="false">Q24*P25</f>
        <v>0</v>
      </c>
      <c r="R29" s="716" t="n">
        <f aca="false">R24*R25</f>
        <v>11667.194</v>
      </c>
      <c r="S29" s="716"/>
      <c r="T29" s="716" t="n">
        <f aca="false">T24*T25</f>
        <v>11667.194</v>
      </c>
      <c r="U29" s="716"/>
      <c r="V29" s="716" t="n">
        <f aca="false">V24*V25</f>
        <v>10805.1867</v>
      </c>
      <c r="W29" s="716"/>
      <c r="X29" s="716" t="n">
        <f aca="false">X24*X25</f>
        <v>10805.1867</v>
      </c>
      <c r="Y29" s="716"/>
      <c r="Z29" s="716" t="n">
        <f aca="false">Z24*Z25</f>
        <v>517</v>
      </c>
      <c r="AA29" s="716"/>
      <c r="AB29" s="716" t="n">
        <f aca="false">AB24*AB25</f>
        <v>0</v>
      </c>
      <c r="AC29" s="716" t="n">
        <f aca="false">AC24*AB25</f>
        <v>2813.261</v>
      </c>
      <c r="AD29" s="716" t="n">
        <f aca="false">AD24*AD25</f>
        <v>29569.155</v>
      </c>
      <c r="AE29" s="716" t="n">
        <f aca="false">AE24*AE25</f>
        <v>0</v>
      </c>
      <c r="AF29" s="716" t="n">
        <f aca="false">AF24*AF25</f>
        <v>29569.155</v>
      </c>
      <c r="AG29" s="716" t="n">
        <f aca="false">AG24*AG25</f>
        <v>0</v>
      </c>
      <c r="AH29" s="716" t="n">
        <f aca="false">AH24*AH25</f>
        <v>0</v>
      </c>
      <c r="AI29" s="716" t="n">
        <f aca="false">AH25*AI24</f>
        <v>14410</v>
      </c>
      <c r="AJ29" s="716" t="n">
        <f aca="false">AJ24*AJ25</f>
        <v>3707</v>
      </c>
      <c r="AK29" s="716" t="n">
        <f aca="false">AK24*AJ25</f>
        <v>0</v>
      </c>
      <c r="AL29" s="716" t="n">
        <f aca="false">AL24*AL25</f>
        <v>6638.39</v>
      </c>
      <c r="AM29" s="716" t="n">
        <f aca="false">AM24*AL25</f>
        <v>0</v>
      </c>
      <c r="AN29" s="716" t="n">
        <f aca="false">AN24*AN25</f>
        <v>3422.012</v>
      </c>
      <c r="AO29" s="716" t="n">
        <f aca="false">AO24*AO25</f>
        <v>0</v>
      </c>
      <c r="AP29" s="716" t="n">
        <f aca="false">AP24*AP25</f>
        <v>11030.085</v>
      </c>
      <c r="AQ29" s="716" t="n">
        <f aca="false">AQ24*AP25</f>
        <v>0</v>
      </c>
      <c r="AR29" s="716" t="n">
        <f aca="false">AR24*AR25</f>
        <v>2200</v>
      </c>
      <c r="AS29" s="716"/>
      <c r="AT29" s="716" t="n">
        <f aca="false">AT24*AT25</f>
        <v>1187.4236</v>
      </c>
      <c r="AU29" s="716"/>
      <c r="AV29" s="716" t="n">
        <f aca="false">AV24*AV25</f>
        <v>4560</v>
      </c>
      <c r="AW29" s="716"/>
      <c r="AX29" s="716" t="n">
        <f aca="false">AX24*AX25</f>
        <v>1800</v>
      </c>
      <c r="AY29" s="716"/>
      <c r="AZ29" s="716" t="n">
        <f aca="false">AZ24*AZ25</f>
        <v>22275</v>
      </c>
      <c r="BA29" s="716" t="n">
        <f aca="false">BA24*BA25</f>
        <v>0</v>
      </c>
      <c r="BB29" s="784" t="n">
        <f aca="false">BB24*BB25</f>
        <v>12838.1</v>
      </c>
      <c r="BC29" s="716" t="n">
        <f aca="false">BC24*BC25</f>
        <v>0</v>
      </c>
      <c r="BD29" s="716" t="n">
        <f aca="false">BD24*BD25</f>
        <v>0</v>
      </c>
      <c r="BE29" s="716" t="n">
        <f aca="false">BE24*BE25</f>
        <v>0</v>
      </c>
      <c r="BF29" s="716" t="n">
        <f aca="false">BF24*BF25</f>
        <v>990</v>
      </c>
      <c r="BG29" s="716" t="n">
        <f aca="false">BG24*BG25</f>
        <v>0</v>
      </c>
      <c r="BH29" s="716" t="n">
        <f aca="false">BH24*BH25</f>
        <v>2640</v>
      </c>
      <c r="BI29" s="716" t="n">
        <f aca="false">BI24*BI25</f>
        <v>0</v>
      </c>
      <c r="BJ29" s="716" t="n">
        <f aca="false">BJ24*BJ25</f>
        <v>177.65</v>
      </c>
      <c r="BK29" s="716" t="n">
        <f aca="false">BK24*BK25</f>
        <v>0</v>
      </c>
      <c r="BL29" s="716" t="n">
        <f aca="false">BL24*BL25</f>
        <v>4449.5</v>
      </c>
      <c r="BM29" s="716" t="n">
        <f aca="false">BM24*BM25</f>
        <v>0</v>
      </c>
      <c r="BN29" s="716" t="n">
        <f aca="false">BN24*BN25</f>
        <v>14399</v>
      </c>
      <c r="BO29" s="716" t="n">
        <f aca="false">BO24*BO25</f>
        <v>0</v>
      </c>
    </row>
    <row r="30" s="774" customFormat="true" ht="15" hidden="false" customHeight="false" outlineLevel="0" collapsed="false">
      <c r="A30" s="774" t="s">
        <v>1305</v>
      </c>
      <c r="B30" s="716" t="n">
        <f aca="false">IF(B12/B11&gt;POWER(2/(B19+1),B19/(B19-1)),B29/55.84/B26/B11/SQRT(B6/B22/B16*SQRT(B19/(B19-1)*(POWER(B12/B11,2/B19)-POWER(B12/B11,(B19+1)/B19)))),B29/0.076/B20/B26/B11/SQRT(B6/B22/B16))</f>
        <v>2765.28042158806</v>
      </c>
      <c r="C30" s="716"/>
      <c r="D30" s="716"/>
      <c r="E30" s="716" t="n">
        <f aca="false">0.196*E29/E23/D26/D27/E28*SQRT(E23/(D11-D12))</f>
        <v>280.731584051039</v>
      </c>
      <c r="F30" s="716" t="n">
        <f aca="false">IF(F12/F11&gt;POWER(2/(F19+1),F19/(F19-1)),F29/55.84/F26/F11/SQRT(F6/F22/F16*SQRT(F19/(F19-1)*(POWER(F12/F11,2/F19)-POWER(F12/F11,(F19+1)/F19)))),F29/0.076/F20/F26/F11/SQRT(F6/F22/F16))</f>
        <v>397.706424212571</v>
      </c>
      <c r="G30" s="716" t="n">
        <f aca="false">0.196*G29/G23/F26/F27/G28*SQRT(G23/(F11-F12))</f>
        <v>712.9998710444</v>
      </c>
      <c r="H30" s="716" t="n">
        <f aca="false">IF(H12/H11&gt;POWER(2/(H19+1),H19/(H19-1)),H29/55.84/H26/H11/SQRT(H6/H22/H16*SQRT(H19/(H19-1)*(POWER(H12/H11,2/H19)-POWER(H12/H11,(H19+1)/H19)))),H29/0.076/H20/H26/H11/SQRT(H6/H22/H16))</f>
        <v>400.684467048159</v>
      </c>
      <c r="I30" s="716"/>
      <c r="J30" s="716" t="n">
        <f aca="false">IF(J12/J11&gt;POWER(2/(J19+1),J19/(J19-1)),J29/55.84/J26/J11/SQRT(J6/J22/J16*SQRT(J19/(J19-1)*(POWER(J12/J11,2/J19)-POWER(J12/J11,(J19+1)/J19)))),J29/0.076/J20/J26/J11/SQRT(J6/J22/J16))</f>
        <v>672.059055854093</v>
      </c>
      <c r="K30" s="716" t="n">
        <f aca="false">0.196*78.62*SQRT(K23/(J11-J12))/J26/J28</f>
        <v>0</v>
      </c>
      <c r="L30" s="716" t="n">
        <f aca="false">IF(L12/L11&gt;POWER(2/(L19+1),L19/(L19-1)),L29/55.84/L26/L11/SQRT(L6/L22/L16*SQRT(L19/(L19-1)*(POWER(L12/L11,2/L19)-POWER(L12/L11,(L19+1)/L19)))),L29/0.076/L20/L26/L11/SQRT(L6/L22/L16))</f>
        <v>2121.20112760129</v>
      </c>
      <c r="M30" s="716"/>
      <c r="N30" s="716" t="n">
        <f aca="false">IF(N12/N11&gt;POWER(2/(N19+1),N19/(N19-1)),N29/55.84/N26/N11/SQRT(N6/N22/N16*SQRT(N19/(N19-1)*(POWER(N12/N11,2/N19)-POWER(N12/N11,(N19+1)/N19)))),N29/0.076/N20/N26/N11/SQRT(N6/N22/N16))</f>
        <v>4784.38617698224</v>
      </c>
      <c r="O30" s="716" t="n">
        <v>0</v>
      </c>
      <c r="P30" s="716" t="n">
        <f aca="false">IF(P12/P11&gt;POWER(2/(P19+1),P19/(P19-1)),P29/55.84/P26/P11/SQRT(P6/P22/P16*SQRT(P19/(P19-1)*(POWER(P12/P11,2/P19)-POWER(P12/P11,(P19+1)/P19)))),P29/0.076/P20/P26/P11/SQRT(P6/P22/P16))</f>
        <v>9090.1425435283</v>
      </c>
      <c r="Q30" s="716"/>
      <c r="R30" s="716" t="n">
        <f aca="false">0.19*R29/R11/R26</f>
        <v>1054.05982192742</v>
      </c>
      <c r="S30" s="716"/>
      <c r="T30" s="716" t="n">
        <f aca="false">0.19*T29/T11/T26</f>
        <v>1054.05982192742</v>
      </c>
      <c r="U30" s="716"/>
      <c r="V30" s="716" t="n">
        <f aca="false">0.19*V29/V11/V26</f>
        <v>2223.47003817724</v>
      </c>
      <c r="W30" s="716"/>
      <c r="X30" s="716" t="n">
        <f aca="false">0.19*X29/X11/X26</f>
        <v>2223.47003817724</v>
      </c>
      <c r="Y30" s="716"/>
      <c r="Z30" s="716" t="n">
        <f aca="false">0.19*Z29/Z11/Z26</f>
        <v>186.571699905033</v>
      </c>
      <c r="AA30" s="716"/>
      <c r="AB30" s="716"/>
      <c r="AC30" s="716" t="n">
        <f aca="false">0.196*AC29/AC23/AB26/AB27/AC28*SQRT(AC23/(AB11-AB12))</f>
        <v>16.5019799618784</v>
      </c>
      <c r="AD30" s="716" t="n">
        <f aca="false">0.19*AD29/AD11/AD26</f>
        <v>2924.97172979305</v>
      </c>
      <c r="AE30" s="716"/>
      <c r="AF30" s="716" t="n">
        <f aca="false">IF(AF12/AF11&gt;POWER(2/(AF19+1),AF19/(AF19-1)),AF29/55.84/AF26/AF11/SQRT(AF6/AF22/AF16*SQRT(AF19/(AF19-1)*(POWER(AF12/AF11,2/AF19)-POWER(AF12/AF11,(AF19+1)/AF19)))),AF29/0.076/AF20/AF26/AF11/SQRT(AF6/AF22/AF16))</f>
        <v>2794.27045972471</v>
      </c>
      <c r="AG30" s="716"/>
      <c r="AH30" s="716"/>
      <c r="AI30" s="716" t="n">
        <f aca="false">0.196*AI29/AI23/AH26/AH27/AI28*SQRT(AI23/(AH11-AH12))</f>
        <v>145.122449620569</v>
      </c>
      <c r="AJ30" s="716" t="n">
        <f aca="false">IF(AJ12/AJ11&gt;POWER(2/(AJ19+1),AJ19/(AJ19-1)),AJ29/55.84/AJ26/AJ11/SQRT(AJ6/AJ22/AJ16*SQRT(AJ19/(AJ19-1)*(POWER(AJ12/AJ11,2/AJ19)-POWER(AJ12/AJ11,(AJ19+1)/AJ19)))),AJ29/0.076/AJ20/AJ26/AJ11/SQRT(AJ6/AJ22/AJ16))</f>
        <v>518.326402528315</v>
      </c>
      <c r="AK30" s="716"/>
      <c r="AL30" s="716" t="n">
        <f aca="false">IF(AL12/AL11&gt;POWER(2/(AL19+1),AL19/(AL19-1)),AL29/55.84/AL26/AL11/SQRT(AL6/AL22/AL16*SQRT(AL19/(AL19-1)*(POWER(AL12/AL11,2/AL19)-POWER(AL12/AL11,(AL19+1)/AL19)))),AL29/0.076/AL20/AL26/AL11/SQRT(AL6/AL22/AL16))</f>
        <v>387.572068481677</v>
      </c>
      <c r="AM30" s="716"/>
      <c r="AN30" s="716" t="n">
        <f aca="false">IF(AN12/AN11&gt;POWER(2/(AN19+1),AN19/(AN19-1)),AN29/55.84/AN26/AN11/SQRT(AN6/AN22/AN16*SQRT(AN19/(AN19-1)*(POWER(AN12/AN11,2/AN19)-POWER(AN12/AN11,(AN19+1)/AN19)))),AN29/0.076/AN20/AN26/AN11/SQRT(AN6/AN22/AN16))</f>
        <v>482.415228355209</v>
      </c>
      <c r="AO30" s="716"/>
      <c r="AP30" s="716" t="n">
        <f aca="false">IF(AP12/AP11&gt;POWER(2/(AP19+1),AP19/(AP19-1)),AP29/55.84/AP26/AP11/SQRT(AP6/AP22/AP16*SQRT(AP19/(AP19-1)*(POWER(AP12/AP11,2/AP19)-POWER(AP12/AP11,(AP19+1)/AP19)))),AP29/0.076/AP20/AP26/AP11/SQRT(AP6/AP22/AP16))</f>
        <v>2765.28042158806</v>
      </c>
      <c r="AQ30" s="716"/>
      <c r="AR30" s="716" t="n">
        <f aca="false">IF(AR12/AR11&gt;POWER(2/(AR19+1),AR19/(AR19-1)),AR29/55.84/AR26/AR11/SQRT(AR6/AR22/AR16*SQRT(AR19/(AR19-1)*(POWER(AR12/AR11,2/AR19)-POWER(AR12/AR11,(AR19+1)/AR19)))),AR29/0.076/AR20/AR26/AR11/SQRT(AR6/AR22/AR16))</f>
        <v>354.030260065856</v>
      </c>
      <c r="AS30" s="716"/>
      <c r="AT30" s="716" t="n">
        <f aca="false">IF(AT12/AT11&gt;POWER(2/(AT19+1),AT19/(AT19-1)),AT29/55.84/AT26/AT11/SQRT(AT6/AT22/AT16*SQRT(AT19/(AT19-1)*(POWER(AT12/AT11,2/AT19)-POWER(AT12/AT11,(AT19+1)/AT19)))),AT29/0.076/AT20/AT26/AT11/SQRT(AT6/AT22/AT16))</f>
        <v>191.083584507425</v>
      </c>
      <c r="AU30" s="716"/>
      <c r="AV30" s="716" t="n">
        <f aca="false">IF(AV12/AV11&gt;POWER(2/(AV19+1),AV19/(AV19-1)),AV29/55.84/AV26/AV11/SQRT(AV6/AV22/AV16*SQRT(AV19/(AV19-1)*(POWER(AV12/AV11,2/AV19)-POWER(AV12/AV11,(AV19+1)/AV19)))),AV29/0.076/AV20/AV26/AV11/SQRT(AV6/AV22/AV16))</f>
        <v>1189.34571721439</v>
      </c>
      <c r="AW30" s="716"/>
      <c r="AX30" s="716" t="n">
        <f aca="false">IF(AX12/AX11&gt;POWER(2/(AX19+1),AX19/(AX19-1)),AX29/55.84/AX26/AX11/SQRT(AX6/AX22/AX16*SQRT(AX19/(AX19-1)*(POWER(AX12/AX11,2/AX19)-POWER(AX12/AX11,(AX19+1)/AX19)))),AX29/0.076/AX20/AX26/AX11/SQRT(AX6/AX22/AX16))</f>
        <v>283.436108599489</v>
      </c>
      <c r="AY30" s="716"/>
      <c r="AZ30" s="716" t="n">
        <f aca="false">IF(AZ12/AZ11&gt;POWER(2/(AZ19+1),AZ19/(AZ19-1)),AZ29/55.84/AZ26/AZ11/SQRT(AZ6/AZ22/AZ16*SQRT(AZ19/(AZ19-1)*(POWER(AZ12/AZ11,2/AZ19)-POWER(AZ12/AZ11,(AZ19+1)/AZ19)))),AZ29/0.076/AZ20/AZ26/AZ11/SQRT(AZ6/AZ22/AZ16))</f>
        <v>2140.49219012354</v>
      </c>
      <c r="BA30" s="716"/>
      <c r="BB30" s="784" t="n">
        <f aca="false">IF(BB12/BB11&gt;POWER(2/(BB19+1),BB19/(BB19-1)),BB29/55.84/BB26/BB11/SQRT(BB6/BB22/BB16*SQRT(BB19/(BB19-1)*(POWER(BB12/BB11,2/BB19)-POWER(BB12/BB11,(BB19+1)/BB19)))),BB29/0.076/BB20/BB26/BB11/SQRT(BB6/BB22/BB16))</f>
        <v>2213.33363128004</v>
      </c>
      <c r="BC30" s="716"/>
      <c r="BD30" s="716" t="n">
        <f aca="false">IF(BD12/BD11&gt;POWER(2/(BD19+1),BD19/(BD19-1)),BD29/55.84/BD26/BD11/SQRT(BD6/BD22/BD16*SQRT(BD19/(BD19-1)*(POWER(BD12/BD11,2/BD19)-POWER(BD12/BD11,(BD19+1)/BD19)))),BD29/0.076/BD20/BD26/BD11/SQRT(BD6/BD22/BD16))</f>
        <v>0</v>
      </c>
      <c r="BE30" s="716"/>
      <c r="BF30" s="716" t="n">
        <f aca="false">IF(BF12/BF11&gt;POWER(2/(BF19+1),BF19/(BF19-1)),BF29/55.84/BF26/BF11/SQRT(BF6/BF22/BF16*SQRT(BF19/(BF19-1)*(POWER(BF12/BF11,2/BF19)-POWER(BF12/BF11,(BF19+1)/BF19)))),BF29/0.076/BF20/BF26/BF11/SQRT(BF6/BF22/BF16))</f>
        <v>155.89768532947</v>
      </c>
      <c r="BG30" s="716"/>
      <c r="BH30" s="716" t="n">
        <f aca="false">IF(BH12/BH11&gt;POWER(2/(BH19+1),BH19/(BH19-1)),BH29/55.84/BH26/BH11/SQRT(BH6/BH22/BH16*SQRT(BH19/(BH19-1)*(POWER(BH12/BH11,2/BH19)-POWER(BH12/BH11,(BH19+1)/BH19)))),BH29/0.076/BH20/BH26/BH11/SQRT(BH6/BH22/BH16))</f>
        <v>646.536606404182</v>
      </c>
      <c r="BI30" s="716"/>
      <c r="BJ30" s="716" t="n">
        <f aca="false">IF(BJ12/BJ11&gt;POWER(2/(BJ19+1),BJ19/(BJ19-1)),BJ29/55.84/BJ26/BJ11/SQRT(BJ6/BJ22/BJ16*SQRT(BJ19/(BJ19-1)*(POWER(BJ12/BJ11,2/BJ19)-POWER(BJ12/BJ11,(BJ19+1)/BJ19)))),BJ29/0.076/BJ20/BJ26/BJ11/SQRT(BJ6/BJ22/BJ16))</f>
        <v>117.809747212903</v>
      </c>
      <c r="BK30" s="716"/>
      <c r="BL30" s="716" t="n">
        <f aca="false">IF(BL12/BL11&gt;POWER(2/(BL19+1),BL19/(BL19-1)),BL29/55.84/BL26/BL11/SQRT(BL6/BL22/BL16*SQRT(BL19/(BL19-1)*(POWER(BL12/BL11,2/BL19)-POWER(BL12/BL11,(BL19+1)/BL19)))),BL29/0.076/BL20/BL26/BL11/SQRT(BL6/BL22/BL16))</f>
        <v>10546.6691706767</v>
      </c>
      <c r="BM30" s="716"/>
      <c r="BN30" s="716" t="n">
        <f aca="false">IF(BN12/BN11&gt;POWER(2/(BN19+1),BN19/(BN19-1)),BN29/55.84/BN26/BN11/SQRT(BN6/BN22/BN16*SQRT(BN19/(BN19-1)*(POWER(BN12/BN11,2/BN19)-POWER(BN12/BN11,(BN19+1)/BN19)))),BN29/0.076/BN20/BN26/BN11/SQRT(BN6/BN22/BN16))</f>
        <v>2485.28808927031</v>
      </c>
      <c r="BO30" s="716"/>
    </row>
    <row r="31" s="774" customFormat="true" ht="15" hidden="false" customHeight="false" outlineLevel="0" collapsed="false">
      <c r="A31" s="774" t="s">
        <v>1306</v>
      </c>
      <c r="B31" s="785" t="n">
        <f aca="false">B30+C30</f>
        <v>2765.28042158806</v>
      </c>
      <c r="C31" s="785"/>
      <c r="D31" s="785" t="n">
        <f aca="false">D30+E30</f>
        <v>280.731584051039</v>
      </c>
      <c r="E31" s="785"/>
      <c r="F31" s="785" t="n">
        <f aca="false">F30+G30</f>
        <v>1110.70629525697</v>
      </c>
      <c r="G31" s="785"/>
      <c r="H31" s="785" t="n">
        <f aca="false">H30+I30</f>
        <v>400.684467048159</v>
      </c>
      <c r="I31" s="785"/>
      <c r="J31" s="785" t="n">
        <f aca="false">J30+K30</f>
        <v>672.059055854093</v>
      </c>
      <c r="K31" s="785"/>
      <c r="L31" s="785" t="n">
        <f aca="false">L30+M30</f>
        <v>2121.20112760129</v>
      </c>
      <c r="M31" s="785"/>
      <c r="N31" s="785" t="n">
        <f aca="false">N30+O30</f>
        <v>4784.38617698224</v>
      </c>
      <c r="O31" s="785"/>
      <c r="P31" s="785" t="n">
        <f aca="false">P30+Q30</f>
        <v>9090.1425435283</v>
      </c>
      <c r="Q31" s="785"/>
      <c r="R31" s="785" t="n">
        <f aca="false">R30+S30</f>
        <v>1054.05982192742</v>
      </c>
      <c r="S31" s="785"/>
      <c r="T31" s="785" t="n">
        <f aca="false">T30+U30</f>
        <v>1054.05982192742</v>
      </c>
      <c r="U31" s="785"/>
      <c r="V31" s="785" t="n">
        <f aca="false">V30+W30</f>
        <v>2223.47003817724</v>
      </c>
      <c r="W31" s="785"/>
      <c r="X31" s="785" t="n">
        <f aca="false">X30+Y30</f>
        <v>2223.47003817724</v>
      </c>
      <c r="Y31" s="785"/>
      <c r="Z31" s="785" t="n">
        <f aca="false">Z30+AA30</f>
        <v>186.571699905033</v>
      </c>
      <c r="AA31" s="785"/>
      <c r="AB31" s="785" t="n">
        <f aca="false">AB30+AC30</f>
        <v>16.5019799618784</v>
      </c>
      <c r="AC31" s="785"/>
      <c r="AD31" s="785" t="n">
        <f aca="false">AD30+AE30</f>
        <v>2924.97172979305</v>
      </c>
      <c r="AE31" s="785"/>
      <c r="AF31" s="785" t="n">
        <f aca="false">AF30+AG30</f>
        <v>2794.27045972471</v>
      </c>
      <c r="AG31" s="785"/>
      <c r="AH31" s="785" t="n">
        <f aca="false">AH30+AI30</f>
        <v>145.122449620569</v>
      </c>
      <c r="AI31" s="785"/>
      <c r="AJ31" s="785" t="n">
        <f aca="false">AJ30+AK30</f>
        <v>518.326402528315</v>
      </c>
      <c r="AK31" s="785"/>
      <c r="AL31" s="785" t="n">
        <f aca="false">AL30+AM30</f>
        <v>387.572068481677</v>
      </c>
      <c r="AM31" s="785"/>
      <c r="AN31" s="785" t="n">
        <f aca="false">AN30+AO30</f>
        <v>482.415228355209</v>
      </c>
      <c r="AO31" s="785"/>
      <c r="AP31" s="785" t="n">
        <f aca="false">AP30+AQ30</f>
        <v>2765.28042158806</v>
      </c>
      <c r="AQ31" s="785"/>
      <c r="AR31" s="716" t="n">
        <f aca="false">AR30+AS30</f>
        <v>354.030260065856</v>
      </c>
      <c r="AS31" s="716"/>
      <c r="AT31" s="716" t="n">
        <f aca="false">AT30+AU30</f>
        <v>191.083584507425</v>
      </c>
      <c r="AU31" s="716"/>
      <c r="AV31" s="716" t="n">
        <f aca="false">AV30+AW30</f>
        <v>1189.34571721439</v>
      </c>
      <c r="AW31" s="716"/>
      <c r="AX31" s="716" t="n">
        <f aca="false">AX30+AY30</f>
        <v>283.436108599489</v>
      </c>
      <c r="AY31" s="716"/>
      <c r="AZ31" s="785" t="n">
        <f aca="false">AZ30+BA30</f>
        <v>2140.49219012354</v>
      </c>
      <c r="BA31" s="785"/>
      <c r="BB31" s="785" t="n">
        <f aca="false">BB30+BC30</f>
        <v>2213.33363128004</v>
      </c>
      <c r="BC31" s="785"/>
      <c r="BD31" s="785" t="n">
        <f aca="false">BD30+BE30</f>
        <v>0</v>
      </c>
      <c r="BE31" s="785"/>
      <c r="BF31" s="785" t="n">
        <f aca="false">BF30+BG30</f>
        <v>155.89768532947</v>
      </c>
      <c r="BG31" s="785"/>
      <c r="BH31" s="785" t="n">
        <f aca="false">BH30+BI30</f>
        <v>646.536606404182</v>
      </c>
      <c r="BI31" s="785"/>
      <c r="BJ31" s="785" t="n">
        <f aca="false">BJ30+BK30</f>
        <v>117.809747212903</v>
      </c>
      <c r="BK31" s="785"/>
      <c r="BL31" s="785" t="n">
        <f aca="false">BL30+BM30</f>
        <v>10546.6691706767</v>
      </c>
      <c r="BM31" s="785"/>
      <c r="BN31" s="785" t="n">
        <f aca="false">BN30+BO30</f>
        <v>2485.28808927031</v>
      </c>
      <c r="BO31" s="785"/>
    </row>
    <row r="32" customFormat="false" ht="15" hidden="false" customHeight="false" outlineLevel="0" collapsed="false">
      <c r="AR32" s="532"/>
      <c r="AS32" s="532"/>
      <c r="AT32" s="532"/>
      <c r="AU32" s="532"/>
      <c r="AV32" s="532"/>
      <c r="AW32" s="532"/>
      <c r="AX32" s="532"/>
      <c r="AY32" s="532"/>
    </row>
    <row r="33" s="532" customFormat="true" ht="15" hidden="false" customHeight="false" outlineLevel="0" collapsed="false">
      <c r="A33" s="749" t="s">
        <v>1307</v>
      </c>
      <c r="B33" s="786"/>
      <c r="C33" s="786"/>
      <c r="D33" s="786"/>
      <c r="E33" s="786"/>
      <c r="F33" s="786"/>
      <c r="G33" s="786"/>
      <c r="H33" s="786"/>
      <c r="I33" s="786"/>
      <c r="J33" s="786"/>
      <c r="K33" s="786"/>
      <c r="L33" s="786"/>
      <c r="M33" s="786"/>
      <c r="N33" s="786"/>
      <c r="O33" s="786"/>
      <c r="P33" s="786"/>
      <c r="Q33" s="786"/>
      <c r="R33" s="786"/>
      <c r="S33" s="786"/>
      <c r="T33" s="786"/>
      <c r="U33" s="786"/>
      <c r="V33" s="786"/>
      <c r="W33" s="786"/>
      <c r="X33" s="786"/>
      <c r="Y33" s="786"/>
      <c r="Z33" s="786"/>
      <c r="AA33" s="786"/>
      <c r="AP33" s="786"/>
      <c r="AQ33" s="786"/>
      <c r="BB33" s="787"/>
    </row>
    <row r="34" s="532" customFormat="true" ht="15" hidden="false" customHeight="false" outlineLevel="0" collapsed="false">
      <c r="A34" s="379" t="s">
        <v>1116</v>
      </c>
      <c r="B34" s="577"/>
      <c r="C34" s="577"/>
      <c r="D34" s="577"/>
      <c r="E34" s="577"/>
      <c r="F34" s="577"/>
      <c r="G34" s="577"/>
      <c r="H34" s="788"/>
      <c r="I34" s="788"/>
      <c r="J34" s="577"/>
      <c r="K34" s="577"/>
      <c r="L34" s="581" t="s">
        <v>1118</v>
      </c>
      <c r="M34" s="581"/>
      <c r="N34" s="581" t="s">
        <v>1118</v>
      </c>
      <c r="O34" s="581"/>
      <c r="P34" s="581" t="s">
        <v>1308</v>
      </c>
      <c r="Q34" s="581"/>
      <c r="R34" s="581" t="s">
        <v>1308</v>
      </c>
      <c r="S34" s="581"/>
      <c r="T34" s="581" t="s">
        <v>1308</v>
      </c>
      <c r="U34" s="581"/>
      <c r="V34" s="581" t="s">
        <v>1308</v>
      </c>
      <c r="W34" s="581"/>
      <c r="X34" s="581" t="s">
        <v>1308</v>
      </c>
      <c r="Y34" s="581"/>
      <c r="Z34" s="581" t="s">
        <v>1308</v>
      </c>
      <c r="AA34" s="581"/>
      <c r="AB34" s="581"/>
      <c r="AC34" s="581"/>
      <c r="AF34" s="581"/>
      <c r="AG34" s="581"/>
      <c r="AH34" s="789" t="s">
        <v>1309</v>
      </c>
      <c r="AI34" s="789"/>
      <c r="AJ34" s="581" t="s">
        <v>1308</v>
      </c>
      <c r="AK34" s="581"/>
      <c r="AL34" s="790"/>
      <c r="AM34" s="790"/>
      <c r="AN34" s="581" t="s">
        <v>1308</v>
      </c>
      <c r="AO34" s="581"/>
      <c r="AP34" s="581"/>
      <c r="AQ34" s="581"/>
      <c r="AR34" s="791"/>
      <c r="AS34" s="791"/>
      <c r="AT34" s="791"/>
      <c r="AU34" s="791"/>
      <c r="AV34" s="791"/>
      <c r="AW34" s="791"/>
      <c r="AX34" s="791"/>
      <c r="AY34" s="791"/>
      <c r="AZ34" s="581"/>
      <c r="BA34" s="581"/>
      <c r="BB34" s="581" t="s">
        <v>1308</v>
      </c>
      <c r="BC34" s="581"/>
      <c r="BD34" s="581" t="s">
        <v>1308</v>
      </c>
      <c r="BE34" s="581"/>
      <c r="BF34" s="581" t="s">
        <v>1308</v>
      </c>
      <c r="BG34" s="581"/>
      <c r="BH34" s="581" t="s">
        <v>1308</v>
      </c>
      <c r="BI34" s="581"/>
      <c r="BJ34" s="581" t="s">
        <v>1308</v>
      </c>
      <c r="BK34" s="581"/>
      <c r="BL34" s="581" t="s">
        <v>1308</v>
      </c>
      <c r="BM34" s="581"/>
      <c r="BN34" s="581" t="s">
        <v>1308</v>
      </c>
      <c r="BO34" s="581"/>
    </row>
    <row r="35" s="791" customFormat="true" ht="15" hidden="false" customHeight="false" outlineLevel="0" collapsed="false">
      <c r="A35" s="526" t="s">
        <v>1310</v>
      </c>
      <c r="B35" s="753"/>
      <c r="C35" s="753"/>
      <c r="D35" s="753"/>
      <c r="E35" s="753"/>
      <c r="F35" s="753"/>
      <c r="G35" s="753"/>
      <c r="H35" s="792" t="n">
        <v>729.65</v>
      </c>
      <c r="I35" s="792"/>
      <c r="J35" s="753"/>
      <c r="K35" s="753"/>
      <c r="L35" s="792" t="n">
        <v>763.06</v>
      </c>
      <c r="M35" s="792"/>
      <c r="N35" s="753" t="n">
        <f aca="false">N16</f>
        <v>728.85</v>
      </c>
      <c r="O35" s="753"/>
      <c r="P35" s="753" t="n">
        <f aca="false">P16</f>
        <v>700.54</v>
      </c>
      <c r="Q35" s="753"/>
      <c r="R35" s="753" t="n">
        <f aca="false">R16</f>
        <v>489.4</v>
      </c>
      <c r="S35" s="753"/>
      <c r="T35" s="753" t="n">
        <f aca="false">T16</f>
        <v>489.404</v>
      </c>
      <c r="U35" s="753"/>
      <c r="V35" s="753" t="n">
        <f aca="false">V16</f>
        <v>450.74</v>
      </c>
      <c r="W35" s="753"/>
      <c r="X35" s="753" t="n">
        <f aca="false">X16</f>
        <v>450.74</v>
      </c>
      <c r="Y35" s="753"/>
      <c r="Z35" s="753" t="n">
        <f aca="false">Z16</f>
        <v>494.15</v>
      </c>
      <c r="AA35" s="753"/>
      <c r="AB35" s="753"/>
      <c r="AC35" s="753"/>
      <c r="AF35" s="753"/>
      <c r="AG35" s="753"/>
      <c r="AH35" s="789" t="n">
        <f aca="false">187.81+273.15</f>
        <v>460.96</v>
      </c>
      <c r="AI35" s="789"/>
      <c r="AJ35" s="753" t="n">
        <f aca="false">AJ16</f>
        <v>313.15</v>
      </c>
      <c r="AK35" s="753"/>
      <c r="AL35" s="753"/>
      <c r="AM35" s="753"/>
      <c r="AN35" s="753" t="n">
        <f aca="false">194.6+273.15</f>
        <v>467.75</v>
      </c>
      <c r="AO35" s="753"/>
      <c r="AP35" s="753"/>
      <c r="AQ35" s="753"/>
      <c r="AR35" s="379"/>
      <c r="AS35" s="379"/>
      <c r="AT35" s="379"/>
      <c r="AU35" s="379"/>
      <c r="AV35" s="379"/>
      <c r="AW35" s="379"/>
      <c r="AX35" s="379"/>
      <c r="AY35" s="379"/>
      <c r="AZ35" s="753"/>
      <c r="BA35" s="753"/>
      <c r="BB35" s="753" t="n">
        <f aca="false">194.6+273.15</f>
        <v>467.75</v>
      </c>
      <c r="BC35" s="753"/>
      <c r="BD35" s="753" t="n">
        <f aca="false">163.8+273.15</f>
        <v>436.95</v>
      </c>
      <c r="BE35" s="753"/>
      <c r="BF35" s="753" t="n">
        <v>375.78</v>
      </c>
      <c r="BG35" s="753"/>
      <c r="BH35" s="753" t="n">
        <v>375.78</v>
      </c>
      <c r="BI35" s="753"/>
      <c r="BJ35" s="753" t="n">
        <f aca="false">147.9+273.15</f>
        <v>421.05</v>
      </c>
      <c r="BK35" s="753"/>
      <c r="BL35" s="753" t="n">
        <f aca="false">147.9+273.15</f>
        <v>421.05</v>
      </c>
      <c r="BM35" s="753"/>
      <c r="BN35" s="753" t="n">
        <f aca="false">727.3+273.15</f>
        <v>1000.45</v>
      </c>
      <c r="BO35" s="753"/>
    </row>
    <row r="36" customFormat="false" ht="15" hidden="false" customHeight="false" outlineLevel="0" collapsed="false">
      <c r="A36" s="379" t="s">
        <v>1135</v>
      </c>
      <c r="B36" s="523"/>
      <c r="C36" s="523"/>
      <c r="D36" s="523"/>
      <c r="E36" s="523"/>
      <c r="F36" s="523"/>
      <c r="G36" s="523"/>
      <c r="H36" s="750"/>
      <c r="I36" s="750"/>
      <c r="J36" s="223"/>
      <c r="K36" s="223"/>
      <c r="L36" s="750"/>
      <c r="M36" s="750"/>
      <c r="N36" s="223"/>
      <c r="O36" s="223"/>
      <c r="P36" s="223"/>
      <c r="Q36" s="223"/>
      <c r="R36" s="223"/>
      <c r="S36" s="223"/>
      <c r="T36" s="523"/>
      <c r="U36" s="523"/>
      <c r="V36" s="523"/>
      <c r="W36" s="523"/>
      <c r="X36" s="750"/>
      <c r="Y36" s="750"/>
      <c r="Z36" s="750"/>
      <c r="AA36" s="750"/>
      <c r="AB36" s="581"/>
      <c r="AC36" s="581"/>
      <c r="AF36" s="750"/>
      <c r="AG36" s="750"/>
      <c r="AH36" s="789" t="n">
        <v>1.1</v>
      </c>
      <c r="AI36" s="789"/>
      <c r="AJ36" s="750"/>
      <c r="AK36" s="750"/>
      <c r="AL36" s="750"/>
      <c r="AM36" s="750"/>
      <c r="AN36" s="750"/>
      <c r="AO36" s="750"/>
      <c r="AP36" s="523"/>
      <c r="AQ36" s="523"/>
      <c r="AZ36" s="750"/>
      <c r="BA36" s="750"/>
      <c r="BB36" s="750" t="n">
        <f aca="false">汽液分离罐核算!V6</f>
        <v>1.4</v>
      </c>
      <c r="BC36" s="750"/>
      <c r="BD36" s="750" t="n">
        <f aca="false">缓冲罐核算!Q5</f>
        <v>0</v>
      </c>
      <c r="BE36" s="750"/>
      <c r="BF36" s="750" t="n">
        <f aca="false">缓冲罐核算!T5</f>
        <v>0</v>
      </c>
      <c r="BG36" s="750"/>
      <c r="BH36" s="750" t="n">
        <f aca="false">汽液分离罐核算!V6</f>
        <v>1.4</v>
      </c>
      <c r="BI36" s="750"/>
      <c r="BJ36" s="750" t="n">
        <f aca="false">缓冲罐核算!V5</f>
        <v>0</v>
      </c>
      <c r="BK36" s="750"/>
      <c r="BL36" s="750" t="n">
        <f aca="false">汽液分离罐核算!C6</f>
        <v>1.4</v>
      </c>
      <c r="BM36" s="750"/>
      <c r="BN36" s="750" t="e">
        <f aca="false">汽液分离罐核算!#REF!</f>
        <v>#VALUE!</v>
      </c>
      <c r="BO36" s="750"/>
    </row>
    <row r="37" customFormat="false" ht="15" hidden="false" customHeight="false" outlineLevel="0" collapsed="false">
      <c r="A37" s="379" t="s">
        <v>1136</v>
      </c>
      <c r="B37" s="523"/>
      <c r="C37" s="523"/>
      <c r="D37" s="523"/>
      <c r="E37" s="523"/>
      <c r="F37" s="523"/>
      <c r="G37" s="523"/>
      <c r="H37" s="750"/>
      <c r="I37" s="750"/>
      <c r="J37" s="223"/>
      <c r="K37" s="223"/>
      <c r="L37" s="750"/>
      <c r="M37" s="750"/>
      <c r="N37" s="223"/>
      <c r="O37" s="223"/>
      <c r="P37" s="223"/>
      <c r="Q37" s="223"/>
      <c r="R37" s="223"/>
      <c r="S37" s="223"/>
      <c r="T37" s="523"/>
      <c r="U37" s="523"/>
      <c r="V37" s="523"/>
      <c r="W37" s="523"/>
      <c r="X37" s="750"/>
      <c r="Y37" s="750"/>
      <c r="Z37" s="750"/>
      <c r="AA37" s="750"/>
      <c r="AB37" s="581"/>
      <c r="AC37" s="581"/>
      <c r="AF37" s="750"/>
      <c r="AG37" s="750"/>
      <c r="AH37" s="789" t="n">
        <v>3.3</v>
      </c>
      <c r="AI37" s="789"/>
      <c r="AJ37" s="750"/>
      <c r="AK37" s="750"/>
      <c r="AL37" s="750"/>
      <c r="AM37" s="750"/>
      <c r="AN37" s="750"/>
      <c r="AO37" s="750"/>
      <c r="AP37" s="523"/>
      <c r="AQ37" s="523"/>
      <c r="AZ37" s="750"/>
      <c r="BA37" s="750"/>
      <c r="BB37" s="750" t="n">
        <f aca="false">汽液分离罐核算!V7</f>
        <v>4</v>
      </c>
      <c r="BC37" s="750"/>
      <c r="BD37" s="750" t="n">
        <f aca="false">缓冲罐核算!Q6</f>
        <v>0</v>
      </c>
      <c r="BE37" s="750"/>
      <c r="BF37" s="750" t="n">
        <f aca="false">缓冲罐核算!T6</f>
        <v>0</v>
      </c>
      <c r="BG37" s="750"/>
      <c r="BH37" s="750" t="n">
        <f aca="false">汽液分离罐核算!V7</f>
        <v>4</v>
      </c>
      <c r="BI37" s="750"/>
      <c r="BJ37" s="750" t="n">
        <f aca="false">缓冲罐核算!V6</f>
        <v>0</v>
      </c>
      <c r="BK37" s="750"/>
      <c r="BL37" s="750" t="n">
        <f aca="false">汽液分离罐核算!C7</f>
        <v>4.2</v>
      </c>
      <c r="BM37" s="750"/>
      <c r="BN37" s="750" t="e">
        <f aca="false">汽液分离罐核算!#REF!</f>
        <v>#VALUE!</v>
      </c>
      <c r="BO37" s="750"/>
    </row>
    <row r="38" customFormat="false" ht="15" hidden="false" customHeight="false" outlineLevel="0" collapsed="false">
      <c r="A38" s="379" t="s">
        <v>1138</v>
      </c>
      <c r="B38" s="581"/>
      <c r="C38" s="581"/>
      <c r="D38" s="581"/>
      <c r="E38" s="581"/>
      <c r="F38" s="581"/>
      <c r="G38" s="581"/>
      <c r="H38" s="750"/>
      <c r="I38" s="750"/>
      <c r="J38" s="581"/>
      <c r="K38" s="581"/>
      <c r="L38" s="750"/>
      <c r="M38" s="750"/>
      <c r="N38" s="581"/>
      <c r="O38" s="581"/>
      <c r="P38" s="581"/>
      <c r="Q38" s="581"/>
      <c r="R38" s="581"/>
      <c r="S38" s="581"/>
      <c r="T38" s="581"/>
      <c r="U38" s="581"/>
      <c r="V38" s="581"/>
      <c r="W38" s="581"/>
      <c r="X38" s="581"/>
      <c r="Y38" s="581"/>
      <c r="Z38" s="581"/>
      <c r="AA38" s="581"/>
      <c r="AB38" s="581"/>
      <c r="AC38" s="581"/>
      <c r="AF38" s="581"/>
      <c r="AG38" s="581"/>
      <c r="AH38" s="789" t="n">
        <v>0</v>
      </c>
      <c r="AI38" s="789"/>
      <c r="AJ38" s="581"/>
      <c r="AK38" s="581"/>
      <c r="AL38" s="581"/>
      <c r="AM38" s="581"/>
      <c r="AN38" s="581"/>
      <c r="AO38" s="581"/>
      <c r="AP38" s="581"/>
      <c r="AQ38" s="581"/>
      <c r="AZ38" s="581"/>
      <c r="BA38" s="581"/>
      <c r="BB38" s="581" t="n">
        <v>0.06</v>
      </c>
      <c r="BC38" s="581"/>
      <c r="BD38" s="581" t="n">
        <v>0.03</v>
      </c>
      <c r="BE38" s="581"/>
      <c r="BF38" s="581" t="n">
        <v>0</v>
      </c>
      <c r="BG38" s="581"/>
      <c r="BH38" s="581" t="n">
        <v>0.06</v>
      </c>
      <c r="BI38" s="581"/>
      <c r="BJ38" s="581" t="n">
        <v>0.06</v>
      </c>
      <c r="BK38" s="581"/>
      <c r="BL38" s="581" t="n">
        <v>0.06</v>
      </c>
      <c r="BM38" s="581"/>
      <c r="BN38" s="581" t="n">
        <v>0.06</v>
      </c>
      <c r="BO38" s="581"/>
    </row>
    <row r="39" s="557" customFormat="true" ht="15" hidden="false" customHeight="false" outlineLevel="0" collapsed="false">
      <c r="A39" s="557" t="s">
        <v>1311</v>
      </c>
      <c r="B39" s="789"/>
      <c r="C39" s="789"/>
      <c r="D39" s="789"/>
      <c r="E39" s="789"/>
      <c r="F39" s="789"/>
      <c r="G39" s="789"/>
      <c r="H39" s="789"/>
      <c r="I39" s="789"/>
      <c r="J39" s="789"/>
      <c r="K39" s="789"/>
      <c r="L39" s="789" t="str">
        <f aca="false">IF(L42=0,"",IF(L38=0,25.5*10000*L40*POWER(L41,0.82)/L42,9.4*(650-L15)*0.036*POWER(L41,0.82)/L38/L42))</f>
        <v/>
      </c>
      <c r="M39" s="789" t="e">
        <f aca="false">IF(M38=0,25.5*10000*M40*POWER(M41,0.82)/M42,9.4*(650-M15)*0.036*POWER(M41,0.82)/M38/M42)</f>
        <v>#DIV/0!</v>
      </c>
      <c r="N39" s="789"/>
      <c r="O39" s="789" t="e">
        <f aca="false">IF(O38=0,25.5*10000*O40*POWER(O41,0.82)/O42,9.4*(650-O15)*0.036*POWER(O41,0.82)/O38/O42)</f>
        <v>#DIV/0!</v>
      </c>
      <c r="P39" s="789"/>
      <c r="Q39" s="789"/>
      <c r="R39" s="789"/>
      <c r="S39" s="789"/>
      <c r="T39" s="789"/>
      <c r="U39" s="789"/>
      <c r="V39" s="789"/>
      <c r="W39" s="789"/>
      <c r="X39" s="789"/>
      <c r="Y39" s="789"/>
      <c r="Z39" s="789"/>
      <c r="AA39" s="789"/>
      <c r="AB39" s="789" t="str">
        <f aca="false">IF(AB42=0,"",IF(AB38=0,25.5*10000*AB40*POWER(AB41,0.82)/AB42,9.4*(650-AB15)*0.036*POWER(AB41,0.82)/AB38/AB42))</f>
        <v/>
      </c>
      <c r="AC39" s="789" t="e">
        <f aca="false">IF(AC38=0,25.5*10000*AC40*POWER(AC41,0.82)/AC42,9.4*(650-AC15)*0.036*POWER(AC41,0.82)/AC38/AC42)</f>
        <v>#DIV/0!</v>
      </c>
      <c r="AD39" s="789" t="str">
        <f aca="false">IF(AD42=0,"",IF(AD38=0,25.5*10000*AD40*POWER(AD41,0.82)/AD42,9.4*(650-AD15)*0.036*POWER(AD41,0.82)/AD38/AD42))</f>
        <v/>
      </c>
      <c r="AE39" s="789" t="e">
        <f aca="false">IF(AE38=0,25.5*10000*AE40*POWER(AE41,0.82)/AE42,9.4*(650-AE15)*0.036*POWER(AE41,0.82)/AE38/AE42)</f>
        <v>#DIV/0!</v>
      </c>
      <c r="AF39" s="789"/>
      <c r="AG39" s="789"/>
      <c r="AH39" s="789" t="n">
        <f aca="false">IF(AH42=0,"",IF(AH38=0,25.5*10000*AH40*POWER(AH41,0.82)/AH42,9.4*(650-AH15)*0.036*POWER(AH41,0.82)/AH38/AH42))</f>
        <v>1007.49790404044</v>
      </c>
      <c r="AI39" s="789" t="e">
        <f aca="false">IF(AI38=0,25.5*10000*AI40*POWER(AI41,0.82)/AI42,9.4*(650-AI15)*0.036*POWER(AI41,0.82)/AI38/AI42)</f>
        <v>#DIV/0!</v>
      </c>
      <c r="AJ39" s="789" t="n">
        <f aca="false">454.24*1.1</f>
        <v>499.664</v>
      </c>
      <c r="AK39" s="789" t="e">
        <f aca="false">IF(AK38=0,25.5*10000*AK40*POWER(AK41,0.82)/AK42,9.4*(650-AK15)*0.036*POWER(AK41,0.82)/AK38/AK42)</f>
        <v>#DIV/0!</v>
      </c>
      <c r="AL39" s="789"/>
      <c r="AM39" s="789"/>
      <c r="AN39" s="793" t="n">
        <f aca="false">3110.92*1.1</f>
        <v>3422.012</v>
      </c>
      <c r="AO39" s="793" t="e">
        <f aca="false">IF(AO38=0,25.5*10000*AO40*POWER(AO41,0.82)/AO42,9.4*(650-AO15)*0.036*POWER(AO41,0.82)/AO38/AO42)</f>
        <v>#DIV/0!</v>
      </c>
      <c r="AP39" s="789"/>
      <c r="AQ39" s="789"/>
      <c r="AR39" s="724"/>
      <c r="AS39" s="724"/>
      <c r="AT39" s="724"/>
      <c r="AU39" s="724"/>
      <c r="AV39" s="724"/>
      <c r="AW39" s="724"/>
      <c r="AX39" s="724"/>
      <c r="AY39" s="724"/>
      <c r="AZ39" s="789"/>
      <c r="BA39" s="789"/>
      <c r="BB39" s="789" t="n">
        <f aca="false">IF(BB42=0,"",IF(BB38=0,25.5*10000*BB40*POWER(BB41,0.82)/BB42,9.4*(650-BB15)*0.036*POWER(BB41,0.82)/BB38/BB42))</f>
        <v>14.9359572736994</v>
      </c>
      <c r="BC39" s="789" t="e">
        <f aca="false">IF(BC38=0,25.5*10000*BC40*POWER(BC41,0.82)/BC42,9.4*(650-BC15)*0.036*POWER(BC41,0.82)/BC38/BC42)</f>
        <v>#DIV/0!</v>
      </c>
      <c r="BD39" s="789" t="n">
        <f aca="false">IF(BD42=0,"",IF(BD38=0,25.5*10000*BD40*POWER(BD41,0.82)/BD42,9.4*(650-BD15)*0.036*POWER(BD41,0.82)/BD38/BD42))</f>
        <v>0</v>
      </c>
      <c r="BE39" s="789" t="e">
        <f aca="false">IF(BE38=0,25.5*10000*BE40*POWER(BE41,0.82)/BE42,9.4*(650-BE15)*0.036*POWER(BE41,0.82)/BE38/BE42)</f>
        <v>#DIV/0!</v>
      </c>
      <c r="BF39" s="581" t="n">
        <v>11.482</v>
      </c>
      <c r="BG39" s="581"/>
      <c r="BH39" s="789" t="n">
        <f aca="false">BF39/29*19.5</f>
        <v>7.72065517241379</v>
      </c>
      <c r="BI39" s="789"/>
      <c r="BJ39" s="789" t="n">
        <f aca="false">IF(BJ38=0,25.5*10000*BJ40*POWER(BJ41,0.82)/BJ42,9.4*(650-BJ15)*0.036*POWER(BJ41,0.82)/BJ38/BJ42)</f>
        <v>0</v>
      </c>
      <c r="BK39" s="789"/>
      <c r="BL39" s="789" t="e">
        <f aca="false">IF(BL38=0,25.5*10000*BL40*POWER(BL41,0.82)/BL42,9.4*(650-BL15)*0.036*POWER(BL41,0.82)/BL38/BL42)</f>
        <v>#DIV/0!</v>
      </c>
      <c r="BM39" s="789"/>
      <c r="BN39" s="789" t="e">
        <f aca="false">IF(BN38=0,25.5*10000*BN40*POWER(BN41,0.82)/BN42,9.4*(650-BN15)*0.036*POWER(BN41,0.82)/BN38/BN42)</f>
        <v>#VALUE!</v>
      </c>
      <c r="BO39" s="789"/>
    </row>
    <row r="40" s="724" customFormat="true" ht="15" hidden="false" customHeight="false" outlineLevel="0" collapsed="false">
      <c r="A40" s="379" t="s">
        <v>1139</v>
      </c>
      <c r="B40" s="581"/>
      <c r="C40" s="581"/>
      <c r="D40" s="581"/>
      <c r="E40" s="581"/>
      <c r="F40" s="581"/>
      <c r="G40" s="581"/>
      <c r="H40" s="581"/>
      <c r="I40" s="581"/>
      <c r="J40" s="581"/>
      <c r="K40" s="581"/>
      <c r="L40" s="581"/>
      <c r="M40" s="581"/>
      <c r="N40" s="581"/>
      <c r="O40" s="581"/>
      <c r="P40" s="581"/>
      <c r="Q40" s="581"/>
      <c r="R40" s="581"/>
      <c r="S40" s="581"/>
      <c r="T40" s="581"/>
      <c r="U40" s="581"/>
      <c r="V40" s="581"/>
      <c r="W40" s="581"/>
      <c r="X40" s="794"/>
      <c r="Y40" s="794"/>
      <c r="Z40" s="794"/>
      <c r="AA40" s="794"/>
      <c r="AB40" s="581"/>
      <c r="AC40" s="581"/>
      <c r="AF40" s="794"/>
      <c r="AG40" s="794"/>
      <c r="AH40" s="789" t="n">
        <v>1</v>
      </c>
      <c r="AI40" s="789"/>
      <c r="AJ40" s="794" t="n">
        <v>1</v>
      </c>
      <c r="AK40" s="794"/>
      <c r="AL40" s="794"/>
      <c r="AM40" s="794"/>
      <c r="AN40" s="794" t="n">
        <v>1</v>
      </c>
      <c r="AO40" s="794"/>
      <c r="AP40" s="581"/>
      <c r="AQ40" s="581"/>
      <c r="AR40" s="379"/>
      <c r="AS40" s="379"/>
      <c r="AT40" s="379"/>
      <c r="AU40" s="379"/>
      <c r="AV40" s="379"/>
      <c r="AW40" s="379"/>
      <c r="AX40" s="379"/>
      <c r="AY40" s="379"/>
      <c r="AZ40" s="794"/>
      <c r="BA40" s="794"/>
      <c r="BB40" s="794" t="n">
        <v>1</v>
      </c>
      <c r="BC40" s="794"/>
      <c r="BD40" s="794" t="n">
        <v>1</v>
      </c>
      <c r="BE40" s="794"/>
      <c r="BF40" s="794" t="n">
        <v>1</v>
      </c>
      <c r="BG40" s="794"/>
      <c r="BH40" s="794" t="n">
        <v>1</v>
      </c>
      <c r="BI40" s="794"/>
      <c r="BJ40" s="794" t="n">
        <v>1</v>
      </c>
      <c r="BK40" s="794"/>
      <c r="BL40" s="794" t="n">
        <v>1</v>
      </c>
      <c r="BM40" s="794"/>
      <c r="BN40" s="794" t="n">
        <v>1</v>
      </c>
      <c r="BO40" s="794"/>
    </row>
    <row r="41" customFormat="false" ht="15" hidden="false" customHeight="false" outlineLevel="0" collapsed="false">
      <c r="A41" s="379" t="s">
        <v>1312</v>
      </c>
      <c r="B41" s="750"/>
      <c r="C41" s="750"/>
      <c r="D41" s="750"/>
      <c r="E41" s="750"/>
      <c r="F41" s="750"/>
      <c r="G41" s="750"/>
      <c r="H41" s="750"/>
      <c r="I41" s="750"/>
      <c r="J41" s="750"/>
      <c r="K41" s="750"/>
      <c r="L41" s="750"/>
      <c r="M41" s="750"/>
      <c r="N41" s="750"/>
      <c r="O41" s="750"/>
      <c r="P41" s="750"/>
      <c r="Q41" s="750"/>
      <c r="R41" s="750"/>
      <c r="S41" s="750"/>
      <c r="T41" s="750"/>
      <c r="U41" s="750"/>
      <c r="V41" s="750"/>
      <c r="W41" s="750"/>
      <c r="X41" s="750"/>
      <c r="Y41" s="750"/>
      <c r="Z41" s="750"/>
      <c r="AA41" s="750"/>
      <c r="AB41" s="750"/>
      <c r="AC41" s="750"/>
      <c r="AF41" s="750"/>
      <c r="AG41" s="750"/>
      <c r="AH41" s="789" t="n">
        <f aca="false">3.14*AH36*(AH37+0.3*AH36)</f>
        <v>12.53802</v>
      </c>
      <c r="AI41" s="789"/>
      <c r="AJ41" s="750"/>
      <c r="AK41" s="750"/>
      <c r="AL41" s="750"/>
      <c r="AM41" s="750"/>
      <c r="AN41" s="750" t="n">
        <f aca="false">3.14*AN36*(AN37+0.3*AN36)</f>
        <v>0</v>
      </c>
      <c r="AO41" s="750"/>
      <c r="AP41" s="750"/>
      <c r="AQ41" s="750"/>
      <c r="AR41" s="724"/>
      <c r="AS41" s="724"/>
      <c r="AT41" s="724"/>
      <c r="AU41" s="724"/>
      <c r="AV41" s="724"/>
      <c r="AW41" s="724"/>
      <c r="AX41" s="724"/>
      <c r="AY41" s="724"/>
      <c r="AZ41" s="750"/>
      <c r="BA41" s="750"/>
      <c r="BB41" s="750" t="n">
        <f aca="false">3.14*BB36*(BB37+0.3*BB36)</f>
        <v>19.43032</v>
      </c>
      <c r="BC41" s="750"/>
      <c r="BD41" s="750" t="n">
        <f aca="false">3.14*BD36*(BD37+0.3*BD36)</f>
        <v>0</v>
      </c>
      <c r="BE41" s="750"/>
      <c r="BF41" s="750" t="n">
        <f aca="false">3.14*BF36*(BF37+0.3*BF36)</f>
        <v>0</v>
      </c>
      <c r="BG41" s="750"/>
      <c r="BH41" s="750" t="n">
        <f aca="false">3.14*BH36*(BH37+0.3*BH36)</f>
        <v>19.43032</v>
      </c>
      <c r="BI41" s="750"/>
      <c r="BJ41" s="750" t="n">
        <f aca="false">3.14*BJ36*(BJ37+0.3*BJ36)</f>
        <v>0</v>
      </c>
      <c r="BK41" s="750"/>
      <c r="BL41" s="750" t="n">
        <f aca="false">3.14*BL36*(BL37+0.3*BL36)</f>
        <v>20.30952</v>
      </c>
      <c r="BM41" s="750"/>
      <c r="BN41" s="750" t="e">
        <f aca="false">3.14*BN36*(BN37+0.3*BN36)</f>
        <v>#VALUE!</v>
      </c>
      <c r="BO41" s="750"/>
    </row>
    <row r="42" s="724" customFormat="true" ht="15" hidden="false" customHeight="false" outlineLevel="0" collapsed="false">
      <c r="A42" s="379" t="s">
        <v>1313</v>
      </c>
      <c r="B42" s="581"/>
      <c r="C42" s="581"/>
      <c r="D42" s="581"/>
      <c r="E42" s="581"/>
      <c r="F42" s="581"/>
      <c r="G42" s="581"/>
      <c r="H42" s="794"/>
      <c r="I42" s="794"/>
      <c r="J42" s="581"/>
      <c r="K42" s="581"/>
      <c r="L42" s="581"/>
      <c r="M42" s="581"/>
      <c r="N42" s="581"/>
      <c r="O42" s="581"/>
      <c r="P42" s="581"/>
      <c r="Q42" s="581"/>
      <c r="R42" s="581"/>
      <c r="S42" s="581"/>
      <c r="T42" s="581"/>
      <c r="U42" s="581"/>
      <c r="V42" s="581"/>
      <c r="W42" s="581"/>
      <c r="X42" s="794"/>
      <c r="Y42" s="794"/>
      <c r="Z42" s="794"/>
      <c r="AA42" s="794"/>
      <c r="AB42" s="581"/>
      <c r="AC42" s="581"/>
      <c r="AF42" s="794"/>
      <c r="AG42" s="794"/>
      <c r="AH42" s="789" t="n">
        <v>2013</v>
      </c>
      <c r="AI42" s="789"/>
      <c r="AJ42" s="794"/>
      <c r="AK42" s="794"/>
      <c r="AL42" s="794"/>
      <c r="AM42" s="794"/>
      <c r="AN42" s="794" t="n">
        <v>1987.2</v>
      </c>
      <c r="AO42" s="794"/>
      <c r="AP42" s="581"/>
      <c r="AQ42" s="581"/>
      <c r="AR42" s="774"/>
      <c r="AS42" s="774"/>
      <c r="AT42" s="774"/>
      <c r="AU42" s="774"/>
      <c r="AV42" s="774"/>
      <c r="AW42" s="774"/>
      <c r="AX42" s="774"/>
      <c r="AY42" s="774"/>
      <c r="AZ42" s="794"/>
      <c r="BA42" s="794"/>
      <c r="BB42" s="794" t="n">
        <v>1987.2</v>
      </c>
      <c r="BC42" s="794"/>
      <c r="BD42" s="794" t="n">
        <v>2092.68</v>
      </c>
      <c r="BE42" s="794"/>
      <c r="BF42" s="794"/>
      <c r="BG42" s="794"/>
      <c r="BH42" s="750"/>
      <c r="BI42" s="750"/>
      <c r="BJ42" s="794" t="n">
        <v>2142</v>
      </c>
      <c r="BK42" s="794"/>
      <c r="BL42" s="794"/>
      <c r="BM42" s="794"/>
      <c r="BN42" s="794" t="n">
        <v>1003</v>
      </c>
      <c r="BO42" s="794"/>
    </row>
    <row r="43" s="774" customFormat="true" ht="15" hidden="false" customHeight="false" outlineLevel="0" collapsed="false">
      <c r="A43" s="774" t="s">
        <v>1314</v>
      </c>
      <c r="B43" s="785"/>
      <c r="C43" s="785"/>
      <c r="D43" s="785"/>
      <c r="E43" s="785"/>
      <c r="F43" s="785"/>
      <c r="G43" s="785"/>
      <c r="H43" s="795"/>
      <c r="I43" s="795"/>
      <c r="J43" s="785"/>
      <c r="K43" s="785"/>
      <c r="L43" s="795" t="n">
        <v>2287</v>
      </c>
      <c r="M43" s="795"/>
      <c r="N43" s="795" t="n">
        <v>4787</v>
      </c>
      <c r="O43" s="795"/>
      <c r="P43" s="785" t="n">
        <f aca="false">P31</f>
        <v>9090.1425435283</v>
      </c>
      <c r="Q43" s="785"/>
      <c r="R43" s="785" t="n">
        <f aca="false">R31</f>
        <v>1054.05982192742</v>
      </c>
      <c r="S43" s="785"/>
      <c r="T43" s="785" t="n">
        <f aca="false">T31</f>
        <v>1054.05982192742</v>
      </c>
      <c r="U43" s="785"/>
      <c r="V43" s="785" t="n">
        <f aca="false">V31</f>
        <v>2223.47003817724</v>
      </c>
      <c r="W43" s="785"/>
      <c r="X43" s="785"/>
      <c r="Y43" s="785"/>
      <c r="Z43" s="785" t="n">
        <f aca="false">Z31</f>
        <v>186.571699905033</v>
      </c>
      <c r="AA43" s="785"/>
      <c r="AB43" s="785"/>
      <c r="AC43" s="785"/>
      <c r="AF43" s="785"/>
      <c r="AG43" s="785"/>
      <c r="AH43" s="789" t="n">
        <f aca="false">0.19*AH39*1.1/AH11/AH26</f>
        <v>297.201216576503</v>
      </c>
      <c r="AI43" s="789"/>
      <c r="AJ43" s="785" t="n">
        <f aca="false">IF(AJ12/AJ11&gt;POWER(2/(AJ19+1),AJ19/(AJ19-1)),AJ39/55.84/AJ26/AJ11/SQRT(AJ6/AJ22/AJ16*SQRT(AJ19/(AJ19-1)*(POWER(AJ12/AJ11,2/AJ19)-POWER(AJ12/AJ11,(AJ19+1)/AJ19)))),AJ39/0.076/AJ20/AJ26/AJ11/SQRT(AJ6/AJ22/AJ16))</f>
        <v>69.864862042867</v>
      </c>
      <c r="AK43" s="785"/>
      <c r="AL43" s="795" t="n">
        <v>155.15</v>
      </c>
      <c r="AM43" s="795"/>
      <c r="AN43" s="785" t="n">
        <f aca="false">IF(AN12/AN11&gt;POWER(2/(AN19+1),AN19/(AN19-1)),AN39/55.84/AN26/AN11/(SQRT(AN6/AN22/AN35*SQRT(AN19/(AN19-1)*(POWER(AN12/AN11,2/AN19)-POWER(AN12/AN11,(AN19+1)/AN19))))),AN39/0.076/AN20/AN26/AN11/SQRT(AN6/AN22/AN35))</f>
        <v>483.756402394245</v>
      </c>
      <c r="AO43" s="785"/>
      <c r="AP43" s="785"/>
      <c r="AQ43" s="785"/>
      <c r="AR43" s="379"/>
      <c r="AS43" s="379"/>
      <c r="AT43" s="379"/>
      <c r="AU43" s="379"/>
      <c r="AV43" s="379"/>
      <c r="AW43" s="379"/>
      <c r="AX43" s="379"/>
      <c r="AY43" s="379"/>
      <c r="AZ43" s="785"/>
      <c r="BA43" s="785"/>
      <c r="BB43" s="785" t="n">
        <f aca="false">IF(BB12/BB11&gt;POWER(2/(BB19+1),BB19/(BB19-1)),BB39/55.84/BB26/BB11/(SQRT(BB6/BB22/BB35*SQRT(BB19/(BB19-1)*(POWER(BB12/BB11,2/BB19)-POWER(BB12/BB11,(BB19+1)/BB19))))),BB39/0.076/BB20/BB26/BB11/SQRT(BB6/BB22/BB35))</f>
        <v>2.59337298835915</v>
      </c>
      <c r="BC43" s="785"/>
      <c r="BD43" s="785" t="n">
        <f aca="false">IF(BD12/BD11&gt;POWER(2/(BD19+1),BD19/(BD19-1)),BD39/55.84/BD26/BD11/(SQRT(BD6/BD22/BD35*SQRT(BD19/(BD19-1)*(POWER(BD12/BD11,2/BD19)-POWER(BD12/BD11,(BD19+1)/BD19))))),BD39/0.076/BD20/BD26/BD11/SQRT(BD6/BD22/BD35))</f>
        <v>0</v>
      </c>
      <c r="BE43" s="785"/>
      <c r="BF43" s="796" t="n">
        <f aca="false">IF(BF12/BF11&gt;POWER(2/(BF19+1),BF19/(BF19-1)),BF39/55.84/BF26/BF11/(SQRT(BF6/BF22/BF35*SQRT(BF19/(BF19-1)*(POWER(BF12/BF11,2/BF19)-POWER(BF12/BF11,(BF19+1)/BF19))))),BF39/0.076/BF20/BF26/BF11/SQRT(BF6/BF22/BF35))</f>
        <v>1.98067234612949</v>
      </c>
      <c r="BG43" s="796"/>
      <c r="BH43" s="796" t="n">
        <f aca="false">IF(BH12/BH11&gt;POWER(2/(BH19+1),BH19/(BH19-1)),BH39/55.84/BH26/BH11/(SQRT(BH6/BH22/BH35*SQRT(BH19/(BH19-1)*(POWER(BH12/BH11,2/BH19)-POWER(BH12/BH11,(BH19+1)/BH19))))),BH39/0.076/BH20/BH26/BH11/SQRT(BH6/BH22/BH35))</f>
        <v>2.07125691564708</v>
      </c>
      <c r="BI43" s="796"/>
      <c r="BJ43" s="785" t="n">
        <f aca="false">IF(BJ12/BJ11&gt;POWER(2/(BJ19+1),BJ19/(BJ19-1)),BJ39/55.84/BJ26/BJ11/(SQRT(BJ6/BJ22/BJ35*SQRT(BJ19/(BJ19-1)*(POWER(BJ12/BJ11,2/BJ19)-POWER(BJ12/BJ11,(BJ19+1)/BJ19))))),BJ39/0.076/BJ20/BJ26/BJ11/SQRT(BJ6/BJ22/BJ35))</f>
        <v>0</v>
      </c>
      <c r="BK43" s="785"/>
      <c r="BL43" s="785" t="n">
        <v>0</v>
      </c>
      <c r="BM43" s="785"/>
      <c r="BN43" s="785" t="e">
        <f aca="false">IF(BN12/BN11&gt;POWER(2/(BN19+1),BN19/(BN19-1)),BN39/55.84/BN26/BN11/(SQRT(BN6/BN22/BN35*SQRT(BN19/(BN19-1)*(POWER(BN12/BN11,2/BN19)-POWER(BN12/BN11,(BN19+1)/BN19))))),BN39/0.076/BN20/BN26/BN11/SQRT(BN6/BN22/BN35))</f>
        <v>#VALUE!</v>
      </c>
      <c r="BO43" s="785"/>
    </row>
    <row r="44" customFormat="false" ht="15" hidden="false" customHeight="false" outlineLevel="0" collapsed="false">
      <c r="AR44" s="750"/>
      <c r="AS44" s="750"/>
      <c r="AT44" s="750"/>
      <c r="AU44" s="750"/>
      <c r="AV44" s="750"/>
      <c r="AW44" s="750"/>
      <c r="AX44" s="750"/>
      <c r="AY44" s="750"/>
    </row>
    <row r="45" customFormat="false" ht="15" hidden="false" customHeight="false" outlineLevel="0" collapsed="false">
      <c r="A45" s="379" t="s">
        <v>1146</v>
      </c>
      <c r="B45" s="750" t="str">
        <f aca="false">IF(B31&gt;B43,"动力故障","火灾")</f>
        <v>动力故障</v>
      </c>
      <c r="C45" s="750"/>
      <c r="D45" s="750" t="str">
        <f aca="false">IF(D31&gt;D43,"动力故障","火灾")</f>
        <v>动力故障</v>
      </c>
      <c r="E45" s="750"/>
      <c r="F45" s="750" t="str">
        <f aca="false">IF(F31&gt;F43,"动力故障","火灾")</f>
        <v>动力故障</v>
      </c>
      <c r="G45" s="750"/>
      <c r="H45" s="750" t="str">
        <f aca="false">IF(H31&gt;H43,"动力故障","火灾")</f>
        <v>动力故障</v>
      </c>
      <c r="I45" s="750"/>
      <c r="J45" s="750" t="str">
        <f aca="false">IF(J31&gt;J43,"动力故障","火灾")</f>
        <v>动力故障</v>
      </c>
      <c r="K45" s="750"/>
      <c r="L45" s="750" t="str">
        <f aca="false">IF(L31&gt;L43,"动力故障","火灾")</f>
        <v>火灾</v>
      </c>
      <c r="M45" s="750"/>
      <c r="N45" s="750" t="str">
        <f aca="false">IF(N31&gt;N43,"动力故障","火灾")</f>
        <v>火灾</v>
      </c>
      <c r="O45" s="750"/>
      <c r="P45" s="750" t="str">
        <f aca="false">IF(P31&gt;P43,"动力故障","火灾")</f>
        <v>火灾</v>
      </c>
      <c r="Q45" s="750"/>
      <c r="R45" s="750" t="str">
        <f aca="false">IF(R31&gt;R43,"动力故障","火灾")</f>
        <v>火灾</v>
      </c>
      <c r="S45" s="750"/>
      <c r="T45" s="750" t="str">
        <f aca="false">IF(T31&gt;T43,"动力故障","火灾")</f>
        <v>火灾</v>
      </c>
      <c r="U45" s="750"/>
      <c r="V45" s="750" t="str">
        <f aca="false">IF(V31&gt;V43,"动力故障","火灾")</f>
        <v>火灾</v>
      </c>
      <c r="W45" s="750"/>
      <c r="X45" s="750" t="str">
        <f aca="false">IF(X31&gt;X43,"动力故障","火灾")</f>
        <v>动力故障</v>
      </c>
      <c r="Y45" s="750"/>
      <c r="Z45" s="750" t="str">
        <f aca="false">IF(Z31&gt;Z43,"动力故障","火灾")</f>
        <v>火灾</v>
      </c>
      <c r="AA45" s="750"/>
      <c r="AB45" s="750" t="str">
        <f aca="false">IF(AB31&gt;AB43,"动力故障","火灾")</f>
        <v>动力故障</v>
      </c>
      <c r="AC45" s="750"/>
      <c r="AD45" s="750" t="str">
        <f aca="false">IF(AD31&gt;AD43,"动力故障","火灾")</f>
        <v>动力故障</v>
      </c>
      <c r="AE45" s="750"/>
      <c r="AF45" s="750" t="str">
        <f aca="false">IF(AF31&gt;AF43,"动力故障","火灾")</f>
        <v>动力故障</v>
      </c>
      <c r="AG45" s="750"/>
      <c r="AH45" s="750" t="str">
        <f aca="false">IF(AH31&gt;AH43,"动力故障","火灾")</f>
        <v>火灾</v>
      </c>
      <c r="AI45" s="750"/>
      <c r="AJ45" s="750" t="str">
        <f aca="false">IF(AJ31&gt;AJ43,"动力故障","火灾")</f>
        <v>动力故障</v>
      </c>
      <c r="AK45" s="750"/>
      <c r="AL45" s="750" t="str">
        <f aca="false">IF(AL31&gt;AL43,"动力故障","火灾")</f>
        <v>动力故障</v>
      </c>
      <c r="AM45" s="750"/>
      <c r="AN45" s="750" t="str">
        <f aca="false">IF(AN31&gt;AN43,"动力故障","火灾")</f>
        <v>火灾</v>
      </c>
      <c r="AO45" s="750"/>
      <c r="AP45" s="750" t="str">
        <f aca="false">IF(AP31&gt;AP43,"动力故障","火灾")</f>
        <v>动力故障</v>
      </c>
      <c r="AQ45" s="750"/>
      <c r="AR45" s="750" t="str">
        <f aca="false">IF(AR31&gt;AR43,"动力故障","火灾")</f>
        <v>动力故障</v>
      </c>
      <c r="AS45" s="750"/>
      <c r="AT45" s="750" t="str">
        <f aca="false">IF(AT31&gt;AT43,"动力故障","火灾")</f>
        <v>动力故障</v>
      </c>
      <c r="AU45" s="750"/>
      <c r="AV45" s="750" t="str">
        <f aca="false">IF(AV31&gt;AV43,"动力故障","火灾")</f>
        <v>动力故障</v>
      </c>
      <c r="AW45" s="750"/>
      <c r="AX45" s="750" t="str">
        <f aca="false">IF(AX31&gt;AX43,"动力故障","火灾")</f>
        <v>动力故障</v>
      </c>
      <c r="AY45" s="750"/>
      <c r="AZ45" s="750" t="str">
        <f aca="false">IF(AZ31&gt;AZ43,"动力故障","火灾")</f>
        <v>动力故障</v>
      </c>
      <c r="BA45" s="750"/>
      <c r="BB45" s="750" t="str">
        <f aca="false">IF(BB31&gt;BB43,"动力故障","火灾")</f>
        <v>动力故障</v>
      </c>
      <c r="BC45" s="750"/>
      <c r="BD45" s="750" t="str">
        <f aca="false">IF(BD31&gt;BD43,"动力故障","火灾")</f>
        <v>火灾</v>
      </c>
      <c r="BE45" s="750"/>
      <c r="BF45" s="750" t="str">
        <f aca="false">IF(BF31&gt;BF43,"动力故障","火灾")</f>
        <v>动力故障</v>
      </c>
      <c r="BG45" s="750"/>
      <c r="BH45" s="750" t="str">
        <f aca="false">IF(BH31&gt;BH43,"动力故障","火灾")</f>
        <v>动力故障</v>
      </c>
      <c r="BI45" s="750"/>
      <c r="BJ45" s="750" t="str">
        <f aca="false">IF(BJ31&gt;BJ43,"动力故障","火灾")</f>
        <v>动力故障</v>
      </c>
      <c r="BK45" s="750"/>
      <c r="BL45" s="750" t="str">
        <f aca="false">IF(BL31&gt;BL43,"动力故障","火灾")</f>
        <v>动力故障</v>
      </c>
      <c r="BM45" s="750"/>
      <c r="BN45" s="750" t="e">
        <f aca="false">IF(BN31&gt;BN43,"动力故障","火灾")</f>
        <v>#VALUE!</v>
      </c>
      <c r="BO45" s="750"/>
    </row>
    <row r="46" customFormat="false" ht="15" hidden="false" customHeight="false" outlineLevel="0" collapsed="false">
      <c r="A46" s="379" t="s">
        <v>1116</v>
      </c>
      <c r="B46" s="750" t="str">
        <f aca="false">IF(B31&gt;B43,B17,B34)</f>
        <v>气态 Gas</v>
      </c>
      <c r="C46" s="750"/>
      <c r="D46" s="750" t="str">
        <f aca="false">IF(D31&gt;D43,D17,D34)</f>
        <v>液态 Liquid</v>
      </c>
      <c r="E46" s="750"/>
      <c r="F46" s="750" t="str">
        <f aca="false">IF(F31&gt;F43,F17,F34)</f>
        <v>气液混相 Gas &amp; Liquid Mixed</v>
      </c>
      <c r="G46" s="750"/>
      <c r="H46" s="750" t="str">
        <f aca="false">IF(H31&gt;H43,H17,H34)</f>
        <v>气态 Gas</v>
      </c>
      <c r="I46" s="750"/>
      <c r="J46" s="750" t="str">
        <f aca="false">IF(J31&gt;J43,J17,J34)</f>
        <v>气态 Gas</v>
      </c>
      <c r="K46" s="750"/>
      <c r="L46" s="750" t="str">
        <f aca="false">IF(L31&gt;L43,L17,L34)</f>
        <v>气态</v>
      </c>
      <c r="M46" s="750"/>
      <c r="N46" s="750" t="str">
        <f aca="false">IF(N31&gt;N43,N17,N34)</f>
        <v>气态</v>
      </c>
      <c r="O46" s="750"/>
      <c r="P46" s="750" t="str">
        <f aca="false">IF(P31&gt;P43,P17,P34)</f>
        <v>气态 GAS</v>
      </c>
      <c r="Q46" s="750"/>
      <c r="R46" s="750" t="str">
        <f aca="false">IF(R31&gt;R43,R17,R34)</f>
        <v>气态 GAS</v>
      </c>
      <c r="S46" s="750"/>
      <c r="T46" s="750" t="str">
        <f aca="false">IF(T31&gt;T43,T17,T34)</f>
        <v>气态 GAS</v>
      </c>
      <c r="U46" s="750"/>
      <c r="V46" s="750" t="str">
        <f aca="false">IF(V31&gt;V43,V17,V34)</f>
        <v>气态 GAS</v>
      </c>
      <c r="W46" s="750"/>
      <c r="X46" s="750" t="str">
        <f aca="false">IF(X31&gt;X43,X17,X34)</f>
        <v>气态 Gas</v>
      </c>
      <c r="Y46" s="750"/>
      <c r="Z46" s="750" t="str">
        <f aca="false">IF(Z31&gt;Z43,Z17,Z34)</f>
        <v>气态 GAS</v>
      </c>
      <c r="AA46" s="750"/>
      <c r="AB46" s="750" t="str">
        <f aca="false">IF(AB31&gt;AB43,AB17,AB34)</f>
        <v>液态 Liquid</v>
      </c>
      <c r="AC46" s="750"/>
      <c r="AD46" s="750" t="str">
        <f aca="false">IF(AD31&gt;AD43,AD17,AD34)</f>
        <v>气态 Gas</v>
      </c>
      <c r="AE46" s="750"/>
      <c r="AF46" s="750" t="str">
        <f aca="false">IF(AF31&gt;AF43,AF17,AF34)</f>
        <v>气态 Gas</v>
      </c>
      <c r="AG46" s="750"/>
      <c r="AH46" s="750" t="str">
        <f aca="false">IF(AH31&gt;AH43,AH17,AH34)</f>
        <v>气态 GAS</v>
      </c>
      <c r="AI46" s="750"/>
      <c r="AJ46" s="750" t="str">
        <f aca="false">IF(AJ31&gt;AJ43,AJ17,AJ34)</f>
        <v>气态 Gas</v>
      </c>
      <c r="AK46" s="750"/>
      <c r="AL46" s="750" t="str">
        <f aca="false">IF(AL31&gt;AL43,AL17,AL34)</f>
        <v>气态 Gas</v>
      </c>
      <c r="AM46" s="750"/>
      <c r="AN46" s="750" t="str">
        <f aca="false">IF(AN31&gt;AN43,AN17,AN34)</f>
        <v>气态 GAS</v>
      </c>
      <c r="AO46" s="750"/>
      <c r="AP46" s="750" t="str">
        <f aca="false">IF(AP31&gt;AP43,AP17,AP34)</f>
        <v>气态 Gas</v>
      </c>
      <c r="AQ46" s="750"/>
      <c r="AR46" s="750" t="str">
        <f aca="false">IF(AR31&gt;AR43,AR17,AR34)</f>
        <v>气态 Gas</v>
      </c>
      <c r="AS46" s="750"/>
      <c r="AT46" s="750" t="str">
        <f aca="false">IF(AT31&gt;AT43,AT17,AT34)</f>
        <v>气态 Gas</v>
      </c>
      <c r="AU46" s="750"/>
      <c r="AV46" s="750" t="str">
        <f aca="false">IF(AV31&gt;AV43,AV17,AV34)</f>
        <v>气态 Gas</v>
      </c>
      <c r="AW46" s="750"/>
      <c r="AX46" s="750" t="str">
        <f aca="false">IF(AX31&gt;AX43,AX17,AX34)</f>
        <v>气态 Gas</v>
      </c>
      <c r="AY46" s="750"/>
      <c r="AZ46" s="750" t="str">
        <f aca="false">IF(AZ31&gt;AZ43,AZ17,AZ34)</f>
        <v>气态 Gas</v>
      </c>
      <c r="BA46" s="750"/>
      <c r="BB46" s="750" t="str">
        <f aca="false">IF(BB31&gt;BB43,BB17,BB34)</f>
        <v>气态 Gas</v>
      </c>
      <c r="BC46" s="750"/>
      <c r="BD46" s="750" t="str">
        <f aca="false">IF(BD31&gt;BD43,BD17,BD34)</f>
        <v>气态 GAS</v>
      </c>
      <c r="BE46" s="750"/>
      <c r="BF46" s="750" t="str">
        <f aca="false">IF(BF31&gt;BF43,BF17,BF34)</f>
        <v>气态 Gas</v>
      </c>
      <c r="BG46" s="750"/>
      <c r="BH46" s="750" t="str">
        <f aca="false">IF(BH31&gt;BH43,BH17,BH34)</f>
        <v>气态 Gas</v>
      </c>
      <c r="BI46" s="750"/>
      <c r="BJ46" s="750" t="str">
        <f aca="false">IF(BJ31&gt;BJ43,BJ17,BJ34)</f>
        <v>气态 Gas</v>
      </c>
      <c r="BK46" s="750"/>
      <c r="BL46" s="750" t="str">
        <f aca="false">IF(BL31&gt;BL43,BL17,BL34)</f>
        <v>气态 Gas</v>
      </c>
      <c r="BM46" s="750"/>
      <c r="BN46" s="750" t="e">
        <f aca="false">IF(BN31&gt;BN43,BN17,BN34)</f>
        <v>#VALUE!</v>
      </c>
      <c r="BO46" s="750"/>
    </row>
    <row r="47" customFormat="false" ht="15" hidden="false" customHeight="false" outlineLevel="0" collapsed="false">
      <c r="A47" s="379" t="s">
        <v>1315</v>
      </c>
      <c r="B47" s="750" t="n">
        <f aca="false">IF(B31&gt;B43,B15,B35-273.15)</f>
        <v>109.18</v>
      </c>
      <c r="C47" s="750"/>
      <c r="D47" s="750" t="n">
        <f aca="false">IF(D31&gt;D43,D15,D35-273.15)</f>
        <v>185</v>
      </c>
      <c r="E47" s="750"/>
      <c r="F47" s="750" t="n">
        <f aca="false">IF(F31&gt;F43,F15,F35-273.15)</f>
        <v>400.58</v>
      </c>
      <c r="G47" s="750"/>
      <c r="H47" s="750" t="n">
        <f aca="false">IF(H31&gt;H43,H15,H35-273.15)</f>
        <v>456.5</v>
      </c>
      <c r="I47" s="750"/>
      <c r="J47" s="750" t="n">
        <f aca="false">IF(J31&gt;J43,J15,J35-273.15)</f>
        <v>40</v>
      </c>
      <c r="K47" s="750"/>
      <c r="L47" s="750" t="n">
        <f aca="false">IF(L31&gt;L43,L15,L35-273.15)</f>
        <v>489.91</v>
      </c>
      <c r="M47" s="750"/>
      <c r="N47" s="750" t="n">
        <f aca="false">IF(N31&gt;N43,N15,N35-273.15)</f>
        <v>455.7</v>
      </c>
      <c r="O47" s="750"/>
      <c r="P47" s="750" t="n">
        <f aca="false">IF(P31&gt;P43,P15,P35-273.15)</f>
        <v>427.39</v>
      </c>
      <c r="Q47" s="750"/>
      <c r="R47" s="750" t="n">
        <f aca="false">IF(R31&gt;R43,R15,R35-273.15)</f>
        <v>216.25</v>
      </c>
      <c r="S47" s="750"/>
      <c r="T47" s="750" t="n">
        <f aca="false">IF(T31&gt;T43,T15,T35-273.15)</f>
        <v>216.254</v>
      </c>
      <c r="U47" s="750"/>
      <c r="V47" s="750" t="n">
        <f aca="false">IF(V31&gt;V43,V15,V35-273.15)</f>
        <v>177.59</v>
      </c>
      <c r="W47" s="750"/>
      <c r="X47" s="750" t="n">
        <f aca="false">IF(X31&gt;X43,X15,X35-273.15)</f>
        <v>177.59</v>
      </c>
      <c r="Y47" s="750"/>
      <c r="Z47" s="750" t="n">
        <f aca="false">IF(Z31&gt;Z43,Z15,Z35-273.15)</f>
        <v>221</v>
      </c>
      <c r="AA47" s="750"/>
      <c r="AB47" s="750" t="str">
        <f aca="false">IF(AB31&gt;AB43,AB15,AB35-273.15)</f>
        <v>227.33</v>
      </c>
      <c r="AC47" s="750"/>
      <c r="AD47" s="750" t="n">
        <f aca="false">IF(AD31&gt;AD43,AD15,AD35-273.15)</f>
        <v>216.25</v>
      </c>
      <c r="AE47" s="750"/>
      <c r="AF47" s="750" t="n">
        <f aca="false">IF(AF31&gt;AF43,AF15,AF35-273.15)</f>
        <v>216.25</v>
      </c>
      <c r="AG47" s="750"/>
      <c r="AH47" s="750" t="n">
        <f aca="false">IF(AH31&gt;AH43,AH15,AH35-273.15)</f>
        <v>187.81</v>
      </c>
      <c r="AI47" s="750"/>
      <c r="AJ47" s="750" t="n">
        <f aca="false">IF(AJ31&gt;AJ43,AJ15,AJ35-273.15)</f>
        <v>40</v>
      </c>
      <c r="AK47" s="750"/>
      <c r="AL47" s="750" t="n">
        <f aca="false">IF(AL31&gt;AL43,AL15,AL35-273.15)</f>
        <v>55.88</v>
      </c>
      <c r="AM47" s="750"/>
      <c r="AN47" s="750" t="n">
        <f aca="false">IF(AN31&gt;AN43,AN15,AN35-273.15)</f>
        <v>194.6</v>
      </c>
      <c r="AO47" s="750"/>
      <c r="AP47" s="750" t="n">
        <f aca="false">IF(AP31&gt;AP43,AP15,AP35-273.15)</f>
        <v>109.18</v>
      </c>
      <c r="AQ47" s="750"/>
      <c r="AR47" s="797" t="n">
        <f aca="false">IF(AR31&gt;AR43,AR15,AR35-273.15)</f>
        <v>40</v>
      </c>
      <c r="AS47" s="797"/>
      <c r="AT47" s="797" t="n">
        <f aca="false">IF(AT31&gt;AT43,AT15,AT35-273.15)</f>
        <v>40</v>
      </c>
      <c r="AU47" s="797"/>
      <c r="AV47" s="797" t="n">
        <f aca="false">IF(AV31&gt;AV43,AV15,AV35-273.15)</f>
        <v>40</v>
      </c>
      <c r="AW47" s="797"/>
      <c r="AX47" s="797" t="n">
        <f aca="false">IF(AX31&gt;AX43,AX15,AX35-273.15)</f>
        <v>40</v>
      </c>
      <c r="AY47" s="797"/>
      <c r="AZ47" s="750" t="n">
        <f aca="false">IF(AZ31&gt;AZ43,AZ15,AZ35-273.15)</f>
        <v>250</v>
      </c>
      <c r="BA47" s="750"/>
      <c r="BB47" s="750" t="n">
        <f aca="false">IF(BB31&gt;BB43,BB15,BB35-273.15)</f>
        <v>188</v>
      </c>
      <c r="BC47" s="750"/>
      <c r="BD47" s="750" t="n">
        <f aca="false">IF(BD31&gt;BD43,BD15,BD35-273.15)</f>
        <v>163.8</v>
      </c>
      <c r="BE47" s="750"/>
      <c r="BF47" s="750" t="n">
        <f aca="false">IF(BF31&gt;BF43,BF15,BF35-273.15)</f>
        <v>40</v>
      </c>
      <c r="BG47" s="750"/>
      <c r="BH47" s="750" t="n">
        <f aca="false">IF(BH31&gt;BH43,BH15,BH35-273.15)</f>
        <v>40</v>
      </c>
      <c r="BI47" s="750"/>
      <c r="BJ47" s="750" t="n">
        <f aca="false">IF(BJ31&gt;BJ43,BJ15,BJ35-273.15)</f>
        <v>65</v>
      </c>
      <c r="BK47" s="750"/>
      <c r="BL47" s="750" t="n">
        <f aca="false">IF(BL31&gt;BL43,BL15,BL35-273.15)</f>
        <v>40</v>
      </c>
      <c r="BM47" s="750"/>
      <c r="BN47" s="750" t="e">
        <f aca="false">IF(BN31&gt;BN43,BN15,BN35-273.15)</f>
        <v>#VALUE!</v>
      </c>
      <c r="BO47" s="750"/>
    </row>
    <row r="48" s="381" customFormat="true" ht="15" hidden="false" customHeight="false" outlineLevel="0" collapsed="false">
      <c r="A48" s="798" t="s">
        <v>1316</v>
      </c>
      <c r="B48" s="799" t="n">
        <f aca="false">MAX(B31,B43)</f>
        <v>2765.28042158806</v>
      </c>
      <c r="C48" s="799"/>
      <c r="D48" s="799" t="n">
        <f aca="false">MAX(D31,D43)</f>
        <v>280.731584051039</v>
      </c>
      <c r="E48" s="799"/>
      <c r="F48" s="799" t="n">
        <f aca="false">MAX(F31,F43)</f>
        <v>1110.70629525697</v>
      </c>
      <c r="G48" s="799"/>
      <c r="H48" s="799" t="n">
        <f aca="false">MAX(H31,H43)</f>
        <v>400.684467048159</v>
      </c>
      <c r="I48" s="799"/>
      <c r="J48" s="799" t="n">
        <f aca="false">MAX(J31,J43)</f>
        <v>672.059055854093</v>
      </c>
      <c r="K48" s="799"/>
      <c r="L48" s="799" t="n">
        <f aca="false">MAX(L31,L43)</f>
        <v>2287</v>
      </c>
      <c r="M48" s="799"/>
      <c r="N48" s="799" t="n">
        <f aca="false">MAX(N31,N43)</f>
        <v>4787</v>
      </c>
      <c r="O48" s="799"/>
      <c r="P48" s="799" t="n">
        <f aca="false">MAX(P31,P43)</f>
        <v>9090.1425435283</v>
      </c>
      <c r="Q48" s="799"/>
      <c r="R48" s="799" t="n">
        <f aca="false">MAX(R31,R43)</f>
        <v>1054.05982192742</v>
      </c>
      <c r="S48" s="799"/>
      <c r="T48" s="799" t="n">
        <f aca="false">MAX(T31,T43)</f>
        <v>1054.05982192742</v>
      </c>
      <c r="U48" s="799"/>
      <c r="V48" s="799" t="n">
        <f aca="false">MAX(V31,V43)</f>
        <v>2223.47003817724</v>
      </c>
      <c r="W48" s="799"/>
      <c r="X48" s="799" t="n">
        <f aca="false">MAX(X31,X43)</f>
        <v>2223.47003817724</v>
      </c>
      <c r="Y48" s="799"/>
      <c r="Z48" s="799" t="n">
        <f aca="false">MAX(Z31,Z43)</f>
        <v>186.571699905033</v>
      </c>
      <c r="AA48" s="799"/>
      <c r="AB48" s="799" t="n">
        <f aca="false">MAX(AB31,AB43)</f>
        <v>16.5019799618784</v>
      </c>
      <c r="AC48" s="799"/>
      <c r="AD48" s="799" t="n">
        <f aca="false">MAX(AD31,AD43)</f>
        <v>2924.97172979305</v>
      </c>
      <c r="AE48" s="799"/>
      <c r="AF48" s="799" t="n">
        <f aca="false">MAX(AF31,AF43)</f>
        <v>2794.27045972471</v>
      </c>
      <c r="AG48" s="799"/>
      <c r="AH48" s="799" t="n">
        <f aca="false">MAX(AH31,AH43)</f>
        <v>297.201216576503</v>
      </c>
      <c r="AI48" s="799"/>
      <c r="AJ48" s="799" t="n">
        <f aca="false">MAX(AJ31,AJ43)</f>
        <v>518.326402528315</v>
      </c>
      <c r="AK48" s="799"/>
      <c r="AL48" s="799" t="n">
        <f aca="false">MAX(AL31,AL43)</f>
        <v>387.572068481677</v>
      </c>
      <c r="AM48" s="799"/>
      <c r="AN48" s="799" t="n">
        <f aca="false">MAX(AN31,AN43)</f>
        <v>483.756402394245</v>
      </c>
      <c r="AO48" s="799"/>
      <c r="AP48" s="799" t="n">
        <f aca="false">MAX(AP31,AP43)</f>
        <v>2765.28042158806</v>
      </c>
      <c r="AQ48" s="799"/>
      <c r="AR48" s="799" t="n">
        <f aca="false">MAX(AR31,AR43)</f>
        <v>354.030260065856</v>
      </c>
      <c r="AS48" s="799"/>
      <c r="AT48" s="799" t="n">
        <f aca="false">MAX(AT31,AT43)</f>
        <v>191.083584507425</v>
      </c>
      <c r="AU48" s="799"/>
      <c r="AV48" s="799" t="n">
        <f aca="false">MAX(AV31,AV43)</f>
        <v>1189.34571721439</v>
      </c>
      <c r="AW48" s="799"/>
      <c r="AX48" s="799" t="n">
        <f aca="false">MAX(AX31,AX43)</f>
        <v>283.436108599489</v>
      </c>
      <c r="AY48" s="799"/>
      <c r="AZ48" s="799" t="n">
        <f aca="false">MAX(AZ31,AZ43)</f>
        <v>2140.49219012354</v>
      </c>
      <c r="BA48" s="799"/>
      <c r="BB48" s="800" t="n">
        <f aca="false">MAX(BB31,BB43)</f>
        <v>2213.33363128004</v>
      </c>
      <c r="BC48" s="800"/>
      <c r="BD48" s="800" t="n">
        <f aca="false">MAX(BD31,BD43)</f>
        <v>0</v>
      </c>
      <c r="BE48" s="800"/>
      <c r="BF48" s="800" t="n">
        <f aca="false">MAX(BF31,BF43)</f>
        <v>155.89768532947</v>
      </c>
      <c r="BG48" s="800"/>
      <c r="BH48" s="800" t="n">
        <f aca="false">MAX(BH31,BH43)</f>
        <v>646.536606404182</v>
      </c>
      <c r="BI48" s="800"/>
      <c r="BJ48" s="800" t="n">
        <f aca="false">MAX(BJ31,BJ43)</f>
        <v>117.809747212903</v>
      </c>
      <c r="BK48" s="800"/>
      <c r="BL48" s="800" t="n">
        <f aca="false">MAX(BL31,BL43)</f>
        <v>10546.6691706767</v>
      </c>
      <c r="BM48" s="800"/>
      <c r="BN48" s="800" t="e">
        <f aca="false">MAX(BN31,BN43)</f>
        <v>#VALUE!</v>
      </c>
      <c r="BO48" s="800"/>
    </row>
    <row r="49" customFormat="false" ht="15" hidden="false" customHeight="false" outlineLevel="0" collapsed="false">
      <c r="A49" s="379" t="s">
        <v>1317</v>
      </c>
      <c r="B49" s="750" t="n">
        <f aca="false">SQRT(4*B48/3.14)</f>
        <v>59.3519184069354</v>
      </c>
      <c r="C49" s="750"/>
      <c r="D49" s="750" t="n">
        <f aca="false">SQRT(4*D48/3.14)</f>
        <v>18.9108395449361</v>
      </c>
      <c r="E49" s="750"/>
      <c r="F49" s="750" t="n">
        <f aca="false">SQRT(4*F48/3.14)</f>
        <v>37.6153223837622</v>
      </c>
      <c r="G49" s="750"/>
      <c r="H49" s="750" t="n">
        <f aca="false">SQRT(4*H48/3.14)</f>
        <v>22.5926110193757</v>
      </c>
      <c r="I49" s="750"/>
      <c r="J49" s="750" t="n">
        <f aca="false">SQRT(4*J48/3.14)</f>
        <v>29.2596340681389</v>
      </c>
      <c r="K49" s="750"/>
      <c r="L49" s="750" t="n">
        <f aca="false">SQRT(4*L48/3.14)</f>
        <v>53.9756963473223</v>
      </c>
      <c r="M49" s="750"/>
      <c r="N49" s="750" t="n">
        <f aca="false">SQRT(4*N48/3.14)</f>
        <v>78.0902629780085</v>
      </c>
      <c r="O49" s="750"/>
      <c r="P49" s="750" t="n">
        <f aca="false">SQRT(4*P48/3.14)</f>
        <v>107.609476434501</v>
      </c>
      <c r="Q49" s="750"/>
      <c r="R49" s="750" t="n">
        <f aca="false">SQRT(4*R48/3.14)</f>
        <v>36.6435719535177</v>
      </c>
      <c r="S49" s="750"/>
      <c r="T49" s="750" t="n">
        <f aca="false">SQRT(4*T48/3.14)</f>
        <v>36.6435719535177</v>
      </c>
      <c r="U49" s="750"/>
      <c r="V49" s="750" t="n">
        <f aca="false">SQRT(4*V48/3.14)</f>
        <v>53.2207281846654</v>
      </c>
      <c r="W49" s="750"/>
      <c r="X49" s="750" t="n">
        <f aca="false">SQRT(4*X48/3.14)</f>
        <v>53.2207281846654</v>
      </c>
      <c r="Y49" s="750"/>
      <c r="Z49" s="750" t="n">
        <f aca="false">SQRT(4*Z48/3.14)</f>
        <v>15.4165805317858</v>
      </c>
      <c r="AA49" s="750"/>
      <c r="AB49" s="750" t="n">
        <f aca="false">SQRT(4*AB48/3.14)</f>
        <v>4.58493517126315</v>
      </c>
      <c r="AC49" s="750"/>
      <c r="AD49" s="750" t="n">
        <f aca="false">SQRT(4*AD48/3.14)</f>
        <v>61.0416139750502</v>
      </c>
      <c r="AE49" s="750"/>
      <c r="AF49" s="750" t="n">
        <f aca="false">SQRT(4*AF48/3.14)</f>
        <v>59.662217554085</v>
      </c>
      <c r="AG49" s="750"/>
      <c r="AH49" s="750" t="n">
        <f aca="false">SQRT(4*AH48/3.14)</f>
        <v>19.4576534015188</v>
      </c>
      <c r="AI49" s="750"/>
      <c r="AJ49" s="750" t="n">
        <f aca="false">SQRT(4*AJ48/3.14)</f>
        <v>25.6960777330723</v>
      </c>
      <c r="AK49" s="750"/>
      <c r="AL49" s="750" t="n">
        <f aca="false">SQRT(4*AL48/3.14)</f>
        <v>22.2198645412486</v>
      </c>
      <c r="AM49" s="750"/>
      <c r="AN49" s="750" t="n">
        <f aca="false">SQRT(4*AN48/3.14)</f>
        <v>24.8243870847358</v>
      </c>
      <c r="AO49" s="750"/>
      <c r="AP49" s="750" t="n">
        <f aca="false">SQRT(4*AP48/3.14)</f>
        <v>59.3519184069354</v>
      </c>
      <c r="AQ49" s="750"/>
      <c r="AR49" s="750" t="n">
        <f aca="false">SQRT(4*AR48/3.14)</f>
        <v>21.2366184188381</v>
      </c>
      <c r="AS49" s="750"/>
      <c r="AT49" s="750" t="n">
        <f aca="false">SQRT(4*AT48/3.14)</f>
        <v>15.6018774187708</v>
      </c>
      <c r="AU49" s="750"/>
      <c r="AV49" s="750" t="n">
        <f aca="false">SQRT(4*AV48/3.14)</f>
        <v>38.9241581235025</v>
      </c>
      <c r="AW49" s="750"/>
      <c r="AX49" s="750" t="n">
        <f aca="false">SQRT(4*AX48/3.14)</f>
        <v>19.0017132516035</v>
      </c>
      <c r="AY49" s="750"/>
      <c r="AZ49" s="750" t="n">
        <f aca="false">SQRT(4*AZ48/3.14)</f>
        <v>52.2182117988493</v>
      </c>
      <c r="BA49" s="750"/>
      <c r="BB49" s="750" t="n">
        <f aca="false">SQRT(4*BB48/3.14)</f>
        <v>53.0992776622698</v>
      </c>
      <c r="BC49" s="750"/>
      <c r="BD49" s="750" t="n">
        <f aca="false">SQRT(4*BD48/3.14)</f>
        <v>0</v>
      </c>
      <c r="BE49" s="750"/>
      <c r="BF49" s="750" t="n">
        <f aca="false">SQRT(4*BF48/3.14)</f>
        <v>14.0924014096168</v>
      </c>
      <c r="BG49" s="750"/>
      <c r="BH49" s="750" t="n">
        <f aca="false">SQRT(4*BH48/3.14)</f>
        <v>28.6986674140614</v>
      </c>
      <c r="BI49" s="750"/>
      <c r="BJ49" s="750" t="n">
        <f aca="false">SQRT(4*BJ48/3.14)</f>
        <v>12.250555542474</v>
      </c>
      <c r="BK49" s="750"/>
      <c r="BL49" s="750" t="n">
        <f aca="false">SQRT(4*BL48/3.14)</f>
        <v>115.910514411681</v>
      </c>
      <c r="BM49" s="750"/>
      <c r="BN49" s="750" t="e">
        <f aca="false">SQRT(4*BN48/3.14)</f>
        <v>#VALUE!</v>
      </c>
      <c r="BO49" s="750"/>
    </row>
    <row r="50" s="686" customFormat="true" ht="15" hidden="false" customHeight="false" outlineLevel="0" collapsed="false">
      <c r="A50" s="681" t="s">
        <v>1150</v>
      </c>
      <c r="B50" s="801" t="s">
        <v>1161</v>
      </c>
      <c r="C50" s="801"/>
      <c r="D50" s="801" t="s">
        <v>1152</v>
      </c>
      <c r="E50" s="801"/>
      <c r="F50" s="801" t="s">
        <v>1153</v>
      </c>
      <c r="G50" s="801"/>
      <c r="H50" s="801" t="s">
        <v>1154</v>
      </c>
      <c r="I50" s="801"/>
      <c r="J50" s="801" t="s">
        <v>1154</v>
      </c>
      <c r="K50" s="801"/>
      <c r="L50" s="801" t="s">
        <v>1155</v>
      </c>
      <c r="M50" s="801"/>
      <c r="N50" s="801" t="s">
        <v>1156</v>
      </c>
      <c r="O50" s="801"/>
      <c r="P50" s="801" t="s">
        <v>1157</v>
      </c>
      <c r="Q50" s="801"/>
      <c r="R50" s="801" t="s">
        <v>1158</v>
      </c>
      <c r="S50" s="801"/>
      <c r="T50" s="801" t="s">
        <v>1158</v>
      </c>
      <c r="U50" s="801"/>
      <c r="V50" s="801" t="s">
        <v>1155</v>
      </c>
      <c r="W50" s="801"/>
      <c r="X50" s="801" t="s">
        <v>1155</v>
      </c>
      <c r="Y50" s="801"/>
      <c r="Z50" s="801" t="s">
        <v>1152</v>
      </c>
      <c r="AA50" s="801"/>
      <c r="AB50" s="801" t="s">
        <v>1159</v>
      </c>
      <c r="AC50" s="801"/>
      <c r="AD50" s="801" t="s">
        <v>1151</v>
      </c>
      <c r="AE50" s="801"/>
      <c r="AF50" s="801" t="s">
        <v>1151</v>
      </c>
      <c r="AG50" s="801"/>
      <c r="AH50" s="801" t="s">
        <v>1152</v>
      </c>
      <c r="AI50" s="801"/>
      <c r="AJ50" s="801" t="s">
        <v>1154</v>
      </c>
      <c r="AK50" s="801"/>
      <c r="AL50" s="801" t="s">
        <v>1160</v>
      </c>
      <c r="AM50" s="801"/>
      <c r="AN50" s="801" t="s">
        <v>1160</v>
      </c>
      <c r="AO50" s="801"/>
      <c r="AP50" s="801" t="s">
        <v>1161</v>
      </c>
      <c r="AQ50" s="801"/>
      <c r="AR50" s="801" t="s">
        <v>1160</v>
      </c>
      <c r="AS50" s="801"/>
      <c r="AT50" s="801" t="s">
        <v>1152</v>
      </c>
      <c r="AU50" s="801"/>
      <c r="AV50" s="801" t="s">
        <v>1153</v>
      </c>
      <c r="AW50" s="801"/>
      <c r="AX50" s="801" t="s">
        <v>1160</v>
      </c>
      <c r="AY50" s="801"/>
      <c r="AZ50" s="801" t="s">
        <v>1155</v>
      </c>
      <c r="BA50" s="801"/>
      <c r="BB50" s="801" t="s">
        <v>1161</v>
      </c>
      <c r="BC50" s="801"/>
      <c r="BD50" s="801" t="s">
        <v>1318</v>
      </c>
      <c r="BE50" s="801"/>
      <c r="BF50" s="801" t="s">
        <v>1152</v>
      </c>
      <c r="BG50" s="801"/>
      <c r="BH50" s="801" t="s">
        <v>1158</v>
      </c>
      <c r="BI50" s="801"/>
      <c r="BJ50" s="801" t="s">
        <v>1152</v>
      </c>
      <c r="BK50" s="801"/>
      <c r="BL50" s="801" t="s">
        <v>1153</v>
      </c>
      <c r="BM50" s="801"/>
      <c r="BN50" s="801" t="s">
        <v>1151</v>
      </c>
      <c r="BO50" s="801"/>
    </row>
    <row r="51" s="692" customFormat="true" ht="15" hidden="false" customHeight="false" outlineLevel="0" collapsed="false">
      <c r="A51" s="687" t="s">
        <v>1319</v>
      </c>
      <c r="B51" s="802" t="n">
        <v>4</v>
      </c>
      <c r="C51" s="802"/>
      <c r="D51" s="802" t="n">
        <v>1.5</v>
      </c>
      <c r="E51" s="802"/>
      <c r="F51" s="802" t="n">
        <v>3</v>
      </c>
      <c r="G51" s="802"/>
      <c r="H51" s="802" t="n">
        <v>3</v>
      </c>
      <c r="I51" s="802"/>
      <c r="J51" s="802" t="n">
        <v>3</v>
      </c>
      <c r="K51" s="802"/>
      <c r="L51" s="802" t="n">
        <v>4</v>
      </c>
      <c r="M51" s="802"/>
      <c r="N51" s="802" t="n">
        <v>6</v>
      </c>
      <c r="O51" s="802"/>
      <c r="P51" s="802" t="n">
        <v>6</v>
      </c>
      <c r="Q51" s="802"/>
      <c r="R51" s="802" t="n">
        <v>3</v>
      </c>
      <c r="S51" s="802"/>
      <c r="T51" s="802" t="n">
        <v>3</v>
      </c>
      <c r="U51" s="802"/>
      <c r="V51" s="802" t="n">
        <v>4</v>
      </c>
      <c r="W51" s="802"/>
      <c r="X51" s="802" t="n">
        <v>4</v>
      </c>
      <c r="Y51" s="802"/>
      <c r="Z51" s="802" t="n">
        <v>1.5</v>
      </c>
      <c r="AA51" s="802"/>
      <c r="AB51" s="802" t="n">
        <v>1</v>
      </c>
      <c r="AC51" s="802"/>
      <c r="AD51" s="802" t="n">
        <v>4</v>
      </c>
      <c r="AE51" s="802"/>
      <c r="AF51" s="802" t="n">
        <v>4</v>
      </c>
      <c r="AG51" s="802"/>
      <c r="AH51" s="802" t="n">
        <v>1.5</v>
      </c>
      <c r="AI51" s="802"/>
      <c r="AJ51" s="802" t="n">
        <v>3</v>
      </c>
      <c r="AK51" s="802"/>
      <c r="AL51" s="802" t="n">
        <v>2</v>
      </c>
      <c r="AM51" s="802"/>
      <c r="AN51" s="802" t="n">
        <v>1.5</v>
      </c>
      <c r="AO51" s="802"/>
      <c r="AP51" s="802" t="n">
        <v>4</v>
      </c>
      <c r="AQ51" s="802"/>
      <c r="AR51" s="802" t="n">
        <v>1.5</v>
      </c>
      <c r="AS51" s="802"/>
      <c r="AT51" s="802" t="n">
        <v>1.5</v>
      </c>
      <c r="AU51" s="802"/>
      <c r="AV51" s="802" t="n">
        <v>1.5</v>
      </c>
      <c r="AW51" s="802"/>
      <c r="AX51" s="802" t="n">
        <v>1.5</v>
      </c>
      <c r="AY51" s="802"/>
      <c r="AZ51" s="802" t="n">
        <v>4</v>
      </c>
      <c r="BA51" s="802"/>
      <c r="BB51" s="802" t="n">
        <v>4</v>
      </c>
      <c r="BC51" s="802"/>
      <c r="BD51" s="802" t="n">
        <v>1</v>
      </c>
      <c r="BE51" s="802"/>
      <c r="BF51" s="802" t="n">
        <v>1.5</v>
      </c>
      <c r="BG51" s="802"/>
      <c r="BH51" s="802" t="n">
        <v>3</v>
      </c>
      <c r="BI51" s="802"/>
      <c r="BJ51" s="802" t="n">
        <v>1.5</v>
      </c>
      <c r="BK51" s="802"/>
      <c r="BL51" s="802" t="n">
        <v>4</v>
      </c>
      <c r="BM51" s="802"/>
      <c r="BN51" s="802" t="n">
        <v>4</v>
      </c>
      <c r="BO51" s="802"/>
    </row>
    <row r="52" s="697" customFormat="true" ht="15" hidden="false" customHeight="false" outlineLevel="0" collapsed="false">
      <c r="A52" s="693" t="s">
        <v>1320</v>
      </c>
      <c r="B52" s="577" t="n">
        <v>6</v>
      </c>
      <c r="C52" s="577"/>
      <c r="D52" s="577" t="n">
        <v>2</v>
      </c>
      <c r="E52" s="577"/>
      <c r="F52" s="577" t="n">
        <v>4</v>
      </c>
      <c r="G52" s="577"/>
      <c r="H52" s="577" t="n">
        <v>4</v>
      </c>
      <c r="I52" s="577"/>
      <c r="J52" s="577" t="n">
        <v>4</v>
      </c>
      <c r="K52" s="577"/>
      <c r="L52" s="577" t="n">
        <v>6</v>
      </c>
      <c r="M52" s="577"/>
      <c r="N52" s="577" t="n">
        <v>8</v>
      </c>
      <c r="O52" s="577"/>
      <c r="P52" s="577" t="n">
        <v>8</v>
      </c>
      <c r="Q52" s="577"/>
      <c r="R52" s="577" t="n">
        <v>4</v>
      </c>
      <c r="S52" s="577"/>
      <c r="T52" s="577" t="n">
        <v>4</v>
      </c>
      <c r="U52" s="577"/>
      <c r="V52" s="577" t="n">
        <v>6</v>
      </c>
      <c r="W52" s="577"/>
      <c r="X52" s="577" t="n">
        <v>6</v>
      </c>
      <c r="Y52" s="577"/>
      <c r="Z52" s="577" t="n">
        <v>3</v>
      </c>
      <c r="AA52" s="577"/>
      <c r="AB52" s="577" t="n">
        <v>2</v>
      </c>
      <c r="AC52" s="577"/>
      <c r="AD52" s="577" t="n">
        <v>6</v>
      </c>
      <c r="AE52" s="577"/>
      <c r="AF52" s="577" t="n">
        <v>6</v>
      </c>
      <c r="AG52" s="577"/>
      <c r="AH52" s="577" t="n">
        <v>3</v>
      </c>
      <c r="AI52" s="577"/>
      <c r="AJ52" s="577" t="n">
        <v>4</v>
      </c>
      <c r="AK52" s="577"/>
      <c r="AL52" s="577" t="n">
        <v>3</v>
      </c>
      <c r="AM52" s="577"/>
      <c r="AN52" s="577" t="n">
        <v>3</v>
      </c>
      <c r="AO52" s="577"/>
      <c r="AP52" s="577" t="n">
        <v>6</v>
      </c>
      <c r="AQ52" s="577"/>
      <c r="AR52" s="577" t="n">
        <v>3</v>
      </c>
      <c r="AS52" s="577"/>
      <c r="AT52" s="577" t="n">
        <v>3</v>
      </c>
      <c r="AU52" s="577"/>
      <c r="AV52" s="577" t="n">
        <v>3</v>
      </c>
      <c r="AW52" s="577"/>
      <c r="AX52" s="577" t="n">
        <v>3</v>
      </c>
      <c r="AY52" s="577"/>
      <c r="AZ52" s="577" t="n">
        <v>6</v>
      </c>
      <c r="BA52" s="577"/>
      <c r="BB52" s="577" t="n">
        <v>6</v>
      </c>
      <c r="BC52" s="577"/>
      <c r="BD52" s="577" t="n">
        <v>2</v>
      </c>
      <c r="BE52" s="577"/>
      <c r="BF52" s="577" t="n">
        <v>3</v>
      </c>
      <c r="BG52" s="577"/>
      <c r="BH52" s="577" t="n">
        <v>4</v>
      </c>
      <c r="BI52" s="577"/>
      <c r="BJ52" s="577" t="n">
        <v>3</v>
      </c>
      <c r="BK52" s="577"/>
      <c r="BL52" s="577" t="n">
        <v>6</v>
      </c>
      <c r="BM52" s="577"/>
      <c r="BN52" s="577" t="n">
        <v>6</v>
      </c>
      <c r="BO52" s="577"/>
    </row>
    <row r="53" s="780" customFormat="true" ht="15" hidden="false" customHeight="false" outlineLevel="0" collapsed="false">
      <c r="A53" s="803" t="s">
        <v>1321</v>
      </c>
      <c r="B53" s="804" t="n">
        <f aca="false">SQRT(4*B54/3.14)</f>
        <v>59.7233537311136</v>
      </c>
      <c r="C53" s="804"/>
      <c r="D53" s="804" t="n">
        <f aca="false">SQRT(4*D54/3.14)</f>
        <v>20.3316451911385</v>
      </c>
      <c r="E53" s="804"/>
      <c r="F53" s="804" t="n">
        <f aca="false">SQRT(4*F54/3.14)</f>
        <v>48.4222405078098</v>
      </c>
      <c r="G53" s="804"/>
      <c r="H53" s="804" t="n">
        <f aca="false">SQRT(4*H54/3.14)</f>
        <v>32.5224077578741</v>
      </c>
      <c r="I53" s="804"/>
      <c r="J53" s="804" t="n">
        <f aca="false">SQRT(4*J54/3.14)</f>
        <v>32.5224077578741</v>
      </c>
      <c r="K53" s="804"/>
      <c r="L53" s="804" t="n">
        <f aca="false">SQRT(4*L54/3.14)</f>
        <v>54.3941735358639</v>
      </c>
      <c r="M53" s="804"/>
      <c r="N53" s="804" t="n">
        <f aca="false">SQRT(4*N54/3.14)</f>
        <v>95.2970548465186</v>
      </c>
      <c r="O53" s="804"/>
      <c r="P53" s="804" t="n">
        <f aca="false">SQRT(4*P54/3.14)</f>
        <v>114.672616248159</v>
      </c>
      <c r="Q53" s="804"/>
      <c r="R53" s="804" t="n">
        <f aca="false">SQRT(4*R54/3.14)</f>
        <v>38.8660938146303</v>
      </c>
      <c r="S53" s="804"/>
      <c r="T53" s="804" t="n">
        <f aca="false">SQRT(4*T54/3.14)</f>
        <v>38.8660938146303</v>
      </c>
      <c r="U53" s="804"/>
      <c r="V53" s="804" t="n">
        <f aca="false">SQRT(4*V54/3.14)</f>
        <v>54.3941735358639</v>
      </c>
      <c r="W53" s="804"/>
      <c r="X53" s="804" t="n">
        <f aca="false">SQRT(4*X54/3.14)</f>
        <v>54.3941735358639</v>
      </c>
      <c r="Y53" s="804"/>
      <c r="Z53" s="804" t="n">
        <f aca="false">SQRT(4*Z54/3.14)</f>
        <v>20.3316451911385</v>
      </c>
      <c r="AA53" s="804"/>
      <c r="AB53" s="804" t="n">
        <f aca="false">SQRT(4*AB54/3.14)</f>
        <v>9.51030282759763</v>
      </c>
      <c r="AC53" s="804"/>
      <c r="AD53" s="804" t="n">
        <f aca="false">SQRT(4*AD54/3.14)</f>
        <v>72.4115977620012</v>
      </c>
      <c r="AE53" s="804"/>
      <c r="AF53" s="804" t="n">
        <f aca="false">SQRT(4*AF54/3.14)</f>
        <v>72.4115977620012</v>
      </c>
      <c r="AG53" s="804"/>
      <c r="AH53" s="804" t="n">
        <f aca="false">SQRT(4*AH54/3.14)</f>
        <v>20.3316451911385</v>
      </c>
      <c r="AI53" s="804"/>
      <c r="AJ53" s="804" t="n">
        <f aca="false">SQRT(4*AJ54/3.14)</f>
        <v>32.5224077578741</v>
      </c>
      <c r="AK53" s="804"/>
      <c r="AL53" s="804" t="n">
        <f aca="false">SQRT(4*AL54/3.14)</f>
        <v>25.3987310982512</v>
      </c>
      <c r="AM53" s="804"/>
      <c r="AN53" s="804" t="n">
        <f aca="false">SQRT(4*AN54/3.14)</f>
        <v>25.3987310982512</v>
      </c>
      <c r="AO53" s="804"/>
      <c r="AP53" s="804" t="n">
        <f aca="false">SQRT(4*AP54/3.14)</f>
        <v>59.7233537311136</v>
      </c>
      <c r="AQ53" s="804"/>
      <c r="AR53" s="804" t="n">
        <f aca="false">SQRT(4*AR54/3.14)</f>
        <v>25.3987310982512</v>
      </c>
      <c r="AS53" s="804"/>
      <c r="AT53" s="804" t="n">
        <f aca="false">SQRT(4*AT54/3.14)</f>
        <v>20.3316451911385</v>
      </c>
      <c r="AU53" s="804"/>
      <c r="AV53" s="804" t="n">
        <f aca="false">SQRT(4*AV54/3.14)</f>
        <v>48.4222405078098</v>
      </c>
      <c r="AW53" s="804"/>
      <c r="AX53" s="804" t="n">
        <f aca="false">SQRT(4*AX54/3.14)</f>
        <v>25.3987310982512</v>
      </c>
      <c r="AY53" s="804"/>
      <c r="AZ53" s="804" t="n">
        <f aca="false">SQRT(4*AZ54/3.14)</f>
        <v>54.3941735358639</v>
      </c>
      <c r="BA53" s="804"/>
      <c r="BB53" s="581" t="n">
        <f aca="false">VLOOKUP(BB$51*1,$B$71:$C$81,2)</f>
        <v>100</v>
      </c>
      <c r="BC53" s="581"/>
      <c r="BD53" s="581" t="n">
        <f aca="false">VLOOKUP(BD$51*1,$B$71:$C$81,2)</f>
        <v>25</v>
      </c>
      <c r="BE53" s="581"/>
      <c r="BF53" s="581" t="n">
        <f aca="false">VLOOKUP(BF$51*1,$B$71:$C$81,2)</f>
        <v>40</v>
      </c>
      <c r="BG53" s="581"/>
      <c r="BH53" s="581" t="n">
        <f aca="false">VLOOKUP(BH$51*1,$B$71:$C$81,2)</f>
        <v>80</v>
      </c>
      <c r="BI53" s="581"/>
      <c r="BJ53" s="581" t="n">
        <f aca="false">VLOOKUP(BJ$51*1,$B$71:$C$81,2)</f>
        <v>40</v>
      </c>
      <c r="BK53" s="581"/>
      <c r="BL53" s="581" t="n">
        <f aca="false">VLOOKUP(BL$51*1,$B$71:$C$81,2)</f>
        <v>100</v>
      </c>
      <c r="BM53" s="581"/>
      <c r="BN53" s="581" t="n">
        <f aca="false">VLOOKUP(BN$51*1,$B$71:$C$81,2)</f>
        <v>100</v>
      </c>
      <c r="BO53" s="581"/>
    </row>
    <row r="54" s="798" customFormat="true" ht="15" hidden="false" customHeight="false" outlineLevel="0" collapsed="false">
      <c r="A54" s="798" t="s">
        <v>1322</v>
      </c>
      <c r="B54" s="805" t="n">
        <f aca="false">VLOOKUP(B$50,$B$84:$C$97,2)</f>
        <v>2800</v>
      </c>
      <c r="C54" s="805"/>
      <c r="D54" s="805" t="n">
        <f aca="false">VLOOKUP(D$50,$B$84:$C$97,2)</f>
        <v>324.5</v>
      </c>
      <c r="E54" s="805"/>
      <c r="F54" s="805" t="n">
        <f aca="false">VLOOKUP(F$50,$B$84:$C$97,2)</f>
        <v>1840.6</v>
      </c>
      <c r="G54" s="805"/>
      <c r="H54" s="805" t="n">
        <f aca="false">VLOOKUP(H$50,$B$84:$C$97,2)</f>
        <v>830.3</v>
      </c>
      <c r="I54" s="805"/>
      <c r="J54" s="806" t="n">
        <f aca="false">VLOOKUP(J$50,$B$84:$C$97,2)</f>
        <v>830.3</v>
      </c>
      <c r="K54" s="806"/>
      <c r="L54" s="805" t="n">
        <f aca="false">VLOOKUP(L$50,$B$84:$C$97,2)</f>
        <v>2322.6</v>
      </c>
      <c r="M54" s="805"/>
      <c r="N54" s="806" t="n">
        <f aca="false">VLOOKUP(N$50,$B$84:$C$97,2)</f>
        <v>7129</v>
      </c>
      <c r="O54" s="806"/>
      <c r="P54" s="806" t="n">
        <f aca="false">VLOOKUP(P$50,$B$84:$C$97,2)</f>
        <v>10322.6</v>
      </c>
      <c r="Q54" s="806"/>
      <c r="R54" s="806" t="n">
        <f aca="false">VLOOKUP(R$50,$B$84:$C$97,2)</f>
        <v>1185.8</v>
      </c>
      <c r="S54" s="806"/>
      <c r="T54" s="806" t="n">
        <f aca="false">VLOOKUP(T$50,$B$84:$C$97,2)</f>
        <v>1185.8</v>
      </c>
      <c r="U54" s="806"/>
      <c r="V54" s="806" t="n">
        <f aca="false">VLOOKUP(V$50,$B$84:$C$97,2)</f>
        <v>2322.6</v>
      </c>
      <c r="W54" s="806"/>
      <c r="X54" s="806" t="n">
        <f aca="false">VLOOKUP(X$50,$B$84:$C$97,2)</f>
        <v>2322.6</v>
      </c>
      <c r="Y54" s="806"/>
      <c r="Z54" s="806" t="n">
        <f aca="false">VLOOKUP(Z$50,$B$84:$C$97,2)</f>
        <v>324.5</v>
      </c>
      <c r="AA54" s="806"/>
      <c r="AB54" s="805" t="n">
        <f aca="false">VLOOKUP(AB$50,$B$84:$C$97,2)</f>
        <v>71</v>
      </c>
      <c r="AC54" s="805"/>
      <c r="AD54" s="805" t="n">
        <f aca="false">VLOOKUP(AD$50,$B$84:$C$97,2)</f>
        <v>4116.1</v>
      </c>
      <c r="AE54" s="805"/>
      <c r="AF54" s="805" t="n">
        <f aca="false">VLOOKUP(AF$50,$B$84:$C$97,2)</f>
        <v>4116.1</v>
      </c>
      <c r="AG54" s="805"/>
      <c r="AH54" s="805" t="n">
        <f aca="false">VLOOKUP(AH$50,$B$84:$C$97,2)</f>
        <v>324.5</v>
      </c>
      <c r="AI54" s="805"/>
      <c r="AJ54" s="805" t="n">
        <f aca="false">VLOOKUP(AJ$50,$B$84:$C$97,2)</f>
        <v>830.3</v>
      </c>
      <c r="AK54" s="805"/>
      <c r="AL54" s="806" t="n">
        <f aca="false">VLOOKUP(AL$50,$B$84:$C$97,2)</f>
        <v>506.4</v>
      </c>
      <c r="AM54" s="806"/>
      <c r="AN54" s="806" t="n">
        <f aca="false">VLOOKUP(AN$50,$B$84:$C$97,2)</f>
        <v>506.4</v>
      </c>
      <c r="AO54" s="806"/>
      <c r="AP54" s="805" t="n">
        <f aca="false">VLOOKUP(AP$50,$B$84:$C$97,2)</f>
        <v>2800</v>
      </c>
      <c r="AQ54" s="805"/>
      <c r="AR54" s="806" t="n">
        <f aca="false">VLOOKUP(AR$50,$B$84:$C$97,2)</f>
        <v>506.4</v>
      </c>
      <c r="AS54" s="806"/>
      <c r="AT54" s="806" t="n">
        <f aca="false">VLOOKUP(AT$50,$B$84:$C$97,2)</f>
        <v>324.5</v>
      </c>
      <c r="AU54" s="806"/>
      <c r="AV54" s="806" t="n">
        <f aca="false">VLOOKUP(AV$50,$B$84:$C$97,2)</f>
        <v>1840.6</v>
      </c>
      <c r="AW54" s="806"/>
      <c r="AX54" s="806" t="n">
        <f aca="false">VLOOKUP(AX$50,$B$84:$C$97,2)</f>
        <v>506.4</v>
      </c>
      <c r="AY54" s="806"/>
      <c r="AZ54" s="805" t="n">
        <f aca="false">VLOOKUP(AZ$50,$B$84:$C$97,2)</f>
        <v>2322.6</v>
      </c>
      <c r="BA54" s="805"/>
      <c r="BB54" s="807" t="n">
        <f aca="false">VLOOKUP(BB$50,$B$84:$C$97,2)</f>
        <v>2800</v>
      </c>
      <c r="BC54" s="807"/>
      <c r="BD54" s="807" t="n">
        <f aca="false">VLOOKUP(BD$50,$B$84:$C$97,2)</f>
        <v>126.4</v>
      </c>
      <c r="BE54" s="807"/>
      <c r="BF54" s="801" t="n">
        <f aca="false">VLOOKUP(BF$50,$B$84:$C$97,2)</f>
        <v>324.5</v>
      </c>
      <c r="BG54" s="801"/>
      <c r="BH54" s="801" t="n">
        <f aca="false">VLOOKUP(BH$50,$B$84:$C$97,2)</f>
        <v>1185.8</v>
      </c>
      <c r="BI54" s="801"/>
      <c r="BJ54" s="807" t="n">
        <f aca="false">VLOOKUP(BJ$50,$B$84:$C$97,2)</f>
        <v>324.5</v>
      </c>
      <c r="BK54" s="807"/>
      <c r="BL54" s="807" t="n">
        <f aca="false">VLOOKUP(BL$50,$B$84:$C$97,2)</f>
        <v>1840.6</v>
      </c>
      <c r="BM54" s="807"/>
      <c r="BN54" s="807" t="n">
        <f aca="false">VLOOKUP(BN$50,$B$84:$C$97,2)</f>
        <v>4116.1</v>
      </c>
      <c r="BO54" s="807"/>
    </row>
    <row r="55" s="724" customFormat="true" ht="15" hidden="false" customHeight="false" outlineLevel="0" collapsed="false">
      <c r="A55" s="379" t="s">
        <v>1166</v>
      </c>
      <c r="B55" s="577" t="s">
        <v>1323</v>
      </c>
      <c r="C55" s="577"/>
      <c r="D55" s="581"/>
      <c r="E55" s="581"/>
      <c r="F55" s="577" t="s">
        <v>1324</v>
      </c>
      <c r="G55" s="577"/>
      <c r="H55" s="577" t="s">
        <v>1325</v>
      </c>
      <c r="I55" s="577"/>
      <c r="J55" s="577" t="s">
        <v>1325</v>
      </c>
      <c r="K55" s="577"/>
      <c r="L55" s="577" t="s">
        <v>1326</v>
      </c>
      <c r="M55" s="577"/>
      <c r="N55" s="577" t="s">
        <v>1327</v>
      </c>
      <c r="O55" s="577"/>
      <c r="P55" s="577" t="s">
        <v>1328</v>
      </c>
      <c r="Q55" s="577"/>
      <c r="R55" s="577" t="s">
        <v>1329</v>
      </c>
      <c r="S55" s="577"/>
      <c r="T55" s="577" t="s">
        <v>1329</v>
      </c>
      <c r="U55" s="577"/>
      <c r="V55" s="577" t="s">
        <v>1330</v>
      </c>
      <c r="W55" s="577"/>
      <c r="X55" s="577" t="s">
        <v>1330</v>
      </c>
      <c r="Y55" s="577"/>
      <c r="Z55" s="577" t="s">
        <v>1331</v>
      </c>
      <c r="AA55" s="577"/>
      <c r="AB55" s="577" t="s">
        <v>1332</v>
      </c>
      <c r="AC55" s="577"/>
      <c r="AD55" s="577" t="s">
        <v>1333</v>
      </c>
      <c r="AE55" s="577"/>
      <c r="AF55" s="577" t="s">
        <v>1333</v>
      </c>
      <c r="AG55" s="577"/>
      <c r="AH55" s="577" t="s">
        <v>1334</v>
      </c>
      <c r="AI55" s="577"/>
      <c r="AJ55" s="577" t="s">
        <v>1335</v>
      </c>
      <c r="AK55" s="577"/>
      <c r="AL55" s="577" t="s">
        <v>1336</v>
      </c>
      <c r="AM55" s="577"/>
      <c r="AN55" s="577" t="s">
        <v>1337</v>
      </c>
      <c r="AO55" s="577"/>
      <c r="AP55" s="577" t="s">
        <v>1323</v>
      </c>
      <c r="AQ55" s="577"/>
      <c r="AR55" s="577" t="s">
        <v>1338</v>
      </c>
      <c r="AS55" s="577"/>
      <c r="AT55" s="577" t="s">
        <v>1338</v>
      </c>
      <c r="AU55" s="577"/>
      <c r="AV55" s="577" t="s">
        <v>1339</v>
      </c>
      <c r="AW55" s="577"/>
      <c r="AX55" s="577" t="s">
        <v>1340</v>
      </c>
      <c r="AY55" s="577"/>
      <c r="AZ55" s="577" t="s">
        <v>1330</v>
      </c>
      <c r="BA55" s="577"/>
      <c r="BB55" s="581" t="str">
        <f aca="false">CONCATENATE(IF(BB51&lt;&gt;ROUNDUP(BB51,0),TEXT(BB51,"# ?/?"),BB51),BB50,IF(BB52&lt;&gt;ROUNDUP(BB52,0),TEXT(BB52,"# ?/?"),BB52),"-HTO-",IF(BB24=0,"L",IF(BC24=0,"G","G&amp;L")))</f>
        <v>4N6-HTO-G</v>
      </c>
      <c r="BC55" s="581"/>
      <c r="BD55" s="581" t="str">
        <f aca="false">CONCATENATE(IF(BD51&lt;&gt;ROUNDUP(BD51,0),TEXT(BD51,"# ?/?"),BD51),BD50,IF(BD52&lt;&gt;ROUNDUP(BD52,0),TEXT(BD52,"# ?/?"),BD52),"-HTO-",IF(BD24=0,"L",IF(BE24=0,"G","G&amp;L")))</f>
        <v>1E2-HTO-L</v>
      </c>
      <c r="BE55" s="581"/>
      <c r="BF55" s="581" t="str">
        <f aca="false">CONCATENATE(IF(BF51&lt;&gt;ROUNDUP(BF51,0),TEXT(BF51,"# ?/?"),BF51),BF50,IF(BF52&lt;&gt;ROUNDUP(BF52,0),TEXT(BF52,"# ?/?"),BF52),"-HTO-",IF(BF24=0,"L",IF(BG24=0,"G","G&amp;L")))</f>
        <v>1 1/2G3-HTO-G</v>
      </c>
      <c r="BG55" s="581"/>
      <c r="BH55" s="581" t="str">
        <f aca="false">CONCATENATE(IF(BH51&lt;&gt;ROUNDUP(BH51,0),TEXT(BH51,"# ?/?"),BH51),BH50,IF(BH52&lt;&gt;ROUNDUP(BH52,0),TEXT(BH52,"# ?/?"),BH52),"-HTB-",IF(BH24=0,"L",IF(BI24=0,"G","G&amp;L")))</f>
        <v>3K4-HTB-G</v>
      </c>
      <c r="BI55" s="581"/>
      <c r="BJ55" s="581" t="str">
        <f aca="false">CONCATENATE(IF(BJ51&lt;&gt;ROUNDUP(BJ51,0),TEXT(BJ51,"# ?/?"),BJ51),BJ50,IF(BJ52&lt;&gt;ROUNDUP(BJ52,0),TEXT(BJ52,"# ?/?"),BJ52),"-HTB-",IF(BJ24=0,"L",IF(BK24=0,"G","G&amp;L")))</f>
        <v>1 1/2G3-HTB-G</v>
      </c>
      <c r="BK55" s="581"/>
      <c r="BL55" s="581" t="str">
        <f aca="false">CONCATENATE(IF(BL51&lt;&gt;ROUNDUP(BL51,0),TEXT(BL51,"# ?/?"),BL51),BL50,IF(BL52&lt;&gt;ROUNDUP(BL52,0),TEXT(BL52,"# ?/?"),BL52),"-HTB-",IF(BL24=0,"L",IF(BM24=0,"G","G&amp;L")))</f>
        <v>4L6-HTB-G</v>
      </c>
      <c r="BM55" s="581"/>
      <c r="BN55" s="581" t="str">
        <f aca="false">CONCATENATE(IF(BN51&lt;&gt;ROUNDUP(BN51,0),TEXT(BN51,"# ?/?"),BN51),BN50,IF(BN52&lt;&gt;ROUNDUP(BN52,0),TEXT(BN52,"# ?/?"),BN52),"-HTB-",IF(BN24=0,"L",IF(BO24=0,"G","G&amp;L")))</f>
        <v>4P6-HTB-G</v>
      </c>
      <c r="BO55" s="581"/>
    </row>
    <row r="56" customFormat="false" ht="15" hidden="false" customHeight="false" outlineLevel="0" collapsed="false">
      <c r="A56" s="379" t="s">
        <v>1341</v>
      </c>
      <c r="B56" s="801" t="n">
        <f aca="false">VLOOKUP(B$51*1,$B$71:$C$81,2)</f>
        <v>100</v>
      </c>
      <c r="C56" s="801"/>
      <c r="D56" s="801" t="n">
        <f aca="false">VLOOKUP(D$51*1,$B$71:$C$81,2)</f>
        <v>40</v>
      </c>
      <c r="E56" s="801"/>
      <c r="F56" s="801" t="n">
        <f aca="false">VLOOKUP(F$51*1,$B$71:$C$81,2)</f>
        <v>80</v>
      </c>
      <c r="G56" s="801"/>
      <c r="H56" s="801" t="n">
        <f aca="false">VLOOKUP(H$51*1,$B$71:$C$81,2)</f>
        <v>80</v>
      </c>
      <c r="I56" s="801"/>
      <c r="J56" s="801" t="n">
        <f aca="false">VLOOKUP(J$51*1,$B$71:$C$81,2)</f>
        <v>80</v>
      </c>
      <c r="K56" s="801"/>
      <c r="L56" s="801" t="n">
        <f aca="false">VLOOKUP(L$51*1,$B$71:$C$81,2)</f>
        <v>100</v>
      </c>
      <c r="M56" s="801"/>
      <c r="N56" s="801" t="n">
        <f aca="false">VLOOKUP(N$51*1,$B$71:$C$81,2)</f>
        <v>150</v>
      </c>
      <c r="O56" s="801"/>
      <c r="P56" s="801" t="n">
        <f aca="false">VLOOKUP(P$51*1,$B$71:$C$81,2)</f>
        <v>150</v>
      </c>
      <c r="Q56" s="801"/>
      <c r="R56" s="801" t="n">
        <f aca="false">VLOOKUP(R$51*1,$B$71:$C$81,2)</f>
        <v>80</v>
      </c>
      <c r="S56" s="801"/>
      <c r="T56" s="801" t="n">
        <f aca="false">VLOOKUP(T$51*1,$B$71:$C$81,2)</f>
        <v>80</v>
      </c>
      <c r="U56" s="801"/>
      <c r="V56" s="801" t="n">
        <f aca="false">VLOOKUP(V$51*1,$B$71:$C$81,2)</f>
        <v>100</v>
      </c>
      <c r="W56" s="801"/>
      <c r="X56" s="801" t="n">
        <f aca="false">VLOOKUP(X$51*1,$B$71:$C$81,2)</f>
        <v>100</v>
      </c>
      <c r="Y56" s="801"/>
      <c r="Z56" s="801" t="n">
        <f aca="false">VLOOKUP(Z$51*1,$B$71:$C$81,2)</f>
        <v>40</v>
      </c>
      <c r="AA56" s="801"/>
      <c r="AB56" s="801" t="n">
        <f aca="false">VLOOKUP(AB$51*1,$B$71:$C$81,2)</f>
        <v>25</v>
      </c>
      <c r="AC56" s="801"/>
      <c r="AD56" s="801" t="n">
        <f aca="false">VLOOKUP(AD$51*1,$B$71:$C$81,2)</f>
        <v>100</v>
      </c>
      <c r="AE56" s="801"/>
      <c r="AF56" s="801" t="n">
        <f aca="false">VLOOKUP(AF$51*1,$B$71:$C$81,2)</f>
        <v>100</v>
      </c>
      <c r="AG56" s="801"/>
      <c r="AH56" s="801" t="n">
        <f aca="false">VLOOKUP(AH$51*1,$B$71:$C$81,2)</f>
        <v>40</v>
      </c>
      <c r="AI56" s="801"/>
      <c r="AJ56" s="801" t="n">
        <f aca="false">VLOOKUP(AJ$51*1,$B$71:$C$81,2)</f>
        <v>80</v>
      </c>
      <c r="AK56" s="801"/>
      <c r="AL56" s="801" t="n">
        <f aca="false">VLOOKUP(AL$51*1,$B$71:$C$81,2)</f>
        <v>50</v>
      </c>
      <c r="AM56" s="801"/>
      <c r="AN56" s="801" t="n">
        <f aca="false">VLOOKUP(AN$51*1,$B$71:$C$81,2)</f>
        <v>40</v>
      </c>
      <c r="AO56" s="801"/>
      <c r="AP56" s="801" t="n">
        <f aca="false">VLOOKUP(AP$51*1,$B$71:$C$81,2)</f>
        <v>100</v>
      </c>
      <c r="AQ56" s="801"/>
      <c r="AR56" s="801" t="n">
        <f aca="false">VLOOKUP(AR$51*1,$B$71:$C$81,2)</f>
        <v>40</v>
      </c>
      <c r="AS56" s="801"/>
      <c r="AT56" s="801" t="n">
        <f aca="false">VLOOKUP(AT$51*1,$B$71:$C$81,2)</f>
        <v>40</v>
      </c>
      <c r="AU56" s="801"/>
      <c r="AV56" s="801" t="n">
        <f aca="false">VLOOKUP(AV$51*1,$B$71:$C$81,2)</f>
        <v>40</v>
      </c>
      <c r="AW56" s="801"/>
      <c r="AX56" s="801" t="n">
        <f aca="false">VLOOKUP(AX$51*1,$B$71:$C$81,2)</f>
        <v>40</v>
      </c>
      <c r="AY56" s="801"/>
      <c r="AZ56" s="801" t="n">
        <f aca="false">VLOOKUP(AZ$51*1,$B$71:$C$81,2)</f>
        <v>100</v>
      </c>
      <c r="BA56" s="801"/>
      <c r="BB56" s="801" t="n">
        <f aca="false">BB53</f>
        <v>100</v>
      </c>
      <c r="BC56" s="801"/>
      <c r="BD56" s="801" t="n">
        <f aca="false">BD53</f>
        <v>25</v>
      </c>
      <c r="BE56" s="801"/>
      <c r="BF56" s="801" t="n">
        <f aca="false">BF53</f>
        <v>40</v>
      </c>
      <c r="BG56" s="801"/>
      <c r="BH56" s="801" t="n">
        <f aca="false">BH53</f>
        <v>80</v>
      </c>
      <c r="BI56" s="801"/>
      <c r="BJ56" s="801" t="n">
        <f aca="false">BJ53</f>
        <v>40</v>
      </c>
      <c r="BK56" s="801"/>
      <c r="BL56" s="801" t="n">
        <f aca="false">BL53</f>
        <v>100</v>
      </c>
      <c r="BM56" s="801"/>
      <c r="BN56" s="801" t="n">
        <f aca="false">BN53</f>
        <v>100</v>
      </c>
      <c r="BO56" s="801"/>
    </row>
    <row r="57" customFormat="false" ht="15" hidden="false" customHeight="false" outlineLevel="0" collapsed="false">
      <c r="A57" s="379" t="s">
        <v>1342</v>
      </c>
      <c r="B57" s="801" t="n">
        <f aca="false">VLOOKUP(B$52*1,$B$71:$C$81,2)</f>
        <v>150</v>
      </c>
      <c r="C57" s="801"/>
      <c r="D57" s="801" t="n">
        <f aca="false">VLOOKUP(D$52*1,$B$71:$C$81,2)</f>
        <v>50</v>
      </c>
      <c r="E57" s="801"/>
      <c r="F57" s="801" t="n">
        <f aca="false">VLOOKUP(F$52*1,$B$71:$C$81,2)</f>
        <v>100</v>
      </c>
      <c r="G57" s="801"/>
      <c r="H57" s="801" t="n">
        <f aca="false">VLOOKUP(H$52*1,$B$71:$C$81,2)</f>
        <v>100</v>
      </c>
      <c r="I57" s="801"/>
      <c r="J57" s="801" t="n">
        <f aca="false">VLOOKUP(J$52*1,$B$71:$C$81,2)</f>
        <v>100</v>
      </c>
      <c r="K57" s="801"/>
      <c r="L57" s="801" t="n">
        <f aca="false">VLOOKUP(L$52*1,$B$71:$C$81,2)</f>
        <v>150</v>
      </c>
      <c r="M57" s="801"/>
      <c r="N57" s="801" t="n">
        <f aca="false">VLOOKUP(N$52*1,$B$71:$C$81,2)</f>
        <v>200</v>
      </c>
      <c r="O57" s="801"/>
      <c r="P57" s="801" t="n">
        <f aca="false">VLOOKUP(P$52*1,$B$71:$C$81,2)</f>
        <v>200</v>
      </c>
      <c r="Q57" s="801"/>
      <c r="R57" s="801" t="n">
        <f aca="false">VLOOKUP(R$52*1,$B$71:$C$81,2)</f>
        <v>100</v>
      </c>
      <c r="S57" s="801"/>
      <c r="T57" s="801" t="n">
        <f aca="false">VLOOKUP(T$52*1,$B$71:$C$81,2)</f>
        <v>100</v>
      </c>
      <c r="U57" s="801"/>
      <c r="V57" s="801" t="n">
        <f aca="false">VLOOKUP(V$52*1,$B$71:$C$81,2)</f>
        <v>150</v>
      </c>
      <c r="W57" s="801"/>
      <c r="X57" s="801" t="n">
        <f aca="false">VLOOKUP(X$52*1,$B$71:$C$81,2)</f>
        <v>150</v>
      </c>
      <c r="Y57" s="801"/>
      <c r="Z57" s="801" t="n">
        <f aca="false">VLOOKUP(Z$52*1,$B$71:$C$81,2)</f>
        <v>80</v>
      </c>
      <c r="AA57" s="801"/>
      <c r="AB57" s="801" t="n">
        <f aca="false">VLOOKUP(AB$52*1,$B$71:$C$81,2)</f>
        <v>50</v>
      </c>
      <c r="AC57" s="801"/>
      <c r="AD57" s="801" t="n">
        <f aca="false">VLOOKUP(AD$52*1,$B$71:$C$81,2)</f>
        <v>150</v>
      </c>
      <c r="AE57" s="801"/>
      <c r="AF57" s="801" t="n">
        <f aca="false">VLOOKUP(AF$52*1,$B$71:$C$81,2)</f>
        <v>150</v>
      </c>
      <c r="AG57" s="801"/>
      <c r="AH57" s="801" t="n">
        <f aca="false">VLOOKUP(AH$52*1,$B$71:$C$81,2)</f>
        <v>80</v>
      </c>
      <c r="AI57" s="801"/>
      <c r="AJ57" s="801" t="n">
        <f aca="false">VLOOKUP(AJ$52*1,$B$71:$C$81,2)</f>
        <v>100</v>
      </c>
      <c r="AK57" s="801"/>
      <c r="AL57" s="801" t="n">
        <f aca="false">VLOOKUP(AL$52*1,$B$71:$C$81,2)</f>
        <v>80</v>
      </c>
      <c r="AM57" s="801"/>
      <c r="AN57" s="801" t="n">
        <f aca="false">VLOOKUP(AN$52*1,$B$71:$C$81,2)</f>
        <v>80</v>
      </c>
      <c r="AO57" s="801"/>
      <c r="AP57" s="801" t="n">
        <f aca="false">VLOOKUP(AP$52*1,$B$71:$C$81,2)</f>
        <v>150</v>
      </c>
      <c r="AQ57" s="801"/>
      <c r="AR57" s="801" t="n">
        <f aca="false">VLOOKUP(AR$52*1,$B$71:$C$81,2)</f>
        <v>80</v>
      </c>
      <c r="AS57" s="801"/>
      <c r="AT57" s="801" t="n">
        <f aca="false">VLOOKUP(AT$52*1,$B$71:$C$81,2)</f>
        <v>80</v>
      </c>
      <c r="AU57" s="801"/>
      <c r="AV57" s="801" t="n">
        <f aca="false">VLOOKUP(AV$52*1,$B$71:$C$81,2)</f>
        <v>80</v>
      </c>
      <c r="AW57" s="801"/>
      <c r="AX57" s="801" t="n">
        <f aca="false">VLOOKUP(AX$52*1,$B$71:$C$81,2)</f>
        <v>80</v>
      </c>
      <c r="AY57" s="801"/>
      <c r="AZ57" s="801" t="n">
        <f aca="false">VLOOKUP(AZ$52*1,$B$71:$C$81,2)</f>
        <v>150</v>
      </c>
      <c r="BA57" s="801"/>
      <c r="BB57" s="801" t="n">
        <f aca="false">VLOOKUP(BB$52*1,$B$71:$C$81,2)</f>
        <v>150</v>
      </c>
      <c r="BC57" s="801"/>
      <c r="BD57" s="801" t="n">
        <f aca="false">VLOOKUP(BD$52*1,$B$71:$C$81,2)</f>
        <v>50</v>
      </c>
      <c r="BE57" s="801"/>
      <c r="BF57" s="801" t="n">
        <f aca="false">VLOOKUP(BF$52*1,$B$71:$C$81,2)</f>
        <v>80</v>
      </c>
      <c r="BG57" s="801"/>
      <c r="BH57" s="801" t="n">
        <f aca="false">VLOOKUP(BH$52*1,$B$71:$C$81,2)</f>
        <v>100</v>
      </c>
      <c r="BI57" s="801"/>
      <c r="BJ57" s="801" t="n">
        <f aca="false">VLOOKUP(BJ$52*1,$B$71:$C$81,2)</f>
        <v>80</v>
      </c>
      <c r="BK57" s="801"/>
      <c r="BL57" s="801" t="n">
        <f aca="false">VLOOKUP(BL$52*1,$B$71:$C$81,2)</f>
        <v>150</v>
      </c>
      <c r="BM57" s="801"/>
      <c r="BN57" s="801" t="n">
        <f aca="false">VLOOKUP(BN$52*1,$B$71:$C$81,2)</f>
        <v>150</v>
      </c>
      <c r="BO57" s="801"/>
    </row>
    <row r="58" customFormat="false" ht="15" hidden="false" customHeight="false" outlineLevel="0" collapsed="false">
      <c r="A58" s="379" t="s">
        <v>629</v>
      </c>
      <c r="B58" s="808" t="str">
        <f aca="false">IF(B48&lt;B54,"核算通过","请重新核算")</f>
        <v>核算通过</v>
      </c>
      <c r="C58" s="808"/>
      <c r="D58" s="808" t="str">
        <f aca="false">IF(D48&lt;D54,"核算通过","请重新核算")</f>
        <v>核算通过</v>
      </c>
      <c r="E58" s="808"/>
      <c r="F58" s="808" t="str">
        <f aca="false">IF(F48&lt;F54,"核算通过","请重新核算")</f>
        <v>核算通过</v>
      </c>
      <c r="G58" s="808"/>
      <c r="H58" s="808" t="str">
        <f aca="false">IF(H48&lt;H54,"核算通过","请重新核算")</f>
        <v>核算通过</v>
      </c>
      <c r="I58" s="808"/>
      <c r="J58" s="808" t="str">
        <f aca="false">IF(J48&lt;J54,"核算通过","请重新核算")</f>
        <v>核算通过</v>
      </c>
      <c r="K58" s="808"/>
      <c r="L58" s="808" t="str">
        <f aca="false">IF(L48&lt;L54,"核算通过","请重新核算")</f>
        <v>核算通过</v>
      </c>
      <c r="M58" s="808"/>
      <c r="N58" s="808" t="str">
        <f aca="false">IF(N48&lt;N54,"核算通过","请重新核算")</f>
        <v>核算通过</v>
      </c>
      <c r="O58" s="808"/>
      <c r="P58" s="808" t="str">
        <f aca="false">IF(P48&lt;P54,"核算通过","请重新核算")</f>
        <v>核算通过</v>
      </c>
      <c r="Q58" s="808"/>
      <c r="R58" s="808" t="str">
        <f aca="false">IF(R48&lt;R54,"核算通过","请重新核算")</f>
        <v>核算通过</v>
      </c>
      <c r="S58" s="808"/>
      <c r="T58" s="808" t="str">
        <f aca="false">IF(T48&lt;T54,"核算通过","请重新核算")</f>
        <v>核算通过</v>
      </c>
      <c r="U58" s="808"/>
      <c r="V58" s="808" t="str">
        <f aca="false">IF(V48&lt;V54,"核算通过","请重新核算")</f>
        <v>核算通过</v>
      </c>
      <c r="W58" s="808"/>
      <c r="X58" s="808" t="str">
        <f aca="false">IF(X48&lt;X54,"核算通过","请重新核算")</f>
        <v>核算通过</v>
      </c>
      <c r="Y58" s="808"/>
      <c r="Z58" s="808" t="str">
        <f aca="false">IF(Z48&lt;Z54,"核算通过","请重新核算")</f>
        <v>核算通过</v>
      </c>
      <c r="AA58" s="808"/>
      <c r="AB58" s="808" t="str">
        <f aca="false">IF(AB48&lt;AB54,"核算通过","请重新核算")</f>
        <v>核算通过</v>
      </c>
      <c r="AC58" s="808"/>
      <c r="AD58" s="808" t="str">
        <f aca="false">IF(AD48&lt;AD54,"核算通过","请重新核算")</f>
        <v>核算通过</v>
      </c>
      <c r="AE58" s="808"/>
      <c r="AF58" s="808" t="str">
        <f aca="false">IF(AF48&lt;AF54,"核算通过","请重新核算")</f>
        <v>核算通过</v>
      </c>
      <c r="AG58" s="808"/>
      <c r="AH58" s="808" t="str">
        <f aca="false">IF(AH48&lt;AH54,"核算通过","请重新核算")</f>
        <v>核算通过</v>
      </c>
      <c r="AI58" s="808"/>
      <c r="AJ58" s="808" t="str">
        <f aca="false">IF(AJ48&lt;AJ54,"核算通过","请重新核算")</f>
        <v>核算通过</v>
      </c>
      <c r="AK58" s="808"/>
      <c r="AL58" s="808" t="str">
        <f aca="false">IF(AL48&lt;AL54,"核算通过","请重新核算")</f>
        <v>核算通过</v>
      </c>
      <c r="AM58" s="808"/>
      <c r="AN58" s="808" t="str">
        <f aca="false">IF(AN48&lt;AN54,"核算通过","请重新核算")</f>
        <v>核算通过</v>
      </c>
      <c r="AO58" s="808"/>
      <c r="AP58" s="808" t="str">
        <f aca="false">IF(AP48&lt;AP54,"核算通过","请重新核算")</f>
        <v>核算通过</v>
      </c>
      <c r="AQ58" s="808"/>
      <c r="AR58" s="808" t="str">
        <f aca="false">IF(AR48&lt;AR54,"核算通过","请重新核算")</f>
        <v>核算通过</v>
      </c>
      <c r="AS58" s="808"/>
      <c r="AT58" s="808" t="str">
        <f aca="false">IF(AT48&lt;AT54,"核算通过","请重新核算")</f>
        <v>核算通过</v>
      </c>
      <c r="AU58" s="808"/>
      <c r="AV58" s="808" t="str">
        <f aca="false">IF(AV48&lt;AV54,"核算通过","请重新核算")</f>
        <v>核算通过</v>
      </c>
      <c r="AW58" s="808"/>
      <c r="AX58" s="808" t="str">
        <f aca="false">IF(AX48&lt;AX54,"核算通过","请重新核算")</f>
        <v>核算通过</v>
      </c>
      <c r="AY58" s="808"/>
      <c r="AZ58" s="808" t="str">
        <f aca="false">IF(AZ48&lt;AZ54,"核算通过","请重新核算")</f>
        <v>核算通过</v>
      </c>
      <c r="BA58" s="808"/>
      <c r="BB58" s="808" t="str">
        <f aca="false">IF(BB48&lt;BB54,"核算通过","请重新核算")</f>
        <v>核算通过</v>
      </c>
      <c r="BC58" s="808"/>
      <c r="BD58" s="808" t="str">
        <f aca="false">IF(BD48&lt;BD54,"核算通过","请重新核算")</f>
        <v>核算通过</v>
      </c>
      <c r="BE58" s="808"/>
      <c r="BF58" s="808" t="str">
        <f aca="false">IF(BF48&lt;BF54,"核算通过","请重新核算")</f>
        <v>核算通过</v>
      </c>
      <c r="BG58" s="808"/>
      <c r="BH58" s="808" t="str">
        <f aca="false">IF(BH48&lt;BH54,"核算通过","请重新核算")</f>
        <v>核算通过</v>
      </c>
      <c r="BI58" s="808"/>
      <c r="BJ58" s="808" t="str">
        <f aca="false">IF(BJ48&lt;BJ54,"核算通过","请重新核算")</f>
        <v>核算通过</v>
      </c>
      <c r="BK58" s="808"/>
      <c r="BL58" s="808" t="str">
        <f aca="false">IF(BL48&lt;BL54,"核算通过","请重新核算")</f>
        <v>请重新核算</v>
      </c>
      <c r="BM58" s="808"/>
      <c r="BN58" s="808" t="e">
        <f aca="false">IF(BN48&lt;BN54,"核算通过","请重新核算")</f>
        <v>#VALUE!</v>
      </c>
      <c r="BO58" s="808"/>
    </row>
    <row r="59" s="813" customFormat="true" ht="15" hidden="false" customHeight="false" outlineLevel="0" collapsed="false">
      <c r="A59" s="809" t="s">
        <v>1343</v>
      </c>
      <c r="B59" s="810" t="n">
        <f aca="false">B12/B9</f>
        <v>0.0833333333333333</v>
      </c>
      <c r="C59" s="810"/>
      <c r="D59" s="810" t="n">
        <f aca="false">D12/D9</f>
        <v>0.222222222222222</v>
      </c>
      <c r="E59" s="810"/>
      <c r="F59" s="810" t="n">
        <f aca="false">F12/F9</f>
        <v>0.190445859872611</v>
      </c>
      <c r="G59" s="810"/>
      <c r="H59" s="810" t="n">
        <f aca="false">H12/H9</f>
        <v>0.09375</v>
      </c>
      <c r="I59" s="810"/>
      <c r="J59" s="810" t="n">
        <f aca="false">J12/J9</f>
        <v>0.0483870967741936</v>
      </c>
      <c r="K59" s="810"/>
      <c r="L59" s="810" t="n">
        <f aca="false">L12/L9</f>
        <v>0.115384615384615</v>
      </c>
      <c r="M59" s="810"/>
      <c r="N59" s="810" t="n">
        <f aca="false">N12/N9</f>
        <v>0.375</v>
      </c>
      <c r="O59" s="810"/>
      <c r="P59" s="810" t="n">
        <f aca="false">P12/P9</f>
        <v>0.375</v>
      </c>
      <c r="Q59" s="810"/>
      <c r="R59" s="810" t="n">
        <f aca="false">R12/R9</f>
        <v>0</v>
      </c>
      <c r="S59" s="810"/>
      <c r="T59" s="810" t="n">
        <f aca="false">T12/T9</f>
        <v>0</v>
      </c>
      <c r="U59" s="810"/>
      <c r="V59" s="810" t="n">
        <f aca="false">V12/V9</f>
        <v>0</v>
      </c>
      <c r="W59" s="810"/>
      <c r="X59" s="810" t="n">
        <f aca="false">X12/X9</f>
        <v>0</v>
      </c>
      <c r="Y59" s="810"/>
      <c r="Z59" s="810" t="n">
        <f aca="false">Z12/Z9</f>
        <v>0</v>
      </c>
      <c r="AA59" s="810"/>
      <c r="AB59" s="810" t="n">
        <f aca="false">AB12/AB9</f>
        <v>0</v>
      </c>
      <c r="AC59" s="810"/>
      <c r="AD59" s="810" t="n">
        <f aca="false">AD12/AD9</f>
        <v>0</v>
      </c>
      <c r="AE59" s="810"/>
      <c r="AF59" s="810" t="n">
        <f aca="false">AF12/AF9</f>
        <v>0</v>
      </c>
      <c r="AG59" s="810"/>
      <c r="AH59" s="810" t="n">
        <f aca="false">AH12/AH9</f>
        <v>0.166666666666667</v>
      </c>
      <c r="AI59" s="810"/>
      <c r="AJ59" s="810" t="n">
        <f aca="false">AJ12/AJ9</f>
        <v>0.148148148148148</v>
      </c>
      <c r="AK59" s="810"/>
      <c r="AL59" s="810" t="n">
        <f aca="false">AL12/AL9</f>
        <v>0.105263157894737</v>
      </c>
      <c r="AM59" s="810"/>
      <c r="AN59" s="810" t="n">
        <f aca="false">AN12/AN9</f>
        <v>0.15</v>
      </c>
      <c r="AO59" s="810"/>
      <c r="AP59" s="810" t="n">
        <f aca="false">AP12/AP9</f>
        <v>0.0833333333333333</v>
      </c>
      <c r="AQ59" s="810"/>
      <c r="AR59" s="810" t="n">
        <f aca="false">AR12/AR9</f>
        <v>0.153061224489796</v>
      </c>
      <c r="AS59" s="810"/>
      <c r="AT59" s="810" t="n">
        <f aca="false">AT12/AT9</f>
        <v>0.153061224489796</v>
      </c>
      <c r="AU59" s="810"/>
      <c r="AV59" s="810" t="n">
        <f aca="false">AV12/AV9</f>
        <v>0.205479452054795</v>
      </c>
      <c r="AW59" s="810"/>
      <c r="AX59" s="810" t="n">
        <f aca="false">AX12/AX9</f>
        <v>0</v>
      </c>
      <c r="AY59" s="810"/>
      <c r="AZ59" s="810" t="n">
        <f aca="false">AZ12/AZ9</f>
        <v>0</v>
      </c>
      <c r="BA59" s="810"/>
      <c r="BB59" s="811" t="n">
        <f aca="false">BB12/BB9</f>
        <v>0.0405405405405405</v>
      </c>
      <c r="BC59" s="812"/>
      <c r="BD59" s="812" t="n">
        <f aca="false">BD12/BD9</f>
        <v>0.0612244897959184</v>
      </c>
      <c r="BE59" s="812"/>
      <c r="BF59" s="812" t="n">
        <f aca="false">BF12/BF9</f>
        <v>0</v>
      </c>
      <c r="BG59" s="812"/>
      <c r="BH59" s="812" t="n">
        <f aca="false">BH12/BH9</f>
        <v>0.0769230769230769</v>
      </c>
      <c r="BI59" s="812"/>
      <c r="BJ59" s="812" t="n">
        <f aca="false">BJ12/BJ9</f>
        <v>0.333333333333333</v>
      </c>
      <c r="BK59" s="812"/>
      <c r="BL59" s="812" t="n">
        <f aca="false">BL12/BL9</f>
        <v>0.333333333333333</v>
      </c>
      <c r="BM59" s="812"/>
      <c r="BN59" s="812" t="n">
        <f aca="false">BN12/BN9</f>
        <v>0.0405405405405405</v>
      </c>
      <c r="BO59" s="812"/>
    </row>
    <row r="60" s="379" customFormat="true" ht="15" hidden="false" customHeight="false" outlineLevel="0" collapsed="false">
      <c r="A60" s="714"/>
      <c r="B60" s="814"/>
      <c r="H60" s="449"/>
      <c r="I60" s="449"/>
      <c r="L60" s="449"/>
      <c r="M60" s="449"/>
      <c r="AH60" s="532"/>
      <c r="AI60" s="532"/>
      <c r="AJ60" s="532"/>
      <c r="AP60" s="814"/>
      <c r="BB60" s="720"/>
    </row>
    <row r="61" customFormat="false" ht="15" hidden="false" customHeight="false" outlineLevel="0" collapsed="false">
      <c r="A61" s="815" t="s">
        <v>1344</v>
      </c>
      <c r="B61" s="816" t="n">
        <f aca="false">(B54-B48)/B48*100</f>
        <v>1.2555536191153</v>
      </c>
      <c r="C61" s="816"/>
      <c r="D61" s="816" t="n">
        <f aca="false">(D54-D48)/D48*100</f>
        <v>15.5908413714516</v>
      </c>
      <c r="E61" s="816"/>
      <c r="F61" s="816" t="n">
        <f aca="false">(F54-F48)/F48*100</f>
        <v>65.7143754257882</v>
      </c>
      <c r="G61" s="816"/>
      <c r="H61" s="816" t="n">
        <f aca="false">(H54-H48)/H48*100</f>
        <v>107.220411142168</v>
      </c>
      <c r="I61" s="816"/>
      <c r="J61" s="816" t="n">
        <f aca="false">(J54-J48)/J48*100</f>
        <v>23.5456903329433</v>
      </c>
      <c r="K61" s="816"/>
      <c r="L61" s="816" t="n">
        <f aca="false">(L54-L48)/L48*100</f>
        <v>1.55662439877568</v>
      </c>
      <c r="M61" s="816"/>
      <c r="N61" s="816" t="n">
        <f aca="false">(N54-N48)/N48*100</f>
        <v>48.9241696260706</v>
      </c>
      <c r="O61" s="816"/>
      <c r="P61" s="816" t="n">
        <f aca="false">(P54-P48)/P48*100</f>
        <v>13.5581752493985</v>
      </c>
      <c r="Q61" s="816"/>
      <c r="R61" s="816" t="n">
        <f aca="false">(R54-R48)/R48*100</f>
        <v>12.4983587583946</v>
      </c>
      <c r="S61" s="816"/>
      <c r="T61" s="816" t="n">
        <f aca="false">(T54-T48)/T48*100</f>
        <v>12.4983587583946</v>
      </c>
      <c r="U61" s="816"/>
      <c r="V61" s="816" t="n">
        <f aca="false">(V54-V48)/V48*100</f>
        <v>4.45834484480056</v>
      </c>
      <c r="W61" s="816"/>
      <c r="X61" s="816" t="n">
        <f aca="false">(X54-X48)/X48*100</f>
        <v>4.45834484480056</v>
      </c>
      <c r="Y61" s="816"/>
      <c r="Z61" s="816" t="n">
        <f aca="false">(Z54-Z48)/Z48*100</f>
        <v>73.927771556551</v>
      </c>
      <c r="AA61" s="816"/>
      <c r="AB61" s="816" t="n">
        <f aca="false">(AB54-AB48)/AB48*100</f>
        <v>330.251401128949</v>
      </c>
      <c r="AC61" s="816"/>
      <c r="AD61" s="816" t="n">
        <f aca="false">(AD54-AD48)/AD48*100</f>
        <v>40.7227276104725</v>
      </c>
      <c r="AE61" s="816"/>
      <c r="AF61" s="816" t="n">
        <f aca="false">(AF54-AF48)/AF48*100</f>
        <v>47.3049963962874</v>
      </c>
      <c r="AG61" s="816"/>
      <c r="AH61" s="816" t="n">
        <f aca="false">(AH54-AH48)/AH48*100</f>
        <v>9.18528656711256</v>
      </c>
      <c r="AI61" s="816"/>
      <c r="AJ61" s="816" t="n">
        <f aca="false">(AJ54-AJ48)/AJ48*100</f>
        <v>60.1886371116591</v>
      </c>
      <c r="AK61" s="816"/>
      <c r="AL61" s="816" t="n">
        <f aca="false">(AL54-AL48)/AL48*100</f>
        <v>30.6595704855188</v>
      </c>
      <c r="AM61" s="816"/>
      <c r="AN61" s="816" t="n">
        <f aca="false">(AN54-AN48)/AN48*100</f>
        <v>4.68078510045263</v>
      </c>
      <c r="AO61" s="816"/>
      <c r="AP61" s="816" t="n">
        <f aca="false">(AP54-AP48)/AP48*100</f>
        <v>1.2555536191153</v>
      </c>
      <c r="AQ61" s="816"/>
      <c r="AR61" s="816" t="n">
        <f aca="false">(AR54-AR48)/AR48*100</f>
        <v>43.0386204574153</v>
      </c>
      <c r="AS61" s="816"/>
      <c r="AT61" s="816" t="n">
        <f aca="false">(AT54-AT48)/AT48*100</f>
        <v>69.8209717158571</v>
      </c>
      <c r="AU61" s="816"/>
      <c r="AV61" s="816" t="n">
        <f aca="false">(AV54-AV48)/AV48*100</f>
        <v>54.7573572056863</v>
      </c>
      <c r="AW61" s="816"/>
      <c r="AX61" s="816" t="n">
        <f aca="false">(AX54-AX48)/AX48*100</f>
        <v>78.6646036393234</v>
      </c>
      <c r="AY61" s="816"/>
      <c r="AZ61" s="816" t="n">
        <f aca="false">(AZ54-AZ48)/AZ48*100</f>
        <v>8.5077539977358</v>
      </c>
      <c r="BA61" s="816"/>
      <c r="BB61" s="817" t="n">
        <f aca="false">(BB54-BB48)/BB48*100</f>
        <v>26.5060070668459</v>
      </c>
      <c r="BC61" s="817"/>
      <c r="BD61" s="817" t="e">
        <f aca="false">(BD54-BD48)/BD48*100</f>
        <v>#DIV/0!</v>
      </c>
      <c r="BE61" s="817"/>
      <c r="BF61" s="817" t="n">
        <f aca="false">(BF54-BF48)/BF48*100</f>
        <v>108.149338018849</v>
      </c>
      <c r="BG61" s="817"/>
      <c r="BH61" s="817" t="n">
        <f aca="false">(BH54-BH48)/BH48*100</f>
        <v>83.4080217970981</v>
      </c>
      <c r="BI61" s="817"/>
      <c r="BJ61" s="817" t="n">
        <f aca="false">(BJ54-BJ48)/BJ48*100</f>
        <v>175.444101763135</v>
      </c>
      <c r="BK61" s="817"/>
      <c r="BL61" s="817" t="n">
        <f aca="false">(BL54-BL48)/BL48*100</f>
        <v>-82.5480445985971</v>
      </c>
      <c r="BM61" s="817"/>
      <c r="BN61" s="817" t="e">
        <f aca="false">(BN54-BN48)/BN48*100</f>
        <v>#VALUE!</v>
      </c>
      <c r="BO61" s="817"/>
    </row>
    <row r="62" customFormat="false" ht="15" hidden="false" customHeight="false" outlineLevel="0" collapsed="false">
      <c r="A62" s="712"/>
      <c r="B62" s="712"/>
      <c r="C62" s="712"/>
      <c r="D62" s="712" t="s">
        <v>1345</v>
      </c>
      <c r="E62" s="712"/>
      <c r="F62" s="712" t="s">
        <v>1345</v>
      </c>
      <c r="G62" s="712"/>
      <c r="H62" s="712"/>
      <c r="I62" s="712"/>
      <c r="J62" s="712"/>
      <c r="K62" s="712"/>
      <c r="L62" s="712"/>
      <c r="M62" s="712"/>
      <c r="N62" s="712"/>
      <c r="O62" s="712"/>
      <c r="P62" s="712"/>
      <c r="Q62" s="712"/>
      <c r="R62" s="712"/>
      <c r="S62" s="712"/>
      <c r="T62" s="712"/>
      <c r="U62" s="712"/>
      <c r="V62" s="712"/>
      <c r="W62" s="712"/>
      <c r="X62" s="712"/>
      <c r="Y62" s="712"/>
      <c r="Z62" s="712"/>
      <c r="AA62" s="712"/>
      <c r="AB62" s="712"/>
      <c r="AC62" s="712"/>
      <c r="AD62" s="712"/>
      <c r="AE62" s="712"/>
      <c r="AF62" s="712"/>
      <c r="AG62" s="712"/>
      <c r="AH62" s="712"/>
      <c r="AI62" s="712"/>
      <c r="AJ62" s="712"/>
      <c r="AK62" s="712"/>
      <c r="AL62" s="712"/>
      <c r="AM62" s="712"/>
      <c r="AN62" s="712"/>
      <c r="AO62" s="712"/>
      <c r="AP62" s="712"/>
      <c r="AQ62" s="712"/>
      <c r="AR62" s="818"/>
      <c r="AS62" s="818"/>
      <c r="AT62" s="818"/>
      <c r="AU62" s="818"/>
      <c r="AV62" s="818"/>
      <c r="AW62" s="818"/>
      <c r="AX62" s="818"/>
      <c r="AY62" s="818"/>
      <c r="AZ62" s="712"/>
      <c r="BA62" s="712"/>
      <c r="BB62" s="819"/>
      <c r="BC62" s="714"/>
      <c r="BD62" s="714"/>
      <c r="BE62" s="714"/>
      <c r="BF62" s="714"/>
      <c r="BG62" s="714"/>
      <c r="BH62" s="714"/>
      <c r="BI62" s="714"/>
      <c r="BJ62" s="714"/>
      <c r="BK62" s="714"/>
      <c r="BL62" s="714"/>
      <c r="BM62" s="714"/>
      <c r="BN62" s="714"/>
      <c r="BO62" s="714"/>
    </row>
    <row r="63" s="379" customFormat="true" ht="15" hidden="false" customHeight="false" outlineLevel="0" collapsed="false">
      <c r="A63" s="717"/>
      <c r="B63" s="717"/>
      <c r="C63" s="717"/>
      <c r="D63" s="717" t="s">
        <v>1346</v>
      </c>
      <c r="E63" s="717"/>
      <c r="F63" s="717" t="s">
        <v>1346</v>
      </c>
      <c r="G63" s="717"/>
      <c r="H63" s="718" t="s">
        <v>1347</v>
      </c>
      <c r="I63" s="449"/>
      <c r="L63" s="718" t="s">
        <v>1348</v>
      </c>
      <c r="M63" s="449"/>
      <c r="P63" s="379" t="s">
        <v>1349</v>
      </c>
      <c r="R63" s="379" t="s">
        <v>1350</v>
      </c>
      <c r="V63" s="379" t="s">
        <v>1350</v>
      </c>
      <c r="AD63" s="379" t="s">
        <v>1350</v>
      </c>
      <c r="AH63" s="532" t="s">
        <v>1351</v>
      </c>
      <c r="AI63" s="532"/>
      <c r="AJ63" s="532"/>
      <c r="AK63" s="532" t="s">
        <v>1352</v>
      </c>
      <c r="AP63" s="717"/>
      <c r="AQ63" s="717"/>
      <c r="AR63" s="820"/>
      <c r="AS63" s="820"/>
      <c r="AT63" s="820"/>
      <c r="AU63" s="820"/>
      <c r="AV63" s="820"/>
      <c r="AW63" s="820"/>
      <c r="AX63" s="820"/>
      <c r="AY63" s="820"/>
      <c r="BB63" s="720"/>
    </row>
    <row r="64" s="379" customFormat="true" ht="15" hidden="false" customHeight="false" outlineLevel="0" collapsed="false">
      <c r="A64" s="712"/>
      <c r="B64" s="712"/>
      <c r="C64" s="712"/>
      <c r="D64" s="712" t="s">
        <v>1353</v>
      </c>
      <c r="E64" s="712"/>
      <c r="F64" s="712" t="s">
        <v>1353</v>
      </c>
      <c r="G64" s="712"/>
      <c r="H64" s="718" t="s">
        <v>1354</v>
      </c>
      <c r="I64" s="449"/>
      <c r="L64" s="376" t="s">
        <v>1355</v>
      </c>
      <c r="M64" s="449"/>
      <c r="R64" s="781" t="s">
        <v>1356</v>
      </c>
      <c r="V64" s="781" t="s">
        <v>1357</v>
      </c>
      <c r="AD64" s="781" t="s">
        <v>1357</v>
      </c>
      <c r="AH64" s="532" t="s">
        <v>1358</v>
      </c>
      <c r="AI64" s="532"/>
      <c r="AJ64" s="532"/>
      <c r="AK64" s="532" t="s">
        <v>1359</v>
      </c>
      <c r="AP64" s="712"/>
      <c r="AQ64" s="712"/>
      <c r="AR64" s="807"/>
      <c r="AS64" s="807"/>
      <c r="AT64" s="807"/>
      <c r="AU64" s="807"/>
      <c r="AV64" s="807"/>
      <c r="AW64" s="807"/>
      <c r="AX64" s="807"/>
      <c r="AY64" s="807"/>
      <c r="BB64" s="720"/>
    </row>
    <row r="65" s="379" customFormat="true" ht="15" hidden="false" customHeight="false" outlineLevel="0" collapsed="false">
      <c r="A65" s="717"/>
      <c r="B65" s="717"/>
      <c r="C65" s="717"/>
      <c r="D65" s="717"/>
      <c r="E65" s="717"/>
      <c r="F65" s="717"/>
      <c r="G65" s="717"/>
      <c r="H65" s="376"/>
      <c r="I65" s="449"/>
      <c r="L65" s="803" t="s">
        <v>1360</v>
      </c>
      <c r="M65" s="449"/>
      <c r="AD65" s="379" t="s">
        <v>1361</v>
      </c>
      <c r="AH65" s="532" t="s">
        <v>1362</v>
      </c>
      <c r="AI65" s="532"/>
      <c r="AJ65" s="532"/>
      <c r="AK65" s="532" t="s">
        <v>1363</v>
      </c>
      <c r="AP65" s="717"/>
      <c r="AQ65" s="717"/>
      <c r="AR65" s="733"/>
      <c r="AS65" s="733"/>
      <c r="AT65" s="733"/>
      <c r="AU65" s="733"/>
      <c r="AV65" s="733"/>
      <c r="AW65" s="733"/>
      <c r="AX65" s="733"/>
      <c r="AY65" s="733"/>
      <c r="BB65" s="720"/>
    </row>
    <row r="66" s="379" customFormat="true" ht="15" hidden="false" customHeight="false" outlineLevel="0" collapsed="false">
      <c r="A66" s="712"/>
      <c r="B66" s="712"/>
      <c r="C66" s="712"/>
      <c r="D66" s="712"/>
      <c r="E66" s="712"/>
      <c r="F66" s="712" t="n">
        <f aca="false">G24/G23</f>
        <v>512.521739130435</v>
      </c>
      <c r="G66" s="712"/>
      <c r="H66" s="719"/>
      <c r="I66" s="449"/>
      <c r="L66" s="449"/>
      <c r="M66" s="449"/>
      <c r="R66" s="379" t="s">
        <v>1364</v>
      </c>
      <c r="T66" s="379" t="s">
        <v>1364</v>
      </c>
      <c r="V66" s="379" t="s">
        <v>1364</v>
      </c>
      <c r="X66" s="379" t="s">
        <v>1364</v>
      </c>
      <c r="Z66" s="379" t="s">
        <v>1364</v>
      </c>
      <c r="AB66" s="379" t="s">
        <v>1364</v>
      </c>
      <c r="AD66" s="379" t="s">
        <v>1364</v>
      </c>
      <c r="AF66" s="379" t="s">
        <v>1364</v>
      </c>
      <c r="AH66" s="532" t="s">
        <v>1365</v>
      </c>
      <c r="AI66" s="532"/>
      <c r="AJ66" s="532"/>
      <c r="AK66" s="532" t="s">
        <v>1366</v>
      </c>
      <c r="AP66" s="712"/>
      <c r="AQ66" s="712"/>
      <c r="AZ66" s="379" t="s">
        <v>1364</v>
      </c>
      <c r="BB66" s="720"/>
    </row>
    <row r="67" s="379" customFormat="true" ht="15" hidden="false" customHeight="false" outlineLevel="0" collapsed="false">
      <c r="F67" s="379" t="n">
        <f aca="false">F66/(0.785*0.08^2*3600)</f>
        <v>28.3374103818579</v>
      </c>
      <c r="H67" s="449"/>
      <c r="I67" s="449"/>
      <c r="L67" s="449"/>
      <c r="M67" s="449"/>
      <c r="AH67" s="532" t="s">
        <v>1367</v>
      </c>
      <c r="AI67" s="532"/>
      <c r="AJ67" s="532"/>
      <c r="BB67" s="720"/>
    </row>
    <row r="68" s="379" customFormat="true" ht="15" hidden="false" customHeight="false" outlineLevel="0" collapsed="false">
      <c r="B68" s="821" t="s">
        <v>1368</v>
      </c>
      <c r="C68" s="821"/>
      <c r="H68" s="449"/>
      <c r="I68" s="449"/>
      <c r="L68" s="449"/>
      <c r="M68" s="449"/>
      <c r="AH68" s="532" t="s">
        <v>1369</v>
      </c>
      <c r="AI68" s="532"/>
      <c r="AJ68" s="532"/>
      <c r="AP68" s="821" t="s">
        <v>1368</v>
      </c>
      <c r="AQ68" s="821"/>
      <c r="BB68" s="720"/>
    </row>
    <row r="69" s="379" customFormat="true" ht="15" hidden="false" customHeight="false" outlineLevel="0" collapsed="false">
      <c r="B69" s="822" t="s">
        <v>1370</v>
      </c>
      <c r="C69" s="822"/>
      <c r="H69" s="449"/>
      <c r="I69" s="449"/>
      <c r="L69" s="449"/>
      <c r="M69" s="449"/>
      <c r="AP69" s="822" t="s">
        <v>1370</v>
      </c>
      <c r="AQ69" s="822"/>
      <c r="BB69" s="720"/>
    </row>
    <row r="70" s="379" customFormat="true" ht="15" hidden="false" customHeight="false" outlineLevel="0" collapsed="false">
      <c r="A70" s="750"/>
      <c r="B70" s="823" t="s">
        <v>1371</v>
      </c>
      <c r="C70" s="823" t="s">
        <v>1372</v>
      </c>
      <c r="E70" s="449"/>
      <c r="G70" s="449"/>
      <c r="H70" s="449"/>
      <c r="I70" s="449"/>
      <c r="L70" s="449"/>
      <c r="M70" s="449"/>
      <c r="AP70" s="823" t="s">
        <v>1371</v>
      </c>
      <c r="AQ70" s="823" t="s">
        <v>1372</v>
      </c>
      <c r="BB70" s="720"/>
    </row>
    <row r="71" s="379" customFormat="true" ht="15" hidden="false" customHeight="false" outlineLevel="0" collapsed="false">
      <c r="A71" s="750"/>
      <c r="B71" s="824" t="n">
        <v>0.5</v>
      </c>
      <c r="C71" s="823" t="n">
        <v>15</v>
      </c>
      <c r="E71" s="449"/>
      <c r="G71" s="449"/>
      <c r="H71" s="449"/>
      <c r="I71" s="449"/>
      <c r="L71" s="449"/>
      <c r="M71" s="449"/>
      <c r="AP71" s="824" t="n">
        <v>0.5</v>
      </c>
      <c r="AQ71" s="823" t="n">
        <v>15</v>
      </c>
      <c r="BB71" s="720"/>
    </row>
    <row r="72" s="379" customFormat="true" ht="15" hidden="false" customHeight="false" outlineLevel="0" collapsed="false">
      <c r="A72" s="750"/>
      <c r="B72" s="824" t="n">
        <v>0.75</v>
      </c>
      <c r="C72" s="823" t="n">
        <v>20</v>
      </c>
      <c r="E72" s="449"/>
      <c r="G72" s="449"/>
      <c r="H72" s="449"/>
      <c r="I72" s="449"/>
      <c r="L72" s="449"/>
      <c r="M72" s="449"/>
      <c r="AP72" s="824" t="n">
        <v>0.75</v>
      </c>
      <c r="AQ72" s="823" t="n">
        <v>20</v>
      </c>
      <c r="BB72" s="720"/>
    </row>
    <row r="73" s="379" customFormat="true" ht="15" hidden="false" customHeight="false" outlineLevel="0" collapsed="false">
      <c r="A73" s="750"/>
      <c r="B73" s="824" t="n">
        <v>1</v>
      </c>
      <c r="C73" s="823" t="n">
        <v>25</v>
      </c>
      <c r="E73" s="449"/>
      <c r="G73" s="449"/>
      <c r="H73" s="449"/>
      <c r="I73" s="449"/>
      <c r="L73" s="449"/>
      <c r="M73" s="449"/>
      <c r="AP73" s="824" t="n">
        <v>1</v>
      </c>
      <c r="AQ73" s="823" t="n">
        <v>25</v>
      </c>
      <c r="BB73" s="720"/>
    </row>
    <row r="74" s="379" customFormat="true" ht="15" hidden="false" customHeight="false" outlineLevel="0" collapsed="false">
      <c r="A74" s="750"/>
      <c r="B74" s="824" t="n">
        <v>1.5</v>
      </c>
      <c r="C74" s="823" t="n">
        <v>40</v>
      </c>
      <c r="E74" s="449"/>
      <c r="G74" s="449"/>
      <c r="H74" s="449"/>
      <c r="I74" s="449"/>
      <c r="L74" s="449"/>
      <c r="M74" s="449"/>
      <c r="AP74" s="824" t="n">
        <v>1.5</v>
      </c>
      <c r="AQ74" s="823" t="n">
        <v>40</v>
      </c>
      <c r="BB74" s="720"/>
    </row>
    <row r="75" s="379" customFormat="true" ht="15" hidden="false" customHeight="false" outlineLevel="0" collapsed="false">
      <c r="A75" s="750"/>
      <c r="B75" s="824" t="n">
        <v>2</v>
      </c>
      <c r="C75" s="823" t="n">
        <v>50</v>
      </c>
      <c r="E75" s="449"/>
      <c r="G75" s="449"/>
      <c r="H75" s="449"/>
      <c r="I75" s="449"/>
      <c r="L75" s="449"/>
      <c r="AP75" s="824" t="n">
        <v>2</v>
      </c>
      <c r="AQ75" s="823" t="n">
        <v>50</v>
      </c>
      <c r="BB75" s="720"/>
    </row>
    <row r="76" s="379" customFormat="true" ht="15" hidden="false" customHeight="false" outlineLevel="0" collapsed="false">
      <c r="A76" s="750"/>
      <c r="B76" s="824" t="n">
        <v>2.5</v>
      </c>
      <c r="C76" s="823" t="n">
        <v>65</v>
      </c>
      <c r="E76" s="449"/>
      <c r="G76" s="449"/>
      <c r="H76" s="449"/>
      <c r="I76" s="449"/>
      <c r="L76" s="449"/>
      <c r="AP76" s="824" t="n">
        <v>2.5</v>
      </c>
      <c r="AQ76" s="823" t="n">
        <v>65</v>
      </c>
      <c r="BB76" s="720"/>
    </row>
    <row r="77" s="379" customFormat="true" ht="15" hidden="false" customHeight="false" outlineLevel="0" collapsed="false">
      <c r="A77" s="750"/>
      <c r="B77" s="824" t="n">
        <v>3</v>
      </c>
      <c r="C77" s="823" t="n">
        <v>80</v>
      </c>
      <c r="E77" s="449"/>
      <c r="G77" s="449"/>
      <c r="H77" s="449"/>
      <c r="I77" s="449"/>
      <c r="L77" s="449"/>
      <c r="AP77" s="824" t="n">
        <v>3</v>
      </c>
      <c r="AQ77" s="823" t="n">
        <v>80</v>
      </c>
      <c r="BB77" s="720"/>
    </row>
    <row r="78" s="379" customFormat="true" ht="15" hidden="false" customHeight="false" outlineLevel="0" collapsed="false">
      <c r="A78" s="750"/>
      <c r="B78" s="824" t="n">
        <v>4</v>
      </c>
      <c r="C78" s="823" t="n">
        <v>100</v>
      </c>
      <c r="E78" s="449"/>
      <c r="G78" s="449"/>
      <c r="H78" s="449"/>
      <c r="I78" s="449"/>
      <c r="L78" s="449"/>
      <c r="AP78" s="824" t="n">
        <v>4</v>
      </c>
      <c r="AQ78" s="823" t="n">
        <v>100</v>
      </c>
      <c r="BB78" s="720"/>
    </row>
    <row r="79" s="379" customFormat="true" ht="15" hidden="false" customHeight="false" outlineLevel="0" collapsed="false">
      <c r="A79" s="750"/>
      <c r="B79" s="824" t="n">
        <v>6</v>
      </c>
      <c r="C79" s="823" t="n">
        <v>150</v>
      </c>
      <c r="E79" s="449"/>
      <c r="G79" s="449"/>
      <c r="H79" s="449"/>
      <c r="I79" s="449"/>
      <c r="L79" s="449"/>
      <c r="AP79" s="824" t="n">
        <v>6</v>
      </c>
      <c r="AQ79" s="823" t="n">
        <v>150</v>
      </c>
      <c r="BB79" s="720"/>
    </row>
    <row r="80" s="379" customFormat="true" ht="15" hidden="false" customHeight="false" outlineLevel="0" collapsed="false">
      <c r="A80" s="750"/>
      <c r="B80" s="824" t="n">
        <v>8</v>
      </c>
      <c r="C80" s="823" t="n">
        <v>200</v>
      </c>
      <c r="E80" s="449"/>
      <c r="G80" s="449"/>
      <c r="H80" s="449"/>
      <c r="I80" s="449"/>
      <c r="L80" s="449"/>
      <c r="AP80" s="824" t="n">
        <v>8</v>
      </c>
      <c r="AQ80" s="823" t="n">
        <v>200</v>
      </c>
      <c r="BB80" s="720"/>
    </row>
    <row r="81" s="379" customFormat="true" ht="15" hidden="false" customHeight="false" outlineLevel="0" collapsed="false">
      <c r="A81" s="750"/>
      <c r="B81" s="824" t="n">
        <v>10</v>
      </c>
      <c r="C81" s="823" t="n">
        <v>250</v>
      </c>
      <c r="E81" s="449"/>
      <c r="G81" s="449"/>
      <c r="H81" s="449"/>
      <c r="I81" s="449"/>
      <c r="L81" s="449"/>
      <c r="AP81" s="824" t="n">
        <v>10</v>
      </c>
      <c r="AQ81" s="823" t="n">
        <v>250</v>
      </c>
      <c r="BB81" s="720"/>
    </row>
    <row r="82" s="379" customFormat="true" ht="15" hidden="false" customHeight="false" outlineLevel="0" collapsed="false">
      <c r="A82" s="750"/>
      <c r="B82" s="825" t="s">
        <v>1373</v>
      </c>
      <c r="C82" s="825"/>
      <c r="E82" s="449"/>
      <c r="G82" s="449"/>
      <c r="H82" s="449"/>
      <c r="I82" s="449"/>
      <c r="L82" s="449"/>
      <c r="AP82" s="825" t="s">
        <v>1373</v>
      </c>
      <c r="AQ82" s="825"/>
      <c r="BB82" s="720"/>
    </row>
    <row r="83" s="379" customFormat="true" ht="15" hidden="false" customHeight="false" outlineLevel="0" collapsed="false">
      <c r="B83" s="826" t="s">
        <v>1374</v>
      </c>
      <c r="C83" s="823" t="s">
        <v>1375</v>
      </c>
      <c r="D83" s="823" t="s">
        <v>1376</v>
      </c>
      <c r="F83" s="823" t="s">
        <v>1376</v>
      </c>
      <c r="H83" s="449"/>
      <c r="I83" s="449"/>
      <c r="L83" s="449"/>
      <c r="AP83" s="826" t="s">
        <v>1374</v>
      </c>
      <c r="AQ83" s="823" t="s">
        <v>1375</v>
      </c>
      <c r="BB83" s="720"/>
    </row>
    <row r="84" s="379" customFormat="true" ht="15" hidden="false" customHeight="false" outlineLevel="0" collapsed="false">
      <c r="B84" s="827" t="s">
        <v>1159</v>
      </c>
      <c r="C84" s="828" t="n">
        <v>71</v>
      </c>
      <c r="D84" s="828" t="n">
        <v>86.6</v>
      </c>
      <c r="F84" s="828" t="n">
        <v>86.6</v>
      </c>
      <c r="H84" s="449"/>
      <c r="I84" s="449"/>
      <c r="L84" s="449"/>
      <c r="AP84" s="827" t="s">
        <v>1159</v>
      </c>
      <c r="AQ84" s="828" t="n">
        <v>71</v>
      </c>
      <c r="BB84" s="720"/>
    </row>
    <row r="85" s="379" customFormat="true" ht="15" hidden="false" customHeight="false" outlineLevel="0" collapsed="false">
      <c r="B85" s="827" t="s">
        <v>1318</v>
      </c>
      <c r="C85" s="828" t="n">
        <v>126.4</v>
      </c>
      <c r="D85" s="828" t="n">
        <v>153.9</v>
      </c>
      <c r="F85" s="828" t="n">
        <v>153.9</v>
      </c>
      <c r="H85" s="449"/>
      <c r="I85" s="449"/>
      <c r="L85" s="449"/>
      <c r="AP85" s="827" t="s">
        <v>1318</v>
      </c>
      <c r="AQ85" s="828" t="n">
        <v>126.4</v>
      </c>
      <c r="BB85" s="720"/>
    </row>
    <row r="86" s="379" customFormat="true" ht="15" hidden="false" customHeight="false" outlineLevel="0" collapsed="false">
      <c r="B86" s="827" t="s">
        <v>1377</v>
      </c>
      <c r="C86" s="828" t="n">
        <v>198.1</v>
      </c>
      <c r="D86" s="828" t="n">
        <v>227</v>
      </c>
      <c r="F86" s="828" t="n">
        <v>227</v>
      </c>
      <c r="H86" s="449"/>
      <c r="I86" s="449"/>
      <c r="L86" s="449"/>
      <c r="AP86" s="827" t="s">
        <v>1377</v>
      </c>
      <c r="AQ86" s="828" t="n">
        <v>198.1</v>
      </c>
      <c r="BB86" s="720"/>
    </row>
    <row r="87" s="379" customFormat="true" ht="15" hidden="false" customHeight="false" outlineLevel="0" collapsed="false">
      <c r="B87" s="827" t="s">
        <v>1152</v>
      </c>
      <c r="C87" s="828" t="n">
        <v>324.5</v>
      </c>
      <c r="D87" s="828" t="n">
        <v>380.1</v>
      </c>
      <c r="F87" s="828" t="n">
        <v>380.1</v>
      </c>
      <c r="H87" s="449"/>
      <c r="I87" s="449"/>
      <c r="L87" s="449"/>
      <c r="AP87" s="827" t="s">
        <v>1152</v>
      </c>
      <c r="AQ87" s="828" t="n">
        <v>324.5</v>
      </c>
      <c r="BB87" s="720"/>
    </row>
    <row r="88" s="379" customFormat="true" ht="15" hidden="false" customHeight="false" outlineLevel="0" collapsed="false">
      <c r="B88" s="827" t="s">
        <v>1160</v>
      </c>
      <c r="C88" s="828" t="n">
        <v>506.4</v>
      </c>
      <c r="D88" s="828" t="n">
        <v>572.6</v>
      </c>
      <c r="F88" s="828" t="n">
        <v>572.6</v>
      </c>
      <c r="H88" s="449"/>
      <c r="I88" s="449"/>
      <c r="L88" s="449"/>
      <c r="AP88" s="827" t="s">
        <v>1160</v>
      </c>
      <c r="AQ88" s="828" t="n">
        <v>506.4</v>
      </c>
      <c r="BB88" s="720"/>
    </row>
    <row r="89" s="379" customFormat="true" ht="15" hidden="false" customHeight="false" outlineLevel="0" collapsed="false">
      <c r="B89" s="827" t="s">
        <v>1154</v>
      </c>
      <c r="C89" s="828" t="n">
        <v>830.3</v>
      </c>
      <c r="D89" s="828" t="n">
        <v>934.8</v>
      </c>
      <c r="F89" s="828" t="n">
        <v>934.8</v>
      </c>
      <c r="H89" s="449"/>
      <c r="I89" s="449"/>
      <c r="L89" s="449"/>
      <c r="AP89" s="827" t="s">
        <v>1154</v>
      </c>
      <c r="AQ89" s="828" t="n">
        <v>830.3</v>
      </c>
      <c r="BB89" s="720"/>
    </row>
    <row r="90" s="379" customFormat="true" ht="15" hidden="false" customHeight="false" outlineLevel="0" collapsed="false">
      <c r="B90" s="827" t="s">
        <v>1158</v>
      </c>
      <c r="C90" s="828" t="n">
        <v>1185.8</v>
      </c>
      <c r="D90" s="828" t="n">
        <v>1352.7</v>
      </c>
      <c r="F90" s="828" t="n">
        <v>1352.7</v>
      </c>
      <c r="H90" s="449"/>
      <c r="I90" s="449"/>
      <c r="L90" s="449"/>
      <c r="AP90" s="827" t="s">
        <v>1158</v>
      </c>
      <c r="AQ90" s="828" t="n">
        <v>1185.8</v>
      </c>
      <c r="BB90" s="720"/>
    </row>
    <row r="91" s="379" customFormat="true" ht="15" hidden="false" customHeight="false" outlineLevel="0" collapsed="false">
      <c r="B91" s="827" t="s">
        <v>1153</v>
      </c>
      <c r="C91" s="828" t="n">
        <v>1840.6</v>
      </c>
      <c r="D91" s="828" t="n">
        <v>2083.1</v>
      </c>
      <c r="F91" s="828" t="n">
        <v>2083.1</v>
      </c>
      <c r="H91" s="449"/>
      <c r="I91" s="449"/>
      <c r="L91" s="449"/>
      <c r="AP91" s="827" t="s">
        <v>1153</v>
      </c>
      <c r="AQ91" s="828" t="n">
        <v>1840.6</v>
      </c>
      <c r="BB91" s="720"/>
    </row>
    <row r="92" s="379" customFormat="true" ht="15" hidden="false" customHeight="false" outlineLevel="0" collapsed="false">
      <c r="B92" s="829" t="s">
        <v>1155</v>
      </c>
      <c r="C92" s="828" t="n">
        <v>2322.6</v>
      </c>
      <c r="D92" s="828" t="n">
        <v>2642.1</v>
      </c>
      <c r="F92" s="828" t="n">
        <v>2642.1</v>
      </c>
      <c r="H92" s="449"/>
      <c r="I92" s="449"/>
      <c r="L92" s="449"/>
      <c r="AP92" s="829" t="s">
        <v>1155</v>
      </c>
      <c r="AQ92" s="828" t="n">
        <v>2322.6</v>
      </c>
      <c r="BB92" s="720"/>
    </row>
    <row r="93" s="379" customFormat="true" ht="15" hidden="false" customHeight="false" outlineLevel="0" collapsed="false">
      <c r="B93" s="830" t="s">
        <v>1161</v>
      </c>
      <c r="C93" s="828" t="n">
        <v>2800</v>
      </c>
      <c r="D93" s="828" t="n">
        <v>3217</v>
      </c>
      <c r="F93" s="828" t="n">
        <v>3217</v>
      </c>
      <c r="H93" s="449"/>
      <c r="I93" s="449"/>
      <c r="L93" s="449"/>
      <c r="AP93" s="830" t="s">
        <v>1161</v>
      </c>
      <c r="AQ93" s="828" t="n">
        <v>2800</v>
      </c>
      <c r="BB93" s="720"/>
    </row>
    <row r="94" s="379" customFormat="true" ht="15" hidden="false" customHeight="false" outlineLevel="0" collapsed="false">
      <c r="B94" s="830" t="s">
        <v>1151</v>
      </c>
      <c r="C94" s="828" t="n">
        <v>4116.1</v>
      </c>
      <c r="D94" s="828" t="n">
        <v>4656.6</v>
      </c>
      <c r="F94" s="828" t="n">
        <v>4656.6</v>
      </c>
      <c r="H94" s="449"/>
      <c r="I94" s="449"/>
      <c r="L94" s="449"/>
      <c r="AP94" s="830" t="s">
        <v>1151</v>
      </c>
      <c r="AQ94" s="828" t="n">
        <v>4116.1</v>
      </c>
      <c r="BB94" s="720"/>
    </row>
    <row r="95" s="379" customFormat="true" ht="15" hidden="false" customHeight="false" outlineLevel="0" collapsed="false">
      <c r="B95" s="823" t="s">
        <v>1156</v>
      </c>
      <c r="C95" s="828" t="n">
        <v>7129</v>
      </c>
      <c r="D95" s="828" t="n">
        <v>8171.3</v>
      </c>
      <c r="F95" s="828" t="n">
        <v>8171.3</v>
      </c>
      <c r="H95" s="449"/>
      <c r="I95" s="449"/>
      <c r="L95" s="449"/>
      <c r="AP95" s="823" t="s">
        <v>1156</v>
      </c>
      <c r="AQ95" s="828" t="n">
        <v>7129</v>
      </c>
      <c r="BB95" s="720"/>
    </row>
    <row r="96" s="379" customFormat="true" ht="15" hidden="false" customHeight="false" outlineLevel="0" collapsed="false">
      <c r="B96" s="823" t="s">
        <v>1157</v>
      </c>
      <c r="C96" s="828" t="n">
        <v>10322.6</v>
      </c>
      <c r="D96" s="828" t="n">
        <v>11689.9</v>
      </c>
      <c r="F96" s="828" t="n">
        <v>11689.9</v>
      </c>
      <c r="H96" s="449"/>
      <c r="I96" s="449"/>
      <c r="L96" s="449"/>
      <c r="AP96" s="823" t="s">
        <v>1157</v>
      </c>
      <c r="AQ96" s="828" t="n">
        <v>10322.6</v>
      </c>
      <c r="BB96" s="720"/>
    </row>
    <row r="97" s="379" customFormat="true" ht="15" hidden="false" customHeight="false" outlineLevel="0" collapsed="false">
      <c r="B97" s="823" t="s">
        <v>1378</v>
      </c>
      <c r="C97" s="828" t="n">
        <v>16774.2</v>
      </c>
      <c r="D97" s="828" t="n">
        <v>19113.4</v>
      </c>
      <c r="F97" s="828" t="n">
        <v>19113.4</v>
      </c>
      <c r="H97" s="449"/>
      <c r="I97" s="449"/>
      <c r="L97" s="449"/>
      <c r="AP97" s="823" t="s">
        <v>1378</v>
      </c>
      <c r="AQ97" s="828" t="n">
        <v>16774.2</v>
      </c>
      <c r="BB97" s="720"/>
    </row>
    <row r="98" s="379" customFormat="true" ht="15" hidden="false" customHeight="false" outlineLevel="0" collapsed="false">
      <c r="B98" s="823"/>
      <c r="C98" s="828"/>
      <c r="D98" s="828"/>
      <c r="F98" s="828"/>
      <c r="H98" s="449"/>
      <c r="I98" s="449"/>
      <c r="L98" s="449"/>
      <c r="AP98" s="823"/>
      <c r="AQ98" s="828"/>
      <c r="BB98" s="720"/>
    </row>
    <row r="99" s="379" customFormat="true" ht="15" hidden="false" customHeight="false" outlineLevel="0" collapsed="false">
      <c r="B99" s="831" t="s">
        <v>1379</v>
      </c>
      <c r="C99" s="831"/>
      <c r="D99" s="831"/>
      <c r="F99" s="831"/>
      <c r="H99" s="449"/>
      <c r="I99" s="449"/>
      <c r="L99" s="449"/>
      <c r="AP99" s="831" t="s">
        <v>1379</v>
      </c>
      <c r="AQ99" s="831"/>
      <c r="BB99" s="720"/>
    </row>
    <row r="100" s="379" customFormat="true" ht="15" hidden="false" customHeight="false" outlineLevel="0" collapsed="false">
      <c r="A100" s="832" t="s">
        <v>1371</v>
      </c>
      <c r="B100" s="833" t="s">
        <v>1380</v>
      </c>
      <c r="C100" s="834" t="s">
        <v>1381</v>
      </c>
      <c r="D100" s="834" t="s">
        <v>1382</v>
      </c>
      <c r="E100" s="833"/>
      <c r="F100" s="834" t="s">
        <v>1382</v>
      </c>
      <c r="G100" s="833"/>
      <c r="H100" s="449"/>
      <c r="I100" s="449"/>
      <c r="L100" s="449"/>
      <c r="AP100" s="833" t="s">
        <v>1380</v>
      </c>
      <c r="AQ100" s="834" t="s">
        <v>1381</v>
      </c>
      <c r="BB100" s="720"/>
    </row>
    <row r="101" s="379" customFormat="true" ht="15" hidden="false" customHeight="false" outlineLevel="0" collapsed="false">
      <c r="B101" s="823" t="n">
        <v>20</v>
      </c>
      <c r="C101" s="835" t="n">
        <v>32</v>
      </c>
      <c r="D101" s="835" t="n">
        <v>40</v>
      </c>
      <c r="E101" s="823"/>
      <c r="F101" s="835" t="n">
        <v>40</v>
      </c>
      <c r="G101" s="823"/>
      <c r="H101" s="449"/>
      <c r="I101" s="449"/>
      <c r="L101" s="449"/>
      <c r="AP101" s="823" t="n">
        <v>20</v>
      </c>
      <c r="AQ101" s="835" t="n">
        <v>32</v>
      </c>
      <c r="BB101" s="720"/>
    </row>
    <row r="102" s="379" customFormat="true" ht="15" hidden="false" customHeight="false" outlineLevel="0" collapsed="false">
      <c r="A102" s="824" t="n">
        <v>1.5</v>
      </c>
      <c r="B102" s="823" t="n">
        <v>25</v>
      </c>
      <c r="C102" s="835" t="n">
        <v>40</v>
      </c>
      <c r="D102" s="835" t="n">
        <v>50</v>
      </c>
      <c r="E102" s="823"/>
      <c r="F102" s="835" t="n">
        <v>50</v>
      </c>
      <c r="G102" s="823"/>
      <c r="H102" s="449"/>
      <c r="I102" s="449"/>
      <c r="L102" s="449"/>
      <c r="AP102" s="823" t="n">
        <v>25</v>
      </c>
      <c r="AQ102" s="835" t="n">
        <v>40</v>
      </c>
      <c r="BB102" s="720"/>
    </row>
    <row r="103" s="379" customFormat="true" ht="15" hidden="false" customHeight="false" outlineLevel="0" collapsed="false">
      <c r="A103" s="824" t="n">
        <v>2</v>
      </c>
      <c r="B103" s="823" t="n">
        <v>32</v>
      </c>
      <c r="C103" s="835" t="n">
        <v>50</v>
      </c>
      <c r="D103" s="835" t="n">
        <v>65</v>
      </c>
      <c r="E103" s="823"/>
      <c r="F103" s="835" t="n">
        <v>65</v>
      </c>
      <c r="G103" s="823"/>
      <c r="H103" s="449"/>
      <c r="I103" s="449"/>
      <c r="L103" s="449"/>
      <c r="AP103" s="823" t="n">
        <v>32</v>
      </c>
      <c r="AQ103" s="835" t="n">
        <v>50</v>
      </c>
      <c r="BB103" s="720"/>
    </row>
    <row r="104" s="379" customFormat="true" ht="15" hidden="false" customHeight="false" outlineLevel="0" collapsed="false">
      <c r="A104" s="824" t="n">
        <v>2.5</v>
      </c>
      <c r="B104" s="823" t="n">
        <v>40</v>
      </c>
      <c r="C104" s="835" t="n">
        <v>65</v>
      </c>
      <c r="D104" s="835" t="n">
        <v>80</v>
      </c>
      <c r="E104" s="823"/>
      <c r="F104" s="835" t="n">
        <v>80</v>
      </c>
      <c r="G104" s="823"/>
      <c r="H104" s="449"/>
      <c r="I104" s="449"/>
      <c r="L104" s="449"/>
      <c r="AP104" s="823" t="n">
        <v>40</v>
      </c>
      <c r="AQ104" s="835" t="n">
        <v>65</v>
      </c>
      <c r="BB104" s="720"/>
    </row>
    <row r="105" s="379" customFormat="true" ht="15" hidden="false" customHeight="false" outlineLevel="0" collapsed="false">
      <c r="A105" s="824" t="n">
        <v>3</v>
      </c>
      <c r="B105" s="823" t="n">
        <v>50</v>
      </c>
      <c r="C105" s="835" t="n">
        <v>80</v>
      </c>
      <c r="D105" s="835" t="n">
        <v>100</v>
      </c>
      <c r="E105" s="823"/>
      <c r="F105" s="835" t="n">
        <v>100</v>
      </c>
      <c r="G105" s="823"/>
      <c r="H105" s="449"/>
      <c r="I105" s="449"/>
      <c r="L105" s="449"/>
      <c r="AP105" s="823" t="n">
        <v>50</v>
      </c>
      <c r="AQ105" s="835" t="n">
        <v>80</v>
      </c>
      <c r="BB105" s="720"/>
    </row>
    <row r="106" s="379" customFormat="true" ht="15" hidden="false" customHeight="false" outlineLevel="0" collapsed="false">
      <c r="A106" s="824" t="n">
        <v>4</v>
      </c>
      <c r="B106" s="823" t="n">
        <v>65</v>
      </c>
      <c r="C106" s="835" t="n">
        <v>100</v>
      </c>
      <c r="D106" s="835" t="n">
        <v>150</v>
      </c>
      <c r="E106" s="823"/>
      <c r="F106" s="835" t="n">
        <v>150</v>
      </c>
      <c r="G106" s="823"/>
      <c r="H106" s="449"/>
      <c r="I106" s="449"/>
      <c r="L106" s="449"/>
      <c r="AP106" s="823" t="n">
        <v>65</v>
      </c>
      <c r="AQ106" s="835" t="n">
        <v>100</v>
      </c>
      <c r="BB106" s="720"/>
    </row>
    <row r="107" s="379" customFormat="true" ht="15" hidden="false" customHeight="false" outlineLevel="0" collapsed="false">
      <c r="A107" s="824" t="n">
        <v>6</v>
      </c>
      <c r="B107" s="823" t="n">
        <v>100</v>
      </c>
      <c r="C107" s="835" t="n">
        <v>150</v>
      </c>
      <c r="D107" s="835" t="n">
        <v>200</v>
      </c>
      <c r="E107" s="823"/>
      <c r="F107" s="835" t="n">
        <v>200</v>
      </c>
      <c r="G107" s="823"/>
      <c r="H107" s="449"/>
      <c r="I107" s="449"/>
      <c r="L107" s="449"/>
      <c r="AP107" s="823" t="n">
        <v>100</v>
      </c>
      <c r="AQ107" s="835" t="n">
        <v>150</v>
      </c>
      <c r="BB107" s="720"/>
    </row>
  </sheetData>
  <mergeCells count="1419">
    <mergeCell ref="AR1:AS1"/>
    <mergeCell ref="AT1:AU1"/>
    <mergeCell ref="AV1:AW1"/>
    <mergeCell ref="AX1:AY1"/>
    <mergeCell ref="B2:C2"/>
    <mergeCell ref="D2:E2"/>
    <mergeCell ref="F2:G2"/>
    <mergeCell ref="H2:I2"/>
    <mergeCell ref="J2:K2"/>
    <mergeCell ref="L2:M2"/>
    <mergeCell ref="N2:O2"/>
    <mergeCell ref="P2:Q2"/>
    <mergeCell ref="R2:S2"/>
    <mergeCell ref="T2:U2"/>
    <mergeCell ref="V2:W2"/>
    <mergeCell ref="X2:Y2"/>
    <mergeCell ref="Z2:AA2"/>
    <mergeCell ref="AB2:AC2"/>
    <mergeCell ref="AD2:AE2"/>
    <mergeCell ref="AF2:AG2"/>
    <mergeCell ref="AH2:AI2"/>
    <mergeCell ref="AJ2:AK2"/>
    <mergeCell ref="AL2:AM2"/>
    <mergeCell ref="AN2:AO2"/>
    <mergeCell ref="AP2:AQ2"/>
    <mergeCell ref="AR2:AS2"/>
    <mergeCell ref="AT2:AU2"/>
    <mergeCell ref="AV2:AW2"/>
    <mergeCell ref="AX2:AY2"/>
    <mergeCell ref="AZ2:BA2"/>
    <mergeCell ref="BB2:BC2"/>
    <mergeCell ref="BD2:BE2"/>
    <mergeCell ref="BF2:BG2"/>
    <mergeCell ref="BH2:BI2"/>
    <mergeCell ref="BJ2:BK2"/>
    <mergeCell ref="BL2:BM2"/>
    <mergeCell ref="BN2:BO2"/>
    <mergeCell ref="B3:C3"/>
    <mergeCell ref="D3:E3"/>
    <mergeCell ref="F3:G3"/>
    <mergeCell ref="H3:I3"/>
    <mergeCell ref="J3:K3"/>
    <mergeCell ref="L3:M3"/>
    <mergeCell ref="N3:O3"/>
    <mergeCell ref="P3:Q3"/>
    <mergeCell ref="R3:S3"/>
    <mergeCell ref="T3:U3"/>
    <mergeCell ref="V3:W3"/>
    <mergeCell ref="X3:Y3"/>
    <mergeCell ref="Z3:AA3"/>
    <mergeCell ref="AB3:AC3"/>
    <mergeCell ref="AD3:AE3"/>
    <mergeCell ref="AF3:AG3"/>
    <mergeCell ref="AH3:AI3"/>
    <mergeCell ref="AJ3:AK3"/>
    <mergeCell ref="AL3:AM3"/>
    <mergeCell ref="AN3:AO3"/>
    <mergeCell ref="AP3:AQ3"/>
    <mergeCell ref="AR3:AS3"/>
    <mergeCell ref="AT3:AU3"/>
    <mergeCell ref="AV3:AW3"/>
    <mergeCell ref="AX3:AY3"/>
    <mergeCell ref="AZ3:BA3"/>
    <mergeCell ref="BB3:BC3"/>
    <mergeCell ref="BD3:BE3"/>
    <mergeCell ref="BF3:BG3"/>
    <mergeCell ref="BH3:BI3"/>
    <mergeCell ref="BJ3:BK3"/>
    <mergeCell ref="BL3:BM3"/>
    <mergeCell ref="BN3:BO3"/>
    <mergeCell ref="B4:C4"/>
    <mergeCell ref="D4:E4"/>
    <mergeCell ref="F4:G4"/>
    <mergeCell ref="H4:I4"/>
    <mergeCell ref="J4:K4"/>
    <mergeCell ref="L4:M4"/>
    <mergeCell ref="N4:O4"/>
    <mergeCell ref="P4:Q4"/>
    <mergeCell ref="R4:S4"/>
    <mergeCell ref="T4:U4"/>
    <mergeCell ref="V4:W4"/>
    <mergeCell ref="X4:Y4"/>
    <mergeCell ref="Z4:AA4"/>
    <mergeCell ref="AB4:AC4"/>
    <mergeCell ref="AD4:AE4"/>
    <mergeCell ref="AF4:AG4"/>
    <mergeCell ref="AH4:AI4"/>
    <mergeCell ref="AJ4:AK4"/>
    <mergeCell ref="AL4:AM4"/>
    <mergeCell ref="AN4:AO4"/>
    <mergeCell ref="AP4:AQ4"/>
    <mergeCell ref="AR4:AS4"/>
    <mergeCell ref="AT4:AU4"/>
    <mergeCell ref="AV4:AW4"/>
    <mergeCell ref="AX4:AY4"/>
    <mergeCell ref="AZ4:BA4"/>
    <mergeCell ref="BB4:BC4"/>
    <mergeCell ref="BD4:BE4"/>
    <mergeCell ref="BF4:BG4"/>
    <mergeCell ref="BH4:BI4"/>
    <mergeCell ref="BJ4:BK4"/>
    <mergeCell ref="BL4:BM4"/>
    <mergeCell ref="BN4:BO4"/>
    <mergeCell ref="B5:C5"/>
    <mergeCell ref="D5:E5"/>
    <mergeCell ref="F5:G5"/>
    <mergeCell ref="H5:I5"/>
    <mergeCell ref="J5:K5"/>
    <mergeCell ref="L5:M5"/>
    <mergeCell ref="N5:O5"/>
    <mergeCell ref="P5:Q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9:C9"/>
    <mergeCell ref="D9:E9"/>
    <mergeCell ref="F9:G9"/>
    <mergeCell ref="H9:I9"/>
    <mergeCell ref="J9:K9"/>
    <mergeCell ref="L9:M9"/>
    <mergeCell ref="N9:O9"/>
    <mergeCell ref="P9:Q9"/>
    <mergeCell ref="R9:S9"/>
    <mergeCell ref="T9:U9"/>
    <mergeCell ref="V9:W9"/>
    <mergeCell ref="X9:Y9"/>
    <mergeCell ref="Z9:AA9"/>
    <mergeCell ref="AB9:AC9"/>
    <mergeCell ref="AD9:AE9"/>
    <mergeCell ref="AF9:AG9"/>
    <mergeCell ref="AH9:AI9"/>
    <mergeCell ref="AJ9:AK9"/>
    <mergeCell ref="AL9:AM9"/>
    <mergeCell ref="AN9:AO9"/>
    <mergeCell ref="AP9:AQ9"/>
    <mergeCell ref="AR9:AS9"/>
    <mergeCell ref="AT9:AU9"/>
    <mergeCell ref="AV9:AW9"/>
    <mergeCell ref="AX9:AY9"/>
    <mergeCell ref="AZ9:BA9"/>
    <mergeCell ref="BB9:BC9"/>
    <mergeCell ref="BD9:BE9"/>
    <mergeCell ref="BF9:BG9"/>
    <mergeCell ref="BH9:BI9"/>
    <mergeCell ref="BJ9:BK9"/>
    <mergeCell ref="BL9:BM9"/>
    <mergeCell ref="BN9:BO9"/>
    <mergeCell ref="B10:C10"/>
    <mergeCell ref="D10:E10"/>
    <mergeCell ref="F10:G10"/>
    <mergeCell ref="H10:I10"/>
    <mergeCell ref="J10:K10"/>
    <mergeCell ref="L10:M10"/>
    <mergeCell ref="N10:O10"/>
    <mergeCell ref="P10:Q10"/>
    <mergeCell ref="R10:S10"/>
    <mergeCell ref="T10:U10"/>
    <mergeCell ref="V10:W10"/>
    <mergeCell ref="X10:Y10"/>
    <mergeCell ref="Z10:AA10"/>
    <mergeCell ref="AB10:AC10"/>
    <mergeCell ref="AD10:AE10"/>
    <mergeCell ref="AF10:AG10"/>
    <mergeCell ref="AH10:AI10"/>
    <mergeCell ref="AJ10:AK10"/>
    <mergeCell ref="AL10:AM10"/>
    <mergeCell ref="AN10:AO10"/>
    <mergeCell ref="AP10:AQ10"/>
    <mergeCell ref="AR10:AS10"/>
    <mergeCell ref="AT10:AU10"/>
    <mergeCell ref="AV10:AW10"/>
    <mergeCell ref="AX10:AY10"/>
    <mergeCell ref="AZ10:BA10"/>
    <mergeCell ref="BB10:BC10"/>
    <mergeCell ref="BD10:BE10"/>
    <mergeCell ref="BF10:BG10"/>
    <mergeCell ref="BH10:BI10"/>
    <mergeCell ref="BJ10:BK10"/>
    <mergeCell ref="BL10:BM10"/>
    <mergeCell ref="BN10:BO10"/>
    <mergeCell ref="B11:C11"/>
    <mergeCell ref="D11:E11"/>
    <mergeCell ref="F11:G11"/>
    <mergeCell ref="H11:I11"/>
    <mergeCell ref="J11:K11"/>
    <mergeCell ref="L11:M11"/>
    <mergeCell ref="N11:O11"/>
    <mergeCell ref="P11:Q11"/>
    <mergeCell ref="R11:S11"/>
    <mergeCell ref="T11:U11"/>
    <mergeCell ref="V11:W11"/>
    <mergeCell ref="X11:Y11"/>
    <mergeCell ref="Z11:AA11"/>
    <mergeCell ref="AB11:AC11"/>
    <mergeCell ref="AD11:AE11"/>
    <mergeCell ref="AF11:AG11"/>
    <mergeCell ref="AH11:AI11"/>
    <mergeCell ref="AJ11:AK11"/>
    <mergeCell ref="AL11:AM11"/>
    <mergeCell ref="AN11:AO11"/>
    <mergeCell ref="AP11:AQ11"/>
    <mergeCell ref="AR11:AS11"/>
    <mergeCell ref="AT11:AU11"/>
    <mergeCell ref="AV11:AW11"/>
    <mergeCell ref="AX11:AY11"/>
    <mergeCell ref="AZ11:BA11"/>
    <mergeCell ref="BB11:BC11"/>
    <mergeCell ref="BD11:BE11"/>
    <mergeCell ref="BF11:BG11"/>
    <mergeCell ref="BH11:BI11"/>
    <mergeCell ref="BJ11:BK11"/>
    <mergeCell ref="BL11:BM11"/>
    <mergeCell ref="BN11:BO11"/>
    <mergeCell ref="B12:C12"/>
    <mergeCell ref="D12:E12"/>
    <mergeCell ref="F12:G12"/>
    <mergeCell ref="H12:I12"/>
    <mergeCell ref="J12:K12"/>
    <mergeCell ref="L12:M12"/>
    <mergeCell ref="N12:O12"/>
    <mergeCell ref="P12:Q12"/>
    <mergeCell ref="R12:S12"/>
    <mergeCell ref="T12:U12"/>
    <mergeCell ref="V12:W12"/>
    <mergeCell ref="X12:Y12"/>
    <mergeCell ref="Z12:AA12"/>
    <mergeCell ref="AB12:AC12"/>
    <mergeCell ref="AD12:AE12"/>
    <mergeCell ref="AF12:AG12"/>
    <mergeCell ref="AH12:AI12"/>
    <mergeCell ref="AJ12:AK12"/>
    <mergeCell ref="AL12:AM12"/>
    <mergeCell ref="AN12:AO12"/>
    <mergeCell ref="AP12:AQ12"/>
    <mergeCell ref="AR12:AS12"/>
    <mergeCell ref="AT12:AU12"/>
    <mergeCell ref="AV12:AW12"/>
    <mergeCell ref="AX12:AY12"/>
    <mergeCell ref="AZ12:BA12"/>
    <mergeCell ref="BB12:BC12"/>
    <mergeCell ref="BD12:BE12"/>
    <mergeCell ref="BF12:BG12"/>
    <mergeCell ref="BH12:BI12"/>
    <mergeCell ref="BJ12:BK12"/>
    <mergeCell ref="BL12:BM12"/>
    <mergeCell ref="BN12:BO12"/>
    <mergeCell ref="B14:C14"/>
    <mergeCell ref="D14:E14"/>
    <mergeCell ref="F14:G14"/>
    <mergeCell ref="H14:I14"/>
    <mergeCell ref="J14:K14"/>
    <mergeCell ref="L14:M14"/>
    <mergeCell ref="N14:O14"/>
    <mergeCell ref="P14:Q14"/>
    <mergeCell ref="R14:S14"/>
    <mergeCell ref="T14:U14"/>
    <mergeCell ref="V14:W14"/>
    <mergeCell ref="X14:Y14"/>
    <mergeCell ref="Z14:AA14"/>
    <mergeCell ref="AP14:AQ14"/>
    <mergeCell ref="B15:C15"/>
    <mergeCell ref="D15:E15"/>
    <mergeCell ref="F15:G15"/>
    <mergeCell ref="H15:I15"/>
    <mergeCell ref="J15:K15"/>
    <mergeCell ref="L15:M15"/>
    <mergeCell ref="N15:O15"/>
    <mergeCell ref="P15:Q15"/>
    <mergeCell ref="R15:S15"/>
    <mergeCell ref="T15:U15"/>
    <mergeCell ref="V15:W15"/>
    <mergeCell ref="X15:Y15"/>
    <mergeCell ref="Z15:AA15"/>
    <mergeCell ref="AB15:AC15"/>
    <mergeCell ref="AD15:AE15"/>
    <mergeCell ref="AF15:AG15"/>
    <mergeCell ref="AH15:AI15"/>
    <mergeCell ref="AJ15:AK15"/>
    <mergeCell ref="AL15:AM15"/>
    <mergeCell ref="AN15:AO15"/>
    <mergeCell ref="AP15:AQ15"/>
    <mergeCell ref="AR15:AS15"/>
    <mergeCell ref="AT15:AU15"/>
    <mergeCell ref="AV15:AW15"/>
    <mergeCell ref="AX15:AY15"/>
    <mergeCell ref="AZ15:BA15"/>
    <mergeCell ref="BB15:BC15"/>
    <mergeCell ref="BD15:BE15"/>
    <mergeCell ref="BF15:BG15"/>
    <mergeCell ref="BH15:BI15"/>
    <mergeCell ref="BJ15:BK15"/>
    <mergeCell ref="BL15:BM15"/>
    <mergeCell ref="BN15:BO15"/>
    <mergeCell ref="B16:C16"/>
    <mergeCell ref="D16:E16"/>
    <mergeCell ref="F16:G16"/>
    <mergeCell ref="H16:I16"/>
    <mergeCell ref="J16:K16"/>
    <mergeCell ref="L16:M16"/>
    <mergeCell ref="N16:O16"/>
    <mergeCell ref="P16:Q16"/>
    <mergeCell ref="R16:S16"/>
    <mergeCell ref="T16:U16"/>
    <mergeCell ref="V16:W16"/>
    <mergeCell ref="X16:Y16"/>
    <mergeCell ref="Z16:AA16"/>
    <mergeCell ref="AB16:AC16"/>
    <mergeCell ref="AD16:AE16"/>
    <mergeCell ref="AF16:AG16"/>
    <mergeCell ref="AH16:AI16"/>
    <mergeCell ref="AJ16:AK16"/>
    <mergeCell ref="AL16:AM16"/>
    <mergeCell ref="AN16:AO16"/>
    <mergeCell ref="AP16:AQ16"/>
    <mergeCell ref="AR16:AS16"/>
    <mergeCell ref="AT16:AU16"/>
    <mergeCell ref="AV16:AW16"/>
    <mergeCell ref="AX16:AY16"/>
    <mergeCell ref="AZ16:BA16"/>
    <mergeCell ref="BB16:BC16"/>
    <mergeCell ref="BD16:BE16"/>
    <mergeCell ref="BF16:BG16"/>
    <mergeCell ref="BH16:BI16"/>
    <mergeCell ref="BJ16:BK16"/>
    <mergeCell ref="BL16:BM16"/>
    <mergeCell ref="BN16:BO16"/>
    <mergeCell ref="B17:C17"/>
    <mergeCell ref="D17:E17"/>
    <mergeCell ref="F17:G17"/>
    <mergeCell ref="H17:I17"/>
    <mergeCell ref="J17:K17"/>
    <mergeCell ref="L17:M17"/>
    <mergeCell ref="N17:O17"/>
    <mergeCell ref="P17:Q17"/>
    <mergeCell ref="R17:S17"/>
    <mergeCell ref="T17:U17"/>
    <mergeCell ref="V17:W17"/>
    <mergeCell ref="X17:Y17"/>
    <mergeCell ref="Z17:AA17"/>
    <mergeCell ref="AB17:AC17"/>
    <mergeCell ref="AD17:AE17"/>
    <mergeCell ref="AF17:AG17"/>
    <mergeCell ref="AH17:AI17"/>
    <mergeCell ref="AJ17:AK17"/>
    <mergeCell ref="AL17:AM17"/>
    <mergeCell ref="AN17:AO17"/>
    <mergeCell ref="AP17:AQ17"/>
    <mergeCell ref="AR17:AS17"/>
    <mergeCell ref="AT17:AU17"/>
    <mergeCell ref="AV17:AW17"/>
    <mergeCell ref="AX17:AY17"/>
    <mergeCell ref="AZ17:BA17"/>
    <mergeCell ref="BB17:BC17"/>
    <mergeCell ref="BD17:BE17"/>
    <mergeCell ref="BF17:BG17"/>
    <mergeCell ref="BH17:BI17"/>
    <mergeCell ref="BJ17:BK17"/>
    <mergeCell ref="BL17:BM17"/>
    <mergeCell ref="BN17:BO17"/>
    <mergeCell ref="B25:C25"/>
    <mergeCell ref="D25:E25"/>
    <mergeCell ref="F25:G25"/>
    <mergeCell ref="H25:I25"/>
    <mergeCell ref="J25:K25"/>
    <mergeCell ref="L25:M25"/>
    <mergeCell ref="N25:O25"/>
    <mergeCell ref="P25:Q25"/>
    <mergeCell ref="R25:S25"/>
    <mergeCell ref="T25:U25"/>
    <mergeCell ref="V25:W25"/>
    <mergeCell ref="X25:Y25"/>
    <mergeCell ref="Z25:AA25"/>
    <mergeCell ref="AB25:AC25"/>
    <mergeCell ref="AD25:AE25"/>
    <mergeCell ref="AF25:AG25"/>
    <mergeCell ref="AH25:AI25"/>
    <mergeCell ref="AJ25:AK25"/>
    <mergeCell ref="AL25:AM25"/>
    <mergeCell ref="AN25:AO25"/>
    <mergeCell ref="AP25:AQ25"/>
    <mergeCell ref="AR25:AS25"/>
    <mergeCell ref="AT25:AU25"/>
    <mergeCell ref="AV25:AW25"/>
    <mergeCell ref="AX25:AY25"/>
    <mergeCell ref="AZ25:BA25"/>
    <mergeCell ref="BB25:BC25"/>
    <mergeCell ref="BD25:BE25"/>
    <mergeCell ref="BF25:BG25"/>
    <mergeCell ref="BH25:BI25"/>
    <mergeCell ref="BJ25:BK25"/>
    <mergeCell ref="BL25:BM25"/>
    <mergeCell ref="BN25:BO25"/>
    <mergeCell ref="B26:C26"/>
    <mergeCell ref="D26:E26"/>
    <mergeCell ref="F26:G26"/>
    <mergeCell ref="H26:I26"/>
    <mergeCell ref="J26:K26"/>
    <mergeCell ref="L26:M26"/>
    <mergeCell ref="N26:O26"/>
    <mergeCell ref="P26:Q26"/>
    <mergeCell ref="R26:S26"/>
    <mergeCell ref="T26:U26"/>
    <mergeCell ref="V26:W26"/>
    <mergeCell ref="X26:Y26"/>
    <mergeCell ref="Z26:AA26"/>
    <mergeCell ref="AB26:AC26"/>
    <mergeCell ref="AD26:AE26"/>
    <mergeCell ref="AF26:AG26"/>
    <mergeCell ref="AH26:AI26"/>
    <mergeCell ref="AJ26:AK26"/>
    <mergeCell ref="AL26:AM26"/>
    <mergeCell ref="AN26:AO26"/>
    <mergeCell ref="AP26:AQ26"/>
    <mergeCell ref="AR26:AS26"/>
    <mergeCell ref="AT26:AU26"/>
    <mergeCell ref="AV26:AW26"/>
    <mergeCell ref="AX26:AY26"/>
    <mergeCell ref="AZ26:BA26"/>
    <mergeCell ref="BB26:BC26"/>
    <mergeCell ref="BD26:BE26"/>
    <mergeCell ref="BF26:BG26"/>
    <mergeCell ref="BH26:BI26"/>
    <mergeCell ref="BJ26:BK26"/>
    <mergeCell ref="BL26:BM26"/>
    <mergeCell ref="BN26:BO26"/>
    <mergeCell ref="B27:C27"/>
    <mergeCell ref="D27:E27"/>
    <mergeCell ref="F27:G27"/>
    <mergeCell ref="H27:I27"/>
    <mergeCell ref="J27:K27"/>
    <mergeCell ref="L27:M27"/>
    <mergeCell ref="N27:O27"/>
    <mergeCell ref="P27:Q27"/>
    <mergeCell ref="R27:S27"/>
    <mergeCell ref="T27:U27"/>
    <mergeCell ref="V27:W27"/>
    <mergeCell ref="X27:Y27"/>
    <mergeCell ref="Z27:AA27"/>
    <mergeCell ref="AB27:AC27"/>
    <mergeCell ref="AD27:AE27"/>
    <mergeCell ref="AF27:AG27"/>
    <mergeCell ref="AH27:AI27"/>
    <mergeCell ref="AJ27:AK27"/>
    <mergeCell ref="AL27:AM27"/>
    <mergeCell ref="AN27:AO27"/>
    <mergeCell ref="AP27:AQ27"/>
    <mergeCell ref="AR27:AS27"/>
    <mergeCell ref="AT27:AU27"/>
    <mergeCell ref="AV27:AW27"/>
    <mergeCell ref="AX27:AY27"/>
    <mergeCell ref="AZ27:BA27"/>
    <mergeCell ref="BB27:BC27"/>
    <mergeCell ref="BD27:BE27"/>
    <mergeCell ref="BF27:BG27"/>
    <mergeCell ref="BH27:BI27"/>
    <mergeCell ref="BJ27:BK27"/>
    <mergeCell ref="BL27:BM27"/>
    <mergeCell ref="BN27:BO27"/>
    <mergeCell ref="B31:C31"/>
    <mergeCell ref="D31:E31"/>
    <mergeCell ref="F31:G31"/>
    <mergeCell ref="H31:I31"/>
    <mergeCell ref="J31:K31"/>
    <mergeCell ref="L31:M31"/>
    <mergeCell ref="N31:O31"/>
    <mergeCell ref="P31:Q31"/>
    <mergeCell ref="R31:S31"/>
    <mergeCell ref="T31:U31"/>
    <mergeCell ref="V31:W31"/>
    <mergeCell ref="X31:Y31"/>
    <mergeCell ref="Z31:AA31"/>
    <mergeCell ref="AB31:AC31"/>
    <mergeCell ref="AD31:AE31"/>
    <mergeCell ref="AF31:AG31"/>
    <mergeCell ref="AH31:AI31"/>
    <mergeCell ref="AJ31:AK31"/>
    <mergeCell ref="AL31:AM31"/>
    <mergeCell ref="AN31:AO31"/>
    <mergeCell ref="AP31:AQ31"/>
    <mergeCell ref="AZ31:BA31"/>
    <mergeCell ref="BB31:BC31"/>
    <mergeCell ref="BD31:BE31"/>
    <mergeCell ref="BF31:BG31"/>
    <mergeCell ref="BH31:BI31"/>
    <mergeCell ref="BJ31:BK31"/>
    <mergeCell ref="BL31:BM31"/>
    <mergeCell ref="BN31:BO31"/>
    <mergeCell ref="B33:C33"/>
    <mergeCell ref="D33:E33"/>
    <mergeCell ref="F33:G33"/>
    <mergeCell ref="H33:I33"/>
    <mergeCell ref="J33:K33"/>
    <mergeCell ref="L33:M33"/>
    <mergeCell ref="N33:O33"/>
    <mergeCell ref="P33:Q33"/>
    <mergeCell ref="R33:S33"/>
    <mergeCell ref="T33:U33"/>
    <mergeCell ref="V33:W33"/>
    <mergeCell ref="X33:Y33"/>
    <mergeCell ref="Z33:AA33"/>
    <mergeCell ref="AP33:AQ33"/>
    <mergeCell ref="B34:C34"/>
    <mergeCell ref="D34:E34"/>
    <mergeCell ref="F34:G34"/>
    <mergeCell ref="H34:I34"/>
    <mergeCell ref="J34:K34"/>
    <mergeCell ref="L34:M34"/>
    <mergeCell ref="N34:O34"/>
    <mergeCell ref="P34:Q34"/>
    <mergeCell ref="R34:S34"/>
    <mergeCell ref="T34:U34"/>
    <mergeCell ref="V34:W34"/>
    <mergeCell ref="X34:Y34"/>
    <mergeCell ref="Z34:AA34"/>
    <mergeCell ref="AB34:AC34"/>
    <mergeCell ref="AF34:AG34"/>
    <mergeCell ref="AH34:AI34"/>
    <mergeCell ref="AJ34:AK34"/>
    <mergeCell ref="AL34:AM34"/>
    <mergeCell ref="AN34:AO34"/>
    <mergeCell ref="AP34:AQ34"/>
    <mergeCell ref="AZ34:BA34"/>
    <mergeCell ref="BB34:BC34"/>
    <mergeCell ref="BD34:BE34"/>
    <mergeCell ref="BF34:BG34"/>
    <mergeCell ref="BH34:BI34"/>
    <mergeCell ref="BJ34:BK34"/>
    <mergeCell ref="BL34:BM34"/>
    <mergeCell ref="BN34:BO34"/>
    <mergeCell ref="B35:C35"/>
    <mergeCell ref="D35:E35"/>
    <mergeCell ref="F35:G35"/>
    <mergeCell ref="H35:I35"/>
    <mergeCell ref="J35:K35"/>
    <mergeCell ref="L35:M35"/>
    <mergeCell ref="N35:O35"/>
    <mergeCell ref="P35:Q35"/>
    <mergeCell ref="R35:S35"/>
    <mergeCell ref="T35:U35"/>
    <mergeCell ref="V35:W35"/>
    <mergeCell ref="X35:Y35"/>
    <mergeCell ref="Z35:AA35"/>
    <mergeCell ref="AB35:AC35"/>
    <mergeCell ref="AF35:AG35"/>
    <mergeCell ref="AH35:AI35"/>
    <mergeCell ref="AJ35:AK35"/>
    <mergeCell ref="AL35:AM35"/>
    <mergeCell ref="AN35:AO35"/>
    <mergeCell ref="AP35:AQ35"/>
    <mergeCell ref="AZ35:BA35"/>
    <mergeCell ref="BB35:BC35"/>
    <mergeCell ref="BD35:BE35"/>
    <mergeCell ref="BF35:BG35"/>
    <mergeCell ref="BH35:BI35"/>
    <mergeCell ref="BJ35:BK35"/>
    <mergeCell ref="BL35:BM35"/>
    <mergeCell ref="BN35:BO35"/>
    <mergeCell ref="B36:C36"/>
    <mergeCell ref="D36:E36"/>
    <mergeCell ref="F36:G36"/>
    <mergeCell ref="H36:I36"/>
    <mergeCell ref="J36:K36"/>
    <mergeCell ref="L36:M36"/>
    <mergeCell ref="N36:O36"/>
    <mergeCell ref="P36:Q36"/>
    <mergeCell ref="R36:S36"/>
    <mergeCell ref="T36:U36"/>
    <mergeCell ref="V36:W36"/>
    <mergeCell ref="X36:Y36"/>
    <mergeCell ref="Z36:AA36"/>
    <mergeCell ref="AB36:AC36"/>
    <mergeCell ref="AF36:AG36"/>
    <mergeCell ref="AH36:AI36"/>
    <mergeCell ref="AJ36:AK36"/>
    <mergeCell ref="AL36:AM36"/>
    <mergeCell ref="AN36:AO36"/>
    <mergeCell ref="AP36:AQ36"/>
    <mergeCell ref="AZ36:BA36"/>
    <mergeCell ref="BB36:BC36"/>
    <mergeCell ref="BD36:BE36"/>
    <mergeCell ref="BF36:BG36"/>
    <mergeCell ref="BH36:BI36"/>
    <mergeCell ref="BJ36:BK36"/>
    <mergeCell ref="BL36:BM36"/>
    <mergeCell ref="BN36:BO36"/>
    <mergeCell ref="B37:C37"/>
    <mergeCell ref="D37:E37"/>
    <mergeCell ref="F37:G37"/>
    <mergeCell ref="H37:I37"/>
    <mergeCell ref="J37:K37"/>
    <mergeCell ref="L37:M37"/>
    <mergeCell ref="N37:O37"/>
    <mergeCell ref="P37:Q37"/>
    <mergeCell ref="R37:S37"/>
    <mergeCell ref="T37:U37"/>
    <mergeCell ref="V37:W37"/>
    <mergeCell ref="X37:Y37"/>
    <mergeCell ref="Z37:AA37"/>
    <mergeCell ref="AB37:AC37"/>
    <mergeCell ref="AF37:AG37"/>
    <mergeCell ref="AH37:AI37"/>
    <mergeCell ref="AJ37:AK37"/>
    <mergeCell ref="AL37:AM37"/>
    <mergeCell ref="AN37:AO37"/>
    <mergeCell ref="AP37:AQ37"/>
    <mergeCell ref="AZ37:BA37"/>
    <mergeCell ref="BB37:BC37"/>
    <mergeCell ref="BD37:BE37"/>
    <mergeCell ref="BF37:BG37"/>
    <mergeCell ref="BH37:BI37"/>
    <mergeCell ref="BJ37:BK37"/>
    <mergeCell ref="BL37:BM37"/>
    <mergeCell ref="BN37:BO37"/>
    <mergeCell ref="B38:C38"/>
    <mergeCell ref="D38:E38"/>
    <mergeCell ref="F38:G38"/>
    <mergeCell ref="H38:I38"/>
    <mergeCell ref="J38:K38"/>
    <mergeCell ref="L38:M38"/>
    <mergeCell ref="N38:O38"/>
    <mergeCell ref="P38:Q38"/>
    <mergeCell ref="R38:S38"/>
    <mergeCell ref="T38:U38"/>
    <mergeCell ref="V38:W38"/>
    <mergeCell ref="X38:Y38"/>
    <mergeCell ref="Z38:AA38"/>
    <mergeCell ref="AB38:AC38"/>
    <mergeCell ref="AF38:AG38"/>
    <mergeCell ref="AH38:AI38"/>
    <mergeCell ref="AJ38:AK38"/>
    <mergeCell ref="AL38:AM38"/>
    <mergeCell ref="AN38:AO38"/>
    <mergeCell ref="AP38:AQ38"/>
    <mergeCell ref="AZ38:BA38"/>
    <mergeCell ref="BB38:BC38"/>
    <mergeCell ref="BD38:BE38"/>
    <mergeCell ref="BF38:BG38"/>
    <mergeCell ref="BH38:BI38"/>
    <mergeCell ref="BJ38:BK38"/>
    <mergeCell ref="BL38:BM38"/>
    <mergeCell ref="BN38:BO38"/>
    <mergeCell ref="B39:C39"/>
    <mergeCell ref="D39:E39"/>
    <mergeCell ref="F39:G39"/>
    <mergeCell ref="H39:I39"/>
    <mergeCell ref="J39:K39"/>
    <mergeCell ref="L39:M39"/>
    <mergeCell ref="N39:O39"/>
    <mergeCell ref="P39:Q39"/>
    <mergeCell ref="R39:S39"/>
    <mergeCell ref="T39:U39"/>
    <mergeCell ref="V39:W39"/>
    <mergeCell ref="X39:Y39"/>
    <mergeCell ref="Z39:AA39"/>
    <mergeCell ref="AB39:AC39"/>
    <mergeCell ref="AD39:AE39"/>
    <mergeCell ref="AF39:AG39"/>
    <mergeCell ref="AH39:AI39"/>
    <mergeCell ref="AJ39:AK39"/>
    <mergeCell ref="AL39:AM39"/>
    <mergeCell ref="AN39:AO39"/>
    <mergeCell ref="AP39:AQ39"/>
    <mergeCell ref="AZ39:BA39"/>
    <mergeCell ref="BB39:BC39"/>
    <mergeCell ref="BD39:BE39"/>
    <mergeCell ref="BF39:BG39"/>
    <mergeCell ref="BH39:BI39"/>
    <mergeCell ref="BJ39:BK39"/>
    <mergeCell ref="BL39:BM39"/>
    <mergeCell ref="BN39:BO39"/>
    <mergeCell ref="B40:C40"/>
    <mergeCell ref="D40:E40"/>
    <mergeCell ref="F40:G40"/>
    <mergeCell ref="H40:I40"/>
    <mergeCell ref="J40:K40"/>
    <mergeCell ref="L40:M40"/>
    <mergeCell ref="N40:O40"/>
    <mergeCell ref="P40:Q40"/>
    <mergeCell ref="R40:S40"/>
    <mergeCell ref="T40:U40"/>
    <mergeCell ref="V40:W40"/>
    <mergeCell ref="X40:Y40"/>
    <mergeCell ref="Z40:AA40"/>
    <mergeCell ref="AB40:AC40"/>
    <mergeCell ref="AF40:AG40"/>
    <mergeCell ref="AH40:AI40"/>
    <mergeCell ref="AJ40:AK40"/>
    <mergeCell ref="AL40:AM40"/>
    <mergeCell ref="AN40:AO40"/>
    <mergeCell ref="AP40:AQ40"/>
    <mergeCell ref="AZ40:BA40"/>
    <mergeCell ref="BB40:BC40"/>
    <mergeCell ref="BD40:BE40"/>
    <mergeCell ref="BF40:BG40"/>
    <mergeCell ref="BH40:BI40"/>
    <mergeCell ref="BJ40:BK40"/>
    <mergeCell ref="BL40:BM40"/>
    <mergeCell ref="BN40:BO40"/>
    <mergeCell ref="B41:C41"/>
    <mergeCell ref="D41:E41"/>
    <mergeCell ref="F41:G41"/>
    <mergeCell ref="H41:I41"/>
    <mergeCell ref="J41:K41"/>
    <mergeCell ref="L41:M41"/>
    <mergeCell ref="N41:O41"/>
    <mergeCell ref="P41:Q41"/>
    <mergeCell ref="R41:S41"/>
    <mergeCell ref="T41:U41"/>
    <mergeCell ref="V41:W41"/>
    <mergeCell ref="X41:Y41"/>
    <mergeCell ref="Z41:AA41"/>
    <mergeCell ref="AB41:AC41"/>
    <mergeCell ref="AF41:AG41"/>
    <mergeCell ref="AH41:AI41"/>
    <mergeCell ref="AJ41:AK41"/>
    <mergeCell ref="AL41:AM41"/>
    <mergeCell ref="AN41:AO41"/>
    <mergeCell ref="AP41:AQ41"/>
    <mergeCell ref="AZ41:BA41"/>
    <mergeCell ref="BB41:BC41"/>
    <mergeCell ref="BD41:BE41"/>
    <mergeCell ref="BF41:BG41"/>
    <mergeCell ref="BH41:BI41"/>
    <mergeCell ref="BJ41:BK41"/>
    <mergeCell ref="BL41:BM41"/>
    <mergeCell ref="BN41:BO41"/>
    <mergeCell ref="B42:C42"/>
    <mergeCell ref="D42:E42"/>
    <mergeCell ref="F42:G42"/>
    <mergeCell ref="H42:I42"/>
    <mergeCell ref="J42:K42"/>
    <mergeCell ref="L42:M42"/>
    <mergeCell ref="N42:O42"/>
    <mergeCell ref="P42:Q42"/>
    <mergeCell ref="R42:S42"/>
    <mergeCell ref="T42:U42"/>
    <mergeCell ref="V42:W42"/>
    <mergeCell ref="X42:Y42"/>
    <mergeCell ref="Z42:AA42"/>
    <mergeCell ref="AB42:AC42"/>
    <mergeCell ref="AF42:AG42"/>
    <mergeCell ref="AH42:AI42"/>
    <mergeCell ref="AJ42:AK42"/>
    <mergeCell ref="AL42:AM42"/>
    <mergeCell ref="AN42:AO42"/>
    <mergeCell ref="AP42:AQ42"/>
    <mergeCell ref="AZ42:BA42"/>
    <mergeCell ref="BB42:BC42"/>
    <mergeCell ref="BD42:BE42"/>
    <mergeCell ref="BF42:BG42"/>
    <mergeCell ref="BH42:BI42"/>
    <mergeCell ref="BJ42:BK42"/>
    <mergeCell ref="BL42:BM42"/>
    <mergeCell ref="BN42:BO42"/>
    <mergeCell ref="B43:C43"/>
    <mergeCell ref="D43:E43"/>
    <mergeCell ref="F43:G43"/>
    <mergeCell ref="H43:I43"/>
    <mergeCell ref="J43:K43"/>
    <mergeCell ref="L43:M43"/>
    <mergeCell ref="N43:O43"/>
    <mergeCell ref="P43:Q43"/>
    <mergeCell ref="R43:S43"/>
    <mergeCell ref="T43:U43"/>
    <mergeCell ref="V43:W43"/>
    <mergeCell ref="X43:Y43"/>
    <mergeCell ref="Z43:AA43"/>
    <mergeCell ref="AB43:AC43"/>
    <mergeCell ref="AF43:AG43"/>
    <mergeCell ref="AH43:AI43"/>
    <mergeCell ref="AJ43:AK43"/>
    <mergeCell ref="AL43:AM43"/>
    <mergeCell ref="AN43:AO43"/>
    <mergeCell ref="AP43:AQ43"/>
    <mergeCell ref="AZ43:BA43"/>
    <mergeCell ref="BB43:BC43"/>
    <mergeCell ref="BD43:BE43"/>
    <mergeCell ref="BF43:BG43"/>
    <mergeCell ref="BH43:BI43"/>
    <mergeCell ref="BJ43:BK43"/>
    <mergeCell ref="BL43:BM43"/>
    <mergeCell ref="BN43:BO43"/>
    <mergeCell ref="AR44:AS44"/>
    <mergeCell ref="AT44:AU44"/>
    <mergeCell ref="AV44:AW44"/>
    <mergeCell ref="AX44:AY44"/>
    <mergeCell ref="B45:C45"/>
    <mergeCell ref="D45:E45"/>
    <mergeCell ref="F45:G45"/>
    <mergeCell ref="H45:I45"/>
    <mergeCell ref="J45:K45"/>
    <mergeCell ref="L45:M45"/>
    <mergeCell ref="N45:O45"/>
    <mergeCell ref="P45:Q45"/>
    <mergeCell ref="R45:S45"/>
    <mergeCell ref="T45:U45"/>
    <mergeCell ref="V45:W45"/>
    <mergeCell ref="X45:Y45"/>
    <mergeCell ref="Z45:AA45"/>
    <mergeCell ref="AB45:AC45"/>
    <mergeCell ref="AD45:AE45"/>
    <mergeCell ref="AF45:AG45"/>
    <mergeCell ref="AH45:AI45"/>
    <mergeCell ref="AJ45:AK45"/>
    <mergeCell ref="AL45:AM45"/>
    <mergeCell ref="AN45:AO45"/>
    <mergeCell ref="AP45:AQ45"/>
    <mergeCell ref="AR45:AS45"/>
    <mergeCell ref="AT45:AU45"/>
    <mergeCell ref="AV45:AW45"/>
    <mergeCell ref="AX45:AY45"/>
    <mergeCell ref="AZ45:BA45"/>
    <mergeCell ref="BB45:BC45"/>
    <mergeCell ref="BD45:BE45"/>
    <mergeCell ref="BF45:BG45"/>
    <mergeCell ref="BH45:BI45"/>
    <mergeCell ref="BJ45:BK45"/>
    <mergeCell ref="BL45:BM45"/>
    <mergeCell ref="BN45:BO45"/>
    <mergeCell ref="B46:C46"/>
    <mergeCell ref="D46:E46"/>
    <mergeCell ref="F46:G46"/>
    <mergeCell ref="H46:I46"/>
    <mergeCell ref="J46:K46"/>
    <mergeCell ref="L46:M46"/>
    <mergeCell ref="N46:O46"/>
    <mergeCell ref="P46:Q46"/>
    <mergeCell ref="R46:S46"/>
    <mergeCell ref="T46:U46"/>
    <mergeCell ref="V46:W46"/>
    <mergeCell ref="X46:Y46"/>
    <mergeCell ref="Z46:AA46"/>
    <mergeCell ref="AB46:AC46"/>
    <mergeCell ref="AD46:AE46"/>
    <mergeCell ref="AF46:AG46"/>
    <mergeCell ref="AH46:AI46"/>
    <mergeCell ref="AJ46:AK46"/>
    <mergeCell ref="AL46:AM46"/>
    <mergeCell ref="AN46:AO46"/>
    <mergeCell ref="AP46:AQ46"/>
    <mergeCell ref="AR46:AS46"/>
    <mergeCell ref="AT46:AU46"/>
    <mergeCell ref="AV46:AW46"/>
    <mergeCell ref="AX46:AY46"/>
    <mergeCell ref="AZ46:BA46"/>
    <mergeCell ref="BB46:BC46"/>
    <mergeCell ref="BD46:BE46"/>
    <mergeCell ref="BF46:BG46"/>
    <mergeCell ref="BH46:BI46"/>
    <mergeCell ref="BJ46:BK46"/>
    <mergeCell ref="BL46:BM46"/>
    <mergeCell ref="BN46:BO46"/>
    <mergeCell ref="B47:C47"/>
    <mergeCell ref="D47:E47"/>
    <mergeCell ref="F47:G47"/>
    <mergeCell ref="H47:I47"/>
    <mergeCell ref="J47:K47"/>
    <mergeCell ref="L47:M47"/>
    <mergeCell ref="N47:O47"/>
    <mergeCell ref="P47:Q47"/>
    <mergeCell ref="R47:S47"/>
    <mergeCell ref="T47:U47"/>
    <mergeCell ref="V47:W47"/>
    <mergeCell ref="X47:Y47"/>
    <mergeCell ref="Z47:AA47"/>
    <mergeCell ref="AB47:AC47"/>
    <mergeCell ref="AD47:AE47"/>
    <mergeCell ref="AF47:AG47"/>
    <mergeCell ref="AH47:AI47"/>
    <mergeCell ref="AJ47:AK47"/>
    <mergeCell ref="AL47:AM47"/>
    <mergeCell ref="AN47:AO47"/>
    <mergeCell ref="AP47:AQ47"/>
    <mergeCell ref="AR47:AS47"/>
    <mergeCell ref="AT47:AU47"/>
    <mergeCell ref="AV47:AW47"/>
    <mergeCell ref="AX47:AY47"/>
    <mergeCell ref="AZ47:BA47"/>
    <mergeCell ref="BB47:BC47"/>
    <mergeCell ref="BD47:BE47"/>
    <mergeCell ref="BF47:BG47"/>
    <mergeCell ref="BH47:BI47"/>
    <mergeCell ref="BJ47:BK47"/>
    <mergeCell ref="BL47:BM47"/>
    <mergeCell ref="BN47:BO47"/>
    <mergeCell ref="B48:C48"/>
    <mergeCell ref="D48:E48"/>
    <mergeCell ref="F48:G48"/>
    <mergeCell ref="H48:I48"/>
    <mergeCell ref="J48:K48"/>
    <mergeCell ref="L48:M48"/>
    <mergeCell ref="N48:O48"/>
    <mergeCell ref="P48:Q48"/>
    <mergeCell ref="R48:S48"/>
    <mergeCell ref="T48:U48"/>
    <mergeCell ref="V48:W48"/>
    <mergeCell ref="X48:Y48"/>
    <mergeCell ref="Z48:AA48"/>
    <mergeCell ref="AB48:AC48"/>
    <mergeCell ref="AD48:AE48"/>
    <mergeCell ref="AF48:AG48"/>
    <mergeCell ref="AH48:AI48"/>
    <mergeCell ref="AJ48:AK48"/>
    <mergeCell ref="AL48:AM48"/>
    <mergeCell ref="AN48:AO48"/>
    <mergeCell ref="AP48:AQ48"/>
    <mergeCell ref="AR48:AS48"/>
    <mergeCell ref="AT48:AU48"/>
    <mergeCell ref="AV48:AW48"/>
    <mergeCell ref="AX48:AY48"/>
    <mergeCell ref="AZ48:BA48"/>
    <mergeCell ref="BB48:BC48"/>
    <mergeCell ref="BD48:BE48"/>
    <mergeCell ref="BF48:BG48"/>
    <mergeCell ref="BH48:BI48"/>
    <mergeCell ref="BJ48:BK48"/>
    <mergeCell ref="BL48:BM48"/>
    <mergeCell ref="BN48:BO48"/>
    <mergeCell ref="B49:C49"/>
    <mergeCell ref="D49:E49"/>
    <mergeCell ref="F49:G49"/>
    <mergeCell ref="H49:I49"/>
    <mergeCell ref="J49:K49"/>
    <mergeCell ref="L49:M49"/>
    <mergeCell ref="N49:O49"/>
    <mergeCell ref="P49:Q49"/>
    <mergeCell ref="R49:S49"/>
    <mergeCell ref="T49:U49"/>
    <mergeCell ref="V49:W49"/>
    <mergeCell ref="X49:Y49"/>
    <mergeCell ref="Z49:AA49"/>
    <mergeCell ref="AB49:AC49"/>
    <mergeCell ref="AD49:AE49"/>
    <mergeCell ref="AF49:AG49"/>
    <mergeCell ref="AH49:AI49"/>
    <mergeCell ref="AJ49:AK49"/>
    <mergeCell ref="AL49:AM49"/>
    <mergeCell ref="AN49:AO49"/>
    <mergeCell ref="AP49:AQ49"/>
    <mergeCell ref="AR49:AS49"/>
    <mergeCell ref="AT49:AU49"/>
    <mergeCell ref="AV49:AW49"/>
    <mergeCell ref="AX49:AY49"/>
    <mergeCell ref="AZ49:BA49"/>
    <mergeCell ref="BB49:BC49"/>
    <mergeCell ref="BD49:BE49"/>
    <mergeCell ref="BF49:BG49"/>
    <mergeCell ref="BH49:BI49"/>
    <mergeCell ref="BJ49:BK49"/>
    <mergeCell ref="BL49:BM49"/>
    <mergeCell ref="BN49:BO49"/>
    <mergeCell ref="B50:C50"/>
    <mergeCell ref="D50:E50"/>
    <mergeCell ref="F50:G50"/>
    <mergeCell ref="H50:I50"/>
    <mergeCell ref="J50:K50"/>
    <mergeCell ref="L50:M50"/>
    <mergeCell ref="N50:O50"/>
    <mergeCell ref="P50:Q50"/>
    <mergeCell ref="R50:S50"/>
    <mergeCell ref="T50:U50"/>
    <mergeCell ref="V50:W50"/>
    <mergeCell ref="X50:Y50"/>
    <mergeCell ref="Z50:AA50"/>
    <mergeCell ref="AB50:AC50"/>
    <mergeCell ref="AD50:AE50"/>
    <mergeCell ref="AF50:AG50"/>
    <mergeCell ref="AH50:AI50"/>
    <mergeCell ref="AJ50:AK50"/>
    <mergeCell ref="AL50:AM50"/>
    <mergeCell ref="AN50:AO50"/>
    <mergeCell ref="AP50:AQ50"/>
    <mergeCell ref="AR50:AS50"/>
    <mergeCell ref="AT50:AU50"/>
    <mergeCell ref="AV50:AW50"/>
    <mergeCell ref="AX50:AY50"/>
    <mergeCell ref="AZ50:BA50"/>
    <mergeCell ref="BB50:BC50"/>
    <mergeCell ref="BD50:BE50"/>
    <mergeCell ref="BF50:BG50"/>
    <mergeCell ref="BH50:BI50"/>
    <mergeCell ref="BJ50:BK50"/>
    <mergeCell ref="BL50:BM50"/>
    <mergeCell ref="BN50:BO50"/>
    <mergeCell ref="B51:C51"/>
    <mergeCell ref="D51:E51"/>
    <mergeCell ref="F51:G51"/>
    <mergeCell ref="H51:I51"/>
    <mergeCell ref="J51:K51"/>
    <mergeCell ref="L51:M51"/>
    <mergeCell ref="N51:O51"/>
    <mergeCell ref="P51:Q51"/>
    <mergeCell ref="R51:S51"/>
    <mergeCell ref="T51:U51"/>
    <mergeCell ref="V51:W51"/>
    <mergeCell ref="X51:Y51"/>
    <mergeCell ref="Z51:AA51"/>
    <mergeCell ref="AB51:AC51"/>
    <mergeCell ref="AD51:AE51"/>
    <mergeCell ref="AF51:AG51"/>
    <mergeCell ref="AH51:AI51"/>
    <mergeCell ref="AJ51:AK51"/>
    <mergeCell ref="AL51:AM51"/>
    <mergeCell ref="AN51:AO51"/>
    <mergeCell ref="AP51:AQ51"/>
    <mergeCell ref="AR51:AS51"/>
    <mergeCell ref="AT51:AU51"/>
    <mergeCell ref="AV51:AW51"/>
    <mergeCell ref="AX51:AY51"/>
    <mergeCell ref="AZ51:BA51"/>
    <mergeCell ref="BB51:BC51"/>
    <mergeCell ref="BD51:BE51"/>
    <mergeCell ref="BF51:BG51"/>
    <mergeCell ref="BH51:BI51"/>
    <mergeCell ref="BJ51:BK51"/>
    <mergeCell ref="BL51:BM51"/>
    <mergeCell ref="BN51:BO51"/>
    <mergeCell ref="B52:C52"/>
    <mergeCell ref="D52:E52"/>
    <mergeCell ref="F52:G52"/>
    <mergeCell ref="H52:I52"/>
    <mergeCell ref="J52:K52"/>
    <mergeCell ref="L52:M52"/>
    <mergeCell ref="N52:O52"/>
    <mergeCell ref="P52:Q52"/>
    <mergeCell ref="R52:S52"/>
    <mergeCell ref="T52:U52"/>
    <mergeCell ref="V52:W52"/>
    <mergeCell ref="X52:Y52"/>
    <mergeCell ref="Z52:AA52"/>
    <mergeCell ref="AB52:AC52"/>
    <mergeCell ref="AD52:AE52"/>
    <mergeCell ref="AF52:AG52"/>
    <mergeCell ref="AH52:AI52"/>
    <mergeCell ref="AJ52:AK52"/>
    <mergeCell ref="AL52:AM52"/>
    <mergeCell ref="AN52:AO52"/>
    <mergeCell ref="AP52:AQ52"/>
    <mergeCell ref="AR52:AS52"/>
    <mergeCell ref="AT52:AU52"/>
    <mergeCell ref="AV52:AW52"/>
    <mergeCell ref="AX52:AY52"/>
    <mergeCell ref="AZ52:BA52"/>
    <mergeCell ref="BB52:BC52"/>
    <mergeCell ref="BD52:BE52"/>
    <mergeCell ref="BF52:BG52"/>
    <mergeCell ref="BH52:BI52"/>
    <mergeCell ref="BJ52:BK52"/>
    <mergeCell ref="BL52:BM52"/>
    <mergeCell ref="BN52:BO52"/>
    <mergeCell ref="B53:C53"/>
    <mergeCell ref="D53:E53"/>
    <mergeCell ref="F53:G53"/>
    <mergeCell ref="H53:I53"/>
    <mergeCell ref="J53:K53"/>
    <mergeCell ref="L53:M53"/>
    <mergeCell ref="N53:O53"/>
    <mergeCell ref="P53:Q53"/>
    <mergeCell ref="R53:S53"/>
    <mergeCell ref="T53:U53"/>
    <mergeCell ref="V53:W53"/>
    <mergeCell ref="X53:Y53"/>
    <mergeCell ref="Z53:AA53"/>
    <mergeCell ref="AB53:AC53"/>
    <mergeCell ref="AD53:AE53"/>
    <mergeCell ref="AF53:AG53"/>
    <mergeCell ref="AH53:AI53"/>
    <mergeCell ref="AJ53:AK53"/>
    <mergeCell ref="AL53:AM53"/>
    <mergeCell ref="AN53:AO53"/>
    <mergeCell ref="AP53:AQ53"/>
    <mergeCell ref="AR53:AS53"/>
    <mergeCell ref="AT53:AU53"/>
    <mergeCell ref="AV53:AW53"/>
    <mergeCell ref="AX53:AY53"/>
    <mergeCell ref="AZ53:BA53"/>
    <mergeCell ref="BB53:BC53"/>
    <mergeCell ref="BD53:BE53"/>
    <mergeCell ref="BF53:BG53"/>
    <mergeCell ref="BH53:BI53"/>
    <mergeCell ref="BJ53:BK53"/>
    <mergeCell ref="BL53:BM53"/>
    <mergeCell ref="BN53:BO53"/>
    <mergeCell ref="B54:C54"/>
    <mergeCell ref="D54:E54"/>
    <mergeCell ref="F54:G54"/>
    <mergeCell ref="H54:I54"/>
    <mergeCell ref="J54:K54"/>
    <mergeCell ref="L54:M54"/>
    <mergeCell ref="N54:O54"/>
    <mergeCell ref="P54:Q54"/>
    <mergeCell ref="R54:S54"/>
    <mergeCell ref="T54:U54"/>
    <mergeCell ref="V54:W54"/>
    <mergeCell ref="X54:Y54"/>
    <mergeCell ref="Z54:AA54"/>
    <mergeCell ref="AB54:AC54"/>
    <mergeCell ref="AD54:AE54"/>
    <mergeCell ref="AF54:AG54"/>
    <mergeCell ref="AH54:AI54"/>
    <mergeCell ref="AJ54:AK54"/>
    <mergeCell ref="AL54:AM54"/>
    <mergeCell ref="AN54:AO54"/>
    <mergeCell ref="AP54:AQ54"/>
    <mergeCell ref="AR54:AS54"/>
    <mergeCell ref="AT54:AU54"/>
    <mergeCell ref="AV54:AW54"/>
    <mergeCell ref="AX54:AY54"/>
    <mergeCell ref="AZ54:BA54"/>
    <mergeCell ref="BB54:BC54"/>
    <mergeCell ref="BD54:BE54"/>
    <mergeCell ref="BF54:BG54"/>
    <mergeCell ref="BH54:BI54"/>
    <mergeCell ref="BJ54:BK54"/>
    <mergeCell ref="BL54:BM54"/>
    <mergeCell ref="BN54:BO54"/>
    <mergeCell ref="B55:C55"/>
    <mergeCell ref="D55:E55"/>
    <mergeCell ref="F55:G55"/>
    <mergeCell ref="H55:I55"/>
    <mergeCell ref="J55:K55"/>
    <mergeCell ref="L55:M55"/>
    <mergeCell ref="N55:O55"/>
    <mergeCell ref="P55:Q55"/>
    <mergeCell ref="R55:S55"/>
    <mergeCell ref="T55:U55"/>
    <mergeCell ref="V55:W55"/>
    <mergeCell ref="X55:Y55"/>
    <mergeCell ref="Z55:AA55"/>
    <mergeCell ref="AB55:AC55"/>
    <mergeCell ref="AD55:AE55"/>
    <mergeCell ref="AF55:AG55"/>
    <mergeCell ref="AH55:AI55"/>
    <mergeCell ref="AJ55:AK55"/>
    <mergeCell ref="AL55:AM55"/>
    <mergeCell ref="AN55:AO55"/>
    <mergeCell ref="AP55:AQ55"/>
    <mergeCell ref="AR55:AS55"/>
    <mergeCell ref="AT55:AU55"/>
    <mergeCell ref="AV55:AW55"/>
    <mergeCell ref="AX55:AY55"/>
    <mergeCell ref="AZ55:BA55"/>
    <mergeCell ref="BB55:BC55"/>
    <mergeCell ref="BD55:BE55"/>
    <mergeCell ref="BF55:BG55"/>
    <mergeCell ref="BH55:BI55"/>
    <mergeCell ref="BJ55:BK55"/>
    <mergeCell ref="BL55:BM55"/>
    <mergeCell ref="BN55:BO55"/>
    <mergeCell ref="B56:C56"/>
    <mergeCell ref="D56:E56"/>
    <mergeCell ref="F56:G56"/>
    <mergeCell ref="H56:I56"/>
    <mergeCell ref="J56:K56"/>
    <mergeCell ref="L56:M56"/>
    <mergeCell ref="N56:O56"/>
    <mergeCell ref="P56:Q56"/>
    <mergeCell ref="R56:S56"/>
    <mergeCell ref="T56:U56"/>
    <mergeCell ref="V56:W56"/>
    <mergeCell ref="X56:Y56"/>
    <mergeCell ref="Z56:AA56"/>
    <mergeCell ref="AB56:AC56"/>
    <mergeCell ref="AD56:AE56"/>
    <mergeCell ref="AF56:AG56"/>
    <mergeCell ref="AH56:AI56"/>
    <mergeCell ref="AJ56:AK56"/>
    <mergeCell ref="AL56:AM56"/>
    <mergeCell ref="AN56:AO56"/>
    <mergeCell ref="AP56:AQ56"/>
    <mergeCell ref="AR56:AS56"/>
    <mergeCell ref="AT56:AU56"/>
    <mergeCell ref="AV56:AW56"/>
    <mergeCell ref="AX56:AY56"/>
    <mergeCell ref="AZ56:BA56"/>
    <mergeCell ref="BB56:BC56"/>
    <mergeCell ref="BD56:BE56"/>
    <mergeCell ref="BF56:BG56"/>
    <mergeCell ref="BH56:BI56"/>
    <mergeCell ref="BJ56:BK56"/>
    <mergeCell ref="BL56:BM56"/>
    <mergeCell ref="BN56:BO56"/>
    <mergeCell ref="B57:C57"/>
    <mergeCell ref="D57:E57"/>
    <mergeCell ref="F57:G57"/>
    <mergeCell ref="H57:I57"/>
    <mergeCell ref="J57:K57"/>
    <mergeCell ref="L57:M57"/>
    <mergeCell ref="N57:O57"/>
    <mergeCell ref="P57:Q57"/>
    <mergeCell ref="R57:S57"/>
    <mergeCell ref="T57:U57"/>
    <mergeCell ref="V57:W57"/>
    <mergeCell ref="X57:Y57"/>
    <mergeCell ref="Z57:AA57"/>
    <mergeCell ref="AB57:AC57"/>
    <mergeCell ref="AD57:AE57"/>
    <mergeCell ref="AF57:AG57"/>
    <mergeCell ref="AH57:AI57"/>
    <mergeCell ref="AJ57:AK57"/>
    <mergeCell ref="AL57:AM57"/>
    <mergeCell ref="AN57:AO57"/>
    <mergeCell ref="AP57:AQ57"/>
    <mergeCell ref="AR57:AS57"/>
    <mergeCell ref="AT57:AU57"/>
    <mergeCell ref="AV57:AW57"/>
    <mergeCell ref="AX57:AY57"/>
    <mergeCell ref="AZ57:BA57"/>
    <mergeCell ref="BB57:BC57"/>
    <mergeCell ref="BD57:BE57"/>
    <mergeCell ref="BF57:BG57"/>
    <mergeCell ref="BH57:BI57"/>
    <mergeCell ref="BJ57:BK57"/>
    <mergeCell ref="BL57:BM57"/>
    <mergeCell ref="BN57:BO57"/>
    <mergeCell ref="B58:C58"/>
    <mergeCell ref="D58:E58"/>
    <mergeCell ref="F58:G58"/>
    <mergeCell ref="H58:I58"/>
    <mergeCell ref="J58:K58"/>
    <mergeCell ref="L58:M58"/>
    <mergeCell ref="N58:O58"/>
    <mergeCell ref="P58:Q58"/>
    <mergeCell ref="R58:S58"/>
    <mergeCell ref="T58:U58"/>
    <mergeCell ref="V58:W58"/>
    <mergeCell ref="X58:Y58"/>
    <mergeCell ref="Z58:AA58"/>
    <mergeCell ref="AB58:AC58"/>
    <mergeCell ref="AD58:AE58"/>
    <mergeCell ref="AF58:AG58"/>
    <mergeCell ref="AH58:AI58"/>
    <mergeCell ref="AJ58:AK58"/>
    <mergeCell ref="AL58:AM58"/>
    <mergeCell ref="AN58:AO58"/>
    <mergeCell ref="AP58:AQ58"/>
    <mergeCell ref="AR58:AS58"/>
    <mergeCell ref="AT58:AU58"/>
    <mergeCell ref="AV58:AW58"/>
    <mergeCell ref="AX58:AY58"/>
    <mergeCell ref="AZ58:BA58"/>
    <mergeCell ref="BB58:BC58"/>
    <mergeCell ref="BD58:BE58"/>
    <mergeCell ref="BF58:BG58"/>
    <mergeCell ref="BH58:BI58"/>
    <mergeCell ref="BJ58:BK58"/>
    <mergeCell ref="BL58:BM58"/>
    <mergeCell ref="BN58:BO58"/>
    <mergeCell ref="B61:C61"/>
    <mergeCell ref="D61:E61"/>
    <mergeCell ref="F61:G61"/>
    <mergeCell ref="H61:I61"/>
    <mergeCell ref="J61:K61"/>
    <mergeCell ref="L61:M61"/>
    <mergeCell ref="N61:O61"/>
    <mergeCell ref="P61:Q61"/>
    <mergeCell ref="R61:S61"/>
    <mergeCell ref="T61:U61"/>
    <mergeCell ref="V61:W61"/>
    <mergeCell ref="X61:Y61"/>
    <mergeCell ref="Z61:AA61"/>
    <mergeCell ref="AB61:AC61"/>
    <mergeCell ref="AD61:AE61"/>
    <mergeCell ref="AF61:AG61"/>
    <mergeCell ref="AH61:AI61"/>
    <mergeCell ref="AJ61:AK61"/>
    <mergeCell ref="AL61:AM61"/>
    <mergeCell ref="AN61:AO61"/>
    <mergeCell ref="AP61:AQ61"/>
    <mergeCell ref="AR61:AS61"/>
    <mergeCell ref="AT61:AU61"/>
    <mergeCell ref="AV61:AW61"/>
    <mergeCell ref="AX61:AY61"/>
    <mergeCell ref="AZ61:BA61"/>
    <mergeCell ref="BB61:BC61"/>
    <mergeCell ref="BD61:BE61"/>
    <mergeCell ref="BF61:BG61"/>
    <mergeCell ref="BH61:BI61"/>
    <mergeCell ref="BJ61:BK61"/>
    <mergeCell ref="BL61:BM61"/>
    <mergeCell ref="BN61:BO61"/>
    <mergeCell ref="AR62:AS62"/>
    <mergeCell ref="AT62:AU62"/>
    <mergeCell ref="AV62:AW62"/>
    <mergeCell ref="AX62:AY62"/>
    <mergeCell ref="AR63:AS63"/>
    <mergeCell ref="AT63:AU63"/>
    <mergeCell ref="AV63:AW63"/>
    <mergeCell ref="AX63:AY63"/>
    <mergeCell ref="AR64:AS64"/>
    <mergeCell ref="AT64:AU64"/>
    <mergeCell ref="AV64:AW64"/>
    <mergeCell ref="AX64:AY64"/>
    <mergeCell ref="AR65:AS65"/>
    <mergeCell ref="AT65:AU65"/>
    <mergeCell ref="AV65:AW65"/>
    <mergeCell ref="AX65:AY65"/>
    <mergeCell ref="A70:A82"/>
  </mergeCells>
  <conditionalFormatting sqref="AR58">
    <cfRule type="containsText" priority="2" operator="containsText" aboveAverage="0" equalAverage="0" bottom="0" percent="0" rank="0" text="请重新核算" dxfId="626">
      <formula>NOT(ISERROR(SEARCH("请重新核算",AR58)))</formula>
    </cfRule>
  </conditionalFormatting>
  <conditionalFormatting sqref="AT58 AV58 AX58">
    <cfRule type="containsText" priority="3" operator="containsText" aboveAverage="0" equalAverage="0" bottom="0" percent="0" rank="0" text="请重新核算" dxfId="627">
      <formula>NOT(ISERROR(SEARCH("请重新核算",AT58)))</formula>
    </cfRule>
  </conditionalFormatting>
  <conditionalFormatting sqref="AP58">
    <cfRule type="containsText" priority="4" operator="containsText" aboveAverage="0" equalAverage="0" bottom="0" percent="0" rank="0" text="请重新核算" dxfId="628">
      <formula>NOT(ISERROR(SEARCH("请重新核算",AP58)))</formula>
    </cfRule>
  </conditionalFormatting>
  <conditionalFormatting sqref="AZ58">
    <cfRule type="containsText" priority="5" operator="containsText" aboveAverage="0" equalAverage="0" bottom="0" percent="0" rank="0" text="请重新核算" dxfId="629">
      <formula>NOT(ISERROR(SEARCH("请重新核算",AZ58)))</formula>
    </cfRule>
  </conditionalFormatting>
  <conditionalFormatting sqref="X58">
    <cfRule type="containsText" priority="6" operator="containsText" aboveAverage="0" equalAverage="0" bottom="0" percent="0" rank="0" text="请重新核算" dxfId="630">
      <formula>NOT(ISERROR(SEARCH("请重新核算",X58)))</formula>
    </cfRule>
  </conditionalFormatting>
  <conditionalFormatting sqref="D58">
    <cfRule type="containsText" priority="7" operator="containsText" aboveAverage="0" equalAverage="0" bottom="0" percent="0" rank="0" text="请重新核算" dxfId="631">
      <formula>NOT(ISERROR(SEARCH("请重新核算",D58)))</formula>
    </cfRule>
  </conditionalFormatting>
  <conditionalFormatting sqref="BN58">
    <cfRule type="containsText" priority="8" operator="containsText" aboveAverage="0" equalAverage="0" bottom="0" percent="0" rank="0" text="请重新核算" dxfId="632">
      <formula>NOT(ISERROR(SEARCH("请重新核算",BN58)))</formula>
    </cfRule>
  </conditionalFormatting>
  <conditionalFormatting sqref="BL58">
    <cfRule type="containsText" priority="9" operator="containsText" aboveAverage="0" equalAverage="0" bottom="0" percent="0" rank="0" text="请重新核算" dxfId="633">
      <formula>NOT(ISERROR(SEARCH("请重新核算",BL58)))</formula>
    </cfRule>
  </conditionalFormatting>
  <conditionalFormatting sqref="BB58">
    <cfRule type="containsText" priority="10" operator="containsText" aboveAverage="0" equalAverage="0" bottom="0" percent="0" rank="0" text="请重新核算" dxfId="634">
      <formula>NOT(ISERROR(SEARCH("请重新核算",BB58)))</formula>
    </cfRule>
  </conditionalFormatting>
  <conditionalFormatting sqref="AL58">
    <cfRule type="containsText" priority="11" operator="containsText" aboveAverage="0" equalAverage="0" bottom="0" percent="0" rank="0" text="请重新核算" dxfId="635">
      <formula>NOT(ISERROR(SEARCH("请重新核算",AL58)))</formula>
    </cfRule>
  </conditionalFormatting>
  <conditionalFormatting sqref="B58 F58 H58 J58 L58 N58 P58 R58 T58 V58 Z58 AB58 AD58 AF58 AH58 AJ58 BD58 AN58 BF58 BH58 BJ58">
    <cfRule type="containsText" priority="12" operator="containsText" aboveAverage="0" equalAverage="0" bottom="0" percent="0" rank="0" text="请重新核算" dxfId="636">
      <formula>NOT(ISERROR(SEARCH("请重新核算",B58)))</formula>
    </cfRule>
  </conditionalFormatting>
  <dataValidations count="5">
    <dataValidation allowBlank="true" errorStyle="stop" operator="between" showDropDown="false" showErrorMessage="true" showInputMessage="true" sqref="B50:BO50" type="list">
      <formula1>$B$84:$B$97</formula1>
      <formula2>0</formula2>
    </dataValidation>
    <dataValidation allowBlank="true" errorStyle="stop" operator="between" showDropDown="false" showErrorMessage="true" showInputMessage="true" sqref="B51:BO52" type="list">
      <formula1>$B$71:$B$81</formula1>
      <formula2>0</formula2>
    </dataValidation>
    <dataValidation allowBlank="true" errorStyle="stop" operator="between" showDropDown="false" showErrorMessage="true" showInputMessage="true" sqref="IS52:IX52 SO52:ST52 ACK52:ACP52 AMG52:AML52 AWC52:AWH52 BFY52:BGD52 BPU52:BPZ52 BZQ52:BZV52 CJM52:CJR52 CTI52:CTN52 DDE52:DDJ52 DNA52:DNF52 DWW52:DXB52 EGS52:EGX52 EQO52:EQT52 FAK52:FAP52 FKG52:FKL52 FUC52:FUH52 GDY52:GED52 GNU52:GNZ52 GXQ52:GXV52 HHM52:HHR52 HRI52:HRN52 IBE52:IBJ52 ILA52:ILF52 IUW52:IVB52 JES52:JEX52 JOO52:JOT52 JYK52:JYP52 KIG52:KIL52 KSC52:KSH52 LBY52:LCD52 LLU52:LLZ52 LVQ52:LVV52 MFM52:MFR52 MPI52:MPN52 MZE52:MZJ52 NJA52:NJF52 NSW52:NTB52 OCS52:OCX52 OMO52:OMT52 OWK52:OWP52 PGG52:PGL52 PQC52:PQH52 PZY52:QAD52 QJU52:QJZ52 QTQ52:QTV52 RDM52:RDR52 RNI52:RNN52 RXE52:RXJ52 SHA52:SHF52 SQW52:SRB52 TAS52:TAX52 TKO52:TKT52 TUK52:TUP52 UEG52:UEL52 UOC52:UOH52 UXY52:UYD52 VHU52:VHZ52 VRQ52:VRV52 WBM52:WBR52 WLI52:WLN52 WVE52:WVJ52" type="list">
      <formula1>$B$72:$B$82</formula1>
      <formula2>0</formula2>
    </dataValidation>
    <dataValidation allowBlank="true" errorStyle="stop" operator="between" showDropDown="false" showErrorMessage="true" showInputMessage="true" sqref="IS51:IX51 SO51:ST51 ACK51:ACP51 AMG51:AML51 AWC51:AWH51 BFY51:BGD51 BPU51:BPZ51 BZQ51:BZV51 CJM51:CJR51 CTI51:CTN51 DDE51:DDJ51 DNA51:DNF51 DWW51:DXB51 EGS51:EGX51 EQO51:EQT51 FAK51:FAP51 FKG51:FKL51 FUC51:FUH51 GDY51:GED51 GNU51:GNZ51 GXQ51:GXV51 HHM51:HHR51 HRI51:HRN51 IBE51:IBJ51 ILA51:ILF51 IUW51:IVB51 JES51:JEX51 JOO51:JOT51 JYK51:JYP51 KIG51:KIL51 KSC51:KSH51 LBY51:LCD51 LLU51:LLZ51 LVQ51:LVV51 MFM51:MFR51 MPI51:MPN51 MZE51:MZJ51 NJA51:NJF51 NSW51:NTB51 OCS51:OCX51 OMO51:OMT51 OWK51:OWP51 PGG51:PGL51 PQC51:PQH51 PZY51:QAD51 QJU51:QJZ51 QTQ51:QTV51 RDM51:RDR51 RNI51:RNN51 RXE51:RXJ51 SHA51:SHF51 SQW51:SRB51 TAS51:TAX51 TKO51:TKT51 TUK51:TUP51 UEG51:UEL51 UOC51:UOH51 UXY51:UYD51 VHU51:VHZ51 VRQ51:VRV51 WBM51:WBR51 WLI51:WLN51 WVE51:WVJ51" type="list">
      <formula1>$B$73:$B$83</formula1>
      <formula2>0</formula2>
    </dataValidation>
    <dataValidation allowBlank="true" errorStyle="stop" operator="between" showDropDown="false" showErrorMessage="true" showInputMessage="true" sqref="IS50:IX50 SO50:ST50 ACK50:ACP50 AMG50:AML50 AWC50:AWH50 BFY50:BGD50 BPU50:BPZ50 BZQ50:BZV50 CJM50:CJR50 CTI50:CTN50 DDE50:DDJ50 DNA50:DNF50 DWW50:DXB50 EGS50:EGX50 EQO50:EQT50 FAK50:FAP50 FKG50:FKL50 FUC50:FUH50 GDY50:GED50 GNU50:GNZ50 GXQ50:GXV50 HHM50:HHR50 HRI50:HRN50 IBE50:IBJ50 ILA50:ILF50 IUW50:IVB50 JES50:JEX50 JOO50:JOT50 JYK50:JYP50 KIG50:KIL50 KSC50:KSH50 LBY50:LCD50 LLU50:LLZ50 LVQ50:LVV50 MFM50:MFR50 MPI50:MPN50 MZE50:MZJ50 NJA50:NJF50 NSW50:NTB50 OCS50:OCX50 OMO50:OMT50 OWK50:OWP50 PGG50:PGL50 PQC50:PQH50 PZY50:QAD50 QJU50:QJZ50 QTQ50:QTV50 RDM50:RDR50 RNI50:RNN50 RXE50:RXJ50 SHA50:SHF50 SQW50:SRB50 TAS50:TAX50 TKO50:TKT50 TUK50:TUP50 UEG50:UEL50 UOC50:UOH50 UXY50:UYD50 VHU50:VHZ50 VRQ50:VRV50 WBM50:WBR50 WLI50:WLN50 WVE50:WVJ50" type="list">
      <formula1>$B$87:$B$100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01" r:id="rId4" name="Button 1">
              <controlPr defaultSize="0" print="false" autoFill="0" autoPict="0" macro="模块3.返回主页">
                <anchor moveWithCells="true" sizeWithCells="false">
                  <from>
                    <xdr:col>0</xdr:col>
                    <xdr:colOff>1379520</xdr:colOff>
                    <xdr:row>1</xdr:row>
                    <xdr:rowOff>40320</xdr:rowOff>
                  </from>
                  <to>
                    <xdr:col>1</xdr:col>
                    <xdr:colOff>-997920</xdr:colOff>
                    <xdr:row>2</xdr:row>
                    <xdr:rowOff>-43560</xdr:rowOff>
                  </to>
                </anchor>
              </controlPr>
            </control>
          </mc:Choice>
        </mc:AlternateContent>
      </controls>
    </mc:Choice>
  </mc:AlternateConten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O1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2" topLeftCell="DB6" activePane="bottomRight" state="frozen"/>
      <selection pane="topLeft" activeCell="A1" activeCellId="0" sqref="A1"/>
      <selection pane="topRight" activeCell="DB1" activeCellId="0" sqref="DB1"/>
      <selection pane="bottomLeft" activeCell="A6" activeCellId="0" sqref="A6"/>
      <selection pane="bottomRight" activeCell="DJ22" activeCellId="0" sqref="1:1048576"/>
    </sheetView>
  </sheetViews>
  <sheetFormatPr defaultColWidth="9.00390625" defaultRowHeight="18.75" zeroHeight="false" outlineLevelRow="0" outlineLevelCol="0"/>
  <cols>
    <col collapsed="false" customWidth="true" hidden="false" outlineLevel="0" max="1" min="1" style="836" width="25.12"/>
    <col collapsed="false" customWidth="true" hidden="false" outlineLevel="0" max="2" min="2" style="836" width="10.37"/>
    <col collapsed="false" customWidth="true" hidden="false" outlineLevel="0" max="159" min="3" style="836" width="14.5"/>
    <col collapsed="false" customWidth="true" hidden="false" outlineLevel="0" max="160" min="160" style="836" width="18.12"/>
    <col collapsed="false" customWidth="true" hidden="false" outlineLevel="0" max="161" min="161" style="836" width="17.88"/>
    <col collapsed="false" customWidth="true" hidden="false" outlineLevel="0" max="162" min="162" style="836" width="18.75"/>
    <col collapsed="false" customWidth="true" hidden="false" outlineLevel="0" max="171" min="163" style="836" width="14.5"/>
    <col collapsed="false" customWidth="true" hidden="false" outlineLevel="0" max="190" min="172" style="837" width="18.25"/>
    <col collapsed="false" customWidth="true" hidden="false" outlineLevel="0" max="214" min="191" style="837" width="14.5"/>
    <col collapsed="false" customWidth="true" hidden="false" outlineLevel="0" max="217" min="215" style="837" width="15.12"/>
    <col collapsed="false" customWidth="true" hidden="false" outlineLevel="0" max="218" min="218" style="837" width="12.75"/>
    <col collapsed="false" customWidth="true" hidden="false" outlineLevel="0" max="219" min="219" style="837" width="12.62"/>
    <col collapsed="false" customWidth="true" hidden="false" outlineLevel="0" max="229" min="220" style="837" width="12.75"/>
    <col collapsed="false" customWidth="true" hidden="false" outlineLevel="0" max="230" min="230" style="837" width="16.25"/>
    <col collapsed="false" customWidth="true" hidden="false" outlineLevel="0" max="233" min="231" style="837" width="12.62"/>
    <col collapsed="false" customWidth="true" hidden="false" outlineLevel="0" max="234" min="234" style="837" width="12.75"/>
    <col collapsed="false" customWidth="true" hidden="false" outlineLevel="0" max="236" min="235" style="837" width="16.5"/>
    <col collapsed="false" customWidth="true" hidden="false" outlineLevel="0" max="237" min="237" style="837" width="12.62"/>
    <col collapsed="false" customWidth="true" hidden="false" outlineLevel="0" max="238" min="238" style="837" width="23.5"/>
    <col collapsed="false" customWidth="true" hidden="false" outlineLevel="0" max="239" min="239" style="837" width="15.12"/>
    <col collapsed="false" customWidth="true" hidden="false" outlineLevel="0" max="242" min="240" style="837" width="12.75"/>
    <col collapsed="false" customWidth="true" hidden="false" outlineLevel="0" max="248" min="243" style="837" width="14.5"/>
    <col collapsed="false" customWidth="true" hidden="false" outlineLevel="0" max="249" min="249" style="837" width="12.75"/>
    <col collapsed="false" customWidth="true" hidden="false" outlineLevel="0" max="251" min="250" style="837" width="14.5"/>
    <col collapsed="false" customWidth="true" hidden="false" outlineLevel="0" max="252" min="252" style="837" width="14.25"/>
    <col collapsed="false" customWidth="true" hidden="false" outlineLevel="0" max="264" min="253" style="837" width="14.88"/>
    <col collapsed="false" customWidth="false" hidden="false" outlineLevel="0" max="265" min="265" style="837" width="9"/>
    <col collapsed="false" customWidth="true" hidden="false" outlineLevel="0" max="266" min="266" style="837" width="13"/>
    <col collapsed="false" customWidth="true" hidden="false" outlineLevel="0" max="267" min="267" style="837" width="22.63"/>
    <col collapsed="false" customWidth="true" hidden="false" outlineLevel="0" max="269" min="268" style="837" width="21.12"/>
    <col collapsed="false" customWidth="false" hidden="false" outlineLevel="0" max="270" min="270" style="837" width="9"/>
    <col collapsed="false" customWidth="true" hidden="false" outlineLevel="0" max="271" min="271" style="837" width="21.12"/>
    <col collapsed="false" customWidth="false" hidden="false" outlineLevel="0" max="272" min="272" style="837" width="9"/>
    <col collapsed="false" customWidth="true" hidden="false" outlineLevel="0" max="273" min="273" style="837" width="12.62"/>
    <col collapsed="false" customWidth="false" hidden="false" outlineLevel="0" max="275" min="274" style="837" width="9"/>
    <col collapsed="false" customWidth="false" hidden="false" outlineLevel="0" max="16384" min="276" style="836" width="9"/>
  </cols>
  <sheetData>
    <row r="1" customFormat="false" ht="18.75" hidden="false" customHeight="false" outlineLevel="0" collapsed="false">
      <c r="A1" s="838" t="s">
        <v>1383</v>
      </c>
      <c r="B1" s="838" t="s">
        <v>275</v>
      </c>
      <c r="C1" s="839" t="n">
        <f aca="false">COLUMN()-2</f>
        <v>1</v>
      </c>
      <c r="D1" s="839" t="n">
        <f aca="false">COLUMN()-2</f>
        <v>2</v>
      </c>
      <c r="E1" s="840" t="n">
        <f aca="false">COLUMN()-2</f>
        <v>3</v>
      </c>
      <c r="F1" s="840" t="n">
        <f aca="false">COLUMN()-2</f>
        <v>4</v>
      </c>
      <c r="G1" s="840" t="n">
        <f aca="false">COLUMN()-2</f>
        <v>5</v>
      </c>
      <c r="H1" s="839" t="n">
        <f aca="false">COLUMN()-2</f>
        <v>6</v>
      </c>
      <c r="I1" s="839" t="n">
        <f aca="false">COLUMN()-2</f>
        <v>7</v>
      </c>
      <c r="J1" s="839" t="n">
        <f aca="false">COLUMN()-2</f>
        <v>8</v>
      </c>
      <c r="K1" s="839" t="n">
        <f aca="false">COLUMN()-2</f>
        <v>9</v>
      </c>
      <c r="L1" s="839" t="n">
        <f aca="false">COLUMN()-2</f>
        <v>10</v>
      </c>
      <c r="M1" s="839" t="n">
        <f aca="false">COLUMN()-2</f>
        <v>11</v>
      </c>
      <c r="N1" s="839" t="n">
        <f aca="false">COLUMN()-2</f>
        <v>12</v>
      </c>
      <c r="O1" s="839" t="n">
        <f aca="false">COLUMN()-2</f>
        <v>13</v>
      </c>
      <c r="P1" s="839" t="n">
        <f aca="false">COLUMN()-2</f>
        <v>14</v>
      </c>
      <c r="Q1" s="839" t="n">
        <f aca="false">COLUMN()-2</f>
        <v>15</v>
      </c>
      <c r="R1" s="839" t="n">
        <f aca="false">COLUMN()-2</f>
        <v>16</v>
      </c>
      <c r="S1" s="839" t="n">
        <f aca="false">COLUMN()-2</f>
        <v>17</v>
      </c>
      <c r="T1" s="839" t="n">
        <f aca="false">COLUMN()-2</f>
        <v>18</v>
      </c>
      <c r="U1" s="839" t="n">
        <f aca="false">COLUMN()-2</f>
        <v>19</v>
      </c>
      <c r="V1" s="839" t="n">
        <f aca="false">COLUMN()-2</f>
        <v>20</v>
      </c>
      <c r="W1" s="841" t="n">
        <f aca="false">COLUMN()-2</f>
        <v>21</v>
      </c>
      <c r="X1" s="841" t="n">
        <f aca="false">COLUMN()-2</f>
        <v>22</v>
      </c>
      <c r="Y1" s="839" t="n">
        <f aca="false">COLUMN()-2</f>
        <v>23</v>
      </c>
      <c r="Z1" s="839" t="n">
        <f aca="false">COLUMN()-2</f>
        <v>24</v>
      </c>
      <c r="AA1" s="839" t="n">
        <f aca="false">COLUMN()-2</f>
        <v>25</v>
      </c>
      <c r="AB1" s="839" t="n">
        <f aca="false">COLUMN()-2</f>
        <v>26</v>
      </c>
      <c r="AC1" s="839" t="n">
        <f aca="false">COLUMN()-2</f>
        <v>27</v>
      </c>
      <c r="AD1" s="839" t="n">
        <f aca="false">COLUMN()-2</f>
        <v>28</v>
      </c>
      <c r="AE1" s="839" t="n">
        <f aca="false">COLUMN()-2</f>
        <v>29</v>
      </c>
      <c r="AF1" s="839" t="n">
        <f aca="false">COLUMN()-2</f>
        <v>30</v>
      </c>
      <c r="AG1" s="839" t="n">
        <f aca="false">COLUMN()-2</f>
        <v>31</v>
      </c>
      <c r="AH1" s="839" t="n">
        <f aca="false">COLUMN()-2</f>
        <v>32</v>
      </c>
      <c r="AI1" s="839" t="n">
        <f aca="false">COLUMN()-2</f>
        <v>33</v>
      </c>
      <c r="AJ1" s="839" t="n">
        <f aca="false">COLUMN()-2</f>
        <v>34</v>
      </c>
      <c r="AK1" s="839" t="n">
        <f aca="false">COLUMN()-2</f>
        <v>35</v>
      </c>
      <c r="AL1" s="839" t="n">
        <f aca="false">COLUMN()-2</f>
        <v>36</v>
      </c>
      <c r="AM1" s="839" t="n">
        <f aca="false">COLUMN()-2</f>
        <v>37</v>
      </c>
      <c r="AN1" s="839" t="n">
        <f aca="false">COLUMN()-2</f>
        <v>38</v>
      </c>
      <c r="AO1" s="839" t="n">
        <f aca="false">COLUMN()-2</f>
        <v>39</v>
      </c>
      <c r="AP1" s="839" t="n">
        <f aca="false">COLUMN()-2</f>
        <v>40</v>
      </c>
      <c r="AQ1" s="839" t="n">
        <f aca="false">COLUMN()-2</f>
        <v>41</v>
      </c>
      <c r="AR1" s="839" t="n">
        <f aca="false">COLUMN()-2</f>
        <v>42</v>
      </c>
      <c r="AS1" s="839" t="n">
        <f aca="false">COLUMN()-2</f>
        <v>43</v>
      </c>
      <c r="AT1" s="839" t="n">
        <f aca="false">COLUMN()-2</f>
        <v>44</v>
      </c>
      <c r="AU1" s="839" t="n">
        <f aca="false">COLUMN()-2</f>
        <v>45</v>
      </c>
      <c r="AV1" s="839" t="n">
        <f aca="false">COLUMN()-2</f>
        <v>46</v>
      </c>
      <c r="AW1" s="839" t="n">
        <f aca="false">COLUMN()-2</f>
        <v>47</v>
      </c>
      <c r="AX1" s="839" t="n">
        <f aca="false">COLUMN()-2</f>
        <v>48</v>
      </c>
      <c r="AY1" s="839" t="n">
        <f aca="false">COLUMN()-2</f>
        <v>49</v>
      </c>
      <c r="AZ1" s="839" t="n">
        <f aca="false">COLUMN()-2</f>
        <v>50</v>
      </c>
      <c r="BA1" s="839" t="n">
        <f aca="false">COLUMN()-2</f>
        <v>51</v>
      </c>
      <c r="BB1" s="839" t="n">
        <f aca="false">COLUMN()-2</f>
        <v>52</v>
      </c>
      <c r="BC1" s="839" t="n">
        <f aca="false">COLUMN()-2</f>
        <v>53</v>
      </c>
      <c r="BD1" s="839" t="n">
        <f aca="false">COLUMN()-2</f>
        <v>54</v>
      </c>
      <c r="BE1" s="839" t="n">
        <f aca="false">COLUMN()-2</f>
        <v>55</v>
      </c>
      <c r="BF1" s="839" t="n">
        <f aca="false">COLUMN()-2</f>
        <v>56</v>
      </c>
      <c r="BG1" s="839" t="n">
        <f aca="false">COLUMN()-2</f>
        <v>57</v>
      </c>
      <c r="BH1" s="839" t="n">
        <f aca="false">COLUMN()-2</f>
        <v>58</v>
      </c>
      <c r="BI1" s="839" t="n">
        <f aca="false">COLUMN()-2</f>
        <v>59</v>
      </c>
      <c r="BJ1" s="839" t="n">
        <f aca="false">COLUMN()-2</f>
        <v>60</v>
      </c>
      <c r="BK1" s="839" t="n">
        <f aca="false">COLUMN()-2</f>
        <v>61</v>
      </c>
      <c r="BL1" s="839" t="n">
        <f aca="false">COLUMN()-2</f>
        <v>62</v>
      </c>
      <c r="BM1" s="839" t="n">
        <f aca="false">COLUMN()-2</f>
        <v>63</v>
      </c>
      <c r="BN1" s="839" t="n">
        <f aca="false">COLUMN()-2</f>
        <v>64</v>
      </c>
      <c r="BO1" s="839" t="n">
        <f aca="false">COLUMN()-2</f>
        <v>65</v>
      </c>
      <c r="BP1" s="839" t="n">
        <f aca="false">COLUMN()-2</f>
        <v>66</v>
      </c>
      <c r="BQ1" s="839" t="n">
        <f aca="false">COLUMN()-2</f>
        <v>67</v>
      </c>
      <c r="BR1" s="839" t="n">
        <f aca="false">COLUMN()-2</f>
        <v>68</v>
      </c>
      <c r="BS1" s="839" t="n">
        <f aca="false">COLUMN()-2</f>
        <v>69</v>
      </c>
      <c r="BT1" s="839" t="n">
        <f aca="false">COLUMN()-2</f>
        <v>70</v>
      </c>
      <c r="BU1" s="839" t="n">
        <f aca="false">COLUMN()-2</f>
        <v>71</v>
      </c>
      <c r="BV1" s="839" t="n">
        <f aca="false">COLUMN()-2</f>
        <v>72</v>
      </c>
      <c r="BW1" s="839" t="n">
        <f aca="false">COLUMN()-2</f>
        <v>73</v>
      </c>
      <c r="BX1" s="839" t="n">
        <f aca="false">COLUMN()-2</f>
        <v>74</v>
      </c>
      <c r="BY1" s="839" t="n">
        <f aca="false">COLUMN()-2</f>
        <v>75</v>
      </c>
      <c r="BZ1" s="839" t="n">
        <f aca="false">COLUMN()-2</f>
        <v>76</v>
      </c>
      <c r="CA1" s="839" t="n">
        <f aca="false">COLUMN()-2</f>
        <v>77</v>
      </c>
      <c r="CB1" s="839" t="n">
        <f aca="false">COLUMN()-2</f>
        <v>78</v>
      </c>
      <c r="CC1" s="839" t="n">
        <f aca="false">COLUMN()-2</f>
        <v>79</v>
      </c>
      <c r="CD1" s="839" t="n">
        <f aca="false">COLUMN()-2</f>
        <v>80</v>
      </c>
      <c r="CE1" s="839" t="n">
        <f aca="false">COLUMN()-2</f>
        <v>81</v>
      </c>
      <c r="CF1" s="839" t="n">
        <f aca="false">COLUMN()-2</f>
        <v>82</v>
      </c>
      <c r="CG1" s="839" t="n">
        <f aca="false">COLUMN()-2</f>
        <v>83</v>
      </c>
      <c r="CH1" s="839" t="n">
        <f aca="false">COLUMN()-2</f>
        <v>84</v>
      </c>
      <c r="CI1" s="839" t="n">
        <f aca="false">COLUMN()-2</f>
        <v>85</v>
      </c>
      <c r="CJ1" s="839" t="n">
        <f aca="false">COLUMN()-2</f>
        <v>86</v>
      </c>
      <c r="CK1" s="839" t="n">
        <f aca="false">COLUMN()-2</f>
        <v>87</v>
      </c>
      <c r="CL1" s="839" t="n">
        <f aca="false">COLUMN()-2</f>
        <v>88</v>
      </c>
      <c r="CM1" s="839" t="n">
        <f aca="false">COLUMN()-2</f>
        <v>89</v>
      </c>
      <c r="CN1" s="839" t="n">
        <f aca="false">COLUMN()-2</f>
        <v>90</v>
      </c>
      <c r="CO1" s="839" t="n">
        <f aca="false">COLUMN()-2</f>
        <v>91</v>
      </c>
      <c r="CP1" s="839" t="n">
        <f aca="false">COLUMN()-2</f>
        <v>92</v>
      </c>
      <c r="CQ1" s="839" t="n">
        <f aca="false">COLUMN()-2</f>
        <v>93</v>
      </c>
      <c r="CR1" s="839" t="n">
        <f aca="false">COLUMN()-2</f>
        <v>94</v>
      </c>
      <c r="CS1" s="839" t="n">
        <f aca="false">COLUMN()-2</f>
        <v>95</v>
      </c>
      <c r="CT1" s="839" t="n">
        <f aca="false">COLUMN()-2</f>
        <v>96</v>
      </c>
      <c r="CU1" s="839" t="n">
        <f aca="false">COLUMN()-2</f>
        <v>97</v>
      </c>
      <c r="CV1" s="839" t="n">
        <f aca="false">COLUMN()-2</f>
        <v>98</v>
      </c>
      <c r="CW1" s="839" t="n">
        <f aca="false">COLUMN()-2</f>
        <v>99</v>
      </c>
      <c r="CX1" s="839" t="n">
        <f aca="false">COLUMN()-2</f>
        <v>100</v>
      </c>
      <c r="CY1" s="839" t="n">
        <f aca="false">COLUMN()-2</f>
        <v>101</v>
      </c>
      <c r="CZ1" s="839" t="n">
        <f aca="false">COLUMN()-2</f>
        <v>102</v>
      </c>
      <c r="DA1" s="839" t="n">
        <f aca="false">COLUMN()-2</f>
        <v>103</v>
      </c>
      <c r="DB1" s="839" t="n">
        <f aca="false">COLUMN()-2</f>
        <v>104</v>
      </c>
      <c r="DC1" s="839" t="n">
        <f aca="false">COLUMN()-2</f>
        <v>105</v>
      </c>
      <c r="DD1" s="839" t="n">
        <f aca="false">COLUMN()-2</f>
        <v>106</v>
      </c>
      <c r="DE1" s="839" t="n">
        <f aca="false">COLUMN()-2</f>
        <v>107</v>
      </c>
      <c r="DF1" s="839" t="n">
        <f aca="false">COLUMN()-2</f>
        <v>108</v>
      </c>
      <c r="DG1" s="839" t="n">
        <f aca="false">COLUMN()-2</f>
        <v>109</v>
      </c>
      <c r="DH1" s="839" t="n">
        <f aca="false">COLUMN()-2</f>
        <v>110</v>
      </c>
      <c r="DI1" s="839" t="n">
        <f aca="false">COLUMN()-2</f>
        <v>111</v>
      </c>
      <c r="DJ1" s="839" t="n">
        <f aca="false">COLUMN()-2</f>
        <v>112</v>
      </c>
      <c r="DK1" s="839" t="n">
        <f aca="false">COLUMN()-2</f>
        <v>113</v>
      </c>
      <c r="DL1" s="839" t="n">
        <f aca="false">COLUMN()-2</f>
        <v>114</v>
      </c>
      <c r="DM1" s="839" t="n">
        <f aca="false">COLUMN()-2</f>
        <v>115</v>
      </c>
      <c r="DN1" s="839" t="n">
        <f aca="false">COLUMN()-2</f>
        <v>116</v>
      </c>
      <c r="DO1" s="839" t="n">
        <f aca="false">COLUMN()-2</f>
        <v>117</v>
      </c>
      <c r="DP1" s="839" t="n">
        <f aca="false">COLUMN()-2</f>
        <v>118</v>
      </c>
      <c r="DQ1" s="839" t="n">
        <f aca="false">COLUMN()-2</f>
        <v>119</v>
      </c>
      <c r="DR1" s="839" t="n">
        <f aca="false">COLUMN()-2</f>
        <v>120</v>
      </c>
      <c r="DS1" s="839" t="n">
        <f aca="false">COLUMN()-2</f>
        <v>121</v>
      </c>
      <c r="DT1" s="839" t="n">
        <f aca="false">COLUMN()-2</f>
        <v>122</v>
      </c>
      <c r="DU1" s="839" t="n">
        <f aca="false">COLUMN()-2</f>
        <v>123</v>
      </c>
      <c r="DV1" s="839" t="n">
        <f aca="false">COLUMN()-2</f>
        <v>124</v>
      </c>
      <c r="DW1" s="839" t="n">
        <f aca="false">COLUMN()-2</f>
        <v>125</v>
      </c>
      <c r="DX1" s="839" t="n">
        <f aca="false">COLUMN()-2</f>
        <v>126</v>
      </c>
      <c r="DY1" s="839" t="n">
        <f aca="false">COLUMN()-2</f>
        <v>127</v>
      </c>
      <c r="DZ1" s="839" t="n">
        <f aca="false">COLUMN()-2</f>
        <v>128</v>
      </c>
      <c r="EA1" s="839" t="n">
        <f aca="false">COLUMN()-2</f>
        <v>129</v>
      </c>
      <c r="EB1" s="839" t="n">
        <f aca="false">COLUMN()-2</f>
        <v>130</v>
      </c>
      <c r="EC1" s="839" t="n">
        <f aca="false">COLUMN()-2</f>
        <v>131</v>
      </c>
      <c r="ED1" s="839" t="n">
        <f aca="false">COLUMN()-2</f>
        <v>132</v>
      </c>
      <c r="EE1" s="839" t="n">
        <f aca="false">COLUMN()-2</f>
        <v>133</v>
      </c>
      <c r="EF1" s="839" t="n">
        <f aca="false">COLUMN()-2</f>
        <v>134</v>
      </c>
      <c r="EG1" s="839" t="n">
        <f aca="false">COLUMN()-2</f>
        <v>135</v>
      </c>
      <c r="EH1" s="839" t="n">
        <f aca="false">COLUMN()-2</f>
        <v>136</v>
      </c>
      <c r="EI1" s="839" t="n">
        <f aca="false">COLUMN()-2</f>
        <v>137</v>
      </c>
      <c r="EJ1" s="839" t="n">
        <f aca="false">COLUMN()-2</f>
        <v>138</v>
      </c>
      <c r="EK1" s="839" t="n">
        <f aca="false">COLUMN()-2</f>
        <v>139</v>
      </c>
      <c r="EL1" s="842" t="n">
        <f aca="false">COLUMN()-2</f>
        <v>140</v>
      </c>
      <c r="EM1" s="842" t="n">
        <f aca="false">COLUMN()-2</f>
        <v>141</v>
      </c>
      <c r="EN1" s="842" t="n">
        <f aca="false">COLUMN()-2</f>
        <v>142</v>
      </c>
      <c r="EO1" s="842" t="n">
        <f aca="false">COLUMN()-2</f>
        <v>143</v>
      </c>
      <c r="EP1" s="842" t="n">
        <f aca="false">COLUMN()-2</f>
        <v>144</v>
      </c>
      <c r="EQ1" s="842" t="n">
        <f aca="false">COLUMN()-2</f>
        <v>145</v>
      </c>
      <c r="ER1" s="842" t="n">
        <f aca="false">COLUMN()-2</f>
        <v>146</v>
      </c>
      <c r="ES1" s="842" t="n">
        <f aca="false">COLUMN()-2</f>
        <v>147</v>
      </c>
      <c r="ET1" s="839" t="n">
        <f aca="false">COLUMN()-2</f>
        <v>148</v>
      </c>
      <c r="EU1" s="842" t="n">
        <f aca="false">COLUMN()-2</f>
        <v>149</v>
      </c>
      <c r="EV1" s="842" t="n">
        <f aca="false">COLUMN()-2</f>
        <v>150</v>
      </c>
      <c r="EW1" s="842" t="n">
        <f aca="false">COLUMN()-2</f>
        <v>151</v>
      </c>
      <c r="EX1" s="839" t="n">
        <f aca="false">COLUMN()-2</f>
        <v>152</v>
      </c>
      <c r="EY1" s="839" t="n">
        <f aca="false">COLUMN()-2</f>
        <v>153</v>
      </c>
      <c r="EZ1" s="839" t="n">
        <f aca="false">COLUMN()-2</f>
        <v>154</v>
      </c>
      <c r="FA1" s="839" t="n">
        <f aca="false">COLUMN()-2</f>
        <v>155</v>
      </c>
      <c r="FB1" s="839" t="n">
        <f aca="false">COLUMN()-2</f>
        <v>156</v>
      </c>
      <c r="FC1" s="839" t="n">
        <f aca="false">COLUMN()-2</f>
        <v>157</v>
      </c>
      <c r="FD1" s="839" t="n">
        <f aca="false">COLUMN()-2</f>
        <v>158</v>
      </c>
      <c r="FE1" s="839" t="n">
        <f aca="false">COLUMN()-2</f>
        <v>159</v>
      </c>
      <c r="FF1" s="839" t="n">
        <f aca="false">COLUMN()-2</f>
        <v>160</v>
      </c>
      <c r="FG1" s="839" t="n">
        <f aca="false">COLUMN()-2</f>
        <v>161</v>
      </c>
      <c r="FH1" s="839" t="n">
        <f aca="false">COLUMN()-2</f>
        <v>162</v>
      </c>
      <c r="FI1" s="839" t="n">
        <f aca="false">COLUMN()-2</f>
        <v>163</v>
      </c>
      <c r="FJ1" s="839" t="n">
        <f aca="false">COLUMN()-2</f>
        <v>164</v>
      </c>
      <c r="FK1" s="839" t="n">
        <f aca="false">COLUMN()-2</f>
        <v>165</v>
      </c>
      <c r="FL1" s="839" t="n">
        <f aca="false">COLUMN()-2</f>
        <v>166</v>
      </c>
      <c r="FM1" s="839"/>
      <c r="FN1" s="839"/>
      <c r="FO1" s="839"/>
      <c r="FP1" s="843" t="s">
        <v>759</v>
      </c>
      <c r="FQ1" s="843" t="s">
        <v>760</v>
      </c>
      <c r="FR1" s="843" t="s">
        <v>761</v>
      </c>
      <c r="FS1" s="843" t="s">
        <v>762</v>
      </c>
      <c r="FT1" s="843" t="s">
        <v>763</v>
      </c>
      <c r="FU1" s="843" t="s">
        <v>764</v>
      </c>
      <c r="FV1" s="843" t="s">
        <v>765</v>
      </c>
      <c r="FW1" s="843" t="s">
        <v>766</v>
      </c>
      <c r="FX1" s="843" t="s">
        <v>767</v>
      </c>
      <c r="FY1" s="843" t="s">
        <v>768</v>
      </c>
      <c r="FZ1" s="843" t="s">
        <v>769</v>
      </c>
      <c r="GA1" s="843" t="s">
        <v>770</v>
      </c>
      <c r="GB1" s="843" t="s">
        <v>771</v>
      </c>
      <c r="GC1" s="843" t="s">
        <v>772</v>
      </c>
      <c r="GD1" s="843" t="s">
        <v>773</v>
      </c>
      <c r="GE1" s="843" t="s">
        <v>774</v>
      </c>
      <c r="GF1" s="843" t="s">
        <v>775</v>
      </c>
      <c r="GG1" s="843" t="s">
        <v>776</v>
      </c>
      <c r="GH1" s="843"/>
      <c r="GI1" s="839"/>
      <c r="GJ1" s="839"/>
      <c r="GK1" s="839"/>
      <c r="GL1" s="839"/>
      <c r="GM1" s="839"/>
      <c r="GN1" s="839"/>
      <c r="GO1" s="839"/>
      <c r="GP1" s="839"/>
      <c r="GQ1" s="839"/>
      <c r="GR1" s="839"/>
      <c r="GS1" s="839"/>
      <c r="GT1" s="839"/>
      <c r="GU1" s="839"/>
      <c r="GV1" s="839"/>
      <c r="GW1" s="839"/>
      <c r="GX1" s="839"/>
      <c r="GY1" s="839"/>
      <c r="GZ1" s="839"/>
      <c r="HA1" s="839"/>
      <c r="HB1" s="839"/>
      <c r="HC1" s="839"/>
      <c r="HD1" s="839"/>
      <c r="HE1" s="839"/>
      <c r="HF1" s="839"/>
      <c r="HG1" s="839"/>
      <c r="HH1" s="839"/>
      <c r="HI1" s="839"/>
      <c r="HJ1" s="839"/>
      <c r="HK1" s="839"/>
      <c r="HL1" s="839"/>
      <c r="HM1" s="839"/>
      <c r="HN1" s="839"/>
      <c r="HO1" s="839"/>
      <c r="HP1" s="839"/>
      <c r="HQ1" s="839"/>
      <c r="HR1" s="839"/>
      <c r="HS1" s="839"/>
      <c r="HT1" s="839"/>
      <c r="HU1" s="839"/>
      <c r="HV1" s="839"/>
      <c r="HW1" s="839"/>
      <c r="HX1" s="839"/>
      <c r="HY1" s="839"/>
      <c r="HZ1" s="839"/>
      <c r="IA1" s="839"/>
      <c r="IB1" s="839"/>
      <c r="IC1" s="839"/>
      <c r="ID1" s="839"/>
      <c r="IE1" s="839"/>
      <c r="IF1" s="839"/>
      <c r="IG1" s="839"/>
      <c r="IH1" s="839"/>
      <c r="II1" s="839"/>
      <c r="IJ1" s="839"/>
      <c r="IK1" s="839"/>
      <c r="IL1" s="839"/>
      <c r="IM1" s="839"/>
      <c r="IN1" s="839"/>
      <c r="IO1" s="839"/>
      <c r="IP1" s="839"/>
      <c r="IQ1" s="839"/>
      <c r="IR1" s="839"/>
      <c r="IS1" s="839"/>
      <c r="IT1" s="839"/>
      <c r="IU1" s="839"/>
      <c r="IV1" s="839"/>
      <c r="IW1" s="839"/>
      <c r="IX1" s="839"/>
      <c r="IY1" s="839"/>
      <c r="IZ1" s="839"/>
      <c r="JA1" s="839"/>
      <c r="JB1" s="839"/>
      <c r="JC1" s="839"/>
      <c r="JD1" s="839"/>
      <c r="JE1" s="839"/>
      <c r="JF1" s="839"/>
      <c r="JG1" s="839"/>
      <c r="JH1" s="839"/>
      <c r="JI1" s="839"/>
      <c r="JK1" s="839"/>
      <c r="JM1" s="839"/>
    </row>
    <row r="2" customFormat="false" ht="18.75" hidden="false" customHeight="false" outlineLevel="0" collapsed="false">
      <c r="A2" s="844" t="s">
        <v>1384</v>
      </c>
      <c r="B2" s="838"/>
      <c r="C2" s="845" t="n">
        <f aca="false">物流参数!C1</f>
        <v>100</v>
      </c>
      <c r="D2" s="845" t="n">
        <f aca="false">物流参数!D1</f>
        <v>101</v>
      </c>
      <c r="E2" s="846" t="n">
        <f aca="false">物流参数!E1</f>
        <v>102</v>
      </c>
      <c r="F2" s="846" t="n">
        <f aca="false">物流参数!F1</f>
        <v>103</v>
      </c>
      <c r="G2" s="846" t="n">
        <f aca="false">物流参数!G1</f>
        <v>104</v>
      </c>
      <c r="H2" s="845" t="n">
        <f aca="false">物流参数!H1</f>
        <v>105</v>
      </c>
      <c r="I2" s="845" t="n">
        <f aca="false">物流参数!I1</f>
        <v>106</v>
      </c>
      <c r="J2" s="845" t="n">
        <f aca="false">物流参数!J1</f>
        <v>107</v>
      </c>
      <c r="K2" s="845" t="n">
        <f aca="false">物流参数!K1</f>
        <v>108</v>
      </c>
      <c r="L2" s="845" t="n">
        <f aca="false">物流参数!L1</f>
        <v>109</v>
      </c>
      <c r="M2" s="845" t="n">
        <f aca="false">物流参数!M1</f>
        <v>110</v>
      </c>
      <c r="N2" s="845" t="n">
        <f aca="false">物流参数!N1</f>
        <v>111</v>
      </c>
      <c r="O2" s="847" t="n">
        <f aca="false">物流参数!O1</f>
        <v>112</v>
      </c>
      <c r="P2" s="845" t="n">
        <f aca="false">物流参数!P1</f>
        <v>113</v>
      </c>
      <c r="Q2" s="847" t="n">
        <f aca="false">物流参数!Q1</f>
        <v>114</v>
      </c>
      <c r="R2" s="845" t="n">
        <f aca="false">物流参数!R1</f>
        <v>115</v>
      </c>
      <c r="S2" s="845" t="n">
        <f aca="false">物流参数!S1</f>
        <v>116</v>
      </c>
      <c r="T2" s="845" t="n">
        <f aca="false">物流参数!T1</f>
        <v>117</v>
      </c>
      <c r="U2" s="845" t="n">
        <f aca="false">物流参数!U1</f>
        <v>118</v>
      </c>
      <c r="V2" s="848" t="n">
        <f aca="false">物流参数!V1</f>
        <v>119</v>
      </c>
      <c r="W2" s="848" t="n">
        <v>120</v>
      </c>
      <c r="X2" s="848" t="n">
        <v>121</v>
      </c>
      <c r="Y2" s="845" t="n">
        <f aca="false">物流参数!Y1</f>
        <v>200</v>
      </c>
      <c r="Z2" s="848" t="n">
        <f aca="false">物流参数!Z1</f>
        <v>201</v>
      </c>
      <c r="AA2" s="845" t="n">
        <f aca="false">物流参数!AA1</f>
        <v>202</v>
      </c>
      <c r="AB2" s="845" t="n">
        <f aca="false">物流参数!AB1</f>
        <v>203</v>
      </c>
      <c r="AC2" s="845" t="n">
        <f aca="false">物流参数!AC1</f>
        <v>204</v>
      </c>
      <c r="AD2" s="848" t="n">
        <f aca="false">物流参数!AD1</f>
        <v>205</v>
      </c>
      <c r="AE2" s="848" t="n">
        <f aca="false">物流参数!AE1</f>
        <v>206</v>
      </c>
      <c r="AF2" s="845" t="n">
        <f aca="false">物流参数!AF1</f>
        <v>207</v>
      </c>
      <c r="AG2" s="845" t="n">
        <f aca="false">物流参数!AG1</f>
        <v>208</v>
      </c>
      <c r="AH2" s="845" t="n">
        <f aca="false">物流参数!AH1</f>
        <v>209</v>
      </c>
      <c r="AI2" s="845" t="n">
        <f aca="false">物流参数!AI1</f>
        <v>210</v>
      </c>
      <c r="AJ2" s="845" t="n">
        <f aca="false">物流参数!AJ1</f>
        <v>211</v>
      </c>
      <c r="AK2" s="845" t="n">
        <f aca="false">物流参数!AK1</f>
        <v>212</v>
      </c>
      <c r="AL2" s="845" t="n">
        <f aca="false">物流参数!AL1</f>
        <v>213</v>
      </c>
      <c r="AM2" s="845" t="n">
        <f aca="false">物流参数!AM1</f>
        <v>214</v>
      </c>
      <c r="AN2" s="845" t="n">
        <f aca="false">物流参数!AN1</f>
        <v>215</v>
      </c>
      <c r="AO2" s="845" t="n">
        <f aca="false">物流参数!AO1</f>
        <v>216</v>
      </c>
      <c r="AP2" s="845" t="n">
        <f aca="false">物流参数!AP1</f>
        <v>217</v>
      </c>
      <c r="AQ2" s="845" t="n">
        <f aca="false">物流参数!AQ1</f>
        <v>218</v>
      </c>
      <c r="AR2" s="847" t="n">
        <f aca="false">物流参数!AR1</f>
        <v>219</v>
      </c>
      <c r="AS2" s="847" t="n">
        <f aca="false">物流参数!AS1</f>
        <v>220</v>
      </c>
      <c r="AT2" s="845" t="n">
        <f aca="false">物流参数!AT1</f>
        <v>221</v>
      </c>
      <c r="AU2" s="845" t="n">
        <f aca="false">物流参数!AU1</f>
        <v>222</v>
      </c>
      <c r="AV2" s="845" t="n">
        <f aca="false">物流参数!AV1</f>
        <v>223</v>
      </c>
      <c r="AW2" s="845" t="n">
        <f aca="false">物流参数!AW1</f>
        <v>224</v>
      </c>
      <c r="AX2" s="845" t="n">
        <f aca="false">物流参数!AX1</f>
        <v>225</v>
      </c>
      <c r="AY2" s="845" t="n">
        <f aca="false">物流参数!AY1</f>
        <v>300</v>
      </c>
      <c r="AZ2" s="847" t="n">
        <f aca="false">物流参数!AZ1</f>
        <v>301</v>
      </c>
      <c r="BA2" s="849" t="n">
        <f aca="false">物流参数!BA1</f>
        <v>302</v>
      </c>
      <c r="BB2" s="849" t="n">
        <f aca="false">物流参数!BB1</f>
        <v>303</v>
      </c>
      <c r="BC2" s="849" t="n">
        <f aca="false">物流参数!BC1</f>
        <v>304</v>
      </c>
      <c r="BD2" s="849" t="n">
        <f aca="false">物流参数!BD1</f>
        <v>305</v>
      </c>
      <c r="BE2" s="849" t="n">
        <f aca="false">物流参数!BE1</f>
        <v>306</v>
      </c>
      <c r="BF2" s="845" t="n">
        <f aca="false">物流参数!BF1</f>
        <v>307</v>
      </c>
      <c r="BG2" s="845" t="n">
        <f aca="false">物流参数!BG1</f>
        <v>308</v>
      </c>
      <c r="BH2" s="845" t="n">
        <f aca="false">物流参数!BH1</f>
        <v>309</v>
      </c>
      <c r="BI2" s="849" t="n">
        <f aca="false">物流参数!BI1</f>
        <v>310</v>
      </c>
      <c r="BJ2" s="845" t="n">
        <f aca="false">物流参数!BJ1</f>
        <v>311</v>
      </c>
      <c r="BK2" s="845" t="n">
        <f aca="false">物流参数!BK1</f>
        <v>312</v>
      </c>
      <c r="BL2" s="845" t="n">
        <f aca="false">物流参数!BL1</f>
        <v>313</v>
      </c>
      <c r="BM2" s="845" t="n">
        <f aca="false">物流参数!BM1</f>
        <v>314</v>
      </c>
      <c r="BN2" s="845" t="n">
        <f aca="false">物流参数!BN1</f>
        <v>315</v>
      </c>
      <c r="BO2" s="845" t="n">
        <f aca="false">物流参数!BO1</f>
        <v>316</v>
      </c>
      <c r="BP2" s="845" t="n">
        <f aca="false">物流参数!BP1</f>
        <v>317</v>
      </c>
      <c r="BQ2" s="845" t="n">
        <f aca="false">物流参数!BQ1</f>
        <v>318</v>
      </c>
      <c r="BR2" s="845" t="n">
        <f aca="false">物流参数!BR1</f>
        <v>319</v>
      </c>
      <c r="BS2" s="845" t="n">
        <f aca="false">物流参数!BS1</f>
        <v>320</v>
      </c>
      <c r="BT2" s="845" t="n">
        <f aca="false">物流参数!BT1</f>
        <v>321</v>
      </c>
      <c r="BU2" s="845" t="n">
        <f aca="false">物流参数!BU1</f>
        <v>322</v>
      </c>
      <c r="BV2" s="845" t="n">
        <f aca="false">物流参数!BV1</f>
        <v>400</v>
      </c>
      <c r="BW2" s="848" t="n">
        <f aca="false">物流参数!BW1</f>
        <v>401</v>
      </c>
      <c r="BX2" s="848" t="n">
        <f aca="false">物流参数!BX1</f>
        <v>402</v>
      </c>
      <c r="BY2" s="848" t="n">
        <f aca="false">物流参数!BY1</f>
        <v>403</v>
      </c>
      <c r="BZ2" s="848" t="n">
        <f aca="false">物流参数!BZ1</f>
        <v>404</v>
      </c>
      <c r="CA2" s="845" t="n">
        <f aca="false">物流参数!CA1</f>
        <v>405</v>
      </c>
      <c r="CB2" s="845" t="n">
        <f aca="false">物流参数!CB1</f>
        <v>406</v>
      </c>
      <c r="CC2" s="848" t="n">
        <f aca="false">物流参数!CC1</f>
        <v>407</v>
      </c>
      <c r="CD2" s="845" t="n">
        <f aca="false">物流参数!CD1</f>
        <v>408</v>
      </c>
      <c r="CE2" s="845" t="n">
        <f aca="false">物流参数!CE1</f>
        <v>409</v>
      </c>
      <c r="CF2" s="850" t="n">
        <f aca="false">物流参数!CF1</f>
        <v>410</v>
      </c>
      <c r="CG2" s="845" t="n">
        <f aca="false">物流参数!CG1</f>
        <v>411</v>
      </c>
      <c r="CH2" s="845" t="n">
        <f aca="false">物流参数!CH1</f>
        <v>412</v>
      </c>
      <c r="CI2" s="845" t="n">
        <f aca="false">物流参数!CI1</f>
        <v>413</v>
      </c>
      <c r="CJ2" s="845" t="n">
        <f aca="false">物流参数!CJ1</f>
        <v>414</v>
      </c>
      <c r="CK2" s="845" t="n">
        <f aca="false">物流参数!CK1</f>
        <v>415</v>
      </c>
      <c r="CL2" s="845" t="n">
        <f aca="false">物流参数!CL1</f>
        <v>416</v>
      </c>
      <c r="CM2" s="845" t="n">
        <f aca="false">物流参数!CM1</f>
        <v>417</v>
      </c>
      <c r="CN2" s="845" t="n">
        <f aca="false">物流参数!CN1</f>
        <v>418</v>
      </c>
      <c r="CO2" s="845" t="n">
        <f aca="false">物流参数!CO1</f>
        <v>419</v>
      </c>
      <c r="CP2" s="845" t="n">
        <f aca="false">物流参数!CP1</f>
        <v>420</v>
      </c>
      <c r="CQ2" s="845" t="n">
        <f aca="false">物流参数!CQ1</f>
        <v>421</v>
      </c>
      <c r="CR2" s="845" t="n">
        <f aca="false">物流参数!CR1</f>
        <v>422</v>
      </c>
      <c r="CS2" s="845" t="n">
        <f aca="false">物流参数!CS1</f>
        <v>423</v>
      </c>
      <c r="CT2" s="845" t="n">
        <f aca="false">物流参数!CT1</f>
        <v>424</v>
      </c>
      <c r="CU2" s="845" t="n">
        <f aca="false">物流参数!CU1</f>
        <v>425</v>
      </c>
      <c r="CV2" s="845" t="n">
        <f aca="false">物流参数!CV1</f>
        <v>426</v>
      </c>
      <c r="CW2" s="845" t="n">
        <f aca="false">物流参数!CW1</f>
        <v>427</v>
      </c>
      <c r="CX2" s="845" t="n">
        <f aca="false">物流参数!CX1</f>
        <v>428</v>
      </c>
      <c r="CY2" s="845" t="n">
        <f aca="false">物流参数!CY1</f>
        <v>429</v>
      </c>
      <c r="CZ2" s="845" t="n">
        <f aca="false">物流参数!CZ1</f>
        <v>500</v>
      </c>
      <c r="DA2" s="845" t="n">
        <f aca="false">物流参数!DA1</f>
        <v>501</v>
      </c>
      <c r="DB2" s="845" t="n">
        <f aca="false">物流参数!DB1</f>
        <v>502</v>
      </c>
      <c r="DC2" s="845" t="n">
        <f aca="false">物流参数!DC1</f>
        <v>503</v>
      </c>
      <c r="DD2" s="845" t="n">
        <f aca="false">物流参数!DD1</f>
        <v>504</v>
      </c>
      <c r="DE2" s="845" t="n">
        <f aca="false">物流参数!DE1</f>
        <v>505</v>
      </c>
      <c r="DF2" s="845" t="n">
        <f aca="false">物流参数!DF1</f>
        <v>506</v>
      </c>
      <c r="DG2" s="845" t="n">
        <f aca="false">物流参数!DG1</f>
        <v>507</v>
      </c>
      <c r="DH2" s="845" t="n">
        <f aca="false">物流参数!DH1</f>
        <v>508</v>
      </c>
      <c r="DI2" s="845" t="n">
        <f aca="false">物流参数!DI1</f>
        <v>509</v>
      </c>
      <c r="DJ2" s="845" t="n">
        <f aca="false">物流参数!DJ1</f>
        <v>510</v>
      </c>
      <c r="DK2" s="845" t="n">
        <f aca="false">物流参数!DK1</f>
        <v>511</v>
      </c>
      <c r="DL2" s="845" t="n">
        <f aca="false">物流参数!DL1</f>
        <v>512</v>
      </c>
      <c r="DM2" s="845" t="n">
        <f aca="false">物流参数!DM1</f>
        <v>513</v>
      </c>
      <c r="DN2" s="845" t="n">
        <f aca="false">物流参数!DN1</f>
        <v>514</v>
      </c>
      <c r="DO2" s="845" t="n">
        <f aca="false">物流参数!DO1</f>
        <v>515</v>
      </c>
      <c r="DP2" s="845" t="n">
        <f aca="false">物流参数!DP1</f>
        <v>516</v>
      </c>
      <c r="DQ2" s="845" t="n">
        <f aca="false">物流参数!DQ1</f>
        <v>517</v>
      </c>
      <c r="DR2" s="845" t="n">
        <f aca="false">物流参数!DR1</f>
        <v>518</v>
      </c>
      <c r="DS2" s="845" t="n">
        <f aca="false">物流参数!DS1</f>
        <v>519</v>
      </c>
      <c r="DT2" s="845" t="n">
        <f aca="false">物流参数!DT1</f>
        <v>520</v>
      </c>
      <c r="DU2" s="845" t="n">
        <f aca="false">物流参数!DU1</f>
        <v>521</v>
      </c>
      <c r="DV2" s="845" t="n">
        <f aca="false">物流参数!DV1</f>
        <v>522</v>
      </c>
      <c r="DW2" s="845" t="n">
        <f aca="false">物流参数!DW1</f>
        <v>523</v>
      </c>
      <c r="DX2" s="851" t="s">
        <v>1385</v>
      </c>
      <c r="DY2" s="851" t="s">
        <v>1386</v>
      </c>
      <c r="DZ2" s="845" t="n">
        <f aca="false">物流参数!DX1</f>
        <v>524</v>
      </c>
      <c r="EA2" s="845" t="n">
        <f aca="false">物流参数!DY1</f>
        <v>525</v>
      </c>
      <c r="EB2" s="845" t="n">
        <f aca="false">物流参数!DZ1</f>
        <v>526</v>
      </c>
      <c r="EC2" s="845" t="n">
        <f aca="false">物流参数!EA1</f>
        <v>527</v>
      </c>
      <c r="ED2" s="845" t="n">
        <f aca="false">物流参数!EB1</f>
        <v>528</v>
      </c>
      <c r="EE2" s="845" t="n">
        <f aca="false">物流参数!EC1</f>
        <v>529</v>
      </c>
      <c r="EF2" s="845" t="n">
        <f aca="false">物流参数!ED1</f>
        <v>530</v>
      </c>
      <c r="EG2" s="845" t="n">
        <f aca="false">物流参数!EE1</f>
        <v>531</v>
      </c>
      <c r="EH2" s="845" t="n">
        <f aca="false">物流参数!EF1</f>
        <v>532</v>
      </c>
      <c r="EI2" s="845" t="n">
        <f aca="false">物流参数!EG1</f>
        <v>533</v>
      </c>
      <c r="EJ2" s="845" t="n">
        <f aca="false">物流参数!EH1</f>
        <v>600</v>
      </c>
      <c r="EK2" s="845" t="n">
        <f aca="false">物流参数!EI1</f>
        <v>601</v>
      </c>
      <c r="EL2" s="848" t="n">
        <f aca="false">物流参数!EJ1</f>
        <v>602</v>
      </c>
      <c r="EM2" s="848" t="n">
        <f aca="false">物流参数!EK1</f>
        <v>603</v>
      </c>
      <c r="EN2" s="848" t="n">
        <f aca="false">物流参数!EL1</f>
        <v>604</v>
      </c>
      <c r="EO2" s="848" t="n">
        <f aca="false">物流参数!EM1</f>
        <v>605</v>
      </c>
      <c r="EP2" s="848" t="n">
        <f aca="false">物流参数!EN1</f>
        <v>606</v>
      </c>
      <c r="EQ2" s="848" t="n">
        <f aca="false">物流参数!EO1</f>
        <v>607</v>
      </c>
      <c r="ER2" s="848" t="n">
        <f aca="false">物流参数!EP1</f>
        <v>608</v>
      </c>
      <c r="ES2" s="848" t="n">
        <f aca="false">物流参数!EQ1</f>
        <v>609</v>
      </c>
      <c r="ET2" s="845" t="n">
        <f aca="false">物流参数!ER1</f>
        <v>610</v>
      </c>
      <c r="EU2" s="848" t="n">
        <f aca="false">物流参数!ES1</f>
        <v>611</v>
      </c>
      <c r="EV2" s="848" t="n">
        <f aca="false">物流参数!ET1</f>
        <v>612</v>
      </c>
      <c r="EW2" s="848" t="n">
        <f aca="false">物流参数!EU1</f>
        <v>613</v>
      </c>
      <c r="EX2" s="845" t="n">
        <f aca="false">物流参数!EV1</f>
        <v>614</v>
      </c>
      <c r="EY2" s="845" t="n">
        <f aca="false">物流参数!EW1</f>
        <v>700</v>
      </c>
      <c r="EZ2" s="845" t="n">
        <f aca="false">物流参数!EX1</f>
        <v>701</v>
      </c>
      <c r="FA2" s="845" t="n">
        <f aca="false">物流参数!EY1</f>
        <v>702</v>
      </c>
      <c r="FB2" s="845" t="n">
        <f aca="false">物流参数!EZ1</f>
        <v>703</v>
      </c>
      <c r="FC2" s="845" t="n">
        <f aca="false">物流参数!FA1</f>
        <v>704</v>
      </c>
      <c r="FD2" s="845" t="n">
        <f aca="false">物流参数!FB1</f>
        <v>705</v>
      </c>
      <c r="FE2" s="845" t="n">
        <f aca="false">物流参数!FC1</f>
        <v>706</v>
      </c>
      <c r="FF2" s="845" t="n">
        <f aca="false">物流参数!FD1</f>
        <v>707</v>
      </c>
      <c r="FG2" s="845" t="n">
        <f aca="false">物流参数!FE1</f>
        <v>708</v>
      </c>
      <c r="FH2" s="845" t="n">
        <f aca="false">物流参数!FF1</f>
        <v>709</v>
      </c>
      <c r="FI2" s="845" t="n">
        <f aca="false">物流参数!FG1</f>
        <v>710</v>
      </c>
      <c r="FJ2" s="845" t="n">
        <f aca="false">物流参数!FH1</f>
        <v>711</v>
      </c>
      <c r="FK2" s="845" t="n">
        <f aca="false">物流参数!FI1</f>
        <v>712</v>
      </c>
      <c r="FL2" s="845" t="n">
        <f aca="false">物流参数!FJ1</f>
        <v>0</v>
      </c>
      <c r="FM2" s="845" t="n">
        <v>730</v>
      </c>
      <c r="FN2" s="845" t="n">
        <v>731</v>
      </c>
      <c r="FO2" s="845"/>
      <c r="FP2" s="843" t="s">
        <v>778</v>
      </c>
      <c r="FQ2" s="843" t="s">
        <v>779</v>
      </c>
      <c r="FR2" s="843" t="s">
        <v>780</v>
      </c>
      <c r="FS2" s="843" t="s">
        <v>781</v>
      </c>
      <c r="FT2" s="843" t="s">
        <v>782</v>
      </c>
      <c r="FU2" s="843" t="s">
        <v>783</v>
      </c>
      <c r="FV2" s="843" t="s">
        <v>784</v>
      </c>
      <c r="FW2" s="843" t="s">
        <v>785</v>
      </c>
      <c r="FX2" s="843" t="s">
        <v>786</v>
      </c>
      <c r="FY2" s="843" t="s">
        <v>787</v>
      </c>
      <c r="FZ2" s="843" t="s">
        <v>788</v>
      </c>
      <c r="GA2" s="843" t="s">
        <v>789</v>
      </c>
      <c r="GB2" s="843" t="s">
        <v>790</v>
      </c>
      <c r="GC2" s="843" t="s">
        <v>791</v>
      </c>
      <c r="GD2" s="843" t="s">
        <v>792</v>
      </c>
      <c r="GE2" s="843" t="s">
        <v>793</v>
      </c>
      <c r="GF2" s="843" t="s">
        <v>794</v>
      </c>
      <c r="GG2" s="843" t="s">
        <v>795</v>
      </c>
      <c r="GH2" s="843"/>
      <c r="GI2" s="852"/>
      <c r="GJ2" s="852"/>
      <c r="GK2" s="852"/>
      <c r="GL2" s="852"/>
      <c r="GM2" s="852"/>
      <c r="GN2" s="852"/>
      <c r="GO2" s="852"/>
      <c r="GP2" s="852"/>
      <c r="GQ2" s="852"/>
      <c r="GR2" s="852"/>
      <c r="GS2" s="852"/>
      <c r="GT2" s="852"/>
      <c r="GU2" s="852"/>
      <c r="GV2" s="852"/>
      <c r="GW2" s="852"/>
      <c r="GX2" s="852"/>
      <c r="GY2" s="852"/>
      <c r="GZ2" s="852"/>
      <c r="HA2" s="852"/>
      <c r="HB2" s="852"/>
      <c r="HC2" s="852"/>
      <c r="HD2" s="852"/>
      <c r="HE2" s="852"/>
      <c r="HF2" s="852"/>
      <c r="HG2" s="852"/>
      <c r="HH2" s="852"/>
      <c r="HI2" s="852"/>
      <c r="HJ2" s="852"/>
      <c r="HK2" s="852"/>
      <c r="HL2" s="852"/>
      <c r="HM2" s="852"/>
      <c r="HN2" s="852"/>
      <c r="HO2" s="852"/>
      <c r="HP2" s="852"/>
      <c r="HQ2" s="852"/>
      <c r="HR2" s="852"/>
      <c r="HS2" s="852"/>
      <c r="HT2" s="852"/>
      <c r="HU2" s="852"/>
      <c r="HV2" s="852"/>
      <c r="HW2" s="852"/>
      <c r="HX2" s="852"/>
      <c r="HY2" s="852"/>
      <c r="HZ2" s="852"/>
      <c r="IA2" s="852"/>
      <c r="IB2" s="852"/>
      <c r="IC2" s="852"/>
      <c r="ID2" s="852"/>
      <c r="IE2" s="852"/>
      <c r="IF2" s="852"/>
      <c r="IG2" s="852"/>
      <c r="IH2" s="853"/>
      <c r="II2" s="854"/>
      <c r="IJ2" s="854"/>
      <c r="IK2" s="854"/>
      <c r="IL2" s="854"/>
      <c r="IM2" s="854"/>
      <c r="IN2" s="854"/>
      <c r="IO2" s="854"/>
      <c r="IP2" s="854"/>
      <c r="IQ2" s="854"/>
      <c r="IR2" s="852"/>
      <c r="IS2" s="852"/>
      <c r="IT2" s="852"/>
      <c r="IU2" s="852"/>
      <c r="IV2" s="852"/>
      <c r="IW2" s="852"/>
      <c r="IX2" s="852"/>
      <c r="IY2" s="852"/>
      <c r="IZ2" s="852"/>
      <c r="JA2" s="852"/>
      <c r="JB2" s="852"/>
      <c r="JC2" s="852"/>
      <c r="JD2" s="852"/>
      <c r="JF2" s="852"/>
      <c r="JG2" s="852"/>
      <c r="JH2" s="852"/>
      <c r="JI2" s="852"/>
      <c r="JK2" s="852"/>
      <c r="JM2" s="852"/>
    </row>
    <row r="3" customFormat="false" ht="18.75" hidden="false" customHeight="false" outlineLevel="0" collapsed="false">
      <c r="A3" s="855" t="s">
        <v>1387</v>
      </c>
      <c r="B3" s="855"/>
      <c r="C3" s="844" t="s">
        <v>1388</v>
      </c>
      <c r="D3" s="844" t="s">
        <v>1388</v>
      </c>
      <c r="E3" s="856" t="s">
        <v>1388</v>
      </c>
      <c r="F3" s="856" t="s">
        <v>1388</v>
      </c>
      <c r="G3" s="856" t="s">
        <v>1388</v>
      </c>
      <c r="H3" s="844" t="s">
        <v>1389</v>
      </c>
      <c r="I3" s="844" t="s">
        <v>1390</v>
      </c>
      <c r="J3" s="844" t="s">
        <v>1391</v>
      </c>
      <c r="K3" s="844" t="s">
        <v>1392</v>
      </c>
      <c r="L3" s="844" t="s">
        <v>1393</v>
      </c>
      <c r="M3" s="844" t="s">
        <v>1393</v>
      </c>
      <c r="N3" s="844" t="s">
        <v>1394</v>
      </c>
      <c r="O3" s="844" t="s">
        <v>1395</v>
      </c>
      <c r="P3" s="844" t="s">
        <v>1396</v>
      </c>
      <c r="Q3" s="844" t="s">
        <v>1396</v>
      </c>
      <c r="R3" s="844" t="s">
        <v>1397</v>
      </c>
      <c r="S3" s="844" t="s">
        <v>1398</v>
      </c>
      <c r="T3" s="844" t="s">
        <v>1399</v>
      </c>
      <c r="U3" s="844" t="s">
        <v>1400</v>
      </c>
      <c r="V3" s="844" t="s">
        <v>1400</v>
      </c>
      <c r="W3" s="844"/>
      <c r="X3" s="844"/>
      <c r="Y3" s="844" t="s">
        <v>1401</v>
      </c>
      <c r="Z3" s="844" t="s">
        <v>1402</v>
      </c>
      <c r="AA3" s="844" t="s">
        <v>1403</v>
      </c>
      <c r="AB3" s="844" t="s">
        <v>1404</v>
      </c>
      <c r="AC3" s="844" t="s">
        <v>1405</v>
      </c>
      <c r="AD3" s="844" t="s">
        <v>1405</v>
      </c>
      <c r="AE3" s="844" t="s">
        <v>1405</v>
      </c>
      <c r="AF3" s="844" t="s">
        <v>1405</v>
      </c>
      <c r="AG3" s="844" t="s">
        <v>1405</v>
      </c>
      <c r="AH3" s="844" t="s">
        <v>1405</v>
      </c>
      <c r="AI3" s="844" t="s">
        <v>1406</v>
      </c>
      <c r="AJ3" s="844" t="s">
        <v>1406</v>
      </c>
      <c r="AK3" s="844" t="s">
        <v>1407</v>
      </c>
      <c r="AL3" s="844" t="s">
        <v>1407</v>
      </c>
      <c r="AM3" s="844" t="s">
        <v>1407</v>
      </c>
      <c r="AN3" s="844" t="s">
        <v>1403</v>
      </c>
      <c r="AO3" s="844" t="s">
        <v>1403</v>
      </c>
      <c r="AP3" s="844" t="s">
        <v>1408</v>
      </c>
      <c r="AQ3" s="844" t="s">
        <v>1409</v>
      </c>
      <c r="AR3" s="844" t="s">
        <v>1410</v>
      </c>
      <c r="AS3" s="844" t="s">
        <v>1410</v>
      </c>
      <c r="AT3" s="844" t="s">
        <v>1411</v>
      </c>
      <c r="AU3" s="844" t="s">
        <v>1402</v>
      </c>
      <c r="AV3" s="844" t="s">
        <v>1402</v>
      </c>
      <c r="AW3" s="844" t="s">
        <v>1412</v>
      </c>
      <c r="AX3" s="844" t="s">
        <v>1413</v>
      </c>
      <c r="AY3" s="844" t="s">
        <v>1414</v>
      </c>
      <c r="AZ3" s="844" t="s">
        <v>1415</v>
      </c>
      <c r="BA3" s="844" t="s">
        <v>1416</v>
      </c>
      <c r="BB3" s="844" t="s">
        <v>1408</v>
      </c>
      <c r="BC3" s="844" t="s">
        <v>1417</v>
      </c>
      <c r="BD3" s="844" t="s">
        <v>1418</v>
      </c>
      <c r="BE3" s="844" t="s">
        <v>1419</v>
      </c>
      <c r="BF3" s="844" t="s">
        <v>1420</v>
      </c>
      <c r="BG3" s="844" t="s">
        <v>1400</v>
      </c>
      <c r="BH3" s="844" t="s">
        <v>1420</v>
      </c>
      <c r="BI3" s="844" t="s">
        <v>1416</v>
      </c>
      <c r="BJ3" s="844" t="s">
        <v>1420</v>
      </c>
      <c r="BK3" s="844" t="s">
        <v>1421</v>
      </c>
      <c r="BL3" s="844" t="s">
        <v>1414</v>
      </c>
      <c r="BM3" s="844" t="s">
        <v>1422</v>
      </c>
      <c r="BN3" s="844" t="s">
        <v>1423</v>
      </c>
      <c r="BO3" s="844" t="s">
        <v>1424</v>
      </c>
      <c r="BP3" s="844" t="s">
        <v>1424</v>
      </c>
      <c r="BQ3" s="844" t="s">
        <v>1425</v>
      </c>
      <c r="BR3" s="844" t="s">
        <v>1426</v>
      </c>
      <c r="BS3" s="844" t="s">
        <v>1427</v>
      </c>
      <c r="BT3" s="844" t="s">
        <v>1428</v>
      </c>
      <c r="BU3" s="844" t="s">
        <v>1418</v>
      </c>
      <c r="BV3" s="844" t="s">
        <v>1422</v>
      </c>
      <c r="BW3" s="844" t="s">
        <v>1429</v>
      </c>
      <c r="BX3" s="844" t="s">
        <v>1430</v>
      </c>
      <c r="BY3" s="844" t="s">
        <v>1409</v>
      </c>
      <c r="BZ3" s="844" t="s">
        <v>1431</v>
      </c>
      <c r="CA3" s="844" t="s">
        <v>1432</v>
      </c>
      <c r="CB3" s="844" t="s">
        <v>1433</v>
      </c>
      <c r="CC3" s="844" t="s">
        <v>1434</v>
      </c>
      <c r="CD3" s="844" t="s">
        <v>1435</v>
      </c>
      <c r="CE3" s="844" t="s">
        <v>1436</v>
      </c>
      <c r="CF3" s="844" t="s">
        <v>1437</v>
      </c>
      <c r="CG3" s="844" t="s">
        <v>1438</v>
      </c>
      <c r="CH3" s="844" t="s">
        <v>1429</v>
      </c>
      <c r="CI3" s="857" t="s">
        <v>1439</v>
      </c>
      <c r="CJ3" s="857" t="s">
        <v>1440</v>
      </c>
      <c r="CK3" s="857" t="s">
        <v>1441</v>
      </c>
      <c r="CL3" s="844" t="s">
        <v>1442</v>
      </c>
      <c r="CM3" s="844" t="s">
        <v>1443</v>
      </c>
      <c r="CN3" s="844" t="s">
        <v>1444</v>
      </c>
      <c r="CO3" s="844" t="s">
        <v>1400</v>
      </c>
      <c r="CP3" s="844" t="s">
        <v>1400</v>
      </c>
      <c r="CQ3" s="844" t="s">
        <v>1442</v>
      </c>
      <c r="CR3" s="844" t="s">
        <v>1400</v>
      </c>
      <c r="CS3" s="844" t="s">
        <v>1422</v>
      </c>
      <c r="CT3" s="844" t="s">
        <v>1422</v>
      </c>
      <c r="CU3" s="844" t="s">
        <v>1445</v>
      </c>
      <c r="CV3" s="844" t="s">
        <v>1446</v>
      </c>
      <c r="CW3" s="844"/>
      <c r="CX3" s="844" t="s">
        <v>1447</v>
      </c>
      <c r="CY3" s="844" t="s">
        <v>1445</v>
      </c>
      <c r="CZ3" s="844" t="s">
        <v>1448</v>
      </c>
      <c r="DA3" s="844" t="s">
        <v>1449</v>
      </c>
      <c r="DB3" s="844" t="s">
        <v>1448</v>
      </c>
      <c r="DC3" s="844" t="s">
        <v>1450</v>
      </c>
      <c r="DD3" s="844" t="s">
        <v>1451</v>
      </c>
      <c r="DE3" s="844" t="s">
        <v>1452</v>
      </c>
      <c r="DF3" s="844" t="s">
        <v>1444</v>
      </c>
      <c r="DG3" s="844" t="s">
        <v>1453</v>
      </c>
      <c r="DH3" s="844" t="s">
        <v>1454</v>
      </c>
      <c r="DI3" s="844" t="s">
        <v>1400</v>
      </c>
      <c r="DJ3" s="844" t="s">
        <v>1455</v>
      </c>
      <c r="DK3" s="844" t="s">
        <v>1456</v>
      </c>
      <c r="DL3" s="844" t="s">
        <v>1457</v>
      </c>
      <c r="DM3" s="844" t="s">
        <v>1458</v>
      </c>
      <c r="DN3" s="844" t="s">
        <v>1459</v>
      </c>
      <c r="DO3" s="844" t="s">
        <v>1444</v>
      </c>
      <c r="DP3" s="844" t="s">
        <v>1448</v>
      </c>
      <c r="DQ3" s="844" t="s">
        <v>1460</v>
      </c>
      <c r="DR3" s="844" t="s">
        <v>1461</v>
      </c>
      <c r="DS3" s="844" t="s">
        <v>1462</v>
      </c>
      <c r="DT3" s="844" t="s">
        <v>1463</v>
      </c>
      <c r="DU3" s="844" t="s">
        <v>1464</v>
      </c>
      <c r="DV3" s="844" t="s">
        <v>1465</v>
      </c>
      <c r="DW3" s="844" t="s">
        <v>1400</v>
      </c>
      <c r="DX3" s="844" t="s">
        <v>1466</v>
      </c>
      <c r="DY3" s="844" t="s">
        <v>1467</v>
      </c>
      <c r="DZ3" s="844" t="s">
        <v>1400</v>
      </c>
      <c r="EA3" s="844" t="s">
        <v>1464</v>
      </c>
      <c r="EB3" s="844" t="s">
        <v>1468</v>
      </c>
      <c r="EC3" s="844" t="s">
        <v>1459</v>
      </c>
      <c r="ED3" s="844" t="s">
        <v>1401</v>
      </c>
      <c r="EE3" s="844" t="s">
        <v>1469</v>
      </c>
      <c r="EF3" s="844" t="s">
        <v>1460</v>
      </c>
      <c r="EG3" s="844" t="s">
        <v>1470</v>
      </c>
      <c r="EH3" s="844" t="s">
        <v>1447</v>
      </c>
      <c r="EI3" s="844" t="s">
        <v>1471</v>
      </c>
      <c r="EJ3" s="844" t="s">
        <v>1388</v>
      </c>
      <c r="EK3" s="844" t="s">
        <v>1472</v>
      </c>
      <c r="EL3" s="858" t="s">
        <v>1473</v>
      </c>
      <c r="EM3" s="858" t="s">
        <v>1473</v>
      </c>
      <c r="EN3" s="858" t="s">
        <v>1473</v>
      </c>
      <c r="EO3" s="858" t="s">
        <v>1473</v>
      </c>
      <c r="EP3" s="858" t="s">
        <v>1473</v>
      </c>
      <c r="EQ3" s="858" t="s">
        <v>1473</v>
      </c>
      <c r="ER3" s="858" t="s">
        <v>1473</v>
      </c>
      <c r="ES3" s="858" t="s">
        <v>1473</v>
      </c>
      <c r="ET3" s="844" t="s">
        <v>1474</v>
      </c>
      <c r="EU3" s="858" t="s">
        <v>1473</v>
      </c>
      <c r="EV3" s="858" t="s">
        <v>1473</v>
      </c>
      <c r="EW3" s="858" t="s">
        <v>1473</v>
      </c>
      <c r="EX3" s="844"/>
      <c r="EY3" s="844" t="s">
        <v>1388</v>
      </c>
      <c r="EZ3" s="844" t="s">
        <v>1475</v>
      </c>
      <c r="FA3" s="844" t="s">
        <v>1476</v>
      </c>
      <c r="FB3" s="844" t="s">
        <v>1477</v>
      </c>
      <c r="FC3" s="844" t="s">
        <v>1421</v>
      </c>
      <c r="FD3" s="844" t="s">
        <v>1478</v>
      </c>
      <c r="FE3" s="844" t="s">
        <v>1479</v>
      </c>
      <c r="FF3" s="844" t="s">
        <v>1400</v>
      </c>
      <c r="FG3" s="844" t="s">
        <v>1479</v>
      </c>
      <c r="FH3" s="844" t="s">
        <v>1479</v>
      </c>
      <c r="FI3" s="844" t="s">
        <v>1478</v>
      </c>
      <c r="FJ3" s="844" t="s">
        <v>1478</v>
      </c>
      <c r="FK3" s="844" t="s">
        <v>1400</v>
      </c>
      <c r="FL3" s="844" t="s">
        <v>1400</v>
      </c>
      <c r="FM3" s="845" t="n">
        <v>730</v>
      </c>
      <c r="FN3" s="844"/>
      <c r="FO3" s="844"/>
      <c r="FP3" s="858" t="s">
        <v>1480</v>
      </c>
      <c r="FQ3" s="858" t="s">
        <v>1480</v>
      </c>
      <c r="FR3" s="858" t="s">
        <v>1480</v>
      </c>
      <c r="FS3" s="858" t="s">
        <v>1480</v>
      </c>
      <c r="FT3" s="858" t="s">
        <v>1480</v>
      </c>
      <c r="FU3" s="858" t="s">
        <v>1480</v>
      </c>
      <c r="FV3" s="858" t="s">
        <v>1480</v>
      </c>
      <c r="FW3" s="858" t="s">
        <v>1480</v>
      </c>
      <c r="FX3" s="858" t="s">
        <v>1480</v>
      </c>
      <c r="FY3" s="858" t="s">
        <v>1480</v>
      </c>
      <c r="FZ3" s="858" t="s">
        <v>1480</v>
      </c>
      <c r="GA3" s="858" t="s">
        <v>1480</v>
      </c>
      <c r="GB3" s="858" t="s">
        <v>1480</v>
      </c>
      <c r="GC3" s="858" t="s">
        <v>1480</v>
      </c>
      <c r="GD3" s="858" t="s">
        <v>1480</v>
      </c>
      <c r="GE3" s="858" t="s">
        <v>1480</v>
      </c>
      <c r="GF3" s="858" t="s">
        <v>1480</v>
      </c>
      <c r="GG3" s="858" t="s">
        <v>1480</v>
      </c>
      <c r="GH3" s="858"/>
      <c r="GI3" s="844"/>
      <c r="GJ3" s="844"/>
      <c r="GK3" s="844"/>
      <c r="GL3" s="844"/>
      <c r="GM3" s="844"/>
      <c r="GN3" s="844"/>
      <c r="GO3" s="844"/>
      <c r="GP3" s="844"/>
      <c r="GQ3" s="844"/>
      <c r="GR3" s="844"/>
      <c r="GS3" s="844"/>
      <c r="GT3" s="844"/>
      <c r="GU3" s="844"/>
      <c r="GV3" s="844"/>
      <c r="GW3" s="844"/>
      <c r="GX3" s="844"/>
      <c r="GY3" s="844"/>
      <c r="GZ3" s="844"/>
      <c r="HA3" s="844"/>
      <c r="HB3" s="844"/>
      <c r="HC3" s="844"/>
      <c r="HD3" s="844"/>
      <c r="HE3" s="844"/>
      <c r="HF3" s="844"/>
      <c r="HG3" s="844"/>
      <c r="HH3" s="844"/>
      <c r="HI3" s="844"/>
      <c r="HJ3" s="844"/>
      <c r="HK3" s="844"/>
      <c r="HL3" s="844"/>
      <c r="HM3" s="844"/>
      <c r="HN3" s="844"/>
      <c r="HO3" s="844"/>
      <c r="HP3" s="844"/>
      <c r="HQ3" s="844"/>
      <c r="HR3" s="844"/>
      <c r="HS3" s="844"/>
      <c r="HT3" s="844"/>
      <c r="HU3" s="844"/>
      <c r="HV3" s="844"/>
      <c r="HW3" s="844"/>
      <c r="HX3" s="844"/>
      <c r="HY3" s="844"/>
      <c r="HZ3" s="844"/>
      <c r="IA3" s="844"/>
      <c r="IB3" s="844"/>
      <c r="IC3" s="844"/>
      <c r="ID3" s="844"/>
      <c r="IE3" s="844"/>
      <c r="IF3" s="844"/>
      <c r="IG3" s="844"/>
      <c r="IH3" s="844"/>
      <c r="II3" s="844"/>
      <c r="IJ3" s="844"/>
      <c r="IK3" s="844"/>
      <c r="IL3" s="844"/>
      <c r="IR3" s="844"/>
      <c r="IS3" s="844"/>
      <c r="IT3" s="844"/>
      <c r="JD3" s="852"/>
      <c r="JG3" s="844"/>
      <c r="JM3" s="844"/>
    </row>
    <row r="4" customFormat="false" ht="18.75" hidden="false" customHeight="false" outlineLevel="0" collapsed="false">
      <c r="A4" s="859" t="s">
        <v>796</v>
      </c>
      <c r="B4" s="859"/>
      <c r="C4" s="844" t="s">
        <v>797</v>
      </c>
      <c r="D4" s="844" t="s">
        <v>797</v>
      </c>
      <c r="E4" s="856" t="s">
        <v>797</v>
      </c>
      <c r="F4" s="856" t="s">
        <v>797</v>
      </c>
      <c r="G4" s="856" t="s">
        <v>797</v>
      </c>
      <c r="H4" s="844" t="s">
        <v>797</v>
      </c>
      <c r="I4" s="844" t="s">
        <v>797</v>
      </c>
      <c r="J4" s="844" t="s">
        <v>797</v>
      </c>
      <c r="K4" s="844" t="s">
        <v>797</v>
      </c>
      <c r="L4" s="844" t="s">
        <v>797</v>
      </c>
      <c r="M4" s="844" t="s">
        <v>797</v>
      </c>
      <c r="N4" s="844" t="s">
        <v>1284</v>
      </c>
      <c r="O4" s="844" t="s">
        <v>1481</v>
      </c>
      <c r="P4" s="844" t="s">
        <v>804</v>
      </c>
      <c r="Q4" s="844" t="s">
        <v>1481</v>
      </c>
      <c r="R4" s="844" t="s">
        <v>804</v>
      </c>
      <c r="S4" s="844" t="s">
        <v>804</v>
      </c>
      <c r="T4" s="844" t="s">
        <v>804</v>
      </c>
      <c r="U4" s="844" t="s">
        <v>804</v>
      </c>
      <c r="V4" s="844" t="s">
        <v>804</v>
      </c>
      <c r="W4" s="844"/>
      <c r="X4" s="844"/>
      <c r="Y4" s="844" t="s">
        <v>1481</v>
      </c>
      <c r="Z4" s="844" t="s">
        <v>1481</v>
      </c>
      <c r="AA4" s="844" t="s">
        <v>798</v>
      </c>
      <c r="AB4" s="844" t="s">
        <v>799</v>
      </c>
      <c r="AC4" s="844" t="s">
        <v>799</v>
      </c>
      <c r="AD4" s="844" t="s">
        <v>799</v>
      </c>
      <c r="AE4" s="844" t="s">
        <v>1481</v>
      </c>
      <c r="AF4" s="844" t="s">
        <v>1284</v>
      </c>
      <c r="AG4" s="844" t="s">
        <v>1284</v>
      </c>
      <c r="AH4" s="844" t="s">
        <v>1284</v>
      </c>
      <c r="AI4" s="844" t="s">
        <v>1284</v>
      </c>
      <c r="AJ4" s="844" t="s">
        <v>1284</v>
      </c>
      <c r="AK4" s="844" t="s">
        <v>1482</v>
      </c>
      <c r="AL4" s="844" t="s">
        <v>1482</v>
      </c>
      <c r="AM4" s="844" t="s">
        <v>1482</v>
      </c>
      <c r="AN4" s="844" t="s">
        <v>1482</v>
      </c>
      <c r="AO4" s="844" t="s">
        <v>1482</v>
      </c>
      <c r="AP4" s="844" t="s">
        <v>1482</v>
      </c>
      <c r="AQ4" s="844" t="s">
        <v>798</v>
      </c>
      <c r="AR4" s="844" t="s">
        <v>798</v>
      </c>
      <c r="AS4" s="844" t="s">
        <v>798</v>
      </c>
      <c r="AT4" s="844" t="s">
        <v>798</v>
      </c>
      <c r="AU4" s="844" t="s">
        <v>1483</v>
      </c>
      <c r="AV4" s="844" t="s">
        <v>1484</v>
      </c>
      <c r="AW4" s="844" t="s">
        <v>1484</v>
      </c>
      <c r="AX4" s="844" t="s">
        <v>677</v>
      </c>
      <c r="AY4" s="844" t="s">
        <v>1485</v>
      </c>
      <c r="AZ4" s="844" t="s">
        <v>1485</v>
      </c>
      <c r="BA4" s="844" t="s">
        <v>1486</v>
      </c>
      <c r="BB4" s="844" t="s">
        <v>1486</v>
      </c>
      <c r="BC4" s="844" t="s">
        <v>1486</v>
      </c>
      <c r="BD4" s="844" t="s">
        <v>1486</v>
      </c>
      <c r="BE4" s="844" t="s">
        <v>1486</v>
      </c>
      <c r="BF4" s="844" t="s">
        <v>1487</v>
      </c>
      <c r="BG4" s="844" t="s">
        <v>1487</v>
      </c>
      <c r="BH4" s="844" t="s">
        <v>1488</v>
      </c>
      <c r="BI4" s="844" t="s">
        <v>1488</v>
      </c>
      <c r="BJ4" s="844" t="s">
        <v>1485</v>
      </c>
      <c r="BK4" s="844" t="s">
        <v>1485</v>
      </c>
      <c r="BL4" s="844" t="s">
        <v>1489</v>
      </c>
      <c r="BM4" s="844" t="s">
        <v>1489</v>
      </c>
      <c r="BN4" s="844" t="s">
        <v>677</v>
      </c>
      <c r="BO4" s="844" t="s">
        <v>677</v>
      </c>
      <c r="BP4" s="844" t="s">
        <v>677</v>
      </c>
      <c r="BQ4" s="844" t="s">
        <v>677</v>
      </c>
      <c r="BR4" s="844" t="s">
        <v>677</v>
      </c>
      <c r="BS4" s="844" t="s">
        <v>677</v>
      </c>
      <c r="BT4" s="844" t="s">
        <v>677</v>
      </c>
      <c r="BU4" s="844" t="s">
        <v>1485</v>
      </c>
      <c r="BV4" s="844" t="s">
        <v>1486</v>
      </c>
      <c r="BW4" s="844" t="s">
        <v>606</v>
      </c>
      <c r="BX4" s="844" t="s">
        <v>606</v>
      </c>
      <c r="BY4" s="844" t="s">
        <v>606</v>
      </c>
      <c r="BZ4" s="844" t="s">
        <v>606</v>
      </c>
      <c r="CA4" s="844" t="s">
        <v>1490</v>
      </c>
      <c r="CB4" s="844" t="s">
        <v>1490</v>
      </c>
      <c r="CC4" s="844" t="s">
        <v>1491</v>
      </c>
      <c r="CD4" s="844" t="s">
        <v>1491</v>
      </c>
      <c r="CE4" s="844" t="s">
        <v>1491</v>
      </c>
      <c r="CF4" s="844" t="s">
        <v>804</v>
      </c>
      <c r="CG4" s="844" t="s">
        <v>798</v>
      </c>
      <c r="CH4" s="844" t="s">
        <v>1492</v>
      </c>
      <c r="CI4" s="844" t="s">
        <v>1493</v>
      </c>
      <c r="CJ4" s="844" t="s">
        <v>1493</v>
      </c>
      <c r="CK4" s="844" t="s">
        <v>1493</v>
      </c>
      <c r="CL4" s="844" t="s">
        <v>1494</v>
      </c>
      <c r="CM4" s="844" t="s">
        <v>1494</v>
      </c>
      <c r="CN4" s="844" t="s">
        <v>1494</v>
      </c>
      <c r="CO4" s="844" t="s">
        <v>1494</v>
      </c>
      <c r="CP4" s="844" t="s">
        <v>1487</v>
      </c>
      <c r="CQ4" s="844" t="s">
        <v>1495</v>
      </c>
      <c r="CR4" s="844" t="s">
        <v>1495</v>
      </c>
      <c r="CS4" s="844" t="s">
        <v>1483</v>
      </c>
      <c r="CT4" s="844" t="s">
        <v>1483</v>
      </c>
      <c r="CU4" s="844" t="s">
        <v>1483</v>
      </c>
      <c r="CV4" s="844" t="s">
        <v>1483</v>
      </c>
      <c r="CW4" s="844" t="s">
        <v>1483</v>
      </c>
      <c r="CX4" s="844" t="s">
        <v>1483</v>
      </c>
      <c r="CY4" s="844" t="s">
        <v>677</v>
      </c>
      <c r="CZ4" s="844" t="s">
        <v>804</v>
      </c>
      <c r="DA4" s="844" t="s">
        <v>804</v>
      </c>
      <c r="DB4" s="844" t="s">
        <v>1496</v>
      </c>
      <c r="DC4" s="844" t="s">
        <v>645</v>
      </c>
      <c r="DD4" s="844" t="s">
        <v>645</v>
      </c>
      <c r="DE4" s="844" t="s">
        <v>645</v>
      </c>
      <c r="DF4" s="844" t="s">
        <v>645</v>
      </c>
      <c r="DG4" s="844" t="s">
        <v>645</v>
      </c>
      <c r="DH4" s="844" t="s">
        <v>645</v>
      </c>
      <c r="DI4" s="844" t="s">
        <v>645</v>
      </c>
      <c r="DJ4" s="844" t="s">
        <v>803</v>
      </c>
      <c r="DK4" s="844" t="s">
        <v>1497</v>
      </c>
      <c r="DL4" s="844" t="s">
        <v>1497</v>
      </c>
      <c r="DM4" s="844" t="s">
        <v>1497</v>
      </c>
      <c r="DN4" s="844" t="s">
        <v>1497</v>
      </c>
      <c r="DO4" s="844" t="s">
        <v>1497</v>
      </c>
      <c r="DP4" s="844" t="s">
        <v>1497</v>
      </c>
      <c r="DQ4" s="844" t="s">
        <v>1497</v>
      </c>
      <c r="DR4" s="844"/>
      <c r="DS4" s="844" t="s">
        <v>1498</v>
      </c>
      <c r="DT4" s="844" t="s">
        <v>1498</v>
      </c>
      <c r="DU4" s="844" t="s">
        <v>1498</v>
      </c>
      <c r="DV4" s="844" t="s">
        <v>1498</v>
      </c>
      <c r="DW4" s="844" t="s">
        <v>1498</v>
      </c>
      <c r="DX4" s="844" t="s">
        <v>1498</v>
      </c>
      <c r="DY4" s="844" t="s">
        <v>1498</v>
      </c>
      <c r="DZ4" s="844" t="s">
        <v>1498</v>
      </c>
      <c r="EA4" s="844" t="s">
        <v>677</v>
      </c>
      <c r="EB4" s="844" t="s">
        <v>1483</v>
      </c>
      <c r="EC4" s="844" t="s">
        <v>1484</v>
      </c>
      <c r="ED4" s="844" t="s">
        <v>1484</v>
      </c>
      <c r="EE4" s="844" t="s">
        <v>804</v>
      </c>
      <c r="EF4" s="844" t="s">
        <v>1484</v>
      </c>
      <c r="EG4" s="844" t="s">
        <v>1484</v>
      </c>
      <c r="EH4" s="844" t="s">
        <v>1483</v>
      </c>
      <c r="EI4" s="844" t="s">
        <v>1483</v>
      </c>
      <c r="EJ4" s="844" t="s">
        <v>1284</v>
      </c>
      <c r="EK4" s="844" t="s">
        <v>1284</v>
      </c>
      <c r="EL4" s="858" t="s">
        <v>1284</v>
      </c>
      <c r="EM4" s="858" t="s">
        <v>1284</v>
      </c>
      <c r="EN4" s="858" t="s">
        <v>1284</v>
      </c>
      <c r="EO4" s="858" t="s">
        <v>1284</v>
      </c>
      <c r="EP4" s="858" t="s">
        <v>797</v>
      </c>
      <c r="EQ4" s="858" t="s">
        <v>797</v>
      </c>
      <c r="ER4" s="858" t="s">
        <v>797</v>
      </c>
      <c r="ES4" s="858" t="s">
        <v>797</v>
      </c>
      <c r="ET4" s="844" t="s">
        <v>1284</v>
      </c>
      <c r="EU4" s="858" t="s">
        <v>797</v>
      </c>
      <c r="EV4" s="858" t="s">
        <v>797</v>
      </c>
      <c r="EW4" s="858" t="s">
        <v>797</v>
      </c>
      <c r="EX4" s="844" t="s">
        <v>1284</v>
      </c>
      <c r="EY4" s="844" t="s">
        <v>679</v>
      </c>
      <c r="EZ4" s="844" t="s">
        <v>679</v>
      </c>
      <c r="FA4" s="844" t="s">
        <v>679</v>
      </c>
      <c r="FB4" s="844" t="s">
        <v>679</v>
      </c>
      <c r="FC4" s="844" t="s">
        <v>679</v>
      </c>
      <c r="FD4" s="844" t="s">
        <v>1279</v>
      </c>
      <c r="FE4" s="844" t="s">
        <v>1279</v>
      </c>
      <c r="FF4" s="844" t="s">
        <v>1279</v>
      </c>
      <c r="FG4" s="844" t="s">
        <v>1499</v>
      </c>
      <c r="FH4" s="844" t="s">
        <v>1499</v>
      </c>
      <c r="FI4" s="844" t="s">
        <v>1499</v>
      </c>
      <c r="FJ4" s="844" t="s">
        <v>1499</v>
      </c>
      <c r="FK4" s="844" t="s">
        <v>1499</v>
      </c>
      <c r="FL4" s="844"/>
      <c r="FM4" s="845" t="n">
        <v>730</v>
      </c>
      <c r="FN4" s="844"/>
      <c r="FO4" s="844"/>
      <c r="FP4" s="860" t="s">
        <v>1500</v>
      </c>
      <c r="FQ4" s="860" t="s">
        <v>1500</v>
      </c>
      <c r="FR4" s="860" t="s">
        <v>1500</v>
      </c>
      <c r="FS4" s="860" t="s">
        <v>1500</v>
      </c>
      <c r="FT4" s="860" t="s">
        <v>1500</v>
      </c>
      <c r="FU4" s="860" t="s">
        <v>1500</v>
      </c>
      <c r="FV4" s="860" t="s">
        <v>1500</v>
      </c>
      <c r="FW4" s="860" t="s">
        <v>1500</v>
      </c>
      <c r="FX4" s="860" t="s">
        <v>1500</v>
      </c>
      <c r="FY4" s="860" t="s">
        <v>1500</v>
      </c>
      <c r="FZ4" s="860" t="s">
        <v>1500</v>
      </c>
      <c r="GA4" s="860" t="s">
        <v>1500</v>
      </c>
      <c r="GB4" s="860" t="s">
        <v>1500</v>
      </c>
      <c r="GC4" s="860" t="s">
        <v>1500</v>
      </c>
      <c r="GD4" s="860" t="s">
        <v>1500</v>
      </c>
      <c r="GE4" s="860" t="s">
        <v>1500</v>
      </c>
      <c r="GF4" s="860" t="s">
        <v>1500</v>
      </c>
      <c r="GG4" s="860" t="s">
        <v>1500</v>
      </c>
      <c r="GH4" s="860"/>
      <c r="GI4" s="844"/>
      <c r="GJ4" s="844"/>
      <c r="GK4" s="844"/>
      <c r="GL4" s="844"/>
      <c r="GM4" s="844"/>
      <c r="GN4" s="844"/>
      <c r="GO4" s="844"/>
      <c r="GP4" s="844"/>
      <c r="GQ4" s="844"/>
      <c r="GR4" s="844"/>
      <c r="GS4" s="844"/>
      <c r="GT4" s="844"/>
      <c r="GU4" s="844"/>
      <c r="GV4" s="844"/>
      <c r="GW4" s="844"/>
      <c r="GX4" s="844"/>
      <c r="GY4" s="844"/>
      <c r="GZ4" s="844"/>
      <c r="HA4" s="844"/>
      <c r="HB4" s="844"/>
      <c r="HC4" s="844"/>
      <c r="HD4" s="844"/>
      <c r="HE4" s="844"/>
      <c r="HF4" s="844"/>
      <c r="HG4" s="844"/>
      <c r="HH4" s="844"/>
      <c r="HI4" s="844"/>
      <c r="HJ4" s="844"/>
      <c r="HK4" s="844"/>
      <c r="HL4" s="844"/>
      <c r="HM4" s="844"/>
      <c r="HN4" s="844"/>
      <c r="HO4" s="844"/>
      <c r="HP4" s="844"/>
      <c r="HQ4" s="844"/>
      <c r="HR4" s="844"/>
      <c r="HS4" s="844"/>
      <c r="HT4" s="844"/>
      <c r="HU4" s="844"/>
      <c r="HV4" s="844"/>
      <c r="HW4" s="844"/>
      <c r="HX4" s="844"/>
      <c r="HY4" s="844"/>
      <c r="HZ4" s="844"/>
      <c r="IA4" s="844"/>
      <c r="IB4" s="844"/>
      <c r="IC4" s="844"/>
      <c r="ID4" s="844"/>
      <c r="IE4" s="844"/>
      <c r="IF4" s="844"/>
      <c r="IG4" s="844"/>
      <c r="IH4" s="844"/>
      <c r="II4" s="844"/>
      <c r="IJ4" s="844"/>
      <c r="IK4" s="844"/>
      <c r="IL4" s="844"/>
      <c r="IM4" s="844"/>
      <c r="IN4" s="844"/>
      <c r="IO4" s="844"/>
      <c r="IP4" s="844"/>
      <c r="IQ4" s="844"/>
      <c r="IR4" s="844"/>
      <c r="IS4" s="844"/>
      <c r="IT4" s="844"/>
      <c r="IU4" s="844"/>
      <c r="IV4" s="844"/>
      <c r="IW4" s="844"/>
      <c r="IX4" s="844"/>
      <c r="IY4" s="844"/>
      <c r="IZ4" s="844"/>
      <c r="JA4" s="844"/>
      <c r="JB4" s="844"/>
      <c r="JC4" s="844"/>
      <c r="JD4" s="844"/>
      <c r="JG4" s="844"/>
      <c r="JM4" s="844"/>
    </row>
    <row r="5" s="837" customFormat="true" ht="18.75" hidden="false" customHeight="false" outlineLevel="0" collapsed="false">
      <c r="A5" s="859" t="s">
        <v>1501</v>
      </c>
      <c r="B5" s="859"/>
      <c r="C5" s="844" t="s">
        <v>1502</v>
      </c>
      <c r="D5" s="844" t="s">
        <v>1502</v>
      </c>
      <c r="E5" s="856" t="s">
        <v>1502</v>
      </c>
      <c r="F5" s="856" t="s">
        <v>1502</v>
      </c>
      <c r="G5" s="856" t="s">
        <v>1502</v>
      </c>
      <c r="H5" s="844" t="s">
        <v>1502</v>
      </c>
      <c r="I5" s="844" t="s">
        <v>1502</v>
      </c>
      <c r="J5" s="844" t="s">
        <v>1503</v>
      </c>
      <c r="K5" s="844" t="s">
        <v>1503</v>
      </c>
      <c r="L5" s="844" t="s">
        <v>1502</v>
      </c>
      <c r="M5" s="844" t="s">
        <v>1502</v>
      </c>
      <c r="N5" s="844" t="s">
        <v>1504</v>
      </c>
      <c r="O5" s="844" t="s">
        <v>1502</v>
      </c>
      <c r="P5" s="844" t="s">
        <v>1502</v>
      </c>
      <c r="Q5" s="844" t="s">
        <v>1502</v>
      </c>
      <c r="R5" s="844" t="s">
        <v>1502</v>
      </c>
      <c r="S5" s="844" t="s">
        <v>1502</v>
      </c>
      <c r="T5" s="844" t="s">
        <v>1502</v>
      </c>
      <c r="U5" s="844" t="s">
        <v>1502</v>
      </c>
      <c r="V5" s="844" t="s">
        <v>1502</v>
      </c>
      <c r="W5" s="844"/>
      <c r="X5" s="844"/>
      <c r="Y5" s="844" t="s">
        <v>1502</v>
      </c>
      <c r="Z5" s="844" t="s">
        <v>1502</v>
      </c>
      <c r="AA5" s="844" t="s">
        <v>1503</v>
      </c>
      <c r="AB5" s="844" t="s">
        <v>1503</v>
      </c>
      <c r="AC5" s="844" t="s">
        <v>1502</v>
      </c>
      <c r="AD5" s="844" t="s">
        <v>1502</v>
      </c>
      <c r="AE5" s="844" t="s">
        <v>1502</v>
      </c>
      <c r="AF5" s="844" t="s">
        <v>1504</v>
      </c>
      <c r="AG5" s="844" t="s">
        <v>1504</v>
      </c>
      <c r="AH5" s="844" t="s">
        <v>1504</v>
      </c>
      <c r="AI5" s="844" t="s">
        <v>1504</v>
      </c>
      <c r="AJ5" s="844" t="s">
        <v>1504</v>
      </c>
      <c r="AK5" s="844" t="s">
        <v>1504</v>
      </c>
      <c r="AL5" s="844" t="s">
        <v>1504</v>
      </c>
      <c r="AM5" s="844" t="s">
        <v>1504</v>
      </c>
      <c r="AN5" s="844" t="s">
        <v>1504</v>
      </c>
      <c r="AO5" s="844" t="s">
        <v>1504</v>
      </c>
      <c r="AP5" s="844" t="s">
        <v>1504</v>
      </c>
      <c r="AQ5" s="844" t="s">
        <v>1502</v>
      </c>
      <c r="AR5" s="844" t="s">
        <v>1502</v>
      </c>
      <c r="AS5" s="844" t="s">
        <v>1502</v>
      </c>
      <c r="AT5" s="844" t="s">
        <v>1502</v>
      </c>
      <c r="AU5" s="844" t="s">
        <v>1505</v>
      </c>
      <c r="AV5" s="844" t="s">
        <v>1505</v>
      </c>
      <c r="AW5" s="844" t="s">
        <v>1505</v>
      </c>
      <c r="AX5" s="844" t="s">
        <v>1503</v>
      </c>
      <c r="AY5" s="844" t="s">
        <v>1505</v>
      </c>
      <c r="AZ5" s="844" t="s">
        <v>1505</v>
      </c>
      <c r="BA5" s="844" t="s">
        <v>1502</v>
      </c>
      <c r="BB5" s="844" t="s">
        <v>1502</v>
      </c>
      <c r="BC5" s="844" t="s">
        <v>1502</v>
      </c>
      <c r="BD5" s="844" t="s">
        <v>1502</v>
      </c>
      <c r="BE5" s="844" t="s">
        <v>1502</v>
      </c>
      <c r="BF5" s="844" t="s">
        <v>1503</v>
      </c>
      <c r="BG5" s="844" t="s">
        <v>1503</v>
      </c>
      <c r="BH5" s="844" t="s">
        <v>1506</v>
      </c>
      <c r="BI5" s="844" t="s">
        <v>1503</v>
      </c>
      <c r="BJ5" s="844" t="s">
        <v>1505</v>
      </c>
      <c r="BK5" s="844" t="s">
        <v>1505</v>
      </c>
      <c r="BL5" s="844" t="s">
        <v>1502</v>
      </c>
      <c r="BM5" s="844" t="s">
        <v>1502</v>
      </c>
      <c r="BN5" s="844" t="s">
        <v>1503</v>
      </c>
      <c r="BO5" s="844" t="s">
        <v>1503</v>
      </c>
      <c r="BP5" s="844" t="s">
        <v>1503</v>
      </c>
      <c r="BQ5" s="844" t="s">
        <v>1503</v>
      </c>
      <c r="BR5" s="844" t="s">
        <v>1502</v>
      </c>
      <c r="BS5" s="844" t="s">
        <v>1502</v>
      </c>
      <c r="BT5" s="844" t="s">
        <v>1502</v>
      </c>
      <c r="BU5" s="844" t="s">
        <v>1505</v>
      </c>
      <c r="BV5" s="844" t="s">
        <v>1503</v>
      </c>
      <c r="BW5" s="844" t="s">
        <v>1503</v>
      </c>
      <c r="BX5" s="844" t="s">
        <v>1503</v>
      </c>
      <c r="BY5" s="844" t="s">
        <v>1503</v>
      </c>
      <c r="BZ5" s="844" t="s">
        <v>1503</v>
      </c>
      <c r="CA5" s="844" t="s">
        <v>1505</v>
      </c>
      <c r="CB5" s="844" t="s">
        <v>1505</v>
      </c>
      <c r="CC5" s="844" t="s">
        <v>1503</v>
      </c>
      <c r="CD5" s="844" t="s">
        <v>1502</v>
      </c>
      <c r="CE5" s="844" t="s">
        <v>1502</v>
      </c>
      <c r="CF5" s="844" t="s">
        <v>1502</v>
      </c>
      <c r="CG5" s="844" t="s">
        <v>1502</v>
      </c>
      <c r="CH5" s="844" t="s">
        <v>1505</v>
      </c>
      <c r="CI5" s="844" t="s">
        <v>1506</v>
      </c>
      <c r="CJ5" s="844" t="s">
        <v>1506</v>
      </c>
      <c r="CK5" s="844" t="s">
        <v>1506</v>
      </c>
      <c r="CL5" s="844" t="s">
        <v>1503</v>
      </c>
      <c r="CM5" s="844" t="s">
        <v>1502</v>
      </c>
      <c r="CN5" s="844" t="s">
        <v>1502</v>
      </c>
      <c r="CO5" s="844" t="s">
        <v>1502</v>
      </c>
      <c r="CP5" s="844" t="s">
        <v>1503</v>
      </c>
      <c r="CQ5" s="844" t="s">
        <v>1505</v>
      </c>
      <c r="CR5" s="844" t="s">
        <v>1505</v>
      </c>
      <c r="CS5" s="844" t="s">
        <v>1505</v>
      </c>
      <c r="CT5" s="844" t="s">
        <v>1505</v>
      </c>
      <c r="CU5" s="844" t="s">
        <v>1505</v>
      </c>
      <c r="CV5" s="844" t="s">
        <v>1505</v>
      </c>
      <c r="CW5" s="844" t="s">
        <v>1505</v>
      </c>
      <c r="CX5" s="844" t="s">
        <v>1505</v>
      </c>
      <c r="CY5" s="844" t="s">
        <v>1503</v>
      </c>
      <c r="CZ5" s="844" t="s">
        <v>1503</v>
      </c>
      <c r="DA5" s="844" t="s">
        <v>1502</v>
      </c>
      <c r="DB5" s="844" t="s">
        <v>1505</v>
      </c>
      <c r="DC5" s="844" t="s">
        <v>1503</v>
      </c>
      <c r="DD5" s="844" t="s">
        <v>1503</v>
      </c>
      <c r="DE5" s="844" t="s">
        <v>1502</v>
      </c>
      <c r="DF5" s="844" t="s">
        <v>1502</v>
      </c>
      <c r="DG5" s="844" t="s">
        <v>1502</v>
      </c>
      <c r="DH5" s="844" t="s">
        <v>1502</v>
      </c>
      <c r="DI5" s="844" t="s">
        <v>1502</v>
      </c>
      <c r="DJ5" s="844" t="s">
        <v>1502</v>
      </c>
      <c r="DK5" s="844" t="s">
        <v>1503</v>
      </c>
      <c r="DL5" s="844" t="s">
        <v>1502</v>
      </c>
      <c r="DM5" s="844" t="s">
        <v>1502</v>
      </c>
      <c r="DN5" s="844" t="s">
        <v>1502</v>
      </c>
      <c r="DO5" s="844" t="s">
        <v>1502</v>
      </c>
      <c r="DP5" s="844" t="s">
        <v>1503</v>
      </c>
      <c r="DQ5" s="844" t="s">
        <v>1503</v>
      </c>
      <c r="DR5" s="844" t="s">
        <v>1505</v>
      </c>
      <c r="DS5" s="844" t="s">
        <v>1503</v>
      </c>
      <c r="DT5" s="844" t="s">
        <v>1502</v>
      </c>
      <c r="DU5" s="844" t="s">
        <v>1502</v>
      </c>
      <c r="DV5" s="844" t="s">
        <v>1502</v>
      </c>
      <c r="DW5" s="844" t="s">
        <v>1502</v>
      </c>
      <c r="DX5" s="844" t="s">
        <v>1502</v>
      </c>
      <c r="DY5" s="844" t="s">
        <v>1502</v>
      </c>
      <c r="DZ5" s="844" t="s">
        <v>1502</v>
      </c>
      <c r="EA5" s="844" t="s">
        <v>1503</v>
      </c>
      <c r="EB5" s="844" t="s">
        <v>1505</v>
      </c>
      <c r="EC5" s="844" t="s">
        <v>1505</v>
      </c>
      <c r="ED5" s="844" t="s">
        <v>1505</v>
      </c>
      <c r="EE5" s="844" t="s">
        <v>1502</v>
      </c>
      <c r="EF5" s="844" t="s">
        <v>1505</v>
      </c>
      <c r="EG5" s="844" t="s">
        <v>1505</v>
      </c>
      <c r="EH5" s="844" t="s">
        <v>1505</v>
      </c>
      <c r="EI5" s="844" t="s">
        <v>1505</v>
      </c>
      <c r="EJ5" s="844" t="s">
        <v>1505</v>
      </c>
      <c r="EK5" s="844" t="s">
        <v>1505</v>
      </c>
      <c r="EL5" s="858" t="s">
        <v>1505</v>
      </c>
      <c r="EM5" s="858" t="s">
        <v>1505</v>
      </c>
      <c r="EN5" s="858" t="s">
        <v>1505</v>
      </c>
      <c r="EO5" s="858" t="s">
        <v>1505</v>
      </c>
      <c r="EP5" s="858" t="s">
        <v>1502</v>
      </c>
      <c r="EQ5" s="858" t="s">
        <v>1502</v>
      </c>
      <c r="ER5" s="858" t="s">
        <v>1502</v>
      </c>
      <c r="ES5" s="858" t="s">
        <v>1502</v>
      </c>
      <c r="ET5" s="844" t="s">
        <v>1504</v>
      </c>
      <c r="EU5" s="858" t="s">
        <v>1502</v>
      </c>
      <c r="EV5" s="858" t="s">
        <v>1502</v>
      </c>
      <c r="EW5" s="858" t="s">
        <v>1502</v>
      </c>
      <c r="EX5" s="844" t="s">
        <v>1504</v>
      </c>
      <c r="EY5" s="844" t="s">
        <v>1503</v>
      </c>
      <c r="EZ5" s="844" t="s">
        <v>1503</v>
      </c>
      <c r="FA5" s="844" t="s">
        <v>1503</v>
      </c>
      <c r="FB5" s="844" t="s">
        <v>1502</v>
      </c>
      <c r="FC5" s="844" t="s">
        <v>1502</v>
      </c>
      <c r="FD5" s="844" t="s">
        <v>1505</v>
      </c>
      <c r="FE5" s="844" t="s">
        <v>1505</v>
      </c>
      <c r="FF5" s="844" t="s">
        <v>1505</v>
      </c>
      <c r="FG5" s="844" t="s">
        <v>1503</v>
      </c>
      <c r="FH5" s="844" t="s">
        <v>1503</v>
      </c>
      <c r="FI5" s="844" t="s">
        <v>1503</v>
      </c>
      <c r="FJ5" s="844" t="s">
        <v>1503</v>
      </c>
      <c r="FK5" s="844" t="s">
        <v>1503</v>
      </c>
      <c r="FL5" s="844" t="s">
        <v>1502</v>
      </c>
      <c r="FM5" s="845" t="n">
        <v>730</v>
      </c>
      <c r="FN5" s="844"/>
      <c r="FO5" s="844"/>
      <c r="FP5" s="844" t="s">
        <v>1502</v>
      </c>
      <c r="FQ5" s="844" t="s">
        <v>1502</v>
      </c>
      <c r="FR5" s="844" t="s">
        <v>1502</v>
      </c>
      <c r="FS5" s="844" t="s">
        <v>1502</v>
      </c>
      <c r="FT5" s="844" t="s">
        <v>1502</v>
      </c>
      <c r="FU5" s="844" t="s">
        <v>1502</v>
      </c>
      <c r="FV5" s="844" t="s">
        <v>1502</v>
      </c>
      <c r="FW5" s="844" t="s">
        <v>1502</v>
      </c>
      <c r="FX5" s="844" t="s">
        <v>1502</v>
      </c>
      <c r="FY5" s="844" t="s">
        <v>1502</v>
      </c>
      <c r="FZ5" s="844" t="s">
        <v>1502</v>
      </c>
      <c r="GA5" s="844" t="s">
        <v>1502</v>
      </c>
      <c r="GB5" s="844" t="s">
        <v>1502</v>
      </c>
      <c r="GC5" s="844" t="s">
        <v>1502</v>
      </c>
      <c r="GD5" s="844" t="s">
        <v>1502</v>
      </c>
      <c r="GE5" s="844" t="s">
        <v>1502</v>
      </c>
      <c r="GF5" s="844" t="s">
        <v>1502</v>
      </c>
      <c r="GG5" s="844" t="s">
        <v>1502</v>
      </c>
      <c r="GH5" s="844"/>
      <c r="GI5" s="844"/>
      <c r="GJ5" s="844"/>
      <c r="GK5" s="844"/>
      <c r="GL5" s="844"/>
      <c r="GM5" s="844"/>
      <c r="GN5" s="844"/>
      <c r="GO5" s="844"/>
      <c r="GP5" s="844"/>
      <c r="GQ5" s="844"/>
      <c r="GR5" s="844"/>
      <c r="GS5" s="844"/>
      <c r="GT5" s="844"/>
      <c r="GU5" s="844"/>
      <c r="GV5" s="844"/>
      <c r="GW5" s="844"/>
      <c r="GX5" s="844"/>
      <c r="GY5" s="844"/>
      <c r="GZ5" s="844"/>
      <c r="HA5" s="844"/>
      <c r="HB5" s="844"/>
      <c r="HC5" s="844"/>
      <c r="HD5" s="844"/>
      <c r="HE5" s="844"/>
      <c r="HF5" s="844"/>
      <c r="HG5" s="844"/>
      <c r="HH5" s="844"/>
      <c r="HI5" s="844"/>
      <c r="HJ5" s="844"/>
      <c r="HK5" s="844"/>
      <c r="HL5" s="844"/>
      <c r="HM5" s="844"/>
      <c r="HN5" s="844"/>
      <c r="HO5" s="844"/>
      <c r="HP5" s="844"/>
      <c r="HQ5" s="844"/>
      <c r="HR5" s="844"/>
      <c r="HS5" s="844"/>
      <c r="HT5" s="844"/>
      <c r="HU5" s="844"/>
      <c r="HV5" s="844"/>
      <c r="HW5" s="844"/>
      <c r="HX5" s="844"/>
      <c r="HY5" s="844"/>
      <c r="HZ5" s="844"/>
      <c r="IA5" s="844"/>
      <c r="IB5" s="844"/>
      <c r="IC5" s="844"/>
      <c r="ID5" s="844"/>
      <c r="IE5" s="844"/>
      <c r="IF5" s="844"/>
      <c r="IG5" s="844"/>
      <c r="IH5" s="844"/>
      <c r="II5" s="844"/>
      <c r="IJ5" s="844"/>
      <c r="IK5" s="844"/>
      <c r="IL5" s="844"/>
      <c r="IM5" s="844"/>
      <c r="IN5" s="844"/>
      <c r="IO5" s="844"/>
      <c r="IP5" s="844"/>
      <c r="IQ5" s="844"/>
      <c r="IR5" s="844"/>
      <c r="IS5" s="844"/>
      <c r="IT5" s="844"/>
      <c r="IU5" s="844"/>
      <c r="IV5" s="844"/>
      <c r="IW5" s="844"/>
      <c r="IX5" s="844"/>
      <c r="IY5" s="844"/>
      <c r="IZ5" s="844"/>
      <c r="JA5" s="844"/>
      <c r="JB5" s="844"/>
      <c r="JC5" s="844"/>
      <c r="JD5" s="844"/>
      <c r="JE5" s="844"/>
      <c r="JF5" s="844"/>
      <c r="JG5" s="844"/>
      <c r="JH5" s="844"/>
      <c r="JI5" s="844"/>
      <c r="JK5" s="844"/>
      <c r="JM5" s="844"/>
    </row>
    <row r="6" customFormat="false" ht="18.75" hidden="false" customHeight="false" outlineLevel="0" collapsed="false">
      <c r="A6" s="859" t="s">
        <v>1507</v>
      </c>
      <c r="B6" s="859"/>
      <c r="C6" s="844" t="s">
        <v>1508</v>
      </c>
      <c r="D6" s="844" t="s">
        <v>1508</v>
      </c>
      <c r="E6" s="856" t="s">
        <v>1508</v>
      </c>
      <c r="F6" s="856" t="s">
        <v>1508</v>
      </c>
      <c r="G6" s="856" t="s">
        <v>1508</v>
      </c>
      <c r="H6" s="844" t="s">
        <v>1508</v>
      </c>
      <c r="I6" s="844" t="s">
        <v>1508</v>
      </c>
      <c r="J6" s="844" t="s">
        <v>1509</v>
      </c>
      <c r="K6" s="844" t="s">
        <v>1509</v>
      </c>
      <c r="L6" s="844" t="s">
        <v>1508</v>
      </c>
      <c r="M6" s="844" t="s">
        <v>1508</v>
      </c>
      <c r="N6" s="844" t="s">
        <v>1510</v>
      </c>
      <c r="O6" s="844" t="s">
        <v>1508</v>
      </c>
      <c r="P6" s="844" t="s">
        <v>1508</v>
      </c>
      <c r="Q6" s="844" t="s">
        <v>1508</v>
      </c>
      <c r="R6" s="844" t="s">
        <v>1508</v>
      </c>
      <c r="S6" s="844" t="s">
        <v>1508</v>
      </c>
      <c r="T6" s="844" t="s">
        <v>1508</v>
      </c>
      <c r="U6" s="844" t="s">
        <v>1508</v>
      </c>
      <c r="V6" s="844" t="s">
        <v>1508</v>
      </c>
      <c r="W6" s="844" t="s">
        <v>1508</v>
      </c>
      <c r="X6" s="844" t="s">
        <v>1508</v>
      </c>
      <c r="Y6" s="844" t="s">
        <v>1508</v>
      </c>
      <c r="Z6" s="844" t="s">
        <v>1508</v>
      </c>
      <c r="AA6" s="844" t="s">
        <v>1508</v>
      </c>
      <c r="AB6" s="844" t="s">
        <v>1508</v>
      </c>
      <c r="AC6" s="844" t="s">
        <v>1508</v>
      </c>
      <c r="AD6" s="844" t="s">
        <v>1508</v>
      </c>
      <c r="AE6" s="844" t="s">
        <v>1508</v>
      </c>
      <c r="AF6" s="844" t="s">
        <v>1510</v>
      </c>
      <c r="AG6" s="844" t="s">
        <v>1510</v>
      </c>
      <c r="AH6" s="844" t="s">
        <v>1510</v>
      </c>
      <c r="AI6" s="844" t="s">
        <v>1510</v>
      </c>
      <c r="AJ6" s="844" t="s">
        <v>1510</v>
      </c>
      <c r="AK6" s="844" t="s">
        <v>1510</v>
      </c>
      <c r="AL6" s="844" t="s">
        <v>1510</v>
      </c>
      <c r="AM6" s="844" t="s">
        <v>1510</v>
      </c>
      <c r="AN6" s="844" t="s">
        <v>1510</v>
      </c>
      <c r="AO6" s="844" t="s">
        <v>1510</v>
      </c>
      <c r="AP6" s="844" t="s">
        <v>1510</v>
      </c>
      <c r="AQ6" s="844" t="s">
        <v>1509</v>
      </c>
      <c r="AR6" s="844" t="s">
        <v>1509</v>
      </c>
      <c r="AS6" s="844" t="s">
        <v>1509</v>
      </c>
      <c r="AT6" s="844" t="s">
        <v>1508</v>
      </c>
      <c r="AU6" s="844" t="s">
        <v>1511</v>
      </c>
      <c r="AV6" s="844" t="s">
        <v>1511</v>
      </c>
      <c r="AW6" s="844" t="s">
        <v>1512</v>
      </c>
      <c r="AX6" s="844" t="s">
        <v>1509</v>
      </c>
      <c r="AY6" s="844" t="s">
        <v>1510</v>
      </c>
      <c r="AZ6" s="844" t="s">
        <v>1510</v>
      </c>
      <c r="BA6" s="844" t="s">
        <v>1513</v>
      </c>
      <c r="BB6" s="844" t="s">
        <v>1513</v>
      </c>
      <c r="BC6" s="844" t="s">
        <v>1513</v>
      </c>
      <c r="BD6" s="844" t="s">
        <v>1513</v>
      </c>
      <c r="BE6" s="844" t="s">
        <v>1513</v>
      </c>
      <c r="BF6" s="844" t="s">
        <v>1509</v>
      </c>
      <c r="BG6" s="844" t="s">
        <v>1509</v>
      </c>
      <c r="BH6" s="844" t="s">
        <v>1509</v>
      </c>
      <c r="BI6" s="844" t="s">
        <v>1509</v>
      </c>
      <c r="BJ6" s="844" t="s">
        <v>1510</v>
      </c>
      <c r="BK6" s="844" t="s">
        <v>1510</v>
      </c>
      <c r="BL6" s="844" t="s">
        <v>1508</v>
      </c>
      <c r="BM6" s="844" t="s">
        <v>1508</v>
      </c>
      <c r="BN6" s="844" t="s">
        <v>1509</v>
      </c>
      <c r="BO6" s="844" t="s">
        <v>1509</v>
      </c>
      <c r="BP6" s="844" t="s">
        <v>1509</v>
      </c>
      <c r="BQ6" s="844" t="s">
        <v>1509</v>
      </c>
      <c r="BR6" s="844" t="s">
        <v>1508</v>
      </c>
      <c r="BS6" s="844" t="s">
        <v>1508</v>
      </c>
      <c r="BT6" s="844" t="s">
        <v>1508</v>
      </c>
      <c r="BU6" s="844" t="s">
        <v>1510</v>
      </c>
      <c r="BV6" s="844" t="s">
        <v>1513</v>
      </c>
      <c r="BW6" s="844" t="s">
        <v>1509</v>
      </c>
      <c r="BX6" s="844" t="s">
        <v>1513</v>
      </c>
      <c r="BY6" s="844" t="s">
        <v>1513</v>
      </c>
      <c r="BZ6" s="844" t="s">
        <v>1513</v>
      </c>
      <c r="CA6" s="844" t="s">
        <v>1510</v>
      </c>
      <c r="CB6" s="844" t="s">
        <v>1510</v>
      </c>
      <c r="CC6" s="844" t="s">
        <v>1509</v>
      </c>
      <c r="CD6" s="844" t="s">
        <v>1508</v>
      </c>
      <c r="CE6" s="844" t="s">
        <v>1508</v>
      </c>
      <c r="CF6" s="844" t="s">
        <v>1508</v>
      </c>
      <c r="CG6" s="844" t="s">
        <v>1508</v>
      </c>
      <c r="CH6" s="844" t="s">
        <v>1510</v>
      </c>
      <c r="CI6" s="844" t="s">
        <v>1510</v>
      </c>
      <c r="CJ6" s="844" t="s">
        <v>1510</v>
      </c>
      <c r="CK6" s="844" t="s">
        <v>1510</v>
      </c>
      <c r="CL6" s="844" t="s">
        <v>1509</v>
      </c>
      <c r="CM6" s="844" t="s">
        <v>1508</v>
      </c>
      <c r="CN6" s="844" t="s">
        <v>1508</v>
      </c>
      <c r="CO6" s="844" t="s">
        <v>1508</v>
      </c>
      <c r="CP6" s="844" t="s">
        <v>1509</v>
      </c>
      <c r="CQ6" s="844" t="s">
        <v>1510</v>
      </c>
      <c r="CR6" s="844" t="s">
        <v>1510</v>
      </c>
      <c r="CS6" s="844" t="s">
        <v>1511</v>
      </c>
      <c r="CT6" s="844" t="s">
        <v>1511</v>
      </c>
      <c r="CU6" s="844" t="s">
        <v>1511</v>
      </c>
      <c r="CV6" s="844" t="s">
        <v>1512</v>
      </c>
      <c r="CW6" s="844" t="s">
        <v>1512</v>
      </c>
      <c r="CX6" s="844" t="s">
        <v>1512</v>
      </c>
      <c r="CY6" s="844" t="s">
        <v>1509</v>
      </c>
      <c r="CZ6" s="844" t="s">
        <v>1509</v>
      </c>
      <c r="DA6" s="844" t="s">
        <v>1508</v>
      </c>
      <c r="DB6" s="844" t="s">
        <v>1510</v>
      </c>
      <c r="DC6" s="844" t="s">
        <v>1509</v>
      </c>
      <c r="DD6" s="844" t="s">
        <v>1509</v>
      </c>
      <c r="DE6" s="844" t="s">
        <v>1508</v>
      </c>
      <c r="DF6" s="844" t="s">
        <v>1508</v>
      </c>
      <c r="DG6" s="844" t="s">
        <v>1508</v>
      </c>
      <c r="DH6" s="844" t="s">
        <v>1508</v>
      </c>
      <c r="DI6" s="844" t="s">
        <v>1508</v>
      </c>
      <c r="DJ6" s="844" t="s">
        <v>1508</v>
      </c>
      <c r="DK6" s="844" t="s">
        <v>1509</v>
      </c>
      <c r="DL6" s="844" t="s">
        <v>1508</v>
      </c>
      <c r="DM6" s="844" t="s">
        <v>1508</v>
      </c>
      <c r="DN6" s="844" t="s">
        <v>1508</v>
      </c>
      <c r="DO6" s="844" t="s">
        <v>1508</v>
      </c>
      <c r="DP6" s="844" t="s">
        <v>1509</v>
      </c>
      <c r="DQ6" s="844" t="s">
        <v>1509</v>
      </c>
      <c r="DR6" s="844" t="s">
        <v>1510</v>
      </c>
      <c r="DS6" s="844" t="s">
        <v>1509</v>
      </c>
      <c r="DT6" s="844" t="s">
        <v>1508</v>
      </c>
      <c r="DU6" s="844" t="s">
        <v>1508</v>
      </c>
      <c r="DV6" s="844" t="s">
        <v>1508</v>
      </c>
      <c r="DW6" s="844" t="s">
        <v>1508</v>
      </c>
      <c r="DX6" s="844" t="s">
        <v>1508</v>
      </c>
      <c r="DY6" s="844" t="s">
        <v>1508</v>
      </c>
      <c r="DZ6" s="844" t="s">
        <v>1508</v>
      </c>
      <c r="EA6" s="844" t="s">
        <v>1509</v>
      </c>
      <c r="EB6" s="844" t="s">
        <v>1512</v>
      </c>
      <c r="EC6" s="844" t="s">
        <v>1512</v>
      </c>
      <c r="ED6" s="844" t="s">
        <v>1512</v>
      </c>
      <c r="EE6" s="844" t="s">
        <v>1508</v>
      </c>
      <c r="EF6" s="844" t="s">
        <v>1511</v>
      </c>
      <c r="EG6" s="844" t="s">
        <v>1511</v>
      </c>
      <c r="EH6" s="844" t="s">
        <v>1512</v>
      </c>
      <c r="EI6" s="844" t="s">
        <v>1512</v>
      </c>
      <c r="EJ6" s="844" t="s">
        <v>1510</v>
      </c>
      <c r="EK6" s="844" t="s">
        <v>1510</v>
      </c>
      <c r="EL6" s="858" t="s">
        <v>1510</v>
      </c>
      <c r="EM6" s="858" t="s">
        <v>1510</v>
      </c>
      <c r="EN6" s="858" t="s">
        <v>1510</v>
      </c>
      <c r="EO6" s="858" t="s">
        <v>1510</v>
      </c>
      <c r="EP6" s="858" t="s">
        <v>1508</v>
      </c>
      <c r="EQ6" s="858" t="s">
        <v>1508</v>
      </c>
      <c r="ER6" s="858" t="s">
        <v>1508</v>
      </c>
      <c r="ES6" s="858" t="s">
        <v>1508</v>
      </c>
      <c r="ET6" s="844" t="s">
        <v>1510</v>
      </c>
      <c r="EU6" s="858" t="s">
        <v>1508</v>
      </c>
      <c r="EV6" s="858" t="s">
        <v>1508</v>
      </c>
      <c r="EW6" s="858" t="s">
        <v>1508</v>
      </c>
      <c r="EX6" s="844" t="s">
        <v>1510</v>
      </c>
      <c r="EY6" s="844" t="s">
        <v>1509</v>
      </c>
      <c r="EZ6" s="844" t="s">
        <v>1509</v>
      </c>
      <c r="FA6" s="844" t="s">
        <v>1509</v>
      </c>
      <c r="FB6" s="844" t="s">
        <v>1508</v>
      </c>
      <c r="FC6" s="844" t="s">
        <v>1508</v>
      </c>
      <c r="FD6" s="844" t="s">
        <v>1510</v>
      </c>
      <c r="FE6" s="844" t="s">
        <v>1510</v>
      </c>
      <c r="FF6" s="844" t="s">
        <v>1510</v>
      </c>
      <c r="FG6" s="844" t="s">
        <v>1509</v>
      </c>
      <c r="FH6" s="844" t="s">
        <v>1509</v>
      </c>
      <c r="FI6" s="844" t="s">
        <v>1509</v>
      </c>
      <c r="FJ6" s="844" t="s">
        <v>1509</v>
      </c>
      <c r="FK6" s="844" t="s">
        <v>1509</v>
      </c>
      <c r="FL6" s="844" t="s">
        <v>1509</v>
      </c>
      <c r="FM6" s="844" t="s">
        <v>1508</v>
      </c>
      <c r="FN6" s="844" t="s">
        <v>1508</v>
      </c>
      <c r="FO6" s="844"/>
      <c r="FP6" s="844" t="s">
        <v>1509</v>
      </c>
      <c r="FQ6" s="844" t="s">
        <v>1509</v>
      </c>
      <c r="FR6" s="844" t="s">
        <v>1509</v>
      </c>
      <c r="FS6" s="844" t="s">
        <v>1509</v>
      </c>
      <c r="FT6" s="844" t="s">
        <v>1509</v>
      </c>
      <c r="FU6" s="844" t="s">
        <v>1509</v>
      </c>
      <c r="FV6" s="844" t="s">
        <v>1509</v>
      </c>
      <c r="FW6" s="844" t="s">
        <v>1509</v>
      </c>
      <c r="FX6" s="844" t="s">
        <v>1509</v>
      </c>
      <c r="FY6" s="844" t="s">
        <v>1509</v>
      </c>
      <c r="FZ6" s="844" t="s">
        <v>1509</v>
      </c>
      <c r="GA6" s="844" t="s">
        <v>1509</v>
      </c>
      <c r="GB6" s="844" t="s">
        <v>1509</v>
      </c>
      <c r="GC6" s="844" t="s">
        <v>1509</v>
      </c>
      <c r="GD6" s="844" t="s">
        <v>1509</v>
      </c>
      <c r="GE6" s="844" t="s">
        <v>1509</v>
      </c>
      <c r="GF6" s="844" t="s">
        <v>1509</v>
      </c>
      <c r="GG6" s="844" t="s">
        <v>1509</v>
      </c>
      <c r="GH6" s="844"/>
      <c r="GI6" s="844"/>
      <c r="GJ6" s="844"/>
      <c r="GK6" s="844"/>
      <c r="GL6" s="844"/>
      <c r="GM6" s="844"/>
      <c r="GN6" s="844"/>
      <c r="GO6" s="844"/>
      <c r="GP6" s="844"/>
      <c r="GQ6" s="844"/>
      <c r="GR6" s="844"/>
      <c r="GS6" s="844"/>
      <c r="GT6" s="844"/>
      <c r="GU6" s="844"/>
      <c r="GV6" s="844"/>
      <c r="GW6" s="844"/>
      <c r="GX6" s="844"/>
      <c r="GY6" s="844"/>
      <c r="GZ6" s="844"/>
      <c r="HA6" s="844"/>
      <c r="HB6" s="844"/>
      <c r="HC6" s="844"/>
      <c r="HD6" s="844"/>
      <c r="HE6" s="844"/>
      <c r="HF6" s="844"/>
      <c r="HG6" s="844"/>
      <c r="HH6" s="844"/>
      <c r="HI6" s="844"/>
      <c r="HJ6" s="844"/>
      <c r="HK6" s="844"/>
      <c r="HL6" s="844"/>
      <c r="HM6" s="844"/>
      <c r="HN6" s="844"/>
      <c r="HO6" s="844"/>
      <c r="HP6" s="844"/>
      <c r="HQ6" s="844"/>
      <c r="HR6" s="844"/>
      <c r="HS6" s="844"/>
      <c r="HT6" s="844"/>
      <c r="HU6" s="844"/>
      <c r="HV6" s="844"/>
      <c r="HW6" s="844"/>
      <c r="HX6" s="844"/>
      <c r="HY6" s="844"/>
      <c r="HZ6" s="844"/>
      <c r="IA6" s="844"/>
      <c r="IB6" s="844"/>
      <c r="IC6" s="844"/>
      <c r="ID6" s="844"/>
      <c r="IE6" s="844"/>
      <c r="IF6" s="844"/>
      <c r="IG6" s="844"/>
      <c r="IH6" s="844"/>
      <c r="II6" s="844"/>
      <c r="IJ6" s="844"/>
      <c r="IK6" s="844"/>
      <c r="IL6" s="844"/>
      <c r="IM6" s="844"/>
      <c r="IN6" s="844"/>
      <c r="IO6" s="844"/>
      <c r="IP6" s="844"/>
      <c r="IQ6" s="844"/>
      <c r="IR6" s="844"/>
      <c r="IS6" s="844"/>
      <c r="IT6" s="844"/>
      <c r="IU6" s="844"/>
      <c r="IV6" s="844"/>
      <c r="IW6" s="844"/>
      <c r="IX6" s="844"/>
      <c r="IY6" s="844"/>
      <c r="IZ6" s="844"/>
      <c r="JA6" s="844"/>
      <c r="JB6" s="844"/>
      <c r="JC6" s="844"/>
      <c r="JD6" s="844"/>
      <c r="JE6" s="844"/>
      <c r="JF6" s="844"/>
      <c r="JG6" s="844"/>
      <c r="JH6" s="844"/>
      <c r="JI6" s="844"/>
      <c r="JK6" s="844"/>
      <c r="JM6" s="844"/>
    </row>
    <row r="7" s="868" customFormat="true" ht="18.75" hidden="false" customHeight="false" outlineLevel="0" collapsed="false">
      <c r="A7" s="861" t="s">
        <v>1514</v>
      </c>
      <c r="B7" s="861" t="s">
        <v>1515</v>
      </c>
      <c r="C7" s="862" t="n">
        <f aca="false">HLOOKUP(C2,物流参数!$C$1:$GC$29,MATCH("TEMPERATURE",物流参数!$A$1:$A$29,FALSE()),FALSE())</f>
        <v>115</v>
      </c>
      <c r="D7" s="862" t="n">
        <f aca="false">HLOOKUP(D2,物流参数!$C$1:$GC$29,MATCH("TEMPERATURE",物流参数!$A$1:$A$29,FALSE()),FALSE())</f>
        <v>115</v>
      </c>
      <c r="E7" s="863" t="n">
        <f aca="false">HLOOKUP(E2,物流参数!$C$1:$GC$29,MATCH("TEMPERATURE",物流参数!$A$1:$A$29,FALSE()),FALSE())</f>
        <v>90</v>
      </c>
      <c r="F7" s="863" t="n">
        <f aca="false">HLOOKUP(F2,物流参数!$C$1:$GC$29,MATCH("TEMPERATURE",物流参数!$A$1:$A$29,FALSE()),FALSE())</f>
        <v>120.18</v>
      </c>
      <c r="G7" s="863" t="n">
        <f aca="false">HLOOKUP(G2,物流参数!$C$1:$GC$29,MATCH("TEMPERATURE",物流参数!$A$1:$A$29,FALSE()),FALSE())</f>
        <v>90.21</v>
      </c>
      <c r="H7" s="862" t="n">
        <f aca="false">HLOOKUP(H2,物流参数!$C$1:$GC$29,MATCH("TEMPERATURE",物流参数!$A$1:$A$29,FALSE()),FALSE())</f>
        <v>115.79</v>
      </c>
      <c r="I7" s="862" t="n">
        <f aca="false">HLOOKUP(I2,物流参数!$C$1:$GC$29,MATCH("TEMPERATURE",物流参数!$A$1:$A$29,FALSE()),FALSE())</f>
        <v>184.97</v>
      </c>
      <c r="J7" s="862" t="n">
        <f aca="false">HLOOKUP(J2,物流参数!$C$1:$GC$29,MATCH("TEMPERATURE",物流参数!$A$1:$A$29,FALSE()),FALSE())</f>
        <v>185</v>
      </c>
      <c r="K7" s="862" t="n">
        <f aca="false">HLOOKUP(K2,物流参数!$C$1:$GC$29,MATCH("TEMPERATURE",物流参数!$A$1:$A$29,FALSE()),FALSE())</f>
        <v>184.99</v>
      </c>
      <c r="L7" s="862" t="n">
        <f aca="false">HLOOKUP(L2,物流参数!$C$1:$GC$29,MATCH("TEMPERATURE",物流参数!$A$1:$A$29,FALSE()),FALSE())</f>
        <v>187.05</v>
      </c>
      <c r="M7" s="862" t="n">
        <f aca="false">HLOOKUP(M2,物流参数!$C$1:$GC$29,MATCH("TEMPERATURE",物流参数!$A$1:$A$29,FALSE()),FALSE())</f>
        <v>187.47</v>
      </c>
      <c r="N7" s="862" t="n">
        <f aca="false">HLOOKUP(N2,物流参数!$C$1:$GC$29,MATCH("TEMPERATURE",物流参数!$A$1:$A$29,FALSE()),FALSE())</f>
        <v>109.24</v>
      </c>
      <c r="O7" s="862" t="n">
        <f aca="false">HLOOKUP(O2,物流参数!$C$1:$GC$29,MATCH("TEMPERATURE",物流参数!$A$1:$A$29,FALSE()),FALSE())</f>
        <v>186.03</v>
      </c>
      <c r="P7" s="862" t="n">
        <f aca="false">HLOOKUP(P2,物流参数!$C$1:$GC$29,MATCH("TEMPERATURE",物流参数!$A$1:$A$29,FALSE()),FALSE())</f>
        <v>281.11</v>
      </c>
      <c r="Q7" s="862" t="n">
        <f aca="false">HLOOKUP(Q2,物流参数!$C$1:$GC$29,MATCH("TEMPERATURE",物流参数!$A$1:$A$29,FALSE()),FALSE())</f>
        <v>204</v>
      </c>
      <c r="R7" s="862" t="n">
        <f aca="false">HLOOKUP(R2,物流参数!$C$1:$GC$29,MATCH("TEMPERATURE",物流参数!$A$1:$A$29,FALSE()),FALSE())</f>
        <v>139.76</v>
      </c>
      <c r="S7" s="862" t="n">
        <f aca="false">HLOOKUP(S2,物流参数!$C$1:$GC$29,MATCH("TEMPERATURE",物流参数!$A$1:$A$29,FALSE()),FALSE())</f>
        <v>139.76</v>
      </c>
      <c r="T7" s="862" t="n">
        <f aca="false">HLOOKUP(T2,物流参数!$C$1:$GC$29,MATCH("TEMPERATURE",物流参数!$A$1:$A$29,FALSE()),FALSE())</f>
        <v>120</v>
      </c>
      <c r="U7" s="862" t="n">
        <f aca="false">HLOOKUP(U2,物流参数!$C$1:$GC$29,MATCH("TEMPERATURE",物流参数!$A$1:$A$29,FALSE()),FALSE())</f>
        <v>120.06</v>
      </c>
      <c r="V7" s="862" t="n">
        <f aca="false">HLOOKUP(V2,物流参数!$C$1:$GC$29,MATCH("TEMPERATURE",物流参数!$A$1:$A$29,FALSE()),FALSE())</f>
        <v>139.76</v>
      </c>
      <c r="W7" s="862" t="n">
        <v>110</v>
      </c>
      <c r="X7" s="862" t="n">
        <v>110</v>
      </c>
      <c r="Y7" s="862" t="n">
        <f aca="false">HLOOKUP(Y2,物流参数!$C$1:$GC$29,MATCH("TEMPERATURE",物流参数!$A$1:$A$29,FALSE()),FALSE())</f>
        <v>326.78</v>
      </c>
      <c r="Z7" s="862" t="n">
        <f aca="false">HLOOKUP(Z2,物流参数!$C$1:$GC$29,MATCH("TEMPERATURE",物流参数!$A$1:$A$29,FALSE()),FALSE())</f>
        <v>344.3</v>
      </c>
      <c r="AA7" s="862" t="n">
        <f aca="false">HLOOKUP(AA2,物流参数!$C$1:$GC$29,MATCH("TEMPERATURE",物流参数!$A$1:$A$29,FALSE()),FALSE())</f>
        <v>417.67</v>
      </c>
      <c r="AB7" s="862" t="n">
        <f aca="false">HLOOKUP(AB2,物流参数!$C$1:$GC$29,MATCH("TEMPERATURE",物流参数!$A$1:$A$29,FALSE()),FALSE())</f>
        <v>417.67</v>
      </c>
      <c r="AC7" s="862" t="n">
        <f aca="false">HLOOKUP(AC2,物流参数!$C$1:$GC$29,MATCH("TEMPERATURE",物流参数!$A$1:$A$29,FALSE()),FALSE())</f>
        <v>418.15</v>
      </c>
      <c r="AD7" s="862" t="n">
        <f aca="false">HLOOKUP(AD2,物流参数!$C$1:$GC$29,MATCH("TEMPERATURE",物流参数!$A$1:$A$29,FALSE()),FALSE())</f>
        <v>388.36</v>
      </c>
      <c r="AE7" s="862" t="n">
        <f aca="false">HLOOKUP(AE2,物流参数!$C$1:$GC$29,MATCH("TEMPERATURE",物流参数!$A$1:$A$29,FALSE()),FALSE())</f>
        <v>387.28</v>
      </c>
      <c r="AF7" s="862" t="n">
        <f aca="false">HLOOKUP(AF2,物流参数!$C$1:$GC$29,MATCH("TEMPERATURE",物流参数!$A$1:$A$29,FALSE()),FALSE())</f>
        <v>109.37</v>
      </c>
      <c r="AG7" s="862" t="n">
        <f aca="false">HLOOKUP(AG2,物流参数!$C$1:$GC$29,MATCH("TEMPERATURE",物流参数!$A$1:$A$29,FALSE()),FALSE())</f>
        <v>109.41</v>
      </c>
      <c r="AH7" s="862" t="n">
        <f aca="false">HLOOKUP(AH2,物流参数!$C$1:$GC$29,MATCH("TEMPERATURE",物流参数!$A$1:$A$29,FALSE()),FALSE())</f>
        <v>109.42</v>
      </c>
      <c r="AI7" s="862" t="n">
        <f aca="false">HLOOKUP(AI2,物流参数!$C$1:$GC$29,MATCH("TEMPERATURE",物流参数!$A$1:$A$29,FALSE()),FALSE())</f>
        <v>109.45</v>
      </c>
      <c r="AJ7" s="862" t="n">
        <f aca="false">HLOOKUP(AJ2,物流参数!$C$1:$GC$29,MATCH("TEMPERATURE",物流参数!$A$1:$A$29,FALSE()),FALSE())</f>
        <v>109.46</v>
      </c>
      <c r="AK7" s="862" t="n">
        <f aca="false">HLOOKUP(AK2,物流参数!$C$1:$GC$29,MATCH("TEMPERATURE",物流参数!$A$1:$A$29,FALSE()),FALSE())</f>
        <v>387.28</v>
      </c>
      <c r="AL7" s="862" t="n">
        <f aca="false">HLOOKUP(AL2,物流参数!$C$1:$GC$29,MATCH("TEMPERATURE",物流参数!$A$1:$A$29,FALSE()),FALSE())</f>
        <v>393.83</v>
      </c>
      <c r="AM7" s="862" t="n">
        <f aca="false">HLOOKUP(AM2,物流参数!$C$1:$GC$29,MATCH("TEMPERATURE",物流参数!$A$1:$A$29,FALSE()),FALSE())</f>
        <v>393.83</v>
      </c>
      <c r="AN7" s="862" t="n">
        <f aca="false">HLOOKUP(AN2,物流参数!$C$1:$GC$29,MATCH("TEMPERATURE",物流参数!$A$1:$A$29,FALSE()),FALSE())</f>
        <v>406.73</v>
      </c>
      <c r="AO7" s="862" t="n">
        <f aca="false">HLOOKUP(AO2,物流参数!$C$1:$GC$29,MATCH("TEMPERATURE",物流参数!$A$1:$A$29,FALSE()),FALSE())</f>
        <v>410.9</v>
      </c>
      <c r="AP7" s="862" t="n">
        <f aca="false">HLOOKUP(AP2,物流参数!$C$1:$GC$29,MATCH("TEMPERATURE",物流参数!$A$1:$A$29,FALSE()),FALSE())</f>
        <v>396.73</v>
      </c>
      <c r="AQ7" s="862" t="n">
        <f aca="false">HLOOKUP(AQ2,物流参数!$C$1:$GC$29,MATCH("TEMPERATURE",物流参数!$A$1:$A$29,FALSE()),FALSE())</f>
        <v>417.67</v>
      </c>
      <c r="AR7" s="862" t="n">
        <f aca="false">HLOOKUP(AR2,物流参数!$C$1:$GC$29,MATCH("TEMPERATURE",物流参数!$A$1:$A$29,FALSE()),FALSE())</f>
        <v>287</v>
      </c>
      <c r="AS7" s="862" t="n">
        <f aca="false">HLOOKUP(AS2,物流参数!$C$1:$GC$29,MATCH("TEMPERATURE",物流参数!$A$1:$A$29,FALSE()),FALSE())</f>
        <v>287.04</v>
      </c>
      <c r="AT7" s="862" t="n">
        <f aca="false">HLOOKUP(AT2,物流参数!$C$1:$GC$29,MATCH("TEMPERATURE",物流参数!$A$1:$A$29,FALSE()),FALSE())</f>
        <v>285.17</v>
      </c>
      <c r="AU7" s="862" t="n">
        <f aca="false">HLOOKUP(AU2,物流参数!$C$1:$GC$29,MATCH("TEMPERATURE",物流参数!$A$1:$A$29,FALSE()),FALSE())</f>
        <v>275.13</v>
      </c>
      <c r="AV7" s="862" t="n">
        <f aca="false">HLOOKUP(AV2,物流参数!$C$1:$GC$29,MATCH("TEMPERATURE",物流参数!$A$1:$A$29,FALSE()),FALSE())</f>
        <v>205.43</v>
      </c>
      <c r="AW7" s="862" t="n">
        <f aca="false">HLOOKUP(AW2,物流参数!$C$1:$GC$29,MATCH("TEMPERATURE",物流参数!$A$1:$A$29,FALSE()),FALSE())</f>
        <v>200</v>
      </c>
      <c r="AX7" s="862" t="n">
        <f aca="false">HLOOKUP(AX2,物流参数!$C$1:$GC$29,MATCH("TEMPERATURE",物流参数!$A$1:$A$29,FALSE()),FALSE())</f>
        <v>152</v>
      </c>
      <c r="AY7" s="862" t="n">
        <f aca="false">HLOOKUP(AY2,物流参数!$C$1:$GC$29,MATCH("TEMPERATURE",物流参数!$A$1:$A$29,FALSE()),FALSE())</f>
        <v>285.17</v>
      </c>
      <c r="AZ7" s="862" t="n">
        <f aca="false">HLOOKUP(AZ2,物流参数!$C$1:$GC$29,MATCH("TEMPERATURE",物流参数!$A$1:$A$29,FALSE()),FALSE())</f>
        <v>286.43</v>
      </c>
      <c r="BA7" s="862" t="n">
        <f aca="false">HLOOKUP(BA2,物流参数!$C$1:$GC$29,MATCH("TEMPERATURE",物流参数!$A$1:$A$29,FALSE()),FALSE())</f>
        <v>189</v>
      </c>
      <c r="BB7" s="862" t="n">
        <f aca="false">HLOOKUP(BB2,物流参数!$C$1:$GC$29,MATCH("TEMPERATURE",物流参数!$A$1:$A$29,FALSE()),FALSE())</f>
        <v>120.79</v>
      </c>
      <c r="BC7" s="862" t="n">
        <f aca="false">HLOOKUP(BC2,物流参数!$C$1:$GC$29,MATCH("TEMPERATURE",物流参数!$A$1:$A$29,FALSE()),FALSE())</f>
        <v>55</v>
      </c>
      <c r="BD7" s="862" t="n">
        <f aca="false">HLOOKUP(BD2,物流参数!$C$1:$GC$29,MATCH("TEMPERATURE",物流参数!$A$1:$A$29,FALSE()),FALSE())</f>
        <v>51.97</v>
      </c>
      <c r="BE7" s="862" t="n">
        <f aca="false">HLOOKUP(BE2,物流参数!$C$1:$GC$29,MATCH("TEMPERATURE",物流参数!$A$1:$A$29,FALSE()),FALSE())</f>
        <v>40</v>
      </c>
      <c r="BF7" s="862" t="n">
        <f aca="false">HLOOKUP(BF2,物流参数!$C$1:$GC$29,MATCH("TEMPERATURE",物流参数!$A$1:$A$29,FALSE()),FALSE())</f>
        <v>40.41</v>
      </c>
      <c r="BG7" s="862" t="n">
        <f aca="false">HLOOKUP(BG2,物流参数!$C$1:$GC$29,MATCH("TEMPERATURE",物流参数!$A$1:$A$29,FALSE()),FALSE())</f>
        <v>40.3</v>
      </c>
      <c r="BH7" s="862" t="n">
        <f aca="false">HLOOKUP(BH2,物流参数!$C$1:$GC$29,MATCH("TEMPERATURE",物流参数!$A$1:$A$29,FALSE()),FALSE())</f>
        <v>39.7</v>
      </c>
      <c r="BI7" s="862" t="n">
        <f aca="false">HLOOKUP(BI2,物流参数!$C$1:$GC$29,MATCH("TEMPERATURE",物流参数!$A$1:$A$29,FALSE()),FALSE())</f>
        <v>255.99</v>
      </c>
      <c r="BJ7" s="862" t="n">
        <f aca="false">HLOOKUP(BJ2,物流参数!$C$1:$GC$29,MATCH("TEMPERATURE",物流参数!$A$1:$A$29,FALSE()),FALSE())</f>
        <v>40</v>
      </c>
      <c r="BK7" s="862" t="n">
        <f aca="false">HLOOKUP(BK2,物流参数!$C$1:$GC$29,MATCH("TEMPERATURE",物流参数!$A$1:$A$29,FALSE()),FALSE())</f>
        <v>39.96</v>
      </c>
      <c r="BL7" s="862" t="n">
        <f aca="false">HLOOKUP(BL2,物流参数!$C$1:$GC$29,MATCH("TEMPERATURE",物流参数!$A$1:$A$29,FALSE()),FALSE())</f>
        <v>285.17</v>
      </c>
      <c r="BM7" s="862" t="n">
        <f aca="false">HLOOKUP(BM2,物流参数!$C$1:$GC$29,MATCH("TEMPERATURE",物流参数!$A$1:$A$29,FALSE()),FALSE())</f>
        <v>285.41</v>
      </c>
      <c r="BN7" s="862" t="n">
        <f aca="false">HLOOKUP(BN2,物流参数!$C$1:$GC$29,MATCH("TEMPERATURE",物流参数!$A$1:$A$29,FALSE()),FALSE())</f>
        <v>104</v>
      </c>
      <c r="BO7" s="862" t="n">
        <f aca="false">HLOOKUP(BO2,物流参数!$C$1:$GC$29,MATCH("TEMPERATURE",物流参数!$A$1:$A$29,FALSE()),FALSE())</f>
        <v>104</v>
      </c>
      <c r="BP7" s="862" t="n">
        <f aca="false">HLOOKUP(BP2,物流参数!$C$1:$GC$29,MATCH("TEMPERATURE",物流参数!$A$1:$A$29,FALSE()),FALSE())</f>
        <v>95.46</v>
      </c>
      <c r="BQ7" s="862" t="n">
        <f aca="false">HLOOKUP(BQ2,物流参数!$C$1:$GC$29,MATCH("TEMPERATURE",物流参数!$A$1:$A$29,FALSE()),FALSE())</f>
        <v>95.46</v>
      </c>
      <c r="BR7" s="862" t="n">
        <f aca="false">HLOOKUP(BR2,物流参数!$C$1:$GC$29,MATCH("TEMPERATURE",物流参数!$A$1:$A$29,FALSE()),FALSE())</f>
        <v>96.13</v>
      </c>
      <c r="BS7" s="862" t="n">
        <f aca="false">HLOOKUP(BS2,物流参数!$C$1:$GC$29,MATCH("TEMPERATURE",物流参数!$A$1:$A$29,FALSE()),FALSE())</f>
        <v>96.51</v>
      </c>
      <c r="BT7" s="862" t="n">
        <f aca="false">HLOOKUP(BT2,物流参数!$C$1:$GC$29,MATCH("TEMPERATURE",物流参数!$A$1:$A$29,FALSE()),FALSE())</f>
        <v>96.16</v>
      </c>
      <c r="BU7" s="862" t="n">
        <f aca="false">HLOOKUP(BU2,物流参数!$C$1:$GC$29,MATCH("TEMPERATURE",物流参数!$A$1:$A$29,FALSE()),FALSE())</f>
        <v>48</v>
      </c>
      <c r="BV7" s="862" t="n">
        <f aca="false">HLOOKUP(BV2,物流参数!$C$1:$GC$29,MATCH("TEMPERATURE",物流参数!$A$1:$A$29,FALSE()),FALSE())</f>
        <v>222.94</v>
      </c>
      <c r="BW7" s="862" t="n">
        <f aca="false">HLOOKUP(BW2,物流参数!$C$1:$GC$29,MATCH("TEMPERATURE",物流参数!$A$1:$A$29,FALSE()),FALSE())</f>
        <v>282.47</v>
      </c>
      <c r="BX7" s="862" t="n">
        <f aca="false">HLOOKUP(BX2,物流参数!$C$1:$GC$29,MATCH("TEMPERATURE",物流参数!$A$1:$A$29,FALSE()),FALSE())</f>
        <v>282.3</v>
      </c>
      <c r="BY7" s="862" t="n">
        <f aca="false">HLOOKUP(BY2,物流参数!$C$1:$GC$29,MATCH("TEMPERATURE",物流参数!$A$1:$A$29,FALSE()),FALSE())</f>
        <v>311</v>
      </c>
      <c r="BZ7" s="862" t="n">
        <f aca="false">HLOOKUP(BZ2,物流参数!$C$1:$GC$29,MATCH("TEMPERATURE",物流参数!$A$1:$A$29,FALSE()),FALSE())</f>
        <v>335</v>
      </c>
      <c r="CA7" s="862" t="n">
        <f aca="false">HLOOKUP(CA2,物流参数!$C$1:$GC$29,MATCH("TEMPERATURE",物流参数!$A$1:$A$29,FALSE()),FALSE())</f>
        <v>335</v>
      </c>
      <c r="CB7" s="862" t="n">
        <f aca="false">HLOOKUP(CB2,物流参数!$C$1:$GC$29,MATCH("TEMPERATURE",物流参数!$A$1:$A$29,FALSE()),FALSE())</f>
        <v>334.31</v>
      </c>
      <c r="CC7" s="862" t="n">
        <f aca="false">HLOOKUP(CC2,物流参数!$C$1:$GC$29,MATCH("TEMPERATURE",物流参数!$A$1:$A$29,FALSE()),FALSE())</f>
        <v>335</v>
      </c>
      <c r="CD7" s="862" t="n">
        <f aca="false">HLOOKUP(CD2,物流参数!$C$1:$GC$29,MATCH("TEMPERATURE",物流参数!$A$1:$A$29,FALSE()),FALSE())</f>
        <v>335.25</v>
      </c>
      <c r="CE7" s="862" t="n">
        <f aca="false">HLOOKUP(CE2,物流参数!$C$1:$GC$29,MATCH("TEMPERATURE",物流参数!$A$1:$A$29,FALSE()),FALSE())</f>
        <v>357</v>
      </c>
      <c r="CF7" s="862" t="n">
        <f aca="false">HLOOKUP(CF2,物流参数!$C$1:$GC$29,MATCH("TEMPERATURE",物流参数!$A$1:$A$29,FALSE()),FALSE())</f>
        <v>298.96</v>
      </c>
      <c r="CG7" s="862" t="n">
        <f aca="false">HLOOKUP(CG2,物流参数!$C$1:$GC$29,MATCH("TEMPERATURE",物流参数!$A$1:$A$29,FALSE()),FALSE())</f>
        <v>395.66</v>
      </c>
      <c r="CH7" s="862" t="n">
        <f aca="false">HLOOKUP(CH2,物流参数!$C$1:$GC$29,MATCH("TEMPERATURE",物流参数!$A$1:$A$29,FALSE()),FALSE())</f>
        <v>159.23</v>
      </c>
      <c r="CI7" s="862" t="n">
        <f aca="false">HLOOKUP(CI2,物流参数!$C$1:$GC$29,MATCH("TEMPERATURE",物流参数!$A$1:$A$29,FALSE()),FALSE())</f>
        <v>143.33</v>
      </c>
      <c r="CJ7" s="862" t="n">
        <f aca="false">HLOOKUP(CJ2,物流参数!$C$1:$GC$29,MATCH("TEMPERATURE",物流参数!$A$1:$A$29,FALSE()),FALSE())</f>
        <v>55</v>
      </c>
      <c r="CK7" s="862" t="n">
        <f aca="false">HLOOKUP(CK2,物流参数!$C$1:$GC$29,MATCH("TEMPERATURE",物流参数!$A$1:$A$29,FALSE()),FALSE())</f>
        <v>40</v>
      </c>
      <c r="CL7" s="862" t="n">
        <f aca="false">HLOOKUP(CL2,物流参数!$C$1:$GC$29,MATCH("TEMPERATURE",物流参数!$A$1:$A$29,FALSE()),FALSE())</f>
        <v>39.99</v>
      </c>
      <c r="CM7" s="862" t="n">
        <f aca="false">HLOOKUP(CM2,物流参数!$C$1:$GC$29,MATCH("TEMPERATURE",物流参数!$A$1:$A$29,FALSE()),FALSE())</f>
        <v>40.28</v>
      </c>
      <c r="CN7" s="862" t="n">
        <f aca="false">HLOOKUP(CN2,物流参数!$C$1:$GC$29,MATCH("TEMPERATURE",物流参数!$A$1:$A$29,FALSE()),FALSE())</f>
        <v>40.41</v>
      </c>
      <c r="CO7" s="862" t="n">
        <f aca="false">HLOOKUP(CO2,物流参数!$C$1:$GC$29,MATCH("TEMPERATURE",物流参数!$A$1:$A$29,FALSE()),FALSE())</f>
        <v>40.43</v>
      </c>
      <c r="CP7" s="862" t="n">
        <f aca="false">HLOOKUP(CP2,物流参数!$C$1:$GC$29,MATCH("TEMPERATURE",物流参数!$A$1:$A$29,FALSE()),FALSE())</f>
        <v>40.02</v>
      </c>
      <c r="CQ7" s="862" t="n">
        <f aca="false">HLOOKUP(CQ2,物流参数!$C$1:$GC$29,MATCH("TEMPERATURE",物流参数!$A$1:$A$29,FALSE()),FALSE())</f>
        <v>39.97</v>
      </c>
      <c r="CR7" s="862" t="n">
        <f aca="false">HLOOKUP(CR2,物流参数!$C$1:$GC$29,MATCH("TEMPERATURE",物流参数!$A$1:$A$29,FALSE()),FALSE())</f>
        <v>39.31</v>
      </c>
      <c r="CS7" s="862" t="n">
        <f aca="false">HLOOKUP(CS2,物流参数!$C$1:$GC$29,MATCH("TEMPERATURE",物流参数!$A$1:$A$29,FALSE()),FALSE())</f>
        <v>260</v>
      </c>
      <c r="CT7" s="862" t="n">
        <f aca="false">HLOOKUP(CT2,物流参数!$C$1:$GC$29,MATCH("TEMPERATURE",物流参数!$A$1:$A$29,FALSE()),FALSE())</f>
        <v>258.67</v>
      </c>
      <c r="CU7" s="862" t="n">
        <f aca="false">HLOOKUP(CU2,物流参数!$C$1:$GC$29,MATCH("TEMPERATURE",物流参数!$A$1:$A$29,FALSE()),FALSE())</f>
        <v>275.13</v>
      </c>
      <c r="CV7" s="862" t="n">
        <f aca="false">HLOOKUP(CV2,物流参数!$C$1:$GC$29,MATCH("TEMPERATURE",物流参数!$A$1:$A$29,FALSE()),FALSE())</f>
        <v>260</v>
      </c>
      <c r="CW7" s="862" t="n">
        <f aca="false">HLOOKUP(CW2,物流参数!$C$1:$GC$29,MATCH("TEMPERATURE",物流参数!$A$1:$A$29,FALSE()),FALSE())</f>
        <v>198.9</v>
      </c>
      <c r="CX7" s="862" t="n">
        <f aca="false">HLOOKUP(CX2,物流参数!$C$1:$GC$29,MATCH("TEMPERATURE",物流参数!$A$1:$A$29,FALSE()),FALSE())</f>
        <v>198.9</v>
      </c>
      <c r="CY7" s="862" t="n">
        <f aca="false">HLOOKUP(CY2,物流参数!$C$1:$GC$29,MATCH("TEMPERATURE",物流参数!$A$1:$A$29,FALSE()),FALSE())</f>
        <v>152</v>
      </c>
      <c r="CZ7" s="862" t="n">
        <f aca="false">HLOOKUP(CZ2,物流参数!$C$1:$GC$29,MATCH("TEMPERATURE",物流参数!$A$1:$A$29,FALSE()),FALSE())</f>
        <v>330.49</v>
      </c>
      <c r="DA7" s="862" t="n">
        <f aca="false">HLOOKUP(DA2,物流参数!$C$1:$GC$29,MATCH("TEMPERATURE",物流参数!$A$1:$A$29,FALSE()),FALSE())</f>
        <v>331</v>
      </c>
      <c r="DB7" s="862" t="n">
        <f aca="false">HLOOKUP(DB2,物流参数!$C$1:$GC$29,MATCH("TEMPERATURE",物流参数!$A$1:$A$29,FALSE()),FALSE())</f>
        <v>129.2</v>
      </c>
      <c r="DC7" s="862" t="n">
        <f aca="false">HLOOKUP(DC2,物流参数!$C$1:$GC$29,MATCH("TEMPERATURE",物流参数!$A$1:$A$29,FALSE()),FALSE())</f>
        <v>92.4</v>
      </c>
      <c r="DD7" s="862" t="n">
        <f aca="false">HLOOKUP(DD2,物流参数!$C$1:$GC$29,MATCH("TEMPERATURE",物流参数!$A$1:$A$29,FALSE()),FALSE())</f>
        <v>92.39</v>
      </c>
      <c r="DE7" s="862" t="n">
        <f aca="false">HLOOKUP(DE2,物流参数!$C$1:$GC$29,MATCH("TEMPERATURE",物流参数!$A$1:$A$29,FALSE()),FALSE())</f>
        <v>92.95</v>
      </c>
      <c r="DF7" s="862" t="n">
        <f aca="false">HLOOKUP(DF2,物流参数!$C$1:$GC$29,MATCH("TEMPERATURE",物流参数!$A$1:$A$29,FALSE()),FALSE())</f>
        <v>92.95</v>
      </c>
      <c r="DG7" s="862" t="n">
        <f aca="false">HLOOKUP(DG2,物流参数!$C$1:$GC$29,MATCH("TEMPERATURE",物流参数!$A$1:$A$29,FALSE()),FALSE())</f>
        <v>92.95</v>
      </c>
      <c r="DH7" s="862" t="n">
        <f aca="false">HLOOKUP(DH2,物流参数!$C$1:$GC$29,MATCH("TEMPERATURE",物流参数!$A$1:$A$29,FALSE()),FALSE())</f>
        <v>39.94</v>
      </c>
      <c r="DI7" s="862" t="n">
        <f aca="false">HLOOKUP(DI2,物流参数!$C$1:$GC$29,MATCH("TEMPERATURE",物流参数!$A$1:$A$29,FALSE()),FALSE())</f>
        <v>40</v>
      </c>
      <c r="DJ7" s="862" t="n">
        <f aca="false">HLOOKUP(DJ2,物流参数!$C$1:$GC$29,MATCH("TEMPERATURE",物流参数!$A$1:$A$29,FALSE()),FALSE())</f>
        <v>92.58</v>
      </c>
      <c r="DK7" s="862" t="n">
        <f aca="false">HLOOKUP(DK2,物流参数!$C$1:$GC$29,MATCH("TEMPERATURE",物流参数!$A$1:$A$29,FALSE()),FALSE())</f>
        <v>234.36</v>
      </c>
      <c r="DL7" s="862" t="n">
        <f aca="false">HLOOKUP(DL2,物流参数!$C$1:$GC$29,MATCH("TEMPERATURE",物流参数!$A$1:$A$29,FALSE()),FALSE())</f>
        <v>234.5</v>
      </c>
      <c r="DM7" s="862" t="n">
        <f aca="false">HLOOKUP(DM2,物流参数!$C$1:$GC$29,MATCH("TEMPERATURE",物流参数!$A$1:$A$29,FALSE()),FALSE())</f>
        <v>214</v>
      </c>
      <c r="DN7" s="862" t="n">
        <f aca="false">HLOOKUP(DN2,物流参数!$C$1:$GC$29,MATCH("TEMPERATURE",物流参数!$A$1:$A$29,FALSE()),FALSE())</f>
        <v>181</v>
      </c>
      <c r="DO7" s="862" t="n">
        <f aca="false">HLOOKUP(DO2,物流参数!$C$1:$GC$29,MATCH("TEMPERATURE",物流参数!$A$1:$A$29,FALSE()),FALSE())</f>
        <v>181</v>
      </c>
      <c r="DP7" s="862" t="n">
        <f aca="false">HLOOKUP(DP2,物流参数!$C$1:$GC$29,MATCH("TEMPERATURE",物流参数!$A$1:$A$29,FALSE()),FALSE())</f>
        <v>234.39</v>
      </c>
      <c r="DQ7" s="862" t="n">
        <f aca="false">HLOOKUP(DQ2,物流参数!$C$1:$GC$29,MATCH("TEMPERATURE",物流参数!$A$1:$A$29,FALSE()),FALSE())</f>
        <v>234.39</v>
      </c>
      <c r="DR7" s="862" t="n">
        <f aca="false">HLOOKUP(DR2,物流参数!$C$1:$GC$29,MATCH("TEMPERATURE",物流参数!$A$1:$A$29,FALSE()),FALSE())</f>
        <v>231.78</v>
      </c>
      <c r="DS7" s="862" t="n">
        <f aca="false">HLOOKUP(DS2,物流参数!$C$1:$GC$29,MATCH("TEMPERATURE",物流参数!$A$1:$A$29,FALSE()),FALSE())</f>
        <v>223.17</v>
      </c>
      <c r="DT7" s="862" t="n">
        <f aca="false">HLOOKUP(DT2,物流参数!$C$1:$GC$29,MATCH("TEMPERATURE",物流参数!$A$1:$A$29,FALSE()),FALSE())</f>
        <v>223.81</v>
      </c>
      <c r="DU7" s="862" t="n">
        <f aca="false">HLOOKUP(DU2,物流参数!$C$1:$GC$29,MATCH("TEMPERATURE",物流参数!$A$1:$A$29,FALSE()),FALSE())</f>
        <v>129.34</v>
      </c>
      <c r="DV7" s="862" t="n">
        <f aca="false">HLOOKUP(DV2,物流参数!$C$1:$GC$29,MATCH("TEMPERATURE",物流参数!$A$1:$A$29,FALSE()),FALSE())</f>
        <v>50</v>
      </c>
      <c r="DW7" s="862" t="n">
        <f aca="false">HLOOKUP(DW2,物流参数!$C$1:$GC$29,MATCH("TEMPERATURE",物流参数!$A$1:$A$29,FALSE()),FALSE())</f>
        <v>50.04</v>
      </c>
      <c r="DX7" s="844" t="n">
        <v>50</v>
      </c>
      <c r="DY7" s="844" t="n">
        <v>50</v>
      </c>
      <c r="DZ7" s="862" t="n">
        <f aca="false">HLOOKUP(DZ2,物流参数!$C$1:$GC$29,MATCH("TEMPERATURE",物流参数!$A$1:$A$29,FALSE()),FALSE())</f>
        <v>129.35</v>
      </c>
      <c r="EA7" s="862" t="n">
        <f aca="false">HLOOKUP(EA2,物流参数!$C$1:$GC$29,MATCH("TEMPERATURE",物流参数!$A$1:$A$29,FALSE()),FALSE())</f>
        <v>152</v>
      </c>
      <c r="EB7" s="862" t="n">
        <f aca="false">HLOOKUP(EB2,物流参数!$C$1:$GC$29,MATCH("TEMPERATURE",物流参数!$A$1:$A$29,FALSE()),FALSE())</f>
        <v>199.23</v>
      </c>
      <c r="EC7" s="862" t="n">
        <f aca="false">HLOOKUP(EC2,物流参数!$C$1:$GC$29,MATCH("TEMPERATURE",物流参数!$A$1:$A$29,FALSE()),FALSE())</f>
        <v>166.94</v>
      </c>
      <c r="ED7" s="862" t="n">
        <f aca="false">HLOOKUP(ED2,物流参数!$C$1:$GC$29,MATCH("TEMPERATURE",物流参数!$A$1:$A$29,FALSE()),FALSE())</f>
        <v>158.41</v>
      </c>
      <c r="EE7" s="862" t="n">
        <f aca="false">HLOOKUP(EE2,物流参数!$C$1:$GC$29,MATCH("TEMPERATURE",物流参数!$A$1:$A$29,FALSE()),FALSE())</f>
        <v>214</v>
      </c>
      <c r="EF7" s="862" t="n">
        <f aca="false">HLOOKUP(EF2,物流参数!$C$1:$GC$29,MATCH("TEMPERATURE",物流参数!$A$1:$A$29,FALSE()),FALSE())</f>
        <v>221.39</v>
      </c>
      <c r="EG7" s="862" t="n">
        <f aca="false">HLOOKUP(EG2,物流参数!$C$1:$GC$29,MATCH("TEMPERATURE",物流参数!$A$1:$A$29,FALSE()),FALSE())</f>
        <v>221.39</v>
      </c>
      <c r="EH7" s="862" t="n">
        <f aca="false">HLOOKUP(EH2,物流参数!$C$1:$GC$29,MATCH("TEMPERATURE",物流参数!$A$1:$A$29,FALSE()),FALSE())</f>
        <v>199.23</v>
      </c>
      <c r="EI7" s="862" t="n">
        <f aca="false">HLOOKUP(EI2,物流参数!$C$1:$GC$29,MATCH("TEMPERATURE",物流参数!$A$1:$A$29,FALSE()),FALSE())</f>
        <v>260</v>
      </c>
      <c r="EJ7" s="862" t="n">
        <f aca="false">HLOOKUP(EJ2,物流参数!$C$1:$GC$29,MATCH("TEMPERATURE",物流参数!$A$1:$A$29,FALSE()),FALSE())</f>
        <v>40</v>
      </c>
      <c r="EK7" s="862" t="n">
        <f aca="false">HLOOKUP(EK2,物流参数!$C$1:$GC$29,MATCH("TEMPERATURE",物流参数!$A$1:$A$29,FALSE()),FALSE())</f>
        <v>40</v>
      </c>
      <c r="EL7" s="864" t="n">
        <f aca="false">HLOOKUP(EL2,物流参数!$C$1:$GC$29,MATCH("TEMPERATURE",物流参数!$A$1:$A$29,FALSE()),FALSE())</f>
        <v>40</v>
      </c>
      <c r="EM7" s="864" t="n">
        <f aca="false">HLOOKUP(EM2,物流参数!$C$1:$GC$29,MATCH("TEMPERATURE",物流参数!$A$1:$A$29,FALSE()),FALSE())</f>
        <v>108.03</v>
      </c>
      <c r="EN7" s="864" t="n">
        <f aca="false">HLOOKUP(EN2,物流参数!$C$1:$GC$29,MATCH("TEMPERATURE",物流参数!$A$1:$A$29,FALSE()),FALSE())</f>
        <v>40</v>
      </c>
      <c r="EO7" s="864" t="n">
        <f aca="false">HLOOKUP(EO2,物流参数!$C$1:$GC$29,MATCH("TEMPERATURE",物流参数!$A$1:$A$29,FALSE()),FALSE())</f>
        <v>40</v>
      </c>
      <c r="EP7" s="864" t="n">
        <f aca="false">HLOOKUP(EP2,物流参数!$C$1:$GC$29,MATCH("TEMPERATURE",物流参数!$A$1:$A$29,FALSE()),FALSE())</f>
        <v>107.73</v>
      </c>
      <c r="EQ7" s="864" t="n">
        <f aca="false">HLOOKUP(EQ2,物流参数!$C$1:$GC$29,MATCH("TEMPERATURE",物流参数!$A$1:$A$29,FALSE()),FALSE())</f>
        <v>40</v>
      </c>
      <c r="ER7" s="864" t="n">
        <f aca="false">HLOOKUP(ER2,物流参数!$C$1:$GC$29,MATCH("TEMPERATURE",物流参数!$A$1:$A$29,FALSE()),FALSE())</f>
        <v>40</v>
      </c>
      <c r="ES7" s="864" t="n">
        <f aca="false">HLOOKUP(ES2,物流参数!$C$1:$GC$29,MATCH("TEMPERATURE",物流参数!$A$1:$A$29,FALSE()),FALSE())</f>
        <v>109.17</v>
      </c>
      <c r="ET7" s="862" t="n">
        <f aca="false">HLOOKUP(ET2,物流参数!$C$1:$GC$29,MATCH("TEMPERATURE",物流参数!$A$1:$A$29,FALSE()),FALSE())</f>
        <v>109.18</v>
      </c>
      <c r="EU7" s="864" t="n">
        <f aca="false">HLOOKUP(EU2,物流参数!$C$1:$GC$29,MATCH("TEMPERATURE",物流参数!$A$1:$A$29,FALSE()),FALSE())</f>
        <v>109.18</v>
      </c>
      <c r="EV7" s="864" t="n">
        <f aca="false">HLOOKUP(EV2,物流参数!$C$1:$GC$29,MATCH("TEMPERATURE",物流参数!$A$1:$A$29,FALSE()),FALSE())</f>
        <v>38.84</v>
      </c>
      <c r="EW7" s="864" t="n">
        <f aca="false">HLOOKUP(EW2,物流参数!$C$1:$GC$29,MATCH("TEMPERATURE",物流参数!$A$1:$A$29,FALSE()),FALSE())</f>
        <v>40</v>
      </c>
      <c r="EX7" s="862" t="n">
        <f aca="false">HLOOKUP(EX2,物流参数!$C$1:$GC$29,MATCH("TEMPERATURE",物流参数!$A$1:$A$29,FALSE()),FALSE())</f>
        <v>109.18</v>
      </c>
      <c r="EY7" s="862" t="n">
        <f aca="false">HLOOKUP(EY2,物流参数!$C$1:$GC$29,MATCH("TEMPERATURE",物流参数!$A$1:$A$29,FALSE()),FALSE())</f>
        <v>40</v>
      </c>
      <c r="EZ7" s="862" t="n">
        <f aca="false">HLOOKUP(EZ2,物流参数!$C$1:$GC$29,MATCH("TEMPERATURE",物流参数!$A$1:$A$29,FALSE()),FALSE())</f>
        <v>40</v>
      </c>
      <c r="FA7" s="862" t="n">
        <f aca="false">HLOOKUP(FA2,物流参数!$C$1:$GC$29,MATCH("TEMPERATURE",物流参数!$A$1:$A$29,FALSE()),FALSE())</f>
        <v>40</v>
      </c>
      <c r="FB7" s="862" t="n">
        <f aca="false">HLOOKUP(FB2,物流参数!$C$1:$GC$29,MATCH("TEMPERATURE",物流参数!$A$1:$A$29,FALSE()),FALSE())</f>
        <v>50</v>
      </c>
      <c r="FC7" s="862" t="n">
        <f aca="false">HLOOKUP(FC2,物流参数!$C$1:$GC$29,MATCH("TEMPERATURE",物流参数!$A$1:$A$29,FALSE()),FALSE())</f>
        <v>50</v>
      </c>
      <c r="FD7" s="862" t="n">
        <f aca="false">HLOOKUP(FD2,物流参数!$C$1:$GC$29,MATCH("TEMPERATURE",物流参数!$A$1:$A$29,FALSE()),FALSE())</f>
        <v>50</v>
      </c>
      <c r="FE7" s="862" t="n">
        <f aca="false">HLOOKUP(FE2,物流参数!$C$1:$GC$29,MATCH("TEMPERATURE",物流参数!$A$1:$A$29,FALSE()),FALSE())</f>
        <v>50</v>
      </c>
      <c r="FF7" s="862" t="n">
        <f aca="false">HLOOKUP(FF2,物流参数!$C$1:$GC$29,MATCH("TEMPERATURE",物流参数!$A$1:$A$29,FALSE()),FALSE())</f>
        <v>50</v>
      </c>
      <c r="FG7" s="862" t="n">
        <f aca="false">HLOOKUP(FG2,物流参数!$C$1:$GC$29,MATCH("TEMPERATURE",物流参数!$A$1:$A$29,FALSE()),FALSE())</f>
        <v>50</v>
      </c>
      <c r="FH7" s="862" t="n">
        <f aca="false">HLOOKUP(FH2,物流参数!$C$1:$GC$29,MATCH("TEMPERATURE",物流参数!$A$1:$A$29,FALSE()),FALSE())</f>
        <v>50</v>
      </c>
      <c r="FI7" s="862" t="n">
        <f aca="false">HLOOKUP(FI2,物流参数!$C$1:$GC$29,MATCH("TEMPERATURE",物流参数!$A$1:$A$29,FALSE()),FALSE())</f>
        <v>50</v>
      </c>
      <c r="FJ7" s="862" t="n">
        <f aca="false">HLOOKUP(FJ2,物流参数!$C$1:$GC$29,MATCH("TEMPERATURE",物流参数!$A$1:$A$29,FALSE()),FALSE())</f>
        <v>50</v>
      </c>
      <c r="FK7" s="862" t="n">
        <f aca="false">HLOOKUP(FK2,物流参数!$C$1:$GC$29,MATCH("TEMPERATURE",物流参数!$A$1:$A$29,FALSE()),FALSE())</f>
        <v>50</v>
      </c>
      <c r="FL7" s="862" t="n">
        <v>43</v>
      </c>
      <c r="FM7" s="862" t="n">
        <v>185</v>
      </c>
      <c r="FN7" s="862" t="n">
        <v>185</v>
      </c>
      <c r="FO7" s="862"/>
      <c r="FP7" s="844" t="n">
        <v>40</v>
      </c>
      <c r="FQ7" s="844" t="n">
        <v>40</v>
      </c>
      <c r="FR7" s="844" t="n">
        <v>40</v>
      </c>
      <c r="FS7" s="844" t="n">
        <v>40</v>
      </c>
      <c r="FT7" s="844" t="n">
        <v>40</v>
      </c>
      <c r="FU7" s="844" t="n">
        <v>40</v>
      </c>
      <c r="FV7" s="844" t="n">
        <v>40</v>
      </c>
      <c r="FW7" s="844" t="n">
        <v>40</v>
      </c>
      <c r="FX7" s="844" t="n">
        <v>40</v>
      </c>
      <c r="FY7" s="844" t="n">
        <v>40</v>
      </c>
      <c r="FZ7" s="844" t="n">
        <v>40</v>
      </c>
      <c r="GA7" s="844" t="n">
        <v>40</v>
      </c>
      <c r="GB7" s="844" t="n">
        <v>40</v>
      </c>
      <c r="GC7" s="844" t="n">
        <v>40</v>
      </c>
      <c r="GD7" s="844" t="n">
        <v>40</v>
      </c>
      <c r="GE7" s="844" t="n">
        <v>40</v>
      </c>
      <c r="GF7" s="844" t="n">
        <v>40</v>
      </c>
      <c r="GG7" s="844" t="n">
        <v>40</v>
      </c>
      <c r="GH7" s="844"/>
      <c r="GI7" s="862"/>
      <c r="GJ7" s="862"/>
      <c r="GK7" s="862"/>
      <c r="GL7" s="862"/>
      <c r="GM7" s="862"/>
      <c r="GN7" s="862"/>
      <c r="GO7" s="862"/>
      <c r="GP7" s="862"/>
      <c r="GQ7" s="862"/>
      <c r="GR7" s="862"/>
      <c r="GS7" s="862"/>
      <c r="GT7" s="862"/>
      <c r="GU7" s="862"/>
      <c r="GV7" s="862"/>
      <c r="GW7" s="862"/>
      <c r="GX7" s="862"/>
      <c r="GY7" s="862"/>
      <c r="GZ7" s="862"/>
      <c r="HA7" s="862"/>
      <c r="HB7" s="862"/>
      <c r="HC7" s="862"/>
      <c r="HD7" s="862"/>
      <c r="HE7" s="862"/>
      <c r="HF7" s="862"/>
      <c r="HG7" s="862"/>
      <c r="HH7" s="862"/>
      <c r="HI7" s="862"/>
      <c r="HJ7" s="862"/>
      <c r="HK7" s="862"/>
      <c r="HL7" s="862"/>
      <c r="HM7" s="862"/>
      <c r="HN7" s="862"/>
      <c r="HO7" s="862"/>
      <c r="HP7" s="862"/>
      <c r="HQ7" s="862"/>
      <c r="HR7" s="862"/>
      <c r="HS7" s="862"/>
      <c r="HT7" s="862"/>
      <c r="HU7" s="862"/>
      <c r="HV7" s="862"/>
      <c r="HW7" s="862"/>
      <c r="HX7" s="862"/>
      <c r="HY7" s="862"/>
      <c r="HZ7" s="862"/>
      <c r="IA7" s="862"/>
      <c r="IB7" s="862"/>
      <c r="IC7" s="862"/>
      <c r="ID7" s="862"/>
      <c r="IE7" s="862"/>
      <c r="IF7" s="862"/>
      <c r="IG7" s="862"/>
      <c r="IH7" s="862"/>
      <c r="II7" s="865"/>
      <c r="IJ7" s="862"/>
      <c r="IK7" s="862"/>
      <c r="IL7" s="862"/>
      <c r="IM7" s="862"/>
      <c r="IN7" s="862"/>
      <c r="IO7" s="862"/>
      <c r="IP7" s="865"/>
      <c r="IQ7" s="866"/>
      <c r="IR7" s="862"/>
      <c r="IS7" s="865"/>
      <c r="IT7" s="865"/>
      <c r="IU7" s="862"/>
      <c r="IV7" s="865"/>
      <c r="IW7" s="865"/>
      <c r="IX7" s="865"/>
      <c r="IY7" s="865"/>
      <c r="IZ7" s="865"/>
      <c r="JA7" s="865"/>
      <c r="JB7" s="866"/>
      <c r="JC7" s="862"/>
      <c r="JD7" s="862"/>
      <c r="JE7" s="867"/>
      <c r="JF7" s="862"/>
      <c r="JG7" s="862"/>
      <c r="JH7" s="865"/>
      <c r="JI7" s="865"/>
      <c r="JJ7" s="867"/>
      <c r="JK7" s="865"/>
      <c r="JL7" s="867"/>
      <c r="JM7" s="862"/>
      <c r="JN7" s="867"/>
      <c r="JO7" s="867"/>
    </row>
    <row r="8" s="878" customFormat="true" ht="18.75" hidden="false" customHeight="false" outlineLevel="0" collapsed="false">
      <c r="A8" s="869" t="s">
        <v>1516</v>
      </c>
      <c r="B8" s="869" t="s">
        <v>1517</v>
      </c>
      <c r="C8" s="870" t="n">
        <f aca="false">HLOOKUP(C2,物流参数!$C$1:$GC$29,MATCH("PRESSURE",物流参数!$A$1:$A$29,FALSE()),FALSE())*10</f>
        <v>4</v>
      </c>
      <c r="D8" s="870" t="n">
        <f aca="false">HLOOKUP(D2,物流参数!$C$1:$GC$29,MATCH("PRESSURE",物流参数!$A$1:$A$29,FALSE()),FALSE())*10</f>
        <v>4</v>
      </c>
      <c r="E8" s="871" t="n">
        <f aca="false">HLOOKUP(E2,物流参数!$C$1:$GC$29,MATCH("PRESSURE",物流参数!$A$1:$A$29,FALSE()),FALSE())*10</f>
        <v>4</v>
      </c>
      <c r="F8" s="871" t="n">
        <f aca="false">HLOOKUP(F2,物流参数!$C$1:$GC$29,MATCH("PRESSURE",物流参数!$A$1:$A$29,FALSE()),FALSE())*10</f>
        <v>2</v>
      </c>
      <c r="G8" s="871" t="n">
        <f aca="false">HLOOKUP(G2,物流参数!$C$1:$GC$29,MATCH("PRESSURE",物流参数!$A$1:$A$29,FALSE()),FALSE())*10</f>
        <v>2</v>
      </c>
      <c r="H8" s="870" t="n">
        <f aca="false">HLOOKUP(H2,物流参数!$C$1:$GC$29,MATCH("PRESSURE",物流参数!$A$1:$A$29,FALSE()),FALSE())*10</f>
        <v>2</v>
      </c>
      <c r="I8" s="870" t="n">
        <f aca="false">HLOOKUP(I2,物流参数!$C$1:$GC$29,MATCH("PRESSURE",物流参数!$A$1:$A$29,FALSE()),FALSE())*10</f>
        <v>9</v>
      </c>
      <c r="J8" s="870" t="n">
        <f aca="false">HLOOKUP(J2,物流参数!$C$1:$GC$29,MATCH("PRESSURE",物流参数!$A$1:$A$29,FALSE()),FALSE())*10</f>
        <v>6</v>
      </c>
      <c r="K8" s="870" t="n">
        <f aca="false">HLOOKUP(K2,物流参数!$C$1:$GC$29,MATCH("PRESSURE",物流参数!$A$1:$A$29,FALSE()),FALSE())*10</f>
        <v>4.2</v>
      </c>
      <c r="L8" s="870" t="n">
        <f aca="false">HLOOKUP(L2,物流参数!$C$1:$GC$29,MATCH("PRESSURE",物流参数!$A$1:$A$29,FALSE()),FALSE())*10</f>
        <v>160.6</v>
      </c>
      <c r="M8" s="870" t="n">
        <f aca="false">HLOOKUP(M2,物流参数!$C$1:$GC$29,MATCH("PRESSURE",物流参数!$A$1:$A$29,FALSE()),FALSE())*10</f>
        <v>151</v>
      </c>
      <c r="N8" s="870" t="n">
        <f aca="false">HLOOKUP(N2,物流参数!$C$1:$GC$29,MATCH("PRESSURE",物流参数!$A$1:$A$29,FALSE()),FALSE())*10</f>
        <v>151</v>
      </c>
      <c r="O8" s="870" t="n">
        <f aca="false">HLOOKUP(O2,物流参数!$C$1:$GC$29,MATCH("PRESSURE",物流参数!$A$1:$A$29,FALSE()),FALSE())*10</f>
        <v>151</v>
      </c>
      <c r="P8" s="870" t="n">
        <f aca="false">HLOOKUP(P2,物流参数!$C$1:$GC$29,MATCH("PRESSURE",物流参数!$A$1:$A$29,FALSE()),FALSE())*10</f>
        <v>13.2</v>
      </c>
      <c r="Q8" s="870" t="n">
        <f aca="false">HLOOKUP(Q2,物流参数!$C$1:$GC$29,MATCH("PRESSURE",物流参数!$A$1:$A$29,FALSE()),FALSE())*10</f>
        <v>150.3</v>
      </c>
      <c r="R8" s="870" t="n">
        <f aca="false">HLOOKUP(R2,物流参数!$C$1:$GC$29,MATCH("PRESSURE",物流参数!$A$1:$A$29,FALSE()),FALSE())*10</f>
        <v>11.5</v>
      </c>
      <c r="S8" s="870" t="n">
        <f aca="false">HLOOKUP(S2,物流参数!$C$1:$GC$29,MATCH("PRESSURE",物流参数!$A$1:$A$29,FALSE()),FALSE())*10</f>
        <v>11.5</v>
      </c>
      <c r="T8" s="870" t="n">
        <f aca="false">HLOOKUP(T2,物流参数!$C$1:$GC$29,MATCH("PRESSURE",物流参数!$A$1:$A$29,FALSE()),FALSE())*10</f>
        <v>11.2</v>
      </c>
      <c r="U8" s="870" t="n">
        <f aca="false">HLOOKUP(U2,物流参数!$C$1:$GC$29,MATCH("PRESSURE",物流参数!$A$1:$A$29,FALSE()),FALSE())*10</f>
        <v>10</v>
      </c>
      <c r="V8" s="870" t="n">
        <f aca="false">HLOOKUP(V2,物流参数!$C$1:$GC$29,MATCH("PRESSURE",物流参数!$A$1:$A$29,FALSE()),FALSE())*10</f>
        <v>11.5</v>
      </c>
      <c r="W8" s="870" t="n">
        <v>2</v>
      </c>
      <c r="X8" s="870" t="n">
        <v>2</v>
      </c>
      <c r="Y8" s="870" t="n">
        <f aca="false">HLOOKUP(Y2,物流参数!$C$1:$GC$29,MATCH("PRESSURE",物流参数!$A$1:$A$29,FALSE()),FALSE())*10</f>
        <v>147</v>
      </c>
      <c r="Z8" s="870" t="n">
        <f aca="false">HLOOKUP(Z2,物流参数!$C$1:$GC$29,MATCH("PRESSURE",物流参数!$A$1:$A$29,FALSE()),FALSE())*10</f>
        <v>143.6</v>
      </c>
      <c r="AA8" s="870" t="n">
        <f aca="false">HLOOKUP(AA2,物流参数!$C$1:$GC$29,MATCH("PRESSURE",物流参数!$A$1:$A$29,FALSE()),FALSE())*10</f>
        <v>138.3</v>
      </c>
      <c r="AB8" s="870" t="n">
        <f aca="false">HLOOKUP(AB2,物流参数!$C$1:$GC$29,MATCH("PRESSURE",物流参数!$A$1:$A$29,FALSE()),FALSE())*10</f>
        <v>138.6</v>
      </c>
      <c r="AC8" s="870" t="n">
        <f aca="false">HLOOKUP(AC2,物流参数!$C$1:$GC$29,MATCH("PRESSURE",物流参数!$A$1:$A$29,FALSE()),FALSE())*10</f>
        <v>144</v>
      </c>
      <c r="AD8" s="870" t="n">
        <f aca="false">HLOOKUP(AD2,物流参数!$C$1:$GC$29,MATCH("PRESSURE",物流参数!$A$1:$A$29,FALSE()),FALSE())*10</f>
        <v>142.1</v>
      </c>
      <c r="AE8" s="870" t="n">
        <f aca="false">HLOOKUP(AE2,物流参数!$C$1:$GC$29,MATCH("PRESSURE",物流参数!$A$1:$A$29,FALSE()),FALSE())*10</f>
        <v>142.1</v>
      </c>
      <c r="AF8" s="870" t="n">
        <f aca="false">HLOOKUP(AF2,物流参数!$C$1:$GC$29,MATCH("PRESSURE",物流参数!$A$1:$A$29,FALSE()),FALSE())*10</f>
        <v>142.1</v>
      </c>
      <c r="AG8" s="870" t="n">
        <f aca="false">HLOOKUP(AG2,物流参数!$C$1:$GC$29,MATCH("PRESSURE",物流参数!$A$1:$A$29,FALSE()),FALSE())*10</f>
        <v>140.1</v>
      </c>
      <c r="AH8" s="870" t="n">
        <f aca="false">HLOOKUP(AH2,物流参数!$C$1:$GC$29,MATCH("PRESSURE",物流参数!$A$1:$A$29,FALSE()),FALSE())*10</f>
        <v>139.9</v>
      </c>
      <c r="AI8" s="870" t="n">
        <f aca="false">HLOOKUP(AI2,物流参数!$C$1:$GC$29,MATCH("PRESSURE",物流参数!$A$1:$A$29,FALSE()),FALSE())*10</f>
        <v>138.3</v>
      </c>
      <c r="AJ8" s="870" t="n">
        <f aca="false">HLOOKUP(AJ2,物流参数!$C$1:$GC$29,MATCH("PRESSURE",物流参数!$A$1:$A$29,FALSE()),FALSE())*10</f>
        <v>138.2</v>
      </c>
      <c r="AK8" s="870" t="n">
        <f aca="false">HLOOKUP(AK2,物流参数!$C$1:$GC$29,MATCH("PRESSURE",物流参数!$A$1:$A$29,FALSE()),FALSE())*10</f>
        <v>141.8</v>
      </c>
      <c r="AL8" s="870" t="n">
        <f aca="false">HLOOKUP(AL2,物流参数!$C$1:$GC$29,MATCH("PRESSURE",物流参数!$A$1:$A$29,FALSE()),FALSE())*10</f>
        <v>139.8</v>
      </c>
      <c r="AM8" s="870" t="n">
        <f aca="false">HLOOKUP(AM2,物流参数!$C$1:$GC$29,MATCH("PRESSURE",物流参数!$A$1:$A$29,FALSE()),FALSE())*10</f>
        <v>139.8</v>
      </c>
      <c r="AN8" s="870" t="n">
        <f aca="false">HLOOKUP(AN2,物流参数!$C$1:$GC$29,MATCH("PRESSURE",物流参数!$A$1:$A$29,FALSE()),FALSE())*10</f>
        <v>138</v>
      </c>
      <c r="AO8" s="870" t="n">
        <f aca="false">HLOOKUP(AO2,物流参数!$C$1:$GC$29,MATCH("PRESSURE",物流参数!$A$1:$A$29,FALSE()),FALSE())*10</f>
        <v>137.9</v>
      </c>
      <c r="AP8" s="870" t="n">
        <f aca="false">HLOOKUP(AP2,物流参数!$C$1:$GC$29,MATCH("PRESSURE",物流参数!$A$1:$A$29,FALSE()),FALSE())*10</f>
        <v>29.9</v>
      </c>
      <c r="AQ8" s="870" t="n">
        <f aca="false">HLOOKUP(AQ2,物流参数!$C$1:$GC$29,MATCH("PRESSURE",物流参数!$A$1:$A$29,FALSE()),FALSE())*10</f>
        <v>138.5</v>
      </c>
      <c r="AR8" s="870" t="n">
        <f aca="false">HLOOKUP(AR2,物流参数!$C$1:$GC$29,MATCH("PRESSURE",物流参数!$A$1:$A$29,FALSE()),FALSE())*10</f>
        <v>134.7</v>
      </c>
      <c r="AS8" s="870" t="n">
        <f aca="false">HLOOKUP(AS2,物流参数!$C$1:$GC$29,MATCH("PRESSURE",物流参数!$A$1:$A$29,FALSE()),FALSE())*10</f>
        <v>133.7</v>
      </c>
      <c r="AT8" s="870" t="n">
        <f aca="false">HLOOKUP(AT2,物流参数!$C$1:$GC$29,MATCH("PRESSURE",物流参数!$A$1:$A$29,FALSE()),FALSE())*10</f>
        <v>29.9</v>
      </c>
      <c r="AU8" s="870" t="n">
        <f aca="false">HLOOKUP(AU2,物流参数!$C$1:$GC$29,MATCH("PRESSURE",物流参数!$A$1:$A$29,FALSE()),FALSE())*10</f>
        <v>12.5</v>
      </c>
      <c r="AV8" s="870" t="n">
        <f aca="false">HLOOKUP(AV2,物流参数!$C$1:$GC$29,MATCH("PRESSURE",物流参数!$A$1:$A$29,FALSE()),FALSE())*10</f>
        <v>3.3</v>
      </c>
      <c r="AW8" s="870" t="n">
        <f aca="false">HLOOKUP(AW2,物流参数!$C$1:$GC$29,MATCH("PRESSURE",物流参数!$A$1:$A$29,FALSE()),FALSE())*10</f>
        <v>3</v>
      </c>
      <c r="AX8" s="870" t="n">
        <f aca="false">HLOOKUP(AX2,物流参数!$C$1:$GC$29,MATCH("PRESSURE",物流参数!$A$1:$A$29,FALSE()),FALSE())*10</f>
        <v>23.8</v>
      </c>
      <c r="AY8" s="870" t="n">
        <f aca="false">HLOOKUP(AY2,物流参数!$C$1:$GC$29,MATCH("PRESSURE",物流参数!$A$1:$A$29,FALSE()),FALSE())*10</f>
        <v>29.9</v>
      </c>
      <c r="AZ8" s="870" t="n">
        <f aca="false">HLOOKUP(AZ2,物流参数!$C$1:$GC$29,MATCH("PRESSURE",物流参数!$A$1:$A$29,FALSE()),FALSE())*10</f>
        <v>29.9</v>
      </c>
      <c r="BA8" s="870" t="n">
        <f aca="false">HLOOKUP(BA2,物流参数!$C$1:$GC$29,MATCH("PRESSURE",物流参数!$A$1:$A$29,FALSE()),FALSE())*10</f>
        <v>28.8</v>
      </c>
      <c r="BB8" s="870" t="n">
        <f aca="false">HLOOKUP(BB2,物流参数!$C$1:$GC$29,MATCH("PRESSURE",物流参数!$A$1:$A$29,FALSE()),FALSE())*10</f>
        <v>28.8</v>
      </c>
      <c r="BC8" s="870" t="n">
        <f aca="false">HLOOKUP(BC2,物流参数!$C$1:$GC$29,MATCH("PRESSURE",物流参数!$A$1:$A$29,FALSE()),FALSE())*10</f>
        <v>28.5</v>
      </c>
      <c r="BD8" s="870" t="n">
        <f aca="false">HLOOKUP(BD2,物流参数!$C$1:$GC$29,MATCH("PRESSURE",物流参数!$A$1:$A$29,FALSE()),FALSE())*10</f>
        <v>28.5</v>
      </c>
      <c r="BE8" s="870" t="n">
        <f aca="false">HLOOKUP(BE2,物流参数!$C$1:$GC$29,MATCH("PRESSURE",物流参数!$A$1:$A$29,FALSE()),FALSE())*10</f>
        <v>28.1</v>
      </c>
      <c r="BF8" s="870" t="n">
        <f aca="false">HLOOKUP(BF2,物流参数!$C$1:$GC$29,MATCH("PRESSURE",物流参数!$A$1:$A$29,FALSE()),FALSE())*10</f>
        <v>9.1</v>
      </c>
      <c r="BG8" s="870" t="n">
        <f aca="false">HLOOKUP(BG2,物流参数!$C$1:$GC$29,MATCH("PRESSURE",物流参数!$A$1:$A$29,FALSE()),FALSE())*10</f>
        <v>9</v>
      </c>
      <c r="BH8" s="870" t="n">
        <f aca="false">HLOOKUP(BH2,物流参数!$C$1:$GC$29,MATCH("PRESSURE",物流参数!$A$1:$A$29,FALSE()),FALSE())*10</f>
        <v>12.8</v>
      </c>
      <c r="BI8" s="870" t="n">
        <f aca="false">HLOOKUP(BI2,物流参数!$C$1:$GC$29,MATCH("PRESSURE",物流参数!$A$1:$A$29,FALSE()),FALSE())*10</f>
        <v>12.1</v>
      </c>
      <c r="BJ8" s="870" t="n">
        <f aca="false">HLOOKUP(BJ2,物流参数!$C$1:$GC$29,MATCH("PRESSURE",物流参数!$A$1:$A$29,FALSE()),FALSE())*10</f>
        <v>28.1</v>
      </c>
      <c r="BK8" s="870" t="n">
        <f aca="false">HLOOKUP(BK2,物流参数!$C$1:$GC$29,MATCH("PRESSURE",物流参数!$A$1:$A$29,FALSE()),FALSE())*10</f>
        <v>28</v>
      </c>
      <c r="BL8" s="870" t="n">
        <f aca="false">HLOOKUP(BL2,物流参数!$C$1:$GC$29,MATCH("PRESSURE",物流参数!$A$1:$A$29,FALSE()),FALSE())*10</f>
        <v>29.9</v>
      </c>
      <c r="BM8" s="870" t="n">
        <f aca="false">HLOOKUP(BM2,物流参数!$C$1:$GC$29,MATCH("PRESSURE",物流参数!$A$1:$A$29,FALSE()),FALSE())*10</f>
        <v>12.2</v>
      </c>
      <c r="BN8" s="870" t="n">
        <f aca="false">HLOOKUP(BN2,物流参数!$C$1:$GC$29,MATCH("PRESSURE",物流参数!$A$1:$A$29,FALSE()),FALSE())*10</f>
        <v>24.9</v>
      </c>
      <c r="BO8" s="870" t="n">
        <f aca="false">HLOOKUP(BO2,物流参数!$C$1:$GC$29,MATCH("PRESSURE",物流参数!$A$1:$A$29,FALSE()),FALSE())*10</f>
        <v>25</v>
      </c>
      <c r="BP8" s="870" t="n">
        <f aca="false">HLOOKUP(BP2,物流参数!$C$1:$GC$29,MATCH("PRESSURE",物流参数!$A$1:$A$29,FALSE()),FALSE())*10</f>
        <v>4</v>
      </c>
      <c r="BQ8" s="870" t="n">
        <f aca="false">HLOOKUP(BQ2,物流参数!$C$1:$GC$29,MATCH("PRESSURE",物流参数!$A$1:$A$29,FALSE()),FALSE())*10</f>
        <v>4</v>
      </c>
      <c r="BR8" s="870" t="n">
        <f aca="false">HLOOKUP(BR2,物流参数!$C$1:$GC$29,MATCH("PRESSURE",物流参数!$A$1:$A$29,FALSE()),FALSE())*10</f>
        <v>30.1</v>
      </c>
      <c r="BS8" s="870" t="n">
        <f aca="false">HLOOKUP(BS2,物流参数!$C$1:$GC$29,MATCH("PRESSURE",物流参数!$A$1:$A$29,FALSE()),FALSE())*10</f>
        <v>10.6</v>
      </c>
      <c r="BT8" s="870" t="n">
        <f aca="false">HLOOKUP(BT2,物流参数!$C$1:$GC$29,MATCH("PRESSURE",物流参数!$A$1:$A$29,FALSE()),FALSE())*10</f>
        <v>29</v>
      </c>
      <c r="BU8" s="870" t="n">
        <f aca="false">HLOOKUP(BU2,物流参数!$C$1:$GC$29,MATCH("PRESSURE",物流参数!$A$1:$A$29,FALSE()),FALSE())*10</f>
        <v>28.6</v>
      </c>
      <c r="BV8" s="870" t="n">
        <f aca="false">HLOOKUP(BV2,物流参数!$C$1:$GC$29,MATCH("PRESSURE",物流参数!$A$1:$A$29,FALSE()),FALSE())*10</f>
        <v>10.7</v>
      </c>
      <c r="BW8" s="870" t="n">
        <f aca="false">HLOOKUP(BW2,物流参数!$C$1:$GC$29,MATCH("PRESSURE",物流参数!$A$1:$A$29,FALSE()),FALSE())*10</f>
        <v>10.9</v>
      </c>
      <c r="BX8" s="870" t="n">
        <f aca="false">HLOOKUP(BX2,物流参数!$C$1:$GC$29,MATCH("PRESSURE",物流参数!$A$1:$A$29,FALSE()),FALSE())*10</f>
        <v>3</v>
      </c>
      <c r="BY8" s="870" t="n">
        <f aca="false">HLOOKUP(BY2,物流参数!$C$1:$GC$29,MATCH("PRESSURE",物流参数!$A$1:$A$29,FALSE()),FALSE())*10</f>
        <v>2.3</v>
      </c>
      <c r="BZ8" s="870" t="n">
        <f aca="false">HLOOKUP(BZ2,物流参数!$C$1:$GC$29,MATCH("PRESSURE",物流参数!$A$1:$A$29,FALSE()),FALSE())*10</f>
        <v>2</v>
      </c>
      <c r="CA8" s="870" t="n">
        <f aca="false">HLOOKUP(CA2,物流参数!$C$1:$GC$29,MATCH("PRESSURE",物流参数!$A$1:$A$29,FALSE()),FALSE())*10</f>
        <v>2</v>
      </c>
      <c r="CB8" s="870" t="n">
        <f aca="false">HLOOKUP(CB2,物流参数!$C$1:$GC$29,MATCH("PRESSURE",物流参数!$A$1:$A$29,FALSE()),FALSE())*10</f>
        <v>0.8</v>
      </c>
      <c r="CC8" s="870" t="n">
        <f aca="false">HLOOKUP(CC2,物流参数!$C$1:$GC$29,MATCH("PRESSURE",物流参数!$A$1:$A$29,FALSE()),FALSE())*10</f>
        <v>2</v>
      </c>
      <c r="CD8" s="870" t="n">
        <f aca="false">HLOOKUP(CD2,物流参数!$C$1:$GC$29,MATCH("PRESSURE",物流参数!$A$1:$A$29,FALSE()),FALSE())*10</f>
        <v>5.4</v>
      </c>
      <c r="CE8" s="870" t="n">
        <f aca="false">HLOOKUP(CE2,物流参数!$C$1:$GC$29,MATCH("PRESSURE",物流参数!$A$1:$A$29,FALSE()),FALSE())*10</f>
        <v>2</v>
      </c>
      <c r="CF8" s="870" t="n">
        <f aca="false">HLOOKUP(CF2,物流参数!$C$1:$GC$29,MATCH("PRESSURE",物流参数!$A$1:$A$29,FALSE()),FALSE())*10</f>
        <v>13.6</v>
      </c>
      <c r="CG8" s="870" t="n">
        <f aca="false">HLOOKUP(CG2,物流参数!$C$1:$GC$29,MATCH("PRESSURE",物流参数!$A$1:$A$29,FALSE()),FALSE())*10</f>
        <v>137.8</v>
      </c>
      <c r="CH8" s="870" t="n">
        <f aca="false">HLOOKUP(CH2,物流参数!$C$1:$GC$29,MATCH("PRESSURE",物流参数!$A$1:$A$29,FALSE()),FALSE())*10</f>
        <v>10.6</v>
      </c>
      <c r="CI8" s="870" t="n">
        <f aca="false">HLOOKUP(CI2,物流参数!$C$1:$GC$29,MATCH("PRESSURE",物流参数!$A$1:$A$29,FALSE()),FALSE())*10</f>
        <v>10.6</v>
      </c>
      <c r="CJ8" s="870" t="n">
        <f aca="false">HLOOKUP(CJ2,物流参数!$C$1:$GC$29,MATCH("PRESSURE",物流参数!$A$1:$A$29,FALSE()),FALSE())*10</f>
        <v>10.2</v>
      </c>
      <c r="CK8" s="870" t="n">
        <f aca="false">HLOOKUP(CK2,物流参数!$C$1:$GC$29,MATCH("PRESSURE",物流参数!$A$1:$A$29,FALSE()),FALSE())*10</f>
        <v>9.9</v>
      </c>
      <c r="CL8" s="870" t="n">
        <f aca="false">HLOOKUP(CL2,物流参数!$C$1:$GC$29,MATCH("PRESSURE",物流参数!$A$1:$A$29,FALSE()),FALSE())*10</f>
        <v>10</v>
      </c>
      <c r="CM8" s="870" t="n">
        <f aca="false">HLOOKUP(CM2,物流参数!$C$1:$GC$29,MATCH("PRESSURE",物流参数!$A$1:$A$29,FALSE()),FALSE())*10</f>
        <v>13.8</v>
      </c>
      <c r="CN8" s="870" t="n">
        <f aca="false">HLOOKUP(CN2,物流参数!$C$1:$GC$29,MATCH("PRESSURE",物流参数!$A$1:$A$29,FALSE()),FALSE())*10</f>
        <v>10.6</v>
      </c>
      <c r="CO8" s="870" t="n">
        <f aca="false">HLOOKUP(CO2,物流参数!$C$1:$GC$29,MATCH("PRESSURE",物流参数!$A$1:$A$29,FALSE()),FALSE())*10</f>
        <v>10</v>
      </c>
      <c r="CP8" s="870" t="n">
        <f aca="false">HLOOKUP(CP2,物流参数!$C$1:$GC$29,MATCH("PRESSURE",物流参数!$A$1:$A$29,FALSE()),FALSE())*10</f>
        <v>9.1</v>
      </c>
      <c r="CQ8" s="870" t="n">
        <f aca="false">HLOOKUP(CQ2,物流参数!$C$1:$GC$29,MATCH("PRESSURE",物流参数!$A$1:$A$29,FALSE()),FALSE())*10</f>
        <v>9.8</v>
      </c>
      <c r="CR8" s="870" t="n">
        <f aca="false">HLOOKUP(CR2,物流参数!$C$1:$GC$29,MATCH("PRESSURE",物流参数!$A$1:$A$29,FALSE()),FALSE())*10</f>
        <v>9</v>
      </c>
      <c r="CS8" s="870" t="n">
        <f aca="false">HLOOKUP(CS2,物流参数!$C$1:$GC$29,MATCH("PRESSURE",物流参数!$A$1:$A$29,FALSE()),FALSE())*10</f>
        <v>12</v>
      </c>
      <c r="CT8" s="870" t="n">
        <f aca="false">HLOOKUP(CT2,物流参数!$C$1:$GC$29,MATCH("PRESSURE",物流参数!$A$1:$A$29,FALSE()),FALSE())*10</f>
        <v>10.9</v>
      </c>
      <c r="CU8" s="870" t="n">
        <f aca="false">HLOOKUP(CU2,物流参数!$C$1:$GC$29,MATCH("PRESSURE",物流参数!$A$1:$A$29,FALSE()),FALSE())*10</f>
        <v>12.5</v>
      </c>
      <c r="CV8" s="870" t="n">
        <f aca="false">HLOOKUP(CV2,物流参数!$C$1:$GC$29,MATCH("PRESSURE",物流参数!$A$1:$A$29,FALSE()),FALSE())*10</f>
        <v>12</v>
      </c>
      <c r="CW8" s="870" t="n">
        <f aca="false">HLOOKUP(CW2,物流参数!$C$1:$GC$29,MATCH("PRESSURE",物流参数!$A$1:$A$29,FALSE()),FALSE())*10</f>
        <v>14.2</v>
      </c>
      <c r="CX8" s="870" t="n">
        <f aca="false">HLOOKUP(CX2,物流参数!$C$1:$GC$29,MATCH("PRESSURE",物流参数!$A$1:$A$29,FALSE()),FALSE())*10</f>
        <v>14.2</v>
      </c>
      <c r="CY8" s="870" t="n">
        <f aca="false">HLOOKUP(CY2,物流参数!$C$1:$GC$29,MATCH("PRESSURE",物流参数!$A$1:$A$29,FALSE()),FALSE())*10</f>
        <v>23.8</v>
      </c>
      <c r="CZ8" s="870" t="n">
        <f aca="false">HLOOKUP(CZ2,物流参数!$C$1:$GC$29,MATCH("PRESSURE",物流参数!$A$1:$A$29,FALSE()),FALSE())*10</f>
        <v>1.4</v>
      </c>
      <c r="DA8" s="870" t="n">
        <f aca="false">HLOOKUP(DA2,物流参数!$C$1:$GC$29,MATCH("PRESSURE",物流参数!$A$1:$A$29,FALSE()),FALSE())*10</f>
        <v>14.8</v>
      </c>
      <c r="DB8" s="870" t="n">
        <f aca="false">HLOOKUP(DB2,物流参数!$C$1:$GC$29,MATCH("PRESSURE",物流参数!$A$1:$A$29,FALSE()),FALSE())*10</f>
        <v>0.8</v>
      </c>
      <c r="DC8" s="870" t="n">
        <f aca="false">HLOOKUP(DC2,物流参数!$C$1:$GC$29,MATCH("PRESSURE",物流参数!$A$1:$A$29,FALSE()),FALSE())*10</f>
        <v>0.4</v>
      </c>
      <c r="DD8" s="870" t="n">
        <f aca="false">HLOOKUP(DD2,物流参数!$C$1:$GC$29,MATCH("PRESSURE",物流参数!$A$1:$A$29,FALSE()),FALSE())*10</f>
        <v>0.6</v>
      </c>
      <c r="DE8" s="870" t="n">
        <f aca="false">HLOOKUP(DE2,物流参数!$C$1:$GC$29,MATCH("PRESSURE",物流参数!$A$1:$A$29,FALSE()),FALSE())*10</f>
        <v>11.6</v>
      </c>
      <c r="DF8" s="870" t="n">
        <f aca="false">HLOOKUP(DF2,物流参数!$C$1:$GC$29,MATCH("PRESSURE",物流参数!$A$1:$A$29,FALSE()),FALSE())*10</f>
        <v>11.5</v>
      </c>
      <c r="DG8" s="870" t="n">
        <f aca="false">HLOOKUP(DG2,物流参数!$C$1:$GC$29,MATCH("PRESSURE",物流参数!$A$1:$A$29,FALSE()),FALSE())*10</f>
        <v>11.6</v>
      </c>
      <c r="DH8" s="870" t="n">
        <f aca="false">HLOOKUP(DH2,物流参数!$C$1:$GC$29,MATCH("PRESSURE",物流参数!$A$1:$A$29,FALSE()),FALSE())*10</f>
        <v>11.2</v>
      </c>
      <c r="DI8" s="870" t="n">
        <f aca="false">HLOOKUP(DI2,物流参数!$C$1:$GC$29,MATCH("PRESSURE",物流参数!$A$1:$A$29,FALSE()),FALSE())*10</f>
        <v>10</v>
      </c>
      <c r="DJ8" s="870" t="n">
        <f aca="false">HLOOKUP(DJ2,物流参数!$C$1:$GC$29,MATCH("PRESSURE",物流参数!$A$1:$A$29,FALSE()),FALSE())*10</f>
        <v>4</v>
      </c>
      <c r="DK8" s="870" t="n">
        <f aca="false">HLOOKUP(DK2,物流参数!$C$1:$GC$29,MATCH("PRESSURE",物流参数!$A$1:$A$29,FALSE()),FALSE())*10</f>
        <v>2.4</v>
      </c>
      <c r="DL8" s="870" t="n">
        <f aca="false">HLOOKUP(DL2,物流参数!$C$1:$GC$29,MATCH("PRESSURE",物流参数!$A$1:$A$29,FALSE()),FALSE())*10</f>
        <v>5.3</v>
      </c>
      <c r="DM8" s="870" t="n">
        <f aca="false">HLOOKUP(DM2,物流参数!$C$1:$GC$29,MATCH("PRESSURE",物流参数!$A$1:$A$29,FALSE()),FALSE())*10</f>
        <v>4.6</v>
      </c>
      <c r="DN8" s="870" t="n">
        <f aca="false">HLOOKUP(DN2,物流参数!$C$1:$GC$29,MATCH("PRESSURE",物流参数!$A$1:$A$29,FALSE()),FALSE())*10</f>
        <v>3.9</v>
      </c>
      <c r="DO8" s="870" t="n">
        <f aca="false">HLOOKUP(DO2,物流参数!$C$1:$GC$29,MATCH("PRESSURE",物流参数!$A$1:$A$29,FALSE()),FALSE())*10</f>
        <v>0.9</v>
      </c>
      <c r="DP8" s="870" t="n">
        <f aca="false">HLOOKUP(DP2,物流参数!$C$1:$GC$29,MATCH("PRESSURE",物流参数!$A$1:$A$29,FALSE()),FALSE())*10</f>
        <v>0.9</v>
      </c>
      <c r="DQ8" s="870" t="n">
        <f aca="false">HLOOKUP(DQ2,物流参数!$C$1:$GC$29,MATCH("PRESSURE",物流参数!$A$1:$A$29,FALSE()),FALSE())*10</f>
        <v>0.9</v>
      </c>
      <c r="DR8" s="870" t="n">
        <f aca="false">HLOOKUP(DR2,物流参数!$C$1:$GC$29,MATCH("PRESSURE",物流参数!$A$1:$A$29,FALSE()),FALSE())*10</f>
        <v>0.9</v>
      </c>
      <c r="DS8" s="870" t="n">
        <f aca="false">HLOOKUP(DS2,物流参数!$C$1:$GC$29,MATCH("PRESSURE",物流参数!$A$1:$A$29,FALSE()),FALSE())*10</f>
        <v>1.1</v>
      </c>
      <c r="DT8" s="870" t="n">
        <f aca="false">HLOOKUP(DT2,物流参数!$C$1:$GC$29,MATCH("PRESSURE",物流参数!$A$1:$A$29,FALSE()),FALSE())*10</f>
        <v>12.2</v>
      </c>
      <c r="DU8" s="870" t="n">
        <f aca="false">HLOOKUP(DU2,物流参数!$C$1:$GC$29,MATCH("PRESSURE",物流参数!$A$1:$A$29,FALSE()),FALSE())*10</f>
        <v>11.3</v>
      </c>
      <c r="DV8" s="870" t="n">
        <f aca="false">HLOOKUP(DV2,物流参数!$C$1:$GC$29,MATCH("PRESSURE",物流参数!$A$1:$A$29,FALSE()),FALSE())*10</f>
        <v>10.8</v>
      </c>
      <c r="DW8" s="870" t="n">
        <f aca="false">HLOOKUP(DW2,物流参数!$C$1:$GC$29,MATCH("PRESSURE",物流参数!$A$1:$A$29,FALSE()),FALSE())*10</f>
        <v>10</v>
      </c>
      <c r="DX8" s="872" t="n">
        <v>3</v>
      </c>
      <c r="DY8" s="844" t="n">
        <v>148</v>
      </c>
      <c r="DZ8" s="870" t="n">
        <f aca="false">HLOOKUP(DZ2,物流参数!$C$1:$GC$29,MATCH("PRESSURE",物流参数!$A$1:$A$29,FALSE()),FALSE())*10</f>
        <v>11</v>
      </c>
      <c r="EA8" s="870" t="n">
        <f aca="false">HLOOKUP(EA2,物流参数!$C$1:$GC$29,MATCH("PRESSURE",物流参数!$A$1:$A$29,FALSE()),FALSE())*10</f>
        <v>23.8</v>
      </c>
      <c r="EB8" s="870" t="n">
        <f aca="false">HLOOKUP(EB2,物流参数!$C$1:$GC$29,MATCH("PRESSURE",物流参数!$A$1:$A$29,FALSE()),FALSE())*10</f>
        <v>14.3</v>
      </c>
      <c r="EC8" s="870" t="n">
        <f aca="false">HLOOKUP(EC2,物流参数!$C$1:$GC$29,MATCH("PRESSURE",物流参数!$A$1:$A$29,FALSE()),FALSE())*10</f>
        <v>6.3</v>
      </c>
      <c r="ED8" s="870" t="n">
        <f aca="false">HLOOKUP(ED2,物流参数!$C$1:$GC$29,MATCH("PRESSURE",物流参数!$A$1:$A$29,FALSE()),FALSE())*10</f>
        <v>3.8</v>
      </c>
      <c r="EE8" s="870" t="n">
        <f aca="false">HLOOKUP(EE2,物流参数!$C$1:$GC$29,MATCH("PRESSURE",物流参数!$A$1:$A$29,FALSE()),FALSE())*10</f>
        <v>12.6</v>
      </c>
      <c r="EF8" s="870" t="n">
        <f aca="false">HLOOKUP(EF2,物流参数!$C$1:$GC$29,MATCH("PRESSURE",物流参数!$A$1:$A$29,FALSE()),FALSE())*10</f>
        <v>3</v>
      </c>
      <c r="EG8" s="870" t="n">
        <f aca="false">HLOOKUP(EG2,物流参数!$C$1:$GC$29,MATCH("PRESSURE",物流参数!$A$1:$A$29,FALSE()),FALSE())*10</f>
        <v>3</v>
      </c>
      <c r="EH8" s="870" t="n">
        <f aca="false">HLOOKUP(EH2,物流参数!$C$1:$GC$29,MATCH("PRESSURE",物流参数!$A$1:$A$29,FALSE()),FALSE())*10</f>
        <v>14.3</v>
      </c>
      <c r="EI8" s="870" t="n">
        <f aca="false">HLOOKUP(EI2,物流参数!$C$1:$GC$29,MATCH("PRESSURE",物流参数!$A$1:$A$29,FALSE()),FALSE())*10</f>
        <v>12</v>
      </c>
      <c r="EJ8" s="870" t="n">
        <f aca="false">HLOOKUP(EJ2,物流参数!$C$1:$GC$29,MATCH("PRESSURE",物流参数!$A$1:$A$29,FALSE()),FALSE())*10</f>
        <v>24</v>
      </c>
      <c r="EK8" s="870" t="n">
        <f aca="false">HLOOKUP(EK2,物流参数!$C$1:$GC$29,MATCH("PRESSURE",物流参数!$A$1:$A$29,FALSE()),FALSE())*10</f>
        <v>23.9</v>
      </c>
      <c r="EL8" s="873" t="n">
        <f aca="false">HLOOKUP(EL2,物流参数!$C$1:$GC$29,MATCH("PRESSURE",物流参数!$A$1:$A$29,FALSE()),FALSE())*10</f>
        <v>23.8</v>
      </c>
      <c r="EM8" s="873" t="n">
        <f aca="false">HLOOKUP(EM2,物流参数!$C$1:$GC$29,MATCH("PRESSURE",物流参数!$A$1:$A$29,FALSE()),FALSE())*10</f>
        <v>44.8</v>
      </c>
      <c r="EN8" s="873" t="n">
        <f aca="false">HLOOKUP(EN2,物流参数!$C$1:$GC$29,MATCH("PRESSURE",物流参数!$A$1:$A$29,FALSE()),FALSE())*10</f>
        <v>44.1</v>
      </c>
      <c r="EO8" s="873" t="n">
        <f aca="false">HLOOKUP(EO2,物流参数!$C$1:$GC$29,MATCH("PRESSURE",物流参数!$A$1:$A$29,FALSE()),FALSE())*10</f>
        <v>44</v>
      </c>
      <c r="EP8" s="873" t="n">
        <f aca="false">HLOOKUP(EP2,物流参数!$C$1:$GC$29,MATCH("PRESSURE",物流参数!$A$1:$A$29,FALSE()),FALSE())*10</f>
        <v>81.7</v>
      </c>
      <c r="EQ8" s="873" t="n">
        <f aca="false">HLOOKUP(EQ2,物流参数!$C$1:$GC$29,MATCH("PRESSURE",物流参数!$A$1:$A$29,FALSE()),FALSE())*10</f>
        <v>81</v>
      </c>
      <c r="ER8" s="873" t="n">
        <f aca="false">HLOOKUP(ER2,物流参数!$C$1:$GC$29,MATCH("PRESSURE",物流参数!$A$1:$A$29,FALSE()),FALSE())*10</f>
        <v>81</v>
      </c>
      <c r="ES8" s="873" t="n">
        <f aca="false">HLOOKUP(ES2,物流参数!$C$1:$GC$29,MATCH("PRESSURE",物流参数!$A$1:$A$29,FALSE()),FALSE())*10</f>
        <v>151.2</v>
      </c>
      <c r="ET8" s="870" t="n">
        <f aca="false">HLOOKUP(ET2,物流参数!$C$1:$GC$29,MATCH("PRESSURE",物流参数!$A$1:$A$29,FALSE()),FALSE())*10</f>
        <v>150.7</v>
      </c>
      <c r="EU8" s="873" t="n">
        <f aca="false">HLOOKUP(EU2,物流参数!$C$1:$GC$29,MATCH("PRESSURE",物流参数!$A$1:$A$29,FALSE()),FALSE())*10</f>
        <v>150.8</v>
      </c>
      <c r="EV8" s="873" t="n">
        <f aca="false">HLOOKUP(EV2,物流参数!$C$1:$GC$29,MATCH("PRESSURE",物流参数!$A$1:$A$29,FALSE()),FALSE())*10</f>
        <v>150.5</v>
      </c>
      <c r="EW8" s="873" t="n">
        <f aca="false">HLOOKUP(EW2,物流参数!$C$1:$GC$29,MATCH("PRESSURE",物流参数!$A$1:$A$29,FALSE()),FALSE())*10</f>
        <v>23.9</v>
      </c>
      <c r="EX8" s="870" t="n">
        <f aca="false">HLOOKUP(EX2,物流参数!$C$1:$GC$29,MATCH("PRESSURE",物流参数!$A$1:$A$29,FALSE()),FALSE())*10</f>
        <v>150.7</v>
      </c>
      <c r="EY8" s="870" t="n">
        <f aca="false">HLOOKUP(EY2,物流参数!$C$1:$GC$29,MATCH("PRESSURE",物流参数!$A$1:$A$29,FALSE()),FALSE())*10</f>
        <v>7</v>
      </c>
      <c r="EZ8" s="870" t="n">
        <f aca="false">HLOOKUP(EZ2,物流参数!$C$1:$GC$29,MATCH("PRESSURE",物流参数!$A$1:$A$29,FALSE()),FALSE())*10</f>
        <v>4</v>
      </c>
      <c r="FA8" s="870" t="n">
        <f aca="false">HLOOKUP(FA2,物流参数!$C$1:$GC$29,MATCH("PRESSURE",物流参数!$A$1:$A$29,FALSE()),FALSE())*10</f>
        <v>4</v>
      </c>
      <c r="FB8" s="870" t="n">
        <f aca="false">HLOOKUP(FB2,物流参数!$C$1:$GC$29,MATCH("PRESSURE",物流参数!$A$1:$A$29,FALSE()),FALSE())*10</f>
        <v>30.9</v>
      </c>
      <c r="FC8" s="870" t="n">
        <f aca="false">HLOOKUP(FC2,物流参数!$C$1:$GC$29,MATCH("PRESSURE",物流参数!$A$1:$A$29,FALSE()),FALSE())*10</f>
        <v>29.8</v>
      </c>
      <c r="FD8" s="870" t="n">
        <f aca="false">HLOOKUP(FD2,物流参数!$C$1:$GC$29,MATCH("PRESSURE",物流参数!$A$1:$A$29,FALSE()),FALSE())*10</f>
        <v>27.8</v>
      </c>
      <c r="FE8" s="870" t="n">
        <f aca="false">HLOOKUP(FE2,物流参数!$C$1:$GC$29,MATCH("PRESSURE",物流参数!$A$1:$A$29,FALSE()),FALSE())*10</f>
        <v>27.8</v>
      </c>
      <c r="FF8" s="870" t="n">
        <f aca="false">HLOOKUP(FF2,物流参数!$C$1:$GC$29,MATCH("PRESSURE",物流参数!$A$1:$A$29,FALSE()),FALSE())*10</f>
        <v>27</v>
      </c>
      <c r="FG8" s="870" t="n">
        <f aca="false">HLOOKUP(FG2,物流参数!$C$1:$GC$29,MATCH("PRESSURE",物流参数!$A$1:$A$29,FALSE()),FALSE())*10</f>
        <v>27</v>
      </c>
      <c r="FH8" s="870" t="n">
        <f aca="false">HLOOKUP(FH2,物流参数!$C$1:$GC$29,MATCH("PRESSURE",物流参数!$A$1:$A$29,FALSE()),FALSE())*10</f>
        <v>7</v>
      </c>
      <c r="FI8" s="870" t="n">
        <f aca="false">HLOOKUP(FI2,物流参数!$C$1:$GC$29,MATCH("PRESSURE",物流参数!$A$1:$A$29,FALSE()),FALSE())*10</f>
        <v>28</v>
      </c>
      <c r="FJ8" s="870" t="n">
        <f aca="false">HLOOKUP(FJ2,物流参数!$C$1:$GC$29,MATCH("PRESSURE",物流参数!$A$1:$A$29,FALSE()),FALSE())*10</f>
        <v>7</v>
      </c>
      <c r="FK8" s="870" t="n">
        <f aca="false">HLOOKUP(FK2,物流参数!$C$1:$GC$29,MATCH("PRESSURE",物流参数!$A$1:$A$29,FALSE()),FALSE())*10</f>
        <v>7</v>
      </c>
      <c r="FL8" s="870" t="n">
        <v>2</v>
      </c>
      <c r="FM8" s="870" t="n">
        <v>0</v>
      </c>
      <c r="FN8" s="870" t="n">
        <v>0</v>
      </c>
      <c r="FO8" s="870"/>
      <c r="FP8" s="874" t="n">
        <f aca="false">'机泵选型(基础设计)'!B67</f>
        <v>16.5499243974994</v>
      </c>
      <c r="FQ8" s="874" t="n">
        <f aca="false">'机泵选型(基础设计)'!C67</f>
        <v>3.81461698996788</v>
      </c>
      <c r="FR8" s="874" t="n">
        <f aca="false">'机泵选型(基础设计)'!D67</f>
        <v>14.5724391486559</v>
      </c>
      <c r="FS8" s="874" t="n">
        <f aca="false">'机泵选型(基础设计)'!E67</f>
        <v>3.43206974163501</v>
      </c>
      <c r="FT8" s="844" t="n">
        <f aca="false">'机泵选型(基础设计)'!F67</f>
        <v>1.37584</v>
      </c>
      <c r="FU8" s="844" t="n">
        <f aca="false">'机泵选型(基础设计)'!G67</f>
        <v>16.3551046925</v>
      </c>
      <c r="FV8" s="874" t="n">
        <f aca="false">'机泵选型(基础设计)'!H67</f>
        <v>1.05889545363779</v>
      </c>
      <c r="FW8" s="874" t="n">
        <f aca="false">'机泵选型(基础设计)'!I67</f>
        <v>1.61685031990319</v>
      </c>
      <c r="FX8" s="874" t="n">
        <f aca="false">'机泵选型(基础设计)'!J67</f>
        <v>0.974510699719506</v>
      </c>
      <c r="FY8" s="874" t="n">
        <f aca="false">'机泵选型(基础设计)'!K67</f>
        <v>1.47445071139536</v>
      </c>
      <c r="FZ8" s="874" t="n">
        <f aca="false">'机泵选型(基础设计)'!L67</f>
        <v>1.30354141434119</v>
      </c>
      <c r="GA8" s="874" t="n">
        <f aca="false">'机泵选型(基础设计)'!M67</f>
        <v>0.848118630590034</v>
      </c>
      <c r="GB8" s="874" t="n">
        <f aca="false">'机泵选型(基础设计)'!N67</f>
        <v>1.64872876000586</v>
      </c>
      <c r="GC8" s="874" t="n">
        <f aca="false">'机泵选型(基础设计)'!O67</f>
        <v>1.84373556630764</v>
      </c>
      <c r="GD8" s="874" t="n">
        <f aca="false">'机泵选型(基础设计)'!P67</f>
        <v>3.49078242948933</v>
      </c>
      <c r="GE8" s="874" t="n">
        <f aca="false">'机泵选型(基础设计)'!Q67</f>
        <v>0.9465868615</v>
      </c>
      <c r="GF8" s="844" t="n">
        <f aca="false">'机泵选型(基础设计)'!R67</f>
        <v>0.9667359905</v>
      </c>
      <c r="GG8" s="844" t="n">
        <f aca="false">'机泵选型(基础设计)'!S67</f>
        <v>0.438588785</v>
      </c>
      <c r="GH8" s="844"/>
      <c r="GI8" s="870"/>
      <c r="GJ8" s="870"/>
      <c r="GK8" s="870"/>
      <c r="GL8" s="870"/>
      <c r="GM8" s="870"/>
      <c r="GN8" s="870"/>
      <c r="GO8" s="870"/>
      <c r="GP8" s="870"/>
      <c r="GQ8" s="870"/>
      <c r="GR8" s="870"/>
      <c r="GS8" s="870"/>
      <c r="GT8" s="870"/>
      <c r="GU8" s="870"/>
      <c r="GV8" s="870"/>
      <c r="GW8" s="870"/>
      <c r="GX8" s="870"/>
      <c r="GY8" s="870"/>
      <c r="GZ8" s="870"/>
      <c r="HA8" s="870"/>
      <c r="HB8" s="870"/>
      <c r="HC8" s="870"/>
      <c r="HD8" s="870"/>
      <c r="HE8" s="870"/>
      <c r="HF8" s="870"/>
      <c r="HG8" s="875"/>
      <c r="HH8" s="875"/>
      <c r="HI8" s="875"/>
      <c r="HJ8" s="875"/>
      <c r="HK8" s="875"/>
      <c r="HL8" s="875"/>
      <c r="HM8" s="875"/>
      <c r="HN8" s="875"/>
      <c r="HO8" s="875"/>
      <c r="HP8" s="875"/>
      <c r="HQ8" s="875"/>
      <c r="HR8" s="875"/>
      <c r="HS8" s="875"/>
      <c r="HT8" s="875"/>
      <c r="HU8" s="875"/>
      <c r="HV8" s="875"/>
      <c r="HW8" s="875"/>
      <c r="HX8" s="875"/>
      <c r="HY8" s="875"/>
      <c r="HZ8" s="875"/>
      <c r="IA8" s="875"/>
      <c r="IB8" s="875"/>
      <c r="IC8" s="875"/>
      <c r="ID8" s="875"/>
      <c r="IE8" s="875"/>
      <c r="IF8" s="875"/>
      <c r="IG8" s="875"/>
      <c r="IH8" s="875"/>
      <c r="II8" s="844"/>
      <c r="IJ8" s="875"/>
      <c r="IK8" s="875"/>
      <c r="IL8" s="875"/>
      <c r="IM8" s="875"/>
      <c r="IN8" s="875"/>
      <c r="IO8" s="875"/>
      <c r="IP8" s="844"/>
      <c r="IQ8" s="876"/>
      <c r="IR8" s="870"/>
      <c r="IS8" s="844"/>
      <c r="IT8" s="844"/>
      <c r="IU8" s="870"/>
      <c r="IV8" s="844"/>
      <c r="IW8" s="844"/>
      <c r="IX8" s="844"/>
      <c r="IY8" s="844"/>
      <c r="IZ8" s="844"/>
      <c r="JA8" s="844"/>
      <c r="JB8" s="844"/>
      <c r="JC8" s="870"/>
      <c r="JD8" s="870"/>
      <c r="JE8" s="877"/>
      <c r="JF8" s="875"/>
      <c r="JG8" s="875"/>
      <c r="JH8" s="875"/>
      <c r="JI8" s="844"/>
      <c r="JJ8" s="877"/>
      <c r="JK8" s="844"/>
      <c r="JL8" s="877"/>
      <c r="JM8" s="875"/>
      <c r="JN8" s="877"/>
      <c r="JO8" s="877"/>
    </row>
    <row r="9" s="878" customFormat="true" ht="18.75" hidden="false" customHeight="false" outlineLevel="0" collapsed="false">
      <c r="A9" s="879" t="s">
        <v>1518</v>
      </c>
      <c r="B9" s="879"/>
      <c r="C9" s="880" t="n">
        <f aca="false">HLOOKUP(C2,物流参数!$C$1:$GC$29,MATCH("VAPOR FRACTION",物流参数!$A$1:$A$29,FALSE()),FALSE())</f>
        <v>0</v>
      </c>
      <c r="D9" s="880" t="n">
        <f aca="false">HLOOKUP(D2,物流参数!$C$1:$GC$29,MATCH("VAPOR FRACTION",物流参数!$A$1:$A$29,FALSE()),FALSE())</f>
        <v>0</v>
      </c>
      <c r="E9" s="881" t="n">
        <f aca="false">HLOOKUP(E2,物流参数!$C$1:$GC$29,MATCH("VAPOR FRACTION",物流参数!$A$1:$A$29,FALSE()),FALSE())</f>
        <v>0</v>
      </c>
      <c r="F9" s="881" t="n">
        <f aca="false">HLOOKUP(F2,物流参数!$C$1:$GC$29,MATCH("VAPOR FRACTION",物流参数!$A$1:$A$29,FALSE()),FALSE())</f>
        <v>0</v>
      </c>
      <c r="G9" s="881" t="n">
        <f aca="false">HLOOKUP(G2,物流参数!$C$1:$GC$29,MATCH("VAPOR FRACTION",物流参数!$A$1:$A$29,FALSE()),FALSE())</f>
        <v>0</v>
      </c>
      <c r="H9" s="880" t="n">
        <f aca="false">HLOOKUP(H2,物流参数!$C$1:$GC$29,MATCH("VAPOR FRACTION",物流参数!$A$1:$A$29,FALSE()),FALSE())</f>
        <v>0</v>
      </c>
      <c r="I9" s="880" t="n">
        <f aca="false">HLOOKUP(I2,物流参数!$C$1:$GC$29,MATCH("VAPOR FRACTION",物流参数!$A$1:$A$29,FALSE()),FALSE())</f>
        <v>0</v>
      </c>
      <c r="J9" s="880" t="n">
        <f aca="false">HLOOKUP(J2,物流参数!$C$1:$GC$29,MATCH("VAPOR FRACTION",物流参数!$A$1:$A$29,FALSE()),FALSE())</f>
        <v>0</v>
      </c>
      <c r="K9" s="880" t="n">
        <f aca="false">HLOOKUP(K2,物流参数!$C$1:$GC$29,MATCH("VAPOR FRACTION",物流参数!$A$1:$A$29,FALSE()),FALSE())</f>
        <v>0</v>
      </c>
      <c r="L9" s="880" t="n">
        <f aca="false">HLOOKUP(L2,物流参数!$C$1:$GC$29,MATCH("VAPOR FRACTION",物流参数!$A$1:$A$29,FALSE()),FALSE())</f>
        <v>0</v>
      </c>
      <c r="M9" s="880" t="n">
        <f aca="false">HLOOKUP(M2,物流参数!$C$1:$GC$29,MATCH("VAPOR FRACTION",物流参数!$A$1:$A$29,FALSE()),FALSE())</f>
        <v>0</v>
      </c>
      <c r="N9" s="880" t="n">
        <f aca="false">HLOOKUP(N2,物流参数!$C$1:$GC$29,MATCH("VAPOR FRACTION",物流参数!$A$1:$A$29,FALSE()),FALSE())</f>
        <v>1</v>
      </c>
      <c r="O9" s="880" t="n">
        <f aca="false">HLOOKUP(O2,物流参数!$C$1:$GC$29,MATCH("VAPOR FRACTION",物流参数!$A$1:$A$29,FALSE()),FALSE())</f>
        <v>0</v>
      </c>
      <c r="P9" s="880" t="n">
        <f aca="false">HLOOKUP(P2,物流参数!$C$1:$GC$29,MATCH("VAPOR FRACTION",物流参数!$A$1:$A$29,FALSE()),FALSE())</f>
        <v>0</v>
      </c>
      <c r="Q9" s="880" t="n">
        <f aca="false">HLOOKUP(Q2,物流参数!$C$1:$GC$29,MATCH("VAPOR FRACTION",物流参数!$A$1:$A$29,FALSE()),FALSE())</f>
        <v>0</v>
      </c>
      <c r="R9" s="880" t="n">
        <f aca="false">HLOOKUP(R2,物流参数!$C$1:$GC$29,MATCH("VAPOR FRACTION",物流参数!$A$1:$A$29,FALSE()),FALSE())</f>
        <v>0</v>
      </c>
      <c r="S9" s="880" t="n">
        <f aca="false">HLOOKUP(S2,物流参数!$C$1:$GC$29,MATCH("VAPOR FRACTION",物流参数!$A$1:$A$29,FALSE()),FALSE())</f>
        <v>0</v>
      </c>
      <c r="T9" s="880" t="n">
        <f aca="false">HLOOKUP(T2,物流参数!$C$1:$GC$29,MATCH("VAPOR FRACTION",物流参数!$A$1:$A$29,FALSE()),FALSE())</f>
        <v>0</v>
      </c>
      <c r="U9" s="880" t="n">
        <f aca="false">HLOOKUP(U2,物流参数!$C$1:$GC$29,MATCH("VAPOR FRACTION",物流参数!$A$1:$A$29,FALSE()),FALSE())</f>
        <v>0</v>
      </c>
      <c r="V9" s="880" t="n">
        <f aca="false">HLOOKUP(V2,物流参数!$C$1:$GC$29,MATCH("VAPOR FRACTION",物流参数!$A$1:$A$29,FALSE()),FALSE())</f>
        <v>0</v>
      </c>
      <c r="W9" s="880" t="n">
        <v>0</v>
      </c>
      <c r="X9" s="880" t="n">
        <v>0</v>
      </c>
      <c r="Y9" s="880" t="n">
        <f aca="false">HLOOKUP(Y2,物流参数!$C$1:$GC$29,MATCH("VAPOR FRACTION",物流参数!$A$1:$A$29,FALSE()),FALSE())</f>
        <v>0</v>
      </c>
      <c r="Z9" s="880" t="n">
        <f aca="false">HLOOKUP(Z2,物流参数!$C$1:$GC$29,MATCH("VAPOR FRACTION",物流参数!$A$1:$A$29,FALSE()),FALSE())</f>
        <v>0</v>
      </c>
      <c r="AA9" s="880" t="n">
        <f aca="false">HLOOKUP(AA2,物流参数!$C$1:$GC$29,MATCH("VAPOR FRACTION",物流参数!$A$1:$A$29,FALSE()),FALSE())</f>
        <v>0</v>
      </c>
      <c r="AB9" s="880" t="n">
        <f aca="false">HLOOKUP(AB2,物流参数!$C$1:$GC$29,MATCH("VAPOR FRACTION",物流参数!$A$1:$A$29,FALSE()),FALSE())</f>
        <v>0</v>
      </c>
      <c r="AC9" s="880" t="n">
        <f aca="false">HLOOKUP(AC2,物流参数!$C$1:$GC$29,MATCH("VAPOR FRACTION",物流参数!$A$1:$A$29,FALSE()),FALSE())</f>
        <v>0</v>
      </c>
      <c r="AD9" s="880" t="n">
        <f aca="false">HLOOKUP(AD2,物流参数!$C$1:$GC$29,MATCH("VAPOR FRACTION",物流参数!$A$1:$A$29,FALSE()),FALSE())</f>
        <v>0</v>
      </c>
      <c r="AE9" s="880" t="n">
        <f aca="false">HLOOKUP(AE2,物流参数!$C$1:$GC$29,MATCH("VAPOR FRACTION",物流参数!$A$1:$A$29,FALSE()),FALSE())</f>
        <v>0</v>
      </c>
      <c r="AF9" s="880" t="n">
        <f aca="false">HLOOKUP(AF2,物流参数!$C$1:$GC$29,MATCH("VAPOR FRACTION",物流参数!$A$1:$A$29,FALSE()),FALSE())</f>
        <v>1</v>
      </c>
      <c r="AG9" s="880" t="n">
        <f aca="false">HLOOKUP(AG2,物流参数!$C$1:$GC$29,MATCH("VAPOR FRACTION",物流参数!$A$1:$A$29,FALSE()),FALSE())</f>
        <v>1</v>
      </c>
      <c r="AH9" s="880" t="n">
        <f aca="false">HLOOKUP(AH2,物流参数!$C$1:$GC$29,MATCH("VAPOR FRACTION",物流参数!$A$1:$A$29,FALSE()),FALSE())</f>
        <v>1</v>
      </c>
      <c r="AI9" s="880" t="n">
        <f aca="false">HLOOKUP(AI2,物流参数!$C$1:$GC$29,MATCH("VAPOR FRACTION",物流参数!$A$1:$A$29,FALSE()),FALSE())</f>
        <v>1</v>
      </c>
      <c r="AJ9" s="880" t="n">
        <f aca="false">HLOOKUP(AJ2,物流参数!$C$1:$GC$29,MATCH("VAPOR FRACTION",物流参数!$A$1:$A$29,FALSE()),FALSE())</f>
        <v>1</v>
      </c>
      <c r="AK9" s="880" t="n">
        <f aca="false">HLOOKUP(AK2,物流参数!$C$1:$GC$29,MATCH("VAPOR FRACTION",物流参数!$A$1:$A$29,FALSE()),FALSE())</f>
        <v>1</v>
      </c>
      <c r="AL9" s="880" t="n">
        <f aca="false">HLOOKUP(AL2,物流参数!$C$1:$GC$29,MATCH("VAPOR FRACTION",物流参数!$A$1:$A$29,FALSE()),FALSE())</f>
        <v>1</v>
      </c>
      <c r="AM9" s="880" t="n">
        <f aca="false">HLOOKUP(AM2,物流参数!$C$1:$GC$29,MATCH("VAPOR FRACTION",物流参数!$A$1:$A$29,FALSE()),FALSE())</f>
        <v>1</v>
      </c>
      <c r="AN9" s="880" t="n">
        <f aca="false">HLOOKUP(AN2,物流参数!$C$1:$GC$29,MATCH("VAPOR FRACTION",物流参数!$A$1:$A$29,FALSE()),FALSE())</f>
        <v>1</v>
      </c>
      <c r="AO9" s="880" t="n">
        <f aca="false">HLOOKUP(AO2,物流参数!$C$1:$GC$29,MATCH("VAPOR FRACTION",物流参数!$A$1:$A$29,FALSE()),FALSE())</f>
        <v>1</v>
      </c>
      <c r="AP9" s="880" t="n">
        <f aca="false">HLOOKUP(AP2,物流参数!$C$1:$GC$29,MATCH("VAPOR FRACTION",物流参数!$A$1:$A$29,FALSE()),FALSE())</f>
        <v>1</v>
      </c>
      <c r="AQ9" s="880" t="n">
        <f aca="false">HLOOKUP(AQ2,物流参数!$C$1:$GC$29,MATCH("VAPOR FRACTION",物流参数!$A$1:$A$29,FALSE()),FALSE())</f>
        <v>0</v>
      </c>
      <c r="AR9" s="880" t="n">
        <f aca="false">HLOOKUP(AR2,物流参数!$C$1:$GC$29,MATCH("VAPOR FRACTION",物流参数!$A$1:$A$29,FALSE()),FALSE())</f>
        <v>0</v>
      </c>
      <c r="AS9" s="880" t="n">
        <f aca="false">HLOOKUP(AS2,物流参数!$C$1:$GC$29,MATCH("VAPOR FRACTION",物流参数!$A$1:$A$29,FALSE()),FALSE())</f>
        <v>0</v>
      </c>
      <c r="AT9" s="880" t="n">
        <f aca="false">HLOOKUP(AT2,物流参数!$C$1:$GC$29,MATCH("VAPOR FRACTION",物流参数!$A$1:$A$29,FALSE()),FALSE())</f>
        <v>0.04</v>
      </c>
      <c r="AU9" s="880" t="n">
        <f aca="false">HLOOKUP(AU2,物流参数!$C$1:$GC$29,MATCH("VAPOR FRACTION",物流参数!$A$1:$A$29,FALSE()),FALSE())</f>
        <v>1</v>
      </c>
      <c r="AV9" s="880" t="n">
        <f aca="false">HLOOKUP(AV2,物流参数!$C$1:$GC$29,MATCH("VAPOR FRACTION",物流参数!$A$1:$A$29,FALSE()),FALSE())</f>
        <v>1</v>
      </c>
      <c r="AW9" s="880" t="n">
        <f aca="false">HLOOKUP(AW2,物流参数!$C$1:$GC$29,MATCH("VAPOR FRACTION",物流参数!$A$1:$A$29,FALSE()),FALSE())</f>
        <v>1</v>
      </c>
      <c r="AX9" s="880" t="n">
        <f aca="false">HLOOKUP(AX2,物流参数!$C$1:$GC$29,MATCH("VAPOR FRACTION",物流参数!$A$1:$A$29,FALSE()),FALSE())</f>
        <v>0</v>
      </c>
      <c r="AY9" s="880" t="n">
        <f aca="false">HLOOKUP(AY2,物流参数!$C$1:$GC$29,MATCH("VAPOR FRACTION",物流参数!$A$1:$A$29,FALSE()),FALSE())</f>
        <v>1</v>
      </c>
      <c r="AZ9" s="880" t="n">
        <f aca="false">HLOOKUP(AZ2,物流参数!$C$1:$GC$29,MATCH("VAPOR FRACTION",物流参数!$A$1:$A$29,FALSE()),FALSE())</f>
        <v>1</v>
      </c>
      <c r="BA9" s="882" t="n">
        <f aca="false">HLOOKUP(BA2,物流参数!$C$1:$GC$29,MATCH("VAPOR FRACTION",物流参数!$A$1:$A$29,FALSE()),FALSE())</f>
        <v>0.91</v>
      </c>
      <c r="BB9" s="882" t="n">
        <f aca="false">HLOOKUP(BB2,物流参数!$C$1:$GC$29,MATCH("VAPOR FRACTION",物流参数!$A$1:$A$29,FALSE()),FALSE())</f>
        <v>0.45</v>
      </c>
      <c r="BC9" s="882" t="n">
        <f aca="false">HLOOKUP(BC2,物流参数!$C$1:$GC$29,MATCH("VAPOR FRACTION",物流参数!$A$1:$A$29,FALSE()),FALSE())</f>
        <v>0.32</v>
      </c>
      <c r="BD9" s="882" t="n">
        <f aca="false">HLOOKUP(BD2,物流参数!$C$1:$GC$29,MATCH("VAPOR FRACTION",物流参数!$A$1:$A$29,FALSE()),FALSE())</f>
        <v>0.44</v>
      </c>
      <c r="BE9" s="882" t="n">
        <f aca="false">HLOOKUP(BE2,物流参数!$C$1:$GC$29,MATCH("VAPOR FRACTION",物流参数!$A$1:$A$29,FALSE()),FALSE())</f>
        <v>0.43</v>
      </c>
      <c r="BF9" s="880" t="n">
        <f aca="false">HLOOKUP(BF2,物流参数!$C$1:$GC$29,MATCH("VAPOR FRACTION",物流参数!$A$1:$A$29,FALSE()),FALSE())</f>
        <v>0</v>
      </c>
      <c r="BG9" s="880" t="n">
        <f aca="false">HLOOKUP(BG2,物流参数!$C$1:$GC$29,MATCH("VAPOR FRACTION",物流参数!$A$1:$A$29,FALSE()),FALSE())</f>
        <v>0</v>
      </c>
      <c r="BH9" s="880" t="n">
        <f aca="false">HLOOKUP(BH2,物流参数!$C$1:$GC$29,MATCH("VAPOR FRACTION",物流参数!$A$1:$A$29,FALSE()),FALSE())</f>
        <v>0.01</v>
      </c>
      <c r="BI9" s="882" t="n">
        <f aca="false">HLOOKUP(BI2,物流参数!$C$1:$GC$29,MATCH("VAPOR FRACTION",物流参数!$A$1:$A$29,FALSE()),FALSE())</f>
        <v>0.7</v>
      </c>
      <c r="BJ9" s="880" t="n">
        <f aca="false">HLOOKUP(BJ2,物流参数!$C$1:$GC$29,MATCH("VAPOR FRACTION",物流参数!$A$1:$A$29,FALSE()),FALSE())</f>
        <v>1</v>
      </c>
      <c r="BK9" s="880" t="n">
        <f aca="false">HLOOKUP(BK2,物流参数!$C$1:$GC$29,MATCH("VAPOR FRACTION",物流参数!$A$1:$A$29,FALSE()),FALSE())</f>
        <v>1</v>
      </c>
      <c r="BL9" s="880" t="n">
        <f aca="false">HLOOKUP(BL2,物流参数!$C$1:$GC$29,MATCH("VAPOR FRACTION",物流参数!$A$1:$A$29,FALSE()),FALSE())</f>
        <v>0</v>
      </c>
      <c r="BM9" s="880" t="n">
        <f aca="false">HLOOKUP(BM2,物流参数!$C$1:$GC$29,MATCH("VAPOR FRACTION",物流参数!$A$1:$A$29,FALSE()),FALSE())</f>
        <v>0.01</v>
      </c>
      <c r="BN9" s="880" t="n">
        <f aca="false">HLOOKUP(BN2,物流参数!$C$1:$GC$29,MATCH("VAPOR FRACTION",物流参数!$A$1:$A$29,FALSE()),FALSE())</f>
        <v>0</v>
      </c>
      <c r="BO9" s="880" t="n">
        <f aca="false">HLOOKUP(BO2,物流参数!$C$1:$GC$29,MATCH("VAPOR FRACTION",物流参数!$A$1:$A$29,FALSE()),FALSE())</f>
        <v>0</v>
      </c>
      <c r="BP9" s="880" t="n">
        <f aca="false">HLOOKUP(BP2,物流参数!$C$1:$GC$29,MATCH("VAPOR FRACTION",物流参数!$A$1:$A$29,FALSE()),FALSE())</f>
        <v>0</v>
      </c>
      <c r="BQ9" s="880" t="n">
        <f aca="false">HLOOKUP(BQ2,物流参数!$C$1:$GC$29,MATCH("VAPOR FRACTION",物流参数!$A$1:$A$29,FALSE()),FALSE())</f>
        <v>0</v>
      </c>
      <c r="BR9" s="880" t="n">
        <f aca="false">HLOOKUP(BR2,物流参数!$C$1:$GC$29,MATCH("VAPOR FRACTION",物流参数!$A$1:$A$29,FALSE()),FALSE())</f>
        <v>0</v>
      </c>
      <c r="BS9" s="880" t="n">
        <f aca="false">HLOOKUP(BS2,物流参数!$C$1:$GC$29,MATCH("VAPOR FRACTION",物流参数!$A$1:$A$29,FALSE()),FALSE())</f>
        <v>0</v>
      </c>
      <c r="BT9" s="880" t="n">
        <f aca="false">HLOOKUP(BT2,物流参数!$C$1:$GC$29,MATCH("VAPOR FRACTION",物流参数!$A$1:$A$29,FALSE()),FALSE())</f>
        <v>0</v>
      </c>
      <c r="BU9" s="880" t="n">
        <f aca="false">HLOOKUP(BU2,物流参数!$C$1:$GC$29,MATCH("VAPOR FRACTION",物流参数!$A$1:$A$29,FALSE()),FALSE())</f>
        <v>1</v>
      </c>
      <c r="BV9" s="880" t="n">
        <f aca="false">HLOOKUP(BV2,物流参数!$C$1:$GC$29,MATCH("VAPOR FRACTION",物流参数!$A$1:$A$29,FALSE()),FALSE())</f>
        <v>0.15</v>
      </c>
      <c r="BW9" s="880" t="n">
        <f aca="false">HLOOKUP(BW2,物流参数!$C$1:$GC$29,MATCH("VAPOR FRACTION",物流参数!$A$1:$A$29,FALSE()),FALSE())</f>
        <v>0</v>
      </c>
      <c r="BX9" s="880" t="n">
        <f aca="false">HLOOKUP(BX2,物流参数!$C$1:$GC$29,MATCH("VAPOR FRACTION",物流参数!$A$1:$A$29,FALSE()),FALSE())</f>
        <v>0.01</v>
      </c>
      <c r="BY9" s="880" t="n">
        <f aca="false">HLOOKUP(BY2,物流参数!$C$1:$GC$29,MATCH("VAPOR FRACTION",物流参数!$A$1:$A$29,FALSE()),FALSE())</f>
        <v>0.01</v>
      </c>
      <c r="BZ9" s="880" t="n">
        <f aca="false">HLOOKUP(BZ2,物流参数!$C$1:$GC$29,MATCH("VAPOR FRACTION",物流参数!$A$1:$A$29,FALSE()),FALSE())</f>
        <v>0.03</v>
      </c>
      <c r="CA9" s="880" t="n">
        <f aca="false">HLOOKUP(CA2,物流参数!$C$1:$GC$29,MATCH("VAPOR FRACTION",物流参数!$A$1:$A$29,FALSE()),FALSE())</f>
        <v>1</v>
      </c>
      <c r="CB9" s="880" t="n">
        <f aca="false">HLOOKUP(CB2,物流参数!$C$1:$GC$29,MATCH("VAPOR FRACTION",物流参数!$A$1:$A$29,FALSE()),FALSE())</f>
        <v>1</v>
      </c>
      <c r="CC9" s="880" t="n">
        <f aca="false">HLOOKUP(CC2,物流参数!$C$1:$GC$29,MATCH("VAPOR FRACTION",物流参数!$A$1:$A$29,FALSE()),FALSE())</f>
        <v>0</v>
      </c>
      <c r="CD9" s="880" t="n">
        <f aca="false">HLOOKUP(CD2,物流参数!$C$1:$GC$29,MATCH("VAPOR FRACTION",物流参数!$A$1:$A$29,FALSE()),FALSE())</f>
        <v>0</v>
      </c>
      <c r="CE9" s="880" t="n">
        <f aca="false">HLOOKUP(CE2,物流参数!$C$1:$GC$29,MATCH("VAPOR FRACTION",物流参数!$A$1:$A$29,FALSE()),FALSE())</f>
        <v>0</v>
      </c>
      <c r="CF9" s="880" t="n">
        <f aca="false">HLOOKUP(CF2,物流参数!$C$1:$GC$29,MATCH("VAPOR FRACTION",物流参数!$A$1:$A$29,FALSE()),FALSE())</f>
        <v>0</v>
      </c>
      <c r="CG9" s="880" t="n">
        <f aca="false">HLOOKUP(CG2,物流参数!$C$1:$GC$29,MATCH("VAPOR FRACTION",物流参数!$A$1:$A$29,FALSE()),FALSE())</f>
        <v>0</v>
      </c>
      <c r="CH9" s="880" t="n">
        <f aca="false">HLOOKUP(CH2,物流参数!$C$1:$GC$29,MATCH("VAPOR FRACTION",物流参数!$A$1:$A$29,FALSE()),FALSE())</f>
        <v>1</v>
      </c>
      <c r="CI9" s="882" t="n">
        <f aca="false">HLOOKUP(CI2,物流参数!$C$1:$GC$29,MATCH("VAPOR FRACTION",物流参数!$A$1:$A$29,FALSE()),FALSE())</f>
        <v>0.79</v>
      </c>
      <c r="CJ9" s="882" t="n">
        <f aca="false">HLOOKUP(CJ2,物流参数!$C$1:$GC$29,MATCH("VAPOR FRACTION",物流参数!$A$1:$A$29,FALSE()),FALSE())</f>
        <v>0.17</v>
      </c>
      <c r="CK9" s="882" t="n">
        <f aca="false">HLOOKUP(CK2,物流参数!$C$1:$GC$29,MATCH("VAPOR FRACTION",物流参数!$A$1:$A$29,FALSE()),FALSE())</f>
        <v>0.14</v>
      </c>
      <c r="CL9" s="880" t="n">
        <f aca="false">HLOOKUP(CL2,物流参数!$C$1:$GC$29,MATCH("VAPOR FRACTION",物流参数!$A$1:$A$29,FALSE()),FALSE())</f>
        <v>0</v>
      </c>
      <c r="CM9" s="880" t="n">
        <f aca="false">HLOOKUP(CM2,物流参数!$C$1:$GC$29,MATCH("VAPOR FRACTION",物流参数!$A$1:$A$29,FALSE()),FALSE())</f>
        <v>0</v>
      </c>
      <c r="CN9" s="880" t="n">
        <f aca="false">HLOOKUP(CN2,物流参数!$C$1:$GC$29,MATCH("VAPOR FRACTION",物流参数!$A$1:$A$29,FALSE()),FALSE())</f>
        <v>0</v>
      </c>
      <c r="CO9" s="880" t="n">
        <f aca="false">HLOOKUP(CO2,物流参数!$C$1:$GC$29,MATCH("VAPOR FRACTION",物流参数!$A$1:$A$29,FALSE()),FALSE())</f>
        <v>0</v>
      </c>
      <c r="CP9" s="880" t="n">
        <f aca="false">HLOOKUP(CP2,物流参数!$C$1:$GC$29,MATCH("VAPOR FRACTION",物流参数!$A$1:$A$29,FALSE()),FALSE())</f>
        <v>0</v>
      </c>
      <c r="CQ9" s="880" t="n">
        <f aca="false">HLOOKUP(CQ2,物流参数!$C$1:$GC$29,MATCH("VAPOR FRACTION",物流参数!$A$1:$A$29,FALSE()),FALSE())</f>
        <v>1</v>
      </c>
      <c r="CR9" s="880" t="n">
        <f aca="false">HLOOKUP(CR2,物流参数!$C$1:$GC$29,MATCH("VAPOR FRACTION",物流参数!$A$1:$A$29,FALSE()),FALSE())</f>
        <v>1</v>
      </c>
      <c r="CS9" s="880" t="n">
        <f aca="false">HLOOKUP(CS2,物流参数!$C$1:$GC$29,MATCH("VAPOR FRACTION",物流参数!$A$1:$A$29,FALSE()),FALSE())</f>
        <v>1</v>
      </c>
      <c r="CT9" s="880" t="n">
        <f aca="false">HLOOKUP(CT2,物流参数!$C$1:$GC$29,MATCH("VAPOR FRACTION",物流参数!$A$1:$A$29,FALSE()),FALSE())</f>
        <v>1</v>
      </c>
      <c r="CU9" s="880" t="n">
        <f aca="false">HLOOKUP(CU2,物流参数!$C$1:$GC$29,MATCH("VAPOR FRACTION",物流参数!$A$1:$A$29,FALSE()),FALSE())</f>
        <v>1</v>
      </c>
      <c r="CV9" s="880" t="n">
        <f aca="false">HLOOKUP(CV2,物流参数!$C$1:$GC$29,MATCH("VAPOR FRACTION",物流参数!$A$1:$A$29,FALSE()),FALSE())</f>
        <v>1</v>
      </c>
      <c r="CW9" s="880" t="n">
        <f aca="false">HLOOKUP(CW2,物流参数!$C$1:$GC$29,MATCH("VAPOR FRACTION",物流参数!$A$1:$A$29,FALSE()),FALSE())</f>
        <v>1</v>
      </c>
      <c r="CX9" s="880" t="n">
        <f aca="false">HLOOKUP(CX2,物流参数!$C$1:$GC$29,MATCH("VAPOR FRACTION",物流参数!$A$1:$A$29,FALSE()),FALSE())</f>
        <v>1</v>
      </c>
      <c r="CY9" s="880" t="n">
        <f aca="false">HLOOKUP(CY2,物流参数!$C$1:$GC$29,MATCH("VAPOR FRACTION",物流参数!$A$1:$A$29,FALSE()),FALSE())</f>
        <v>0</v>
      </c>
      <c r="CZ9" s="880" t="n">
        <f aca="false">HLOOKUP(CZ2,物流参数!$C$1:$GC$29,MATCH("VAPOR FRACTION",物流参数!$A$1:$A$29,FALSE()),FALSE())</f>
        <v>0</v>
      </c>
      <c r="DA9" s="880" t="n">
        <f aca="false">HLOOKUP(DA2,物流参数!$C$1:$GC$29,MATCH("VAPOR FRACTION",物流参数!$A$1:$A$29,FALSE()),FALSE())</f>
        <v>0</v>
      </c>
      <c r="DB9" s="880" t="n">
        <f aca="false">HLOOKUP(DB2,物流参数!$C$1:$GC$29,MATCH("VAPOR FRACTION",物流参数!$A$1:$A$29,FALSE()),FALSE())</f>
        <v>1</v>
      </c>
      <c r="DC9" s="880" t="n">
        <f aca="false">HLOOKUP(DC2,物流参数!$C$1:$GC$29,MATCH("VAPOR FRACTION",物流参数!$A$1:$A$29,FALSE()),FALSE())</f>
        <v>0</v>
      </c>
      <c r="DD9" s="880" t="n">
        <f aca="false">HLOOKUP(DD2,物流参数!$C$1:$GC$29,MATCH("VAPOR FRACTION",物流参数!$A$1:$A$29,FALSE()),FALSE())</f>
        <v>0</v>
      </c>
      <c r="DE9" s="880" t="n">
        <f aca="false">HLOOKUP(DE2,物流参数!$C$1:$GC$29,MATCH("VAPOR FRACTION",物流参数!$A$1:$A$29,FALSE()),FALSE())</f>
        <v>0</v>
      </c>
      <c r="DF9" s="880" t="n">
        <f aca="false">HLOOKUP(DF2,物流参数!$C$1:$GC$29,MATCH("VAPOR FRACTION",物流参数!$A$1:$A$29,FALSE()),FALSE())</f>
        <v>0</v>
      </c>
      <c r="DG9" s="880" t="n">
        <f aca="false">HLOOKUP(DG2,物流参数!$C$1:$GC$29,MATCH("VAPOR FRACTION",物流参数!$A$1:$A$29,FALSE()),FALSE())</f>
        <v>0</v>
      </c>
      <c r="DH9" s="880" t="n">
        <f aca="false">HLOOKUP(DH2,物流参数!$C$1:$GC$29,MATCH("VAPOR FRACTION",物流参数!$A$1:$A$29,FALSE()),FALSE())</f>
        <v>0</v>
      </c>
      <c r="DI9" s="880" t="n">
        <f aca="false">HLOOKUP(DI2,物流参数!$C$1:$GC$29,MATCH("VAPOR FRACTION",物流参数!$A$1:$A$29,FALSE()),FALSE())</f>
        <v>0</v>
      </c>
      <c r="DJ9" s="880" t="n">
        <f aca="false">HLOOKUP(DJ2,物流参数!$C$1:$GC$29,MATCH("VAPOR FRACTION",物流参数!$A$1:$A$29,FALSE()),FALSE())</f>
        <v>0</v>
      </c>
      <c r="DK9" s="880" t="n">
        <f aca="false">HLOOKUP(DK2,物流参数!$C$1:$GC$29,MATCH("VAPOR FRACTION",物流参数!$A$1:$A$29,FALSE()),FALSE())</f>
        <v>0</v>
      </c>
      <c r="DL9" s="880" t="n">
        <f aca="false">HLOOKUP(DL2,物流参数!$C$1:$GC$29,MATCH("VAPOR FRACTION",物流参数!$A$1:$A$29,FALSE()),FALSE())</f>
        <v>0</v>
      </c>
      <c r="DM9" s="880" t="n">
        <f aca="false">HLOOKUP(DM2,物流参数!$C$1:$GC$29,MATCH("VAPOR FRACTION",物流参数!$A$1:$A$29,FALSE()),FALSE())</f>
        <v>0</v>
      </c>
      <c r="DN9" s="880" t="n">
        <f aca="false">HLOOKUP(DN2,物流参数!$C$1:$GC$29,MATCH("VAPOR FRACTION",物流参数!$A$1:$A$29,FALSE()),FALSE())</f>
        <v>0</v>
      </c>
      <c r="DO9" s="880" t="n">
        <f aca="false">HLOOKUP(DO2,物流参数!$C$1:$GC$29,MATCH("VAPOR FRACTION",物流参数!$A$1:$A$29,FALSE()),FALSE())</f>
        <v>0</v>
      </c>
      <c r="DP9" s="880" t="n">
        <f aca="false">HLOOKUP(DP2,物流参数!$C$1:$GC$29,MATCH("VAPOR FRACTION",物流参数!$A$1:$A$29,FALSE()),FALSE())</f>
        <v>0</v>
      </c>
      <c r="DQ9" s="880" t="n">
        <f aca="false">HLOOKUP(DQ2,物流参数!$C$1:$GC$29,MATCH("VAPOR FRACTION",物流参数!$A$1:$A$29,FALSE()),FALSE())</f>
        <v>0</v>
      </c>
      <c r="DR9" s="880" t="n">
        <f aca="false">HLOOKUP(DR2,物流参数!$C$1:$GC$29,MATCH("VAPOR FRACTION",物流参数!$A$1:$A$29,FALSE()),FALSE())</f>
        <v>1</v>
      </c>
      <c r="DS9" s="880" t="n">
        <f aca="false">HLOOKUP(DS2,物流参数!$C$1:$GC$29,MATCH("VAPOR FRACTION",物流参数!$A$1:$A$29,FALSE()),FALSE())</f>
        <v>0</v>
      </c>
      <c r="DT9" s="880" t="n">
        <f aca="false">HLOOKUP(DT2,物流参数!$C$1:$GC$29,MATCH("VAPOR FRACTION",物流参数!$A$1:$A$29,FALSE()),FALSE())</f>
        <v>0</v>
      </c>
      <c r="DU9" s="880" t="n">
        <f aca="false">HLOOKUP(DU2,物流参数!$C$1:$GC$29,MATCH("VAPOR FRACTION",物流参数!$A$1:$A$29,FALSE()),FALSE())</f>
        <v>0</v>
      </c>
      <c r="DV9" s="880" t="n">
        <f aca="false">HLOOKUP(DV2,物流参数!$C$1:$GC$29,MATCH("VAPOR FRACTION",物流参数!$A$1:$A$29,FALSE()),FALSE())</f>
        <v>0</v>
      </c>
      <c r="DW9" s="880" t="n">
        <f aca="false">HLOOKUP(DW2,物流参数!$C$1:$GC$29,MATCH("VAPOR FRACTION",物流参数!$A$1:$A$29,FALSE()),FALSE())</f>
        <v>0</v>
      </c>
      <c r="DX9" s="844" t="n">
        <v>0</v>
      </c>
      <c r="DY9" s="844" t="n">
        <v>0</v>
      </c>
      <c r="DZ9" s="880" t="n">
        <f aca="false">HLOOKUP(DZ2,物流参数!$C$1:$GC$29,MATCH("VAPOR FRACTION",物流参数!$A$1:$A$29,FALSE()),FALSE())</f>
        <v>0</v>
      </c>
      <c r="EA9" s="880" t="n">
        <f aca="false">HLOOKUP(EA2,物流参数!$C$1:$GC$29,MATCH("VAPOR FRACTION",物流参数!$A$1:$A$29,FALSE()),FALSE())</f>
        <v>0</v>
      </c>
      <c r="EB9" s="880" t="n">
        <f aca="false">HLOOKUP(EB2,物流参数!$C$1:$GC$29,MATCH("VAPOR FRACTION",物流参数!$A$1:$A$29,FALSE()),FALSE())</f>
        <v>1</v>
      </c>
      <c r="EC9" s="880" t="n">
        <f aca="false">HLOOKUP(EC2,物流参数!$C$1:$GC$29,MATCH("VAPOR FRACTION",物流参数!$A$1:$A$29,FALSE()),FALSE())</f>
        <v>1</v>
      </c>
      <c r="ED9" s="880" t="n">
        <f aca="false">HLOOKUP(ED2,物流参数!$C$1:$GC$29,MATCH("VAPOR FRACTION",物流参数!$A$1:$A$29,FALSE()),FALSE())</f>
        <v>1</v>
      </c>
      <c r="EE9" s="880" t="n">
        <f aca="false">HLOOKUP(EE2,物流参数!$C$1:$GC$29,MATCH("VAPOR FRACTION",物流参数!$A$1:$A$29,FALSE()),FALSE())</f>
        <v>0</v>
      </c>
      <c r="EF9" s="880" t="n">
        <f aca="false">HLOOKUP(EF2,物流参数!$C$1:$GC$29,MATCH("VAPOR FRACTION",物流参数!$A$1:$A$29,FALSE()),FALSE())</f>
        <v>1</v>
      </c>
      <c r="EG9" s="880" t="n">
        <f aca="false">HLOOKUP(EG2,物流参数!$C$1:$GC$29,MATCH("VAPOR FRACTION",物流参数!$A$1:$A$29,FALSE()),FALSE())</f>
        <v>1</v>
      </c>
      <c r="EH9" s="880" t="n">
        <f aca="false">HLOOKUP(EH2,物流参数!$C$1:$GC$29,MATCH("VAPOR FRACTION",物流参数!$A$1:$A$29,FALSE()),FALSE())</f>
        <v>1</v>
      </c>
      <c r="EI9" s="880" t="n">
        <f aca="false">HLOOKUP(EI2,物流参数!$C$1:$GC$29,MATCH("VAPOR FRACTION",物流参数!$A$1:$A$29,FALSE()),FALSE())</f>
        <v>1</v>
      </c>
      <c r="EJ9" s="880" t="n">
        <f aca="false">HLOOKUP(EJ2,物流参数!$C$1:$GC$29,MATCH("VAPOR FRACTION",物流参数!$A$1:$A$29,FALSE()),FALSE())</f>
        <v>1</v>
      </c>
      <c r="EK9" s="880" t="n">
        <f aca="false">HLOOKUP(EK2,物流参数!$C$1:$GC$29,MATCH("VAPOR FRACTION",物流参数!$A$1:$A$29,FALSE()),FALSE())</f>
        <v>1</v>
      </c>
      <c r="EL9" s="883" t="n">
        <f aca="false">HLOOKUP(EL2,物流参数!$C$1:$GC$29,MATCH("VAPOR FRACTION",物流参数!$A$1:$A$29,FALSE()),FALSE())</f>
        <v>1</v>
      </c>
      <c r="EM9" s="883" t="n">
        <f aca="false">HLOOKUP(EM2,物流参数!$C$1:$GC$29,MATCH("VAPOR FRACTION",物流参数!$A$1:$A$29,FALSE()),FALSE())</f>
        <v>1</v>
      </c>
      <c r="EN9" s="883" t="n">
        <f aca="false">HLOOKUP(EN2,物流参数!$C$1:$GC$29,MATCH("VAPOR FRACTION",物流参数!$A$1:$A$29,FALSE()),FALSE())</f>
        <v>1</v>
      </c>
      <c r="EO9" s="883" t="n">
        <f aca="false">HLOOKUP(EO2,物流参数!$C$1:$GC$29,MATCH("VAPOR FRACTION",物流参数!$A$1:$A$29,FALSE()),FALSE())</f>
        <v>1</v>
      </c>
      <c r="EP9" s="883" t="n">
        <f aca="false">HLOOKUP(EP2,物流参数!$C$1:$GC$29,MATCH("VAPOR FRACTION",物流参数!$A$1:$A$29,FALSE()),FALSE())</f>
        <v>1</v>
      </c>
      <c r="EQ9" s="883" t="n">
        <f aca="false">HLOOKUP(EQ2,物流参数!$C$1:$GC$29,MATCH("VAPOR FRACTION",物流参数!$A$1:$A$29,FALSE()),FALSE())</f>
        <v>1</v>
      </c>
      <c r="ER9" s="883" t="n">
        <f aca="false">HLOOKUP(ER2,物流参数!$C$1:$GC$29,MATCH("VAPOR FRACTION",物流参数!$A$1:$A$29,FALSE()),FALSE())</f>
        <v>1</v>
      </c>
      <c r="ES9" s="883" t="n">
        <f aca="false">HLOOKUP(ES2,物流参数!$C$1:$GC$29,MATCH("VAPOR FRACTION",物流参数!$A$1:$A$29,FALSE()),FALSE())</f>
        <v>1</v>
      </c>
      <c r="ET9" s="880" t="n">
        <f aca="false">HLOOKUP(ET2,物流参数!$C$1:$GC$29,MATCH("VAPOR FRACTION",物流参数!$A$1:$A$29,FALSE()),FALSE())</f>
        <v>1</v>
      </c>
      <c r="EU9" s="883" t="n">
        <f aca="false">HLOOKUP(EU2,物流参数!$C$1:$GC$29,MATCH("VAPOR FRACTION",物流参数!$A$1:$A$29,FALSE()),FALSE())</f>
        <v>1</v>
      </c>
      <c r="EV9" s="883" t="n">
        <f aca="false">HLOOKUP(EV2,物流参数!$C$1:$GC$29,MATCH("VAPOR FRACTION",物流参数!$A$1:$A$29,FALSE()),FALSE())</f>
        <v>1</v>
      </c>
      <c r="EW9" s="883" t="n">
        <f aca="false">HLOOKUP(EW2,物流参数!$C$1:$GC$29,MATCH("VAPOR FRACTION",物流参数!$A$1:$A$29,FALSE()),FALSE())</f>
        <v>1</v>
      </c>
      <c r="EX9" s="880" t="n">
        <f aca="false">HLOOKUP(EX2,物流参数!$C$1:$GC$29,MATCH("VAPOR FRACTION",物流参数!$A$1:$A$29,FALSE()),FALSE())</f>
        <v>1</v>
      </c>
      <c r="EY9" s="880" t="n">
        <f aca="false">HLOOKUP(EY2,物流参数!$C$1:$GC$29,MATCH("VAPOR FRACTION",物流参数!$A$1:$A$29,FALSE()),FALSE())</f>
        <v>0</v>
      </c>
      <c r="EZ9" s="880" t="n">
        <f aca="false">HLOOKUP(EZ2,物流参数!$C$1:$GC$29,MATCH("VAPOR FRACTION",物流参数!$A$1:$A$29,FALSE()),FALSE())</f>
        <v>0</v>
      </c>
      <c r="FA9" s="880" t="n">
        <f aca="false">HLOOKUP(FA2,物流参数!$C$1:$GC$29,MATCH("VAPOR FRACTION",物流参数!$A$1:$A$29,FALSE()),FALSE())</f>
        <v>0</v>
      </c>
      <c r="FB9" s="880" t="n">
        <f aca="false">HLOOKUP(FB2,物流参数!$C$1:$GC$29,MATCH("VAPOR FRACTION",物流参数!$A$1:$A$29,FALSE()),FALSE())</f>
        <v>0</v>
      </c>
      <c r="FC9" s="880" t="n">
        <f aca="false">HLOOKUP(FC2,物流参数!$C$1:$GC$29,MATCH("VAPOR FRACTION",物流参数!$A$1:$A$29,FALSE()),FALSE())</f>
        <v>0</v>
      </c>
      <c r="FD9" s="880" t="n">
        <f aca="false">HLOOKUP(FD2,物流参数!$C$1:$GC$29,MATCH("VAPOR FRACTION",物流参数!$A$1:$A$29,FALSE()),FALSE())</f>
        <v>1</v>
      </c>
      <c r="FE9" s="880" t="n">
        <f aca="false">HLOOKUP(FE2,物流参数!$C$1:$GC$29,MATCH("VAPOR FRACTION",物流参数!$A$1:$A$29,FALSE()),FALSE())</f>
        <v>1</v>
      </c>
      <c r="FF9" s="880" t="n">
        <f aca="false">HLOOKUP(FF2,物流参数!$C$1:$GC$29,MATCH("VAPOR FRACTION",物流参数!$A$1:$A$29,FALSE()),FALSE())</f>
        <v>1</v>
      </c>
      <c r="FG9" s="880" t="n">
        <f aca="false">HLOOKUP(FG2,物流参数!$C$1:$GC$29,MATCH("VAPOR FRACTION",物流参数!$A$1:$A$29,FALSE()),FALSE())</f>
        <v>0</v>
      </c>
      <c r="FH9" s="880" t="n">
        <f aca="false">HLOOKUP(FH2,物流参数!$C$1:$GC$29,MATCH("VAPOR FRACTION",物流参数!$A$1:$A$29,FALSE()),FALSE())</f>
        <v>3.6E-006</v>
      </c>
      <c r="FI9" s="880" t="n">
        <f aca="false">HLOOKUP(FI2,物流参数!$C$1:$GC$29,MATCH("VAPOR FRACTION",物流参数!$A$1:$A$29,FALSE()),FALSE())</f>
        <v>0</v>
      </c>
      <c r="FJ9" s="880" t="n">
        <f aca="false">HLOOKUP(FJ2,物流参数!$C$1:$GC$29,MATCH("VAPOR FRACTION",物流参数!$A$1:$A$29,FALSE()),FALSE())</f>
        <v>8.79E-005</v>
      </c>
      <c r="FK9" s="880" t="n">
        <f aca="false">HLOOKUP(FK2,物流参数!$C$1:$GC$29,MATCH("VAPOR FRACTION",物流参数!$A$1:$A$29,FALSE()),FALSE())</f>
        <v>0</v>
      </c>
      <c r="FL9" s="880" t="n">
        <v>0</v>
      </c>
      <c r="FM9" s="880" t="n">
        <v>0</v>
      </c>
      <c r="FN9" s="880" t="n">
        <v>0</v>
      </c>
      <c r="FO9" s="880"/>
      <c r="FP9" s="844" t="n">
        <v>0</v>
      </c>
      <c r="FQ9" s="844" t="n">
        <v>0</v>
      </c>
      <c r="FR9" s="844" t="n">
        <v>0</v>
      </c>
      <c r="FS9" s="844" t="n">
        <v>0</v>
      </c>
      <c r="FT9" s="844" t="n">
        <v>0</v>
      </c>
      <c r="FU9" s="844" t="n">
        <v>0</v>
      </c>
      <c r="FV9" s="844" t="n">
        <v>0</v>
      </c>
      <c r="FW9" s="844" t="n">
        <v>0</v>
      </c>
      <c r="FX9" s="844" t="n">
        <v>0</v>
      </c>
      <c r="FY9" s="844" t="n">
        <v>0</v>
      </c>
      <c r="FZ9" s="844" t="n">
        <v>0</v>
      </c>
      <c r="GA9" s="844" t="n">
        <v>0</v>
      </c>
      <c r="GB9" s="844" t="n">
        <v>0</v>
      </c>
      <c r="GC9" s="844" t="n">
        <v>0</v>
      </c>
      <c r="GD9" s="844" t="n">
        <v>0</v>
      </c>
      <c r="GE9" s="844" t="n">
        <v>0</v>
      </c>
      <c r="GF9" s="844" t="n">
        <v>0</v>
      </c>
      <c r="GG9" s="844" t="n">
        <v>0</v>
      </c>
      <c r="GH9" s="844"/>
      <c r="GI9" s="880"/>
      <c r="GJ9" s="880"/>
      <c r="GK9" s="880"/>
      <c r="GL9" s="880"/>
      <c r="GM9" s="880"/>
      <c r="GN9" s="880"/>
      <c r="GO9" s="880"/>
      <c r="GP9" s="880"/>
      <c r="GQ9" s="880"/>
      <c r="GR9" s="880"/>
      <c r="GS9" s="880"/>
      <c r="GT9" s="880"/>
      <c r="GU9" s="880"/>
      <c r="GV9" s="880"/>
      <c r="GW9" s="880"/>
      <c r="GX9" s="880"/>
      <c r="GY9" s="880"/>
      <c r="GZ9" s="880"/>
      <c r="HA9" s="880"/>
      <c r="HB9" s="880"/>
      <c r="HC9" s="880"/>
      <c r="HD9" s="880"/>
      <c r="HE9" s="880"/>
      <c r="HF9" s="880"/>
      <c r="HG9" s="884"/>
      <c r="HH9" s="884"/>
      <c r="HI9" s="884"/>
      <c r="HJ9" s="884"/>
      <c r="HK9" s="884"/>
      <c r="HL9" s="884"/>
      <c r="HM9" s="884"/>
      <c r="HN9" s="884"/>
      <c r="HO9" s="884"/>
      <c r="HP9" s="884"/>
      <c r="HQ9" s="884"/>
      <c r="HR9" s="884"/>
      <c r="HS9" s="884"/>
      <c r="HT9" s="884"/>
      <c r="HU9" s="884"/>
      <c r="HV9" s="884"/>
      <c r="HW9" s="884"/>
      <c r="HX9" s="884"/>
      <c r="HY9" s="884"/>
      <c r="HZ9" s="884"/>
      <c r="IA9" s="884"/>
      <c r="IB9" s="884"/>
      <c r="IC9" s="884"/>
      <c r="ID9" s="884"/>
      <c r="IE9" s="884"/>
      <c r="IF9" s="884"/>
      <c r="IG9" s="884"/>
      <c r="IH9" s="884"/>
      <c r="II9" s="844"/>
      <c r="IJ9" s="884"/>
      <c r="IK9" s="884"/>
      <c r="IL9" s="884"/>
      <c r="IM9" s="884"/>
      <c r="IN9" s="884"/>
      <c r="IO9" s="884"/>
      <c r="IP9" s="844"/>
      <c r="IQ9" s="885"/>
      <c r="IR9" s="870"/>
      <c r="IS9" s="844"/>
      <c r="IT9" s="844"/>
      <c r="IU9" s="870"/>
      <c r="IV9" s="844"/>
      <c r="IW9" s="844"/>
      <c r="IX9" s="844"/>
      <c r="IY9" s="844"/>
      <c r="IZ9" s="844"/>
      <c r="JA9" s="844"/>
      <c r="JB9" s="844"/>
      <c r="JC9" s="870"/>
      <c r="JD9" s="870"/>
      <c r="JE9" s="884"/>
      <c r="JF9" s="884"/>
      <c r="JG9" s="844"/>
      <c r="JH9" s="844"/>
      <c r="JI9" s="844"/>
      <c r="JJ9" s="877"/>
      <c r="JK9" s="844"/>
      <c r="JL9" s="877"/>
      <c r="JM9" s="884"/>
      <c r="JN9" s="877"/>
      <c r="JO9" s="877"/>
    </row>
    <row r="10" s="894" customFormat="true" ht="18.75" hidden="false" customHeight="false" outlineLevel="0" collapsed="false">
      <c r="A10" s="886" t="s">
        <v>1519</v>
      </c>
      <c r="B10" s="886" t="s">
        <v>166</v>
      </c>
      <c r="C10" s="887" t="n">
        <f aca="false">HLOOKUP(C2,物流参数!$C$1:$GC$29,MATCH("TOTAL MASS FLOW",物流参数!$A$1:$A$29,FALSE()),FALSE())</f>
        <v>26676.4</v>
      </c>
      <c r="D10" s="887" t="n">
        <f aca="false">HLOOKUP(D2,物流参数!$C$1:$GC$29,MATCH("TOTAL MASS FLOW",物流参数!$A$1:$A$29,FALSE()),FALSE())</f>
        <v>236419</v>
      </c>
      <c r="E10" s="888" t="n">
        <f aca="false">HLOOKUP(E2,物流参数!$C$1:$GC$29,MATCH("TOTAL MASS FLOW",物流参数!$A$1:$A$29,FALSE()),FALSE())</f>
        <v>46428.6</v>
      </c>
      <c r="F10" s="888" t="n">
        <f aca="false">HLOOKUP(F2,物流参数!$C$1:$GC$29,MATCH("TOTAL MASS FLOW",物流参数!$A$1:$A$29,FALSE()),FALSE())</f>
        <v>263095.4</v>
      </c>
      <c r="G10" s="888" t="n">
        <f aca="false">HLOOKUP(G2,物流参数!$C$1:$GC$29,MATCH("TOTAL MASS FLOW",物流参数!$A$1:$A$29,FALSE()),FALSE())</f>
        <v>46428.6</v>
      </c>
      <c r="H10" s="887" t="n">
        <f aca="false">HLOOKUP(H2,物流参数!$C$1:$GC$29,MATCH("TOTAL MASS FLOW",物流参数!$A$1:$A$29,FALSE()),FALSE())</f>
        <v>309524</v>
      </c>
      <c r="I10" s="887" t="n">
        <f aca="false">HLOOKUP(I2,物流参数!$C$1:$GC$29,MATCH("TOTAL MASS FLOW",物流参数!$A$1:$A$29,FALSE()),FALSE())</f>
        <v>309524</v>
      </c>
      <c r="J10" s="887" t="n">
        <f aca="false">HLOOKUP(J2,物流参数!$C$1:$GC$29,MATCH("TOTAL MASS FLOW",物流参数!$A$1:$A$29,FALSE()),FALSE())</f>
        <v>309524</v>
      </c>
      <c r="K10" s="887" t="n">
        <f aca="false">HLOOKUP(K2,物流参数!$C$1:$GC$29,MATCH("TOTAL MASS FLOW",物流参数!$A$1:$A$29,FALSE()),FALSE())</f>
        <v>309524</v>
      </c>
      <c r="L10" s="887" t="n">
        <f aca="false">HLOOKUP(L2,物流参数!$C$1:$GC$29,MATCH("TOTAL MASS FLOW",物流参数!$A$1:$A$29,FALSE()),FALSE())</f>
        <v>309524</v>
      </c>
      <c r="M10" s="887" t="n">
        <f aca="false">HLOOKUP(M2,物流参数!$C$1:$GC$29,MATCH("TOTAL MASS FLOW",物流参数!$A$1:$A$29,FALSE()),FALSE())</f>
        <v>309524</v>
      </c>
      <c r="N10" s="887" t="n">
        <f aca="false">HLOOKUP(N2,物流参数!$C$1:$GC$29,MATCH("TOTAL MASS FLOW",物流参数!$A$1:$A$29,FALSE()),FALSE())</f>
        <v>446</v>
      </c>
      <c r="O10" s="887" t="n">
        <f aca="false">HLOOKUP(O2,物流参数!$C$1:$GC$29,MATCH("TOTAL MASS FLOW",物流参数!$A$1:$A$29,FALSE()),FALSE())</f>
        <v>309970</v>
      </c>
      <c r="P10" s="887" t="n">
        <f aca="false">HLOOKUP(P2,物流参数!$C$1:$GC$29,MATCH("TOTAL MASS FLOW",物流参数!$A$1:$A$29,FALSE()),FALSE())</f>
        <v>268934.3</v>
      </c>
      <c r="Q10" s="887" t="n">
        <f aca="false">HLOOKUP(Q2,物流参数!$C$1:$GC$29,MATCH("TOTAL MASS FLOW",物流参数!$A$1:$A$29,FALSE()),FALSE())</f>
        <v>309970</v>
      </c>
      <c r="R10" s="887" t="n">
        <f aca="false">HLOOKUP(R2,物流参数!$C$1:$GC$29,MATCH("TOTAL MASS FLOW",物流参数!$A$1:$A$29,FALSE()),FALSE())</f>
        <v>268934.3</v>
      </c>
      <c r="S10" s="887" t="n">
        <f aca="false">HLOOKUP(S2,物流参数!$C$1:$GC$29,MATCH("TOTAL MASS FLOW",物流参数!$A$1:$A$29,FALSE()),FALSE())</f>
        <v>40340.14</v>
      </c>
      <c r="T10" s="887" t="n">
        <f aca="false">HLOOKUP(T2,物流参数!$C$1:$GC$29,MATCH("TOTAL MASS FLOW",物流参数!$A$1:$A$29,FALSE()),FALSE())</f>
        <v>40340.14</v>
      </c>
      <c r="U10" s="887" t="n">
        <f aca="false">HLOOKUP(U2,物流参数!$C$1:$GC$29,MATCH("TOTAL MASS FLOW",物流参数!$A$1:$A$29,FALSE()),FALSE())</f>
        <v>40340.14</v>
      </c>
      <c r="V10" s="887" t="n">
        <f aca="false">HLOOKUP(V2,物流参数!$C$1:$GC$29,MATCH("TOTAL MASS FLOW",物流参数!$A$1:$A$29,FALSE()),FALSE())</f>
        <v>228594.15</v>
      </c>
      <c r="W10" s="887" t="n">
        <v>309524</v>
      </c>
      <c r="X10" s="887" t="n">
        <v>309524</v>
      </c>
      <c r="Y10" s="887" t="n">
        <f aca="false">HLOOKUP(Y2,物流参数!$C$1:$GC$29,MATCH("TOTAL MASS FLOW",物流参数!$A$1:$A$29,FALSE()),FALSE())</f>
        <v>309970</v>
      </c>
      <c r="Z10" s="887" t="n">
        <f aca="false">HLOOKUP(Z2,物流参数!$C$1:$GC$29,MATCH("TOTAL MASS FLOW",物流参数!$A$1:$A$29,FALSE()),FALSE())</f>
        <v>309970</v>
      </c>
      <c r="AA10" s="887" t="n">
        <f aca="false">HLOOKUP(AA2,物流参数!$C$1:$GC$29,MATCH("TOTAL MASS FLOW",物流参数!$A$1:$A$29,FALSE()),FALSE())</f>
        <v>741526.97</v>
      </c>
      <c r="AB10" s="887" t="n">
        <f aca="false">HLOOKUP(AB2,物流参数!$C$1:$GC$29,MATCH("TOTAL MASS FLOW",物流参数!$A$1:$A$29,FALSE()),FALSE())</f>
        <v>428894.98</v>
      </c>
      <c r="AC10" s="887" t="n">
        <f aca="false">HLOOKUP(AC2,物流参数!$C$1:$GC$29,MATCH("TOTAL MASS FLOW",物流参数!$A$1:$A$29,FALSE()),FALSE())</f>
        <v>428894.98</v>
      </c>
      <c r="AD10" s="887" t="n">
        <f aca="false">HLOOKUP(AD2,物流参数!$C$1:$GC$29,MATCH("TOTAL MASS FLOW",物流参数!$A$1:$A$29,FALSE()),FALSE())</f>
        <v>738864.98</v>
      </c>
      <c r="AE10" s="887" t="n">
        <f aca="false">HLOOKUP(AE2,物流参数!$C$1:$GC$29,MATCH("TOTAL MASS FLOW",物流参数!$A$1:$A$29,FALSE()),FALSE())</f>
        <v>739147.94</v>
      </c>
      <c r="AF10" s="887" t="n">
        <f aca="false">HLOOKUP(AF2,物流参数!$C$1:$GC$29,MATCH("TOTAL MASS FLOW",物流参数!$A$1:$A$29,FALSE()),FALSE())</f>
        <v>282.96</v>
      </c>
      <c r="AG10" s="887" t="n">
        <f aca="false">HLOOKUP(AG2,物流参数!$C$1:$GC$29,MATCH("TOTAL MASS FLOW",物流参数!$A$1:$A$29,FALSE()),FALSE())</f>
        <v>605.14</v>
      </c>
      <c r="AH10" s="887" t="n">
        <f aca="false">HLOOKUP(AH2,物流参数!$C$1:$GC$29,MATCH("TOTAL MASS FLOW",物流参数!$A$1:$A$29,FALSE()),FALSE())</f>
        <v>736.13</v>
      </c>
      <c r="AI10" s="887" t="n">
        <f aca="false">HLOOKUP(AI2,物流参数!$C$1:$GC$29,MATCH("TOTAL MASS FLOW",物流参数!$A$1:$A$29,FALSE()),FALSE())</f>
        <v>667.64</v>
      </c>
      <c r="AJ10" s="887" t="n">
        <f aca="false">HLOOKUP(AJ2,物流参数!$C$1:$GC$29,MATCH("TOTAL MASS FLOW",物流参数!$A$1:$A$29,FALSE()),FALSE())</f>
        <v>479.56</v>
      </c>
      <c r="AK10" s="887" t="n">
        <f aca="false">HLOOKUP(AK2,物流参数!$C$1:$GC$29,MATCH("TOTAL MASS FLOW",物流参数!$A$1:$A$29,FALSE()),FALSE())</f>
        <v>16.66</v>
      </c>
      <c r="AL10" s="887" t="n">
        <f aca="false">HLOOKUP(AL2,物流参数!$C$1:$GC$29,MATCH("TOTAL MASS FLOW",物流参数!$A$1:$A$29,FALSE()),FALSE())</f>
        <v>19.15</v>
      </c>
      <c r="AM10" s="887" t="n">
        <v>22</v>
      </c>
      <c r="AN10" s="887" t="n">
        <f aca="false">HLOOKUP(AN2,物流参数!$C$1:$GC$29,MATCH("TOTAL MASS FLOW",物流参数!$A$1:$A$29,FALSE()),FALSE())</f>
        <v>24.85</v>
      </c>
      <c r="AO10" s="887" t="n">
        <f aca="false">HLOOKUP(AO2,物流参数!$C$1:$GC$29,MATCH("TOTAL MASS FLOW",物流参数!$A$1:$A$29,FALSE()),FALSE())</f>
        <v>26.92</v>
      </c>
      <c r="AP10" s="887" t="n">
        <f aca="false">HLOOKUP(AP2,物流参数!$C$1:$GC$29,MATCH("TOTAL MASS FLOW",物流参数!$A$1:$A$29,FALSE()),FALSE())</f>
        <v>109.44</v>
      </c>
      <c r="AQ10" s="887" t="n">
        <f aca="false">HLOOKUP(AQ2,物流参数!$C$1:$GC$29,MATCH("TOTAL MASS FLOW",物流参数!$A$1:$A$29,FALSE()),FALSE())</f>
        <v>312631.98</v>
      </c>
      <c r="AR10" s="887" t="n">
        <f aca="false">HLOOKUP(AR2,物流参数!$C$1:$GC$29,MATCH("TOTAL MASS FLOW",物流参数!$A$1:$A$29,FALSE()),FALSE())</f>
        <v>312631.98</v>
      </c>
      <c r="AS10" s="887" t="n">
        <f aca="false">HLOOKUP(AS2,物流参数!$C$1:$GC$29,MATCH("TOTAL MASS FLOW",物流参数!$A$1:$A$29,FALSE()),FALSE())</f>
        <v>312631.98</v>
      </c>
      <c r="AT10" s="887" t="n">
        <f aca="false">HLOOKUP(AT2,物流参数!$C$1:$GC$29,MATCH("TOTAL MASS FLOW",物流参数!$A$1:$A$29,FALSE()),FALSE())</f>
        <v>312631.98</v>
      </c>
      <c r="AU10" s="887" t="n">
        <f aca="false">HLOOKUP(AU2,物流参数!$C$1:$GC$29,MATCH("TOTAL MASS FLOW",物流参数!$A$1:$A$29,FALSE()),FALSE())</f>
        <v>6702.76</v>
      </c>
      <c r="AV10" s="887" t="n">
        <f aca="false">HLOOKUP(AV2,物流参数!$C$1:$GC$29,MATCH("TOTAL MASS FLOW",物流参数!$A$1:$A$29,FALSE()),FALSE())</f>
        <v>5215.35</v>
      </c>
      <c r="AW10" s="887" t="n">
        <f aca="false">HLOOKUP(AW2,物流参数!$C$1:$GC$29,MATCH("TOTAL MASS FLOW",物流参数!$A$1:$A$29,FALSE()),FALSE())</f>
        <v>5238.27</v>
      </c>
      <c r="AX10" s="887" t="n">
        <f aca="false">HLOOKUP(AX2,物流参数!$C$1:$GC$29,MATCH("TOTAL MASS FLOW",物流参数!$A$1:$A$29,FALSE()),FALSE())</f>
        <v>22.9</v>
      </c>
      <c r="AY10" s="887" t="n">
        <f aca="false">HLOOKUP(AY2,物流参数!$C$1:$GC$29,MATCH("TOTAL MASS FLOW",物流参数!$A$1:$A$29,FALSE()),FALSE())</f>
        <v>12588.46</v>
      </c>
      <c r="AZ10" s="887" t="n">
        <f aca="false">HLOOKUP(AZ2,物流参数!$C$1:$GC$29,MATCH("TOTAL MASS FLOW",物流参数!$A$1:$A$29,FALSE()),FALSE())</f>
        <v>12697.9</v>
      </c>
      <c r="BA10" s="887" t="n">
        <f aca="false">HLOOKUP(BA2,物流参数!$C$1:$GC$29,MATCH("TOTAL MASS FLOW",物流参数!$A$1:$A$29,FALSE()),FALSE())</f>
        <v>12697.9</v>
      </c>
      <c r="BB10" s="887" t="n">
        <f aca="false">HLOOKUP(BB2,物流参数!$C$1:$GC$29,MATCH("TOTAL MASS FLOW",物流参数!$A$1:$A$29,FALSE()),FALSE())</f>
        <v>23397.9</v>
      </c>
      <c r="BC10" s="887" t="n">
        <f aca="false">HLOOKUP(BC2,物流参数!$C$1:$GC$29,MATCH("TOTAL MASS FLOW",物流参数!$A$1:$A$29,FALSE()),FALSE())</f>
        <v>23397.9</v>
      </c>
      <c r="BD10" s="887" t="n">
        <f aca="false">HLOOKUP(BD2,物流参数!$C$1:$GC$29,MATCH("TOTAL MASS FLOW",物流参数!$A$1:$A$29,FALSE()),FALSE())</f>
        <v>27715.9</v>
      </c>
      <c r="BE10" s="887" t="n">
        <f aca="false">HLOOKUP(BE2,物流参数!$C$1:$GC$29,MATCH("TOTAL MASS FLOW",物流参数!$A$1:$A$29,FALSE()),FALSE())</f>
        <v>27715.9</v>
      </c>
      <c r="BF10" s="887" t="n">
        <f aca="false">HLOOKUP(BF2,物流参数!$C$1:$GC$29,MATCH("TOTAL MASS FLOW",物流参数!$A$1:$A$29,FALSE()),FALSE())</f>
        <v>11306.67</v>
      </c>
      <c r="BG10" s="887" t="n">
        <f aca="false">HLOOKUP(BG2,物流参数!$C$1:$GC$29,MATCH("TOTAL MASS FLOW",物流参数!$A$1:$A$29,FALSE()),FALSE())</f>
        <v>16068.71</v>
      </c>
      <c r="BH10" s="887" t="n">
        <f aca="false">HLOOKUP(BH2,物流参数!$C$1:$GC$29,MATCH("TOTAL MASS FLOW",物流参数!$A$1:$A$29,FALSE()),FALSE())</f>
        <v>4604.55</v>
      </c>
      <c r="BI10" s="887" t="n">
        <f aca="false">HLOOKUP(BI2,物流参数!$C$1:$GC$29,MATCH("TOTAL MASS FLOW",物流参数!$A$1:$A$29,FALSE()),FALSE())</f>
        <v>4604.55</v>
      </c>
      <c r="BJ10" s="887" t="n">
        <f aca="false">HLOOKUP(BJ2,物流参数!$C$1:$GC$29,MATCH("TOTAL MASS FLOW",物流参数!$A$1:$A$29,FALSE()),FALSE())</f>
        <v>11804.68</v>
      </c>
      <c r="BK10" s="887" t="n">
        <f aca="false">HLOOKUP(BK2,物流参数!$C$1:$GC$29,MATCH("TOTAL MASS FLOW",物流参数!$A$1:$A$29,FALSE()),FALSE())</f>
        <v>11804.68</v>
      </c>
      <c r="BL10" s="887" t="n">
        <f aca="false">HLOOKUP(BL2,物流参数!$C$1:$GC$29,MATCH("TOTAL MASS FLOW",物流参数!$A$1:$A$29,FALSE()),FALSE())</f>
        <v>300043.52</v>
      </c>
      <c r="BM10" s="887" t="n">
        <f aca="false">HLOOKUP(BM2,物流参数!$C$1:$GC$29,MATCH("TOTAL MASS FLOW",物流参数!$A$1:$A$29,FALSE()),FALSE())</f>
        <v>300043.52</v>
      </c>
      <c r="BN10" s="887" t="n">
        <f aca="false">HLOOKUP(BN2,物流参数!$C$1:$GC$29,MATCH("TOTAL MASS FLOW",物流参数!$A$1:$A$29,FALSE()),FALSE())</f>
        <v>32429.87</v>
      </c>
      <c r="BO10" s="887" t="n">
        <f aca="false">HLOOKUP(BO2,物流参数!$C$1:$GC$29,MATCH("TOTAL MASS FLOW",物流参数!$A$1:$A$29,FALSE()),FALSE())</f>
        <v>3189.14</v>
      </c>
      <c r="BP10" s="887" t="n">
        <f aca="false">HLOOKUP(BP2,物流参数!$C$1:$GC$29,MATCH("TOTAL MASS FLOW",物流参数!$A$1:$A$29,FALSE()),FALSE())</f>
        <v>13100</v>
      </c>
      <c r="BQ10" s="887" t="n">
        <f aca="false">HLOOKUP(BQ2,物流参数!$C$1:$GC$29,MATCH("TOTAL MASS FLOW",物流参数!$A$1:$A$29,FALSE()),FALSE())</f>
        <v>13100</v>
      </c>
      <c r="BR10" s="887" t="n">
        <f aca="false">HLOOKUP(BR2,物流参数!$C$1:$GC$29,MATCH("TOTAL MASS FLOW",物流参数!$A$1:$A$29,FALSE()),FALSE())</f>
        <v>13100</v>
      </c>
      <c r="BS10" s="887" t="n">
        <f aca="false">HLOOKUP(BS2,物流参数!$C$1:$GC$29,MATCH("TOTAL MASS FLOW",物流参数!$A$1:$A$29,FALSE()),FALSE())</f>
        <v>2400</v>
      </c>
      <c r="BT10" s="887" t="n">
        <f aca="false">HLOOKUP(BT2,物流参数!$C$1:$GC$29,MATCH("TOTAL MASS FLOW",物流参数!$A$1:$A$29,FALSE()),FALSE())</f>
        <v>10700</v>
      </c>
      <c r="BU10" s="887" t="n">
        <f aca="false">HLOOKUP(BU2,物流参数!$C$1:$GC$29,MATCH("TOTAL MASS FLOW",物流参数!$A$1:$A$29,FALSE()),FALSE())</f>
        <v>4318</v>
      </c>
      <c r="BV10" s="887" t="n">
        <f aca="false">HLOOKUP(BV2,物流参数!$C$1:$GC$29,MATCH("TOTAL MASS FLOW",物流参数!$A$1:$A$29,FALSE()),FALSE())</f>
        <v>6542.55</v>
      </c>
      <c r="BW10" s="887" t="n">
        <f aca="false">HLOOKUP(BW2,物流参数!$C$1:$GC$29,MATCH("TOTAL MASS FLOW",物流参数!$A$1:$A$29,FALSE()),FALSE())</f>
        <v>300816.72</v>
      </c>
      <c r="BX10" s="887" t="n">
        <f aca="false">HLOOKUP(BX2,物流参数!$C$1:$GC$29,MATCH("TOTAL MASS FLOW",物流参数!$A$1:$A$29,FALSE()),FALSE())</f>
        <v>300816.72</v>
      </c>
      <c r="BY10" s="887" t="n">
        <f aca="false">HLOOKUP(BY2,物流参数!$C$1:$GC$29,MATCH("TOTAL MASS FLOW",物流参数!$A$1:$A$29,FALSE()),FALSE())</f>
        <v>300816.72</v>
      </c>
      <c r="BZ10" s="887" t="n">
        <f aca="false">HLOOKUP(BZ2,物流参数!$C$1:$GC$29,MATCH("TOTAL MASS FLOW",物流参数!$A$1:$A$29,FALSE()),FALSE())</f>
        <v>300816.72</v>
      </c>
      <c r="CA10" s="887" t="n">
        <f aca="false">HLOOKUP(CA2,物流参数!$C$1:$GC$29,MATCH("TOTAL MASS FLOW",物流参数!$A$1:$A$29,FALSE()),FALSE())</f>
        <v>7799.01</v>
      </c>
      <c r="CB10" s="887" t="n">
        <f aca="false">HLOOKUP(CB2,物流参数!$C$1:$GC$29,MATCH("TOTAL MASS FLOW",物流参数!$A$1:$A$29,FALSE()),FALSE())</f>
        <v>7799.01</v>
      </c>
      <c r="CC10" s="887" t="n">
        <f aca="false">HLOOKUP(CC2,物流参数!$C$1:$GC$29,MATCH("TOTAL MASS FLOW",物流参数!$A$1:$A$29,FALSE()),FALSE())</f>
        <v>293017.71</v>
      </c>
      <c r="CD10" s="887" t="n">
        <f aca="false">HLOOKUP(CD2,物流参数!$C$1:$GC$29,MATCH("TOTAL MASS FLOW",物流参数!$A$1:$A$29,FALSE()),FALSE())</f>
        <v>293017.71</v>
      </c>
      <c r="CE10" s="887" t="n">
        <f aca="false">HLOOKUP(CE2,物流参数!$C$1:$GC$29,MATCH("TOTAL MASS FLOW",物流参数!$A$1:$A$29,FALSE()),FALSE())</f>
        <v>293017.71</v>
      </c>
      <c r="CF10" s="887" t="n">
        <f aca="false">HLOOKUP(CF2,物流参数!$C$1:$GC$29,MATCH("TOTAL MASS FLOW",物流参数!$A$1:$A$29,FALSE()),FALSE())</f>
        <v>268934.3</v>
      </c>
      <c r="CG10" s="887" t="n">
        <f aca="false">HLOOKUP(CG2,物流参数!$C$1:$GC$29,MATCH("TOTAL MASS FLOW",物流参数!$A$1:$A$29,FALSE()),FALSE())</f>
        <v>312631.98</v>
      </c>
      <c r="CH10" s="887" t="n">
        <f aca="false">HLOOKUP(CH2,物流参数!$C$1:$GC$29,MATCH("TOTAL MASS FLOW",物流参数!$A$1:$A$29,FALSE()),FALSE())</f>
        <v>20673.98</v>
      </c>
      <c r="CI10" s="887" t="n">
        <f aca="false">HLOOKUP(CI2,物流参数!$C$1:$GC$29,MATCH("TOTAL MASS FLOW",物流参数!$A$1:$A$29,FALSE()),FALSE())</f>
        <v>23073.98</v>
      </c>
      <c r="CJ10" s="887" t="n">
        <f aca="false">HLOOKUP(CJ2,物流参数!$C$1:$GC$29,MATCH("TOTAL MASS FLOW",物流参数!$A$1:$A$29,FALSE()),FALSE())</f>
        <v>23073.98</v>
      </c>
      <c r="CK10" s="887" t="n">
        <f aca="false">HLOOKUP(CK2,物流参数!$C$1:$GC$29,MATCH("TOTAL MASS FLOW",物流参数!$A$1:$A$29,FALSE()),FALSE())</f>
        <v>23073.98</v>
      </c>
      <c r="CL10" s="887" t="n">
        <f aca="false">HLOOKUP(CL2,物流参数!$C$1:$GC$29,MATCH("TOTAL MASS FLOW",物流参数!$A$1:$A$29,FALSE()),FALSE())</f>
        <v>15182.02</v>
      </c>
      <c r="CM10" s="887" t="n">
        <f aca="false">HLOOKUP(CM2,物流参数!$C$1:$GC$29,MATCH("TOTAL MASS FLOW",物流参数!$A$1:$A$29,FALSE()),FALSE())</f>
        <v>15182.02</v>
      </c>
      <c r="CN10" s="887" t="n">
        <f aca="false">HLOOKUP(CN2,物流参数!$C$1:$GC$29,MATCH("TOTAL MASS FLOW",物流参数!$A$1:$A$29,FALSE()),FALSE())</f>
        <v>7350.08</v>
      </c>
      <c r="CO10" s="887" t="n">
        <f aca="false">HLOOKUP(CO2,物流参数!$C$1:$GC$29,MATCH("TOTAL MASS FLOW",物流参数!$A$1:$A$29,FALSE()),FALSE())</f>
        <v>7831.94</v>
      </c>
      <c r="CP10" s="887" t="n">
        <f aca="false">HLOOKUP(CP2,物流参数!$C$1:$GC$29,MATCH("TOTAL MASS FLOW",物流参数!$A$1:$A$29,FALSE()),FALSE())</f>
        <v>4762.04</v>
      </c>
      <c r="CQ10" s="887" t="n">
        <f aca="false">HLOOKUP(CQ2,物流参数!$C$1:$GC$29,MATCH("TOTAL MASS FLOW",物流参数!$A$1:$A$29,FALSE()),FALSE())</f>
        <v>3129.924249227</v>
      </c>
      <c r="CR10" s="887" t="n">
        <f aca="false">HLOOKUP(CR2,物流参数!$C$1:$GC$29,MATCH("TOTAL MASS FLOW",物流参数!$A$1:$A$29,FALSE()),FALSE())</f>
        <v>3129.924249227</v>
      </c>
      <c r="CS10" s="887" t="n">
        <f aca="false">HLOOKUP(CS2,物流参数!$C$1:$GC$29,MATCH("TOTAL MASS FLOW",物流参数!$A$1:$A$29,FALSE()),FALSE())</f>
        <v>2950</v>
      </c>
      <c r="CT10" s="887" t="n">
        <f aca="false">HLOOKUP(CT2,物流参数!$C$1:$GC$29,MATCH("TOTAL MASS FLOW",物流参数!$A$1:$A$29,FALSE()),FALSE())</f>
        <v>2950</v>
      </c>
      <c r="CU10" s="887" t="n">
        <f aca="false">HLOOKUP(CU2,物流参数!$C$1:$GC$29,MATCH("TOTAL MASS FLOW",物流参数!$A$1:$A$29,FALSE()),FALSE())</f>
        <v>26811.03</v>
      </c>
      <c r="CV10" s="887" t="n">
        <f aca="false">HLOOKUP(CV2,物流参数!$C$1:$GC$29,MATCH("TOTAL MASS FLOW",物流参数!$A$1:$A$29,FALSE()),FALSE())</f>
        <v>27191.6</v>
      </c>
      <c r="CW10" s="887" t="n">
        <f aca="false">HLOOKUP(CW2,物流参数!$C$1:$GC$29,MATCH("TOTAL MASS FLOW",物流参数!$A$1:$A$29,FALSE()),FALSE())</f>
        <v>6702.76</v>
      </c>
      <c r="CX10" s="887" t="n">
        <f aca="false">HLOOKUP(CX2,物流参数!$C$1:$GC$29,MATCH("TOTAL MASS FLOW",物流参数!$A$1:$A$29,FALSE()),FALSE())</f>
        <v>20108.27</v>
      </c>
      <c r="CY10" s="887" t="n">
        <f aca="false">HLOOKUP(CY2,物流参数!$C$1:$GC$29,MATCH("TOTAL MASS FLOW",物流参数!$A$1:$A$29,FALSE()),FALSE())</f>
        <v>380.58</v>
      </c>
      <c r="CZ10" s="887" t="n">
        <f aca="false">HLOOKUP(CZ2,物流参数!$C$1:$GC$29,MATCH("TOTAL MASS FLOW",物流参数!$A$1:$A$29,FALSE()),FALSE())</f>
        <v>268934.3</v>
      </c>
      <c r="DA10" s="887" t="n">
        <f aca="false">HLOOKUP(DA2,物流参数!$C$1:$GC$29,MATCH("TOTAL MASS FLOW",物流参数!$A$1:$A$29,FALSE()),FALSE())</f>
        <v>268934.3</v>
      </c>
      <c r="DB10" s="887" t="n">
        <f aca="false">HLOOKUP(DB2,物流参数!$C$1:$GC$29,MATCH("TOTAL MASS FLOW",物流参数!$A$1:$A$29,FALSE()),FALSE())</f>
        <v>64817.89</v>
      </c>
      <c r="DC10" s="887" t="n">
        <f aca="false">HLOOKUP(DC2,物流参数!$C$1:$GC$29,MATCH("TOTAL MASS FLOW",物流参数!$A$1:$A$29,FALSE()),FALSE())</f>
        <v>64817.89</v>
      </c>
      <c r="DD10" s="887" t="n">
        <f aca="false">HLOOKUP(DD2,物流参数!$C$1:$GC$29,MATCH("TOTAL MASS FLOW",物流参数!$A$1:$A$29,FALSE()),FALSE())</f>
        <v>54907.02</v>
      </c>
      <c r="DE10" s="887" t="n">
        <f aca="false">HLOOKUP(DE2,物流参数!$C$1:$GC$29,MATCH("TOTAL MASS FLOW",物流参数!$A$1:$A$29,FALSE()),FALSE())</f>
        <v>54907.02</v>
      </c>
      <c r="DF10" s="887" t="n">
        <f aca="false">HLOOKUP(DF2,物流参数!$C$1:$GC$29,MATCH("TOTAL MASS FLOW",物流参数!$A$1:$A$29,FALSE()),FALSE())</f>
        <v>50827.5</v>
      </c>
      <c r="DG10" s="887" t="n">
        <f aca="false">HLOOKUP(DG2,物流参数!$C$1:$GC$29,MATCH("TOTAL MASS FLOW",物流参数!$A$1:$A$29,FALSE()),FALSE())</f>
        <v>4079.53</v>
      </c>
      <c r="DH10" s="887" t="n">
        <f aca="false">HLOOKUP(DH2,物流参数!$C$1:$GC$29,MATCH("TOTAL MASS FLOW",物流参数!$A$1:$A$29,FALSE()),FALSE())</f>
        <v>4079.53</v>
      </c>
      <c r="DI10" s="887" t="n">
        <f aca="false">HLOOKUP(DI2,物流参数!$C$1:$GC$29,MATCH("TOTAL MASS FLOW",物流参数!$A$1:$A$29,FALSE()),FALSE())</f>
        <v>4079.53</v>
      </c>
      <c r="DJ10" s="887" t="n">
        <f aca="false">HLOOKUP(DJ2,物流参数!$C$1:$GC$29,MATCH("TOTAL MASS FLOW",物流参数!$A$1:$A$29,FALSE()),FALSE())</f>
        <v>9910.86</v>
      </c>
      <c r="DK10" s="887" t="n">
        <f aca="false">HLOOKUP(DK2,物流参数!$C$1:$GC$29,MATCH("TOTAL MASS FLOW",物流参数!$A$1:$A$29,FALSE()),FALSE())</f>
        <v>125000</v>
      </c>
      <c r="DL10" s="887" t="n">
        <f aca="false">HLOOKUP(DL2,物流参数!$C$1:$GC$29,MATCH("TOTAL MASS FLOW",物流参数!$A$1:$A$29,FALSE()),FALSE())</f>
        <v>125000</v>
      </c>
      <c r="DM10" s="887" t="n">
        <f aca="false">HLOOKUP(DM2,物流参数!$C$1:$GC$29,MATCH("TOTAL MASS FLOW",物流参数!$A$1:$A$29,FALSE()),FALSE())</f>
        <v>125000</v>
      </c>
      <c r="DN10" s="887" t="n">
        <f aca="false">HLOOKUP(DN2,物流参数!$C$1:$GC$29,MATCH("TOTAL MASS FLOW",物流参数!$A$1:$A$29,FALSE()),FALSE())</f>
        <v>125000</v>
      </c>
      <c r="DO10" s="887" t="n">
        <f aca="false">HLOOKUP(DO2,物流参数!$C$1:$GC$29,MATCH("TOTAL MASS FLOW",物流参数!$A$1:$A$29,FALSE()),FALSE())</f>
        <v>125000</v>
      </c>
      <c r="DP10" s="887" t="n">
        <f aca="false">HLOOKUP(DP2,物流参数!$C$1:$GC$29,MATCH("TOTAL MASS FLOW",物流参数!$A$1:$A$29,FALSE()),FALSE())</f>
        <v>30583.42</v>
      </c>
      <c r="DQ10" s="887" t="n">
        <f aca="false">HLOOKUP(DQ2,物流参数!$C$1:$GC$29,MATCH("TOTAL MASS FLOW",物流参数!$A$1:$A$29,FALSE()),FALSE())</f>
        <v>30583.42</v>
      </c>
      <c r="DR10" s="887" t="n">
        <f aca="false">HLOOKUP(DR2,物流参数!$C$1:$GC$29,MATCH("TOTAL MASS FLOW",物流参数!$A$1:$A$29,FALSE()),FALSE())</f>
        <v>3941.42</v>
      </c>
      <c r="DS10" s="887" t="n">
        <f aca="false">HLOOKUP(DS2,物流参数!$C$1:$GC$29,MATCH("TOTAL MASS FLOW",物流参数!$A$1:$A$29,FALSE()),FALSE())</f>
        <v>27112</v>
      </c>
      <c r="DT10" s="887" t="n">
        <f aca="false">HLOOKUP(DT2,物流参数!$C$1:$GC$29,MATCH("TOTAL MASS FLOW",物流参数!$A$1:$A$29,FALSE()),FALSE())</f>
        <v>27112</v>
      </c>
      <c r="DU10" s="887" t="n">
        <f aca="false">HLOOKUP(DU2,物流参数!$C$1:$GC$29,MATCH("TOTAL MASS FLOW",物流参数!$A$1:$A$29,FALSE()),FALSE())</f>
        <v>27112</v>
      </c>
      <c r="DV10" s="887" t="n">
        <f aca="false">HLOOKUP(DV2,物流参数!$C$1:$GC$29,MATCH("TOTAL MASS FLOW",物流参数!$A$1:$A$29,FALSE()),FALSE())</f>
        <v>4066.8</v>
      </c>
      <c r="DW10" s="887" t="n">
        <f aca="false">HLOOKUP(DW2,物流参数!$C$1:$GC$29,MATCH("TOTAL MASS FLOW",物流参数!$A$1:$A$29,FALSE()),FALSE())</f>
        <v>4066.8</v>
      </c>
      <c r="DX10" s="844" t="n">
        <v>600</v>
      </c>
      <c r="DY10" s="844" t="n">
        <v>600</v>
      </c>
      <c r="DZ10" s="887" t="n">
        <f aca="false">HLOOKUP(DZ2,物流参数!$C$1:$GC$29,MATCH("TOTAL MASS FLOW",物流参数!$A$1:$A$29,FALSE()),FALSE())</f>
        <v>23045.2</v>
      </c>
      <c r="EA10" s="887" t="n">
        <f aca="false">HLOOKUP(EA2,物流参数!$C$1:$GC$29,MATCH("TOTAL MASS FLOW",物流参数!$A$1:$A$29,FALSE()),FALSE())</f>
        <v>32429.87</v>
      </c>
      <c r="EB10" s="887" t="n">
        <f aca="false">HLOOKUP(EB2,物流参数!$C$1:$GC$29,MATCH("TOTAL MASS FLOW",物流参数!$A$1:$A$29,FALSE()),FALSE())</f>
        <v>3337.47</v>
      </c>
      <c r="EC10" s="887" t="n">
        <f aca="false">HLOOKUP(EC2,物流参数!$C$1:$GC$29,MATCH("TOTAL MASS FLOW",物流参数!$A$1:$A$29,FALSE()),FALSE())</f>
        <v>5215.35</v>
      </c>
      <c r="ED10" s="887" t="n">
        <f aca="false">HLOOKUP(ED2,物流参数!$C$1:$GC$29,MATCH("TOTAL MASS FLOW",物流参数!$A$1:$A$29,FALSE()),FALSE())</f>
        <v>5215.35</v>
      </c>
      <c r="EE10" s="887" t="n">
        <f aca="false">HLOOKUP(EE2,物流参数!$C$1:$GC$29,MATCH("TOTAL MASS FLOW",物流参数!$A$1:$A$29,FALSE()),FALSE())</f>
        <v>268934.3</v>
      </c>
      <c r="EF10" s="887" t="n">
        <f aca="false">HLOOKUP(EF2,物流参数!$C$1:$GC$29,MATCH("TOTAL MASS FLOW",物流参数!$A$1:$A$29,FALSE()),FALSE())</f>
        <v>470</v>
      </c>
      <c r="EG10" s="887" t="n">
        <f aca="false">HLOOKUP(EG2,物流参数!$C$1:$GC$29,MATCH("TOTAL MASS FLOW",物流参数!$A$1:$A$29,FALSE()),FALSE())</f>
        <v>8750</v>
      </c>
      <c r="EH10" s="887" t="n">
        <f aca="false">HLOOKUP(EH2,物流参数!$C$1:$GC$29,MATCH("TOTAL MASS FLOW",物流参数!$A$1:$A$29,FALSE()),FALSE())</f>
        <v>23473.55</v>
      </c>
      <c r="EI10" s="887" t="n">
        <f aca="false">HLOOKUP(EI2,物流参数!$C$1:$GC$29,MATCH("TOTAL MASS FLOW",物流参数!$A$1:$A$29,FALSE()),FALSE())</f>
        <v>3981.73</v>
      </c>
      <c r="EJ10" s="887" t="n">
        <f aca="false">HLOOKUP(EJ2,物流参数!$C$1:$GC$29,MATCH("TOTAL MASS FLOW",物流参数!$A$1:$A$29,FALSE()),FALSE())</f>
        <v>3217.43</v>
      </c>
      <c r="EK10" s="887" t="n">
        <f aca="false">HLOOKUP(EK2,物流参数!$C$1:$GC$29,MATCH("TOTAL MASS FLOW",物流参数!$A$1:$A$29,FALSE()),FALSE())</f>
        <v>4044.54</v>
      </c>
      <c r="EL10" s="889" t="n">
        <f aca="false">HLOOKUP(EL2,物流参数!$C$1:$GC$29,MATCH("TOTAL MASS FLOW",物流参数!$A$1:$A$29,FALSE()),FALSE())</f>
        <v>4044.54</v>
      </c>
      <c r="EM10" s="889" t="n">
        <f aca="false">HLOOKUP(EM2,物流参数!$C$1:$GC$29,MATCH("TOTAL MASS FLOW",物流参数!$A$1:$A$29,FALSE()),FALSE())</f>
        <v>4044.54</v>
      </c>
      <c r="EN10" s="889" t="n">
        <f aca="false">HLOOKUP(EN2,物流参数!$C$1:$GC$29,MATCH("TOTAL MASS FLOW",物流参数!$A$1:$A$29,FALSE()),FALSE())</f>
        <v>4044.54</v>
      </c>
      <c r="EO10" s="889" t="n">
        <f aca="false">HLOOKUP(EO2,物流参数!$C$1:$GC$29,MATCH("TOTAL MASS FLOW",物流参数!$A$1:$A$29,FALSE()),FALSE())</f>
        <v>4044.54</v>
      </c>
      <c r="EP10" s="889" t="n">
        <f aca="false">HLOOKUP(EP2,物流参数!$C$1:$GC$29,MATCH("TOTAL MASS FLOW",物流参数!$A$1:$A$29,FALSE()),FALSE())</f>
        <v>4044.54</v>
      </c>
      <c r="EQ10" s="889" t="n">
        <f aca="false">HLOOKUP(EQ2,物流参数!$C$1:$GC$29,MATCH("TOTAL MASS FLOW",物流参数!$A$1:$A$29,FALSE()),FALSE())</f>
        <v>4044.54</v>
      </c>
      <c r="ER10" s="889" t="n">
        <f aca="false">HLOOKUP(ER2,物流参数!$C$1:$GC$29,MATCH("TOTAL MASS FLOW",物流参数!$A$1:$A$29,FALSE()),FALSE())</f>
        <v>4044.54</v>
      </c>
      <c r="ES10" s="889" t="n">
        <f aca="false">HLOOKUP(ES2,物流参数!$C$1:$GC$29,MATCH("TOTAL MASS FLOW",物流参数!$A$1:$A$29,FALSE()),FALSE())</f>
        <v>4044.54</v>
      </c>
      <c r="ET10" s="887" t="n">
        <f aca="false">HLOOKUP(ET2,物流参数!$C$1:$GC$29,MATCH("TOTAL MASS FLOW",物流参数!$A$1:$A$29,FALSE()),FALSE())</f>
        <v>3217.43</v>
      </c>
      <c r="EU10" s="889" t="n">
        <f aca="false">HLOOKUP(EU2,物流参数!$C$1:$GC$29,MATCH("TOTAL MASS FLOW",物流参数!$A$1:$A$29,FALSE()),FALSE())</f>
        <v>827.11</v>
      </c>
      <c r="EV10" s="889" t="n">
        <f aca="false">HLOOKUP(EV2,物流参数!$C$1:$GC$29,MATCH("TOTAL MASS FLOW",物流参数!$A$1:$A$29,FALSE()),FALSE())</f>
        <v>827.11</v>
      </c>
      <c r="EW10" s="889" t="n">
        <f aca="false">HLOOKUP(EW2,物流参数!$C$1:$GC$29,MATCH("TOTAL MASS FLOW",物流参数!$A$1:$A$29,FALSE()),FALSE())</f>
        <v>827.11</v>
      </c>
      <c r="EX10" s="887" t="n">
        <f aca="false">HLOOKUP(EX2,物流参数!$C$1:$GC$29,MATCH("TOTAL MASS FLOW",物流参数!$A$1:$A$29,FALSE()),FALSE())</f>
        <v>446</v>
      </c>
      <c r="EY10" s="887" t="n">
        <f aca="false">HLOOKUP(EY2,物流参数!$C$1:$GC$29,MATCH("TOTAL MASS FLOW",物流参数!$A$1:$A$29,FALSE()),FALSE())</f>
        <v>164000</v>
      </c>
      <c r="EZ10" s="887" t="n">
        <f aca="false">HLOOKUP(EZ2,物流参数!$C$1:$GC$29,MATCH("TOTAL MASS FLOW",物流参数!$A$1:$A$29,FALSE()),FALSE())</f>
        <v>164000</v>
      </c>
      <c r="FA10" s="887" t="n">
        <f aca="false">HLOOKUP(FA2,物流参数!$C$1:$GC$29,MATCH("TOTAL MASS FLOW",物流参数!$A$1:$A$29,FALSE()),FALSE())</f>
        <v>164000</v>
      </c>
      <c r="FB10" s="887" t="n">
        <f aca="false">HLOOKUP(FB2,物流参数!$C$1:$GC$29,MATCH("TOTAL MASS FLOW",物流参数!$A$1:$A$29,FALSE()),FALSE())</f>
        <v>164000</v>
      </c>
      <c r="FC10" s="887" t="n">
        <f aca="false">HLOOKUP(FC2,物流参数!$C$1:$GC$29,MATCH("TOTAL MASS FLOW",物流参数!$A$1:$A$29,FALSE()),FALSE())</f>
        <v>164000</v>
      </c>
      <c r="FD10" s="887" t="n">
        <f aca="false">HLOOKUP(FD2,物流参数!$C$1:$GC$29,MATCH("TOTAL MASS FLOW",物流参数!$A$1:$A$29,FALSE()),FALSE())</f>
        <v>6070.86</v>
      </c>
      <c r="FE10" s="887" t="n">
        <f aca="false">HLOOKUP(FE2,物流参数!$C$1:$GC$29,MATCH("TOTAL MASS FLOW",物流参数!$A$1:$A$29,FALSE()),FALSE())</f>
        <v>6068.37</v>
      </c>
      <c r="FF10" s="887" t="n">
        <f aca="false">HLOOKUP(FF2,物流参数!$C$1:$GC$29,MATCH("TOTAL MASS FLOW",物流参数!$A$1:$A$29,FALSE()),FALSE())</f>
        <v>6068.37</v>
      </c>
      <c r="FG10" s="887" t="n">
        <f aca="false">HLOOKUP(FG2,物流参数!$C$1:$GC$29,MATCH("TOTAL MASS FLOW",物流参数!$A$1:$A$29,FALSE()),FALSE())</f>
        <v>2.49</v>
      </c>
      <c r="FH10" s="887" t="n">
        <f aca="false">HLOOKUP(FH2,物流参数!$C$1:$GC$29,MATCH("TOTAL MASS FLOW",物流参数!$A$1:$A$29,FALSE()),FALSE())</f>
        <v>2.49</v>
      </c>
      <c r="FI10" s="887" t="n">
        <f aca="false">HLOOKUP(FI2,物流参数!$C$1:$GC$29,MATCH("TOTAL MASS FLOW",物流参数!$A$1:$A$29,FALSE()),FALSE())</f>
        <v>169484.76</v>
      </c>
      <c r="FJ10" s="887" t="n">
        <f aca="false">HLOOKUP(FJ2,物流参数!$C$1:$GC$29,MATCH("TOTAL MASS FLOW",物流参数!$A$1:$A$29,FALSE()),FALSE())</f>
        <v>169484.76</v>
      </c>
      <c r="FK10" s="887" t="n">
        <f aca="false">HLOOKUP(FK2,物流参数!$C$1:$GC$29,MATCH("TOTAL MASS FLOW",物流参数!$A$1:$A$29,FALSE()),FALSE())</f>
        <v>169487.26</v>
      </c>
      <c r="FL10" s="887" t="n">
        <v>17700</v>
      </c>
      <c r="FM10" s="887" t="n">
        <v>30850</v>
      </c>
      <c r="FN10" s="887" t="n">
        <v>30850</v>
      </c>
      <c r="FO10" s="887"/>
      <c r="FP10" s="890" t="n">
        <f aca="false">FP16*FP13</f>
        <v>170725.74345576</v>
      </c>
      <c r="FQ10" s="890" t="n">
        <f aca="false">FQ16*FQ13</f>
        <v>272213.981316624</v>
      </c>
      <c r="FR10" s="890" t="n">
        <f aca="false">FR16*FR13</f>
        <v>390343.577610721</v>
      </c>
      <c r="FS10" s="890" t="n">
        <f aca="false">FS16*FS13</f>
        <v>7142.12655089456</v>
      </c>
      <c r="FT10" s="890" t="n">
        <f aca="false">FT16*FT13</f>
        <v>17018.6582914573</v>
      </c>
      <c r="FU10" s="890" t="n">
        <f aca="false">FU16*FU13</f>
        <v>331.640757756939</v>
      </c>
      <c r="FV10" s="890" t="n">
        <f aca="false">FV16*FV13</f>
        <v>160964.209947892</v>
      </c>
      <c r="FW10" s="890" t="n">
        <f aca="false">FW16*FW13</f>
        <v>14471.8863232682</v>
      </c>
      <c r="FX10" s="890" t="n">
        <f aca="false">FX16*FX13</f>
        <v>203350.354508416</v>
      </c>
      <c r="FY10" s="890" t="n">
        <f aca="false">FY16*FY13</f>
        <v>58343.8257449705</v>
      </c>
      <c r="FZ10" s="890" t="n">
        <f aca="false">FZ16*FZ13</f>
        <v>4560.66150022007</v>
      </c>
      <c r="GA10" s="890" t="n">
        <f aca="false">GA16*GA13</f>
        <v>85299.1452991453</v>
      </c>
      <c r="GB10" s="890" t="n">
        <f aca="false">GB16*GB13</f>
        <v>18114.8191473175</v>
      </c>
      <c r="GC10" s="890" t="n">
        <f aca="false">GC16*GC13</f>
        <v>183164.897074756</v>
      </c>
      <c r="GD10" s="890" t="n">
        <f aca="false">GD16*GD13</f>
        <v>71315.3631340239</v>
      </c>
      <c r="GE10" s="890" t="n">
        <f aca="false">GE16*GE13</f>
        <v>13173.6</v>
      </c>
      <c r="GF10" s="890" t="n">
        <f aca="false">GF16*GF13</f>
        <v>13431.9058823529</v>
      </c>
      <c r="GG10" s="890" t="n">
        <f aca="false">GG16*GG13</f>
        <v>13491.4455445545</v>
      </c>
      <c r="GH10" s="890"/>
      <c r="GI10" s="887"/>
      <c r="GJ10" s="887"/>
      <c r="GK10" s="887"/>
      <c r="GL10" s="887"/>
      <c r="GM10" s="887"/>
      <c r="GN10" s="887"/>
      <c r="GO10" s="887"/>
      <c r="GP10" s="887"/>
      <c r="GQ10" s="887"/>
      <c r="GR10" s="887"/>
      <c r="GS10" s="887"/>
      <c r="GT10" s="887"/>
      <c r="GU10" s="887"/>
      <c r="GV10" s="887"/>
      <c r="GW10" s="887"/>
      <c r="GX10" s="887"/>
      <c r="GY10" s="887"/>
      <c r="GZ10" s="887"/>
      <c r="HA10" s="887"/>
      <c r="HB10" s="887"/>
      <c r="HC10" s="887"/>
      <c r="HD10" s="887"/>
      <c r="HE10" s="887"/>
      <c r="HF10" s="887"/>
      <c r="HG10" s="887"/>
      <c r="HH10" s="887"/>
      <c r="HI10" s="887"/>
      <c r="HJ10" s="887"/>
      <c r="HK10" s="887"/>
      <c r="HL10" s="887"/>
      <c r="HM10" s="887"/>
      <c r="HN10" s="887"/>
      <c r="HO10" s="887"/>
      <c r="HP10" s="887"/>
      <c r="HQ10" s="887"/>
      <c r="HR10" s="887"/>
      <c r="HS10" s="887"/>
      <c r="HT10" s="887"/>
      <c r="HU10" s="887"/>
      <c r="HV10" s="887"/>
      <c r="HW10" s="887"/>
      <c r="HX10" s="887"/>
      <c r="HY10" s="887"/>
      <c r="HZ10" s="887"/>
      <c r="IA10" s="887"/>
      <c r="IB10" s="887"/>
      <c r="IC10" s="887"/>
      <c r="ID10" s="887"/>
      <c r="IE10" s="887"/>
      <c r="IF10" s="887"/>
      <c r="IG10" s="887"/>
      <c r="IH10" s="891"/>
      <c r="II10" s="887"/>
      <c r="IJ10" s="887"/>
      <c r="IK10" s="891"/>
      <c r="IL10" s="887"/>
      <c r="IM10" s="887"/>
      <c r="IN10" s="887"/>
      <c r="IO10" s="887"/>
      <c r="IP10" s="891"/>
      <c r="IQ10" s="891"/>
      <c r="IR10" s="891"/>
      <c r="IS10" s="892"/>
      <c r="IT10" s="892"/>
      <c r="IU10" s="891"/>
      <c r="IV10" s="891"/>
      <c r="IW10" s="891"/>
      <c r="IX10" s="891"/>
      <c r="IY10" s="891"/>
      <c r="IZ10" s="891"/>
      <c r="JA10" s="891"/>
      <c r="JB10" s="891"/>
      <c r="JC10" s="891"/>
      <c r="JD10" s="887"/>
      <c r="JE10" s="893"/>
      <c r="JF10" s="887"/>
      <c r="JG10" s="887"/>
      <c r="JH10" s="893"/>
      <c r="JI10" s="893"/>
      <c r="JJ10" s="893"/>
      <c r="JK10" s="893"/>
      <c r="JL10" s="893"/>
      <c r="JM10" s="887"/>
      <c r="JN10" s="893"/>
      <c r="JO10" s="893"/>
    </row>
    <row r="11" s="837" customFormat="true" ht="18.75" hidden="false" customHeight="false" outlineLevel="0" collapsed="false">
      <c r="A11" s="895" t="s">
        <v>533</v>
      </c>
      <c r="B11" s="895"/>
      <c r="C11" s="844" t="n">
        <v>1.1</v>
      </c>
      <c r="D11" s="844" t="n">
        <v>1.1</v>
      </c>
      <c r="E11" s="896" t="n">
        <v>1.1</v>
      </c>
      <c r="F11" s="896" t="n">
        <v>1.1</v>
      </c>
      <c r="G11" s="896" t="n">
        <v>1.1</v>
      </c>
      <c r="H11" s="844" t="n">
        <v>1.1</v>
      </c>
      <c r="I11" s="844" t="n">
        <v>1.1</v>
      </c>
      <c r="J11" s="844" t="n">
        <v>1.1</v>
      </c>
      <c r="K11" s="844" t="n">
        <v>1.1</v>
      </c>
      <c r="L11" s="844" t="n">
        <v>1.1</v>
      </c>
      <c r="M11" s="844" t="n">
        <v>1.1</v>
      </c>
      <c r="N11" s="844" t="n">
        <v>1.1</v>
      </c>
      <c r="O11" s="844" t="n">
        <v>1.1</v>
      </c>
      <c r="P11" s="844" t="n">
        <v>1.1</v>
      </c>
      <c r="Q11" s="844" t="n">
        <v>1.1</v>
      </c>
      <c r="R11" s="844" t="n">
        <v>1.1</v>
      </c>
      <c r="S11" s="844" t="n">
        <v>1.1</v>
      </c>
      <c r="T11" s="844" t="n">
        <v>1.1</v>
      </c>
      <c r="U11" s="844" t="n">
        <v>1.1</v>
      </c>
      <c r="V11" s="844" t="n">
        <v>1.1</v>
      </c>
      <c r="W11" s="844" t="n">
        <v>1.1</v>
      </c>
      <c r="X11" s="844" t="n">
        <v>1.1</v>
      </c>
      <c r="Y11" s="844" t="n">
        <v>1.1</v>
      </c>
      <c r="Z11" s="844" t="n">
        <v>1.1</v>
      </c>
      <c r="AA11" s="844" t="n">
        <v>1.1</v>
      </c>
      <c r="AB11" s="844" t="n">
        <v>1.1</v>
      </c>
      <c r="AC11" s="844" t="n">
        <v>1.1</v>
      </c>
      <c r="AD11" s="844" t="n">
        <v>1.1</v>
      </c>
      <c r="AE11" s="844" t="n">
        <v>1.1</v>
      </c>
      <c r="AF11" s="844" t="n">
        <v>1.1</v>
      </c>
      <c r="AG11" s="844" t="n">
        <v>1.1</v>
      </c>
      <c r="AH11" s="844" t="n">
        <v>1.1</v>
      </c>
      <c r="AI11" s="844" t="n">
        <v>1.1</v>
      </c>
      <c r="AJ11" s="844" t="n">
        <v>1.1</v>
      </c>
      <c r="AK11" s="844" t="n">
        <v>1.1</v>
      </c>
      <c r="AL11" s="844" t="n">
        <v>1.1</v>
      </c>
      <c r="AM11" s="844" t="n">
        <v>1.1</v>
      </c>
      <c r="AN11" s="844" t="n">
        <v>1.1</v>
      </c>
      <c r="AO11" s="844" t="n">
        <v>1.1</v>
      </c>
      <c r="AP11" s="844" t="n">
        <v>1.1</v>
      </c>
      <c r="AQ11" s="844" t="n">
        <v>1.1</v>
      </c>
      <c r="AR11" s="844" t="n">
        <v>1.1</v>
      </c>
      <c r="AS11" s="844" t="n">
        <v>1.1</v>
      </c>
      <c r="AT11" s="844" t="n">
        <v>1.1</v>
      </c>
      <c r="AU11" s="844" t="n">
        <v>1.1</v>
      </c>
      <c r="AV11" s="844" t="n">
        <v>1.1</v>
      </c>
      <c r="AW11" s="844" t="n">
        <v>1.1</v>
      </c>
      <c r="AX11" s="844" t="n">
        <v>1.1</v>
      </c>
      <c r="AY11" s="844" t="n">
        <v>1.1</v>
      </c>
      <c r="AZ11" s="844" t="n">
        <v>1.1</v>
      </c>
      <c r="BA11" s="844" t="n">
        <v>1.1</v>
      </c>
      <c r="BB11" s="844" t="n">
        <v>1.1</v>
      </c>
      <c r="BC11" s="844" t="n">
        <v>1.1</v>
      </c>
      <c r="BD11" s="844" t="n">
        <v>1.1</v>
      </c>
      <c r="BE11" s="844" t="n">
        <v>1.1</v>
      </c>
      <c r="BF11" s="844" t="n">
        <v>1.1</v>
      </c>
      <c r="BG11" s="844" t="n">
        <v>1.1</v>
      </c>
      <c r="BH11" s="844" t="n">
        <v>1.1</v>
      </c>
      <c r="BI11" s="844" t="n">
        <v>1.1</v>
      </c>
      <c r="BJ11" s="844" t="n">
        <v>1.1</v>
      </c>
      <c r="BK11" s="844" t="n">
        <v>1.1</v>
      </c>
      <c r="BL11" s="844" t="n">
        <v>1.1</v>
      </c>
      <c r="BM11" s="844" t="n">
        <v>1.1</v>
      </c>
      <c r="BN11" s="844" t="n">
        <v>1.1</v>
      </c>
      <c r="BO11" s="844" t="n">
        <v>1.1</v>
      </c>
      <c r="BP11" s="844" t="n">
        <v>1.1</v>
      </c>
      <c r="BQ11" s="844" t="n">
        <v>1.1</v>
      </c>
      <c r="BR11" s="844" t="n">
        <v>1.1</v>
      </c>
      <c r="BS11" s="844" t="n">
        <v>1.1</v>
      </c>
      <c r="BT11" s="844" t="n">
        <v>1.1</v>
      </c>
      <c r="BU11" s="844" t="n">
        <v>1.1</v>
      </c>
      <c r="BV11" s="844" t="n">
        <v>1.1</v>
      </c>
      <c r="BW11" s="844" t="n">
        <v>1.1</v>
      </c>
      <c r="BX11" s="844" t="n">
        <v>1.1</v>
      </c>
      <c r="BY11" s="844" t="n">
        <v>1.1</v>
      </c>
      <c r="BZ11" s="844" t="n">
        <v>1.1</v>
      </c>
      <c r="CA11" s="844" t="n">
        <v>1.1</v>
      </c>
      <c r="CB11" s="844" t="n">
        <v>1.1</v>
      </c>
      <c r="CC11" s="844" t="n">
        <v>1.1</v>
      </c>
      <c r="CD11" s="844" t="n">
        <v>1.1</v>
      </c>
      <c r="CE11" s="844" t="n">
        <v>1.1</v>
      </c>
      <c r="CF11" s="844" t="n">
        <v>1.1</v>
      </c>
      <c r="CG11" s="844" t="n">
        <v>1.1</v>
      </c>
      <c r="CH11" s="844" t="n">
        <v>1.1</v>
      </c>
      <c r="CI11" s="844" t="n">
        <v>1.1</v>
      </c>
      <c r="CJ11" s="844" t="n">
        <v>1.1</v>
      </c>
      <c r="CK11" s="844" t="n">
        <v>1.1</v>
      </c>
      <c r="CL11" s="844" t="n">
        <v>1.1</v>
      </c>
      <c r="CM11" s="844" t="n">
        <v>1.1</v>
      </c>
      <c r="CN11" s="844" t="n">
        <v>1.3</v>
      </c>
      <c r="CO11" s="844" t="n">
        <v>1.1</v>
      </c>
      <c r="CP11" s="844" t="n">
        <v>1.1</v>
      </c>
      <c r="CQ11" s="844" t="n">
        <v>1.1</v>
      </c>
      <c r="CR11" s="844" t="n">
        <v>1.1</v>
      </c>
      <c r="CS11" s="844" t="n">
        <v>1.1</v>
      </c>
      <c r="CT11" s="844" t="n">
        <v>1.1</v>
      </c>
      <c r="CU11" s="844" t="n">
        <v>1.1</v>
      </c>
      <c r="CV11" s="844" t="n">
        <v>1.1</v>
      </c>
      <c r="CW11" s="844" t="n">
        <v>1.1</v>
      </c>
      <c r="CX11" s="844" t="n">
        <v>1.1</v>
      </c>
      <c r="CY11" s="844" t="n">
        <v>1.1</v>
      </c>
      <c r="CZ11" s="844" t="n">
        <v>1.1</v>
      </c>
      <c r="DA11" s="844" t="n">
        <v>1.1</v>
      </c>
      <c r="DB11" s="844" t="n">
        <v>1.1</v>
      </c>
      <c r="DC11" s="844" t="n">
        <v>1.1</v>
      </c>
      <c r="DD11" s="844" t="n">
        <v>1.3</v>
      </c>
      <c r="DE11" s="844" t="n">
        <v>1.3</v>
      </c>
      <c r="DF11" s="844" t="n">
        <v>1.3</v>
      </c>
      <c r="DG11" s="844" t="n">
        <v>1.1</v>
      </c>
      <c r="DH11" s="844" t="n">
        <v>1.1</v>
      </c>
      <c r="DI11" s="844" t="n">
        <v>1.1</v>
      </c>
      <c r="DJ11" s="844" t="n">
        <v>1.1</v>
      </c>
      <c r="DK11" s="844" t="n">
        <v>1.3</v>
      </c>
      <c r="DL11" s="844" t="n">
        <v>1.3</v>
      </c>
      <c r="DM11" s="844" t="n">
        <v>1.3</v>
      </c>
      <c r="DN11" s="844" t="n">
        <v>1.3</v>
      </c>
      <c r="DO11" s="844" t="n">
        <v>1.3</v>
      </c>
      <c r="DP11" s="844" t="n">
        <v>1.1</v>
      </c>
      <c r="DQ11" s="844" t="n">
        <v>1.1</v>
      </c>
      <c r="DR11" s="844" t="n">
        <v>1.1</v>
      </c>
      <c r="DS11" s="844" t="n">
        <v>1.1</v>
      </c>
      <c r="DT11" s="844" t="n">
        <v>1.1</v>
      </c>
      <c r="DU11" s="844" t="n">
        <v>1.1</v>
      </c>
      <c r="DV11" s="844" t="n">
        <v>1.1</v>
      </c>
      <c r="DW11" s="844" t="n">
        <v>1.1</v>
      </c>
      <c r="DX11" s="844" t="n">
        <v>1.1</v>
      </c>
      <c r="DY11" s="844" t="n">
        <v>1.1</v>
      </c>
      <c r="DZ11" s="844" t="n">
        <v>1.1</v>
      </c>
      <c r="EA11" s="844" t="n">
        <v>1.1</v>
      </c>
      <c r="EB11" s="844" t="n">
        <v>1.1</v>
      </c>
      <c r="EC11" s="844" t="n">
        <v>1.1</v>
      </c>
      <c r="ED11" s="844" t="n">
        <v>1.1</v>
      </c>
      <c r="EE11" s="844" t="n">
        <v>1.1</v>
      </c>
      <c r="EF11" s="844" t="n">
        <v>1.1</v>
      </c>
      <c r="EG11" s="844" t="n">
        <v>1.1</v>
      </c>
      <c r="EH11" s="844" t="n">
        <v>1.1</v>
      </c>
      <c r="EI11" s="844" t="n">
        <v>1.1</v>
      </c>
      <c r="EJ11" s="844" t="n">
        <v>1.1</v>
      </c>
      <c r="EK11" s="844" t="n">
        <v>1.3</v>
      </c>
      <c r="EL11" s="858" t="n">
        <v>1.1</v>
      </c>
      <c r="EM11" s="858" t="n">
        <v>1.1</v>
      </c>
      <c r="EN11" s="858" t="n">
        <v>1.1</v>
      </c>
      <c r="EO11" s="858" t="n">
        <v>1.1</v>
      </c>
      <c r="EP11" s="858" t="n">
        <v>1.1</v>
      </c>
      <c r="EQ11" s="858" t="n">
        <v>1.1</v>
      </c>
      <c r="ER11" s="858" t="n">
        <v>1.1</v>
      </c>
      <c r="ES11" s="858" t="n">
        <v>1.1</v>
      </c>
      <c r="ET11" s="844" t="n">
        <v>2.3</v>
      </c>
      <c r="EU11" s="858" t="n">
        <v>1.1</v>
      </c>
      <c r="EV11" s="858" t="n">
        <v>1.1</v>
      </c>
      <c r="EW11" s="858" t="n">
        <v>1.1</v>
      </c>
      <c r="EX11" s="844" t="n">
        <v>1.1</v>
      </c>
      <c r="EY11" s="844" t="n">
        <v>1.1</v>
      </c>
      <c r="EZ11" s="844" t="n">
        <v>1.1</v>
      </c>
      <c r="FA11" s="844" t="n">
        <v>1.1</v>
      </c>
      <c r="FB11" s="844" t="n">
        <v>1.1</v>
      </c>
      <c r="FC11" s="844" t="n">
        <v>1.1</v>
      </c>
      <c r="FD11" s="844" t="n">
        <v>1.1</v>
      </c>
      <c r="FE11" s="844" t="n">
        <v>1.1</v>
      </c>
      <c r="FF11" s="844" t="n">
        <v>1.1</v>
      </c>
      <c r="FG11" s="844" t="n">
        <v>1.1</v>
      </c>
      <c r="FH11" s="844" t="n">
        <v>1.1</v>
      </c>
      <c r="FI11" s="844" t="n">
        <v>1.1</v>
      </c>
      <c r="FJ11" s="844" t="n">
        <v>1.1</v>
      </c>
      <c r="FK11" s="844" t="n">
        <v>1.1</v>
      </c>
      <c r="FL11" s="844" t="n">
        <v>1.1</v>
      </c>
      <c r="FM11" s="844" t="n">
        <v>1.1</v>
      </c>
      <c r="FN11" s="844" t="n">
        <v>1.1</v>
      </c>
      <c r="FO11" s="844"/>
      <c r="FP11" s="897" t="n">
        <v>1.2</v>
      </c>
      <c r="FQ11" s="897" t="n">
        <v>1.2</v>
      </c>
      <c r="FR11" s="897" t="n">
        <v>1.2</v>
      </c>
      <c r="FS11" s="897" t="n">
        <v>1.2</v>
      </c>
      <c r="FT11" s="897" t="n">
        <v>1.2</v>
      </c>
      <c r="FU11" s="897" t="n">
        <v>1.2</v>
      </c>
      <c r="FV11" s="897" t="n">
        <v>1.2</v>
      </c>
      <c r="FW11" s="897" t="n">
        <v>1.2</v>
      </c>
      <c r="FX11" s="897" t="n">
        <v>1.2</v>
      </c>
      <c r="FY11" s="897" t="n">
        <v>1.2</v>
      </c>
      <c r="FZ11" s="897" t="n">
        <v>1.2</v>
      </c>
      <c r="GA11" s="897" t="n">
        <v>1.2</v>
      </c>
      <c r="GB11" s="897" t="n">
        <v>1.2</v>
      </c>
      <c r="GC11" s="897" t="n">
        <v>1.2</v>
      </c>
      <c r="GD11" s="897" t="n">
        <v>1.2</v>
      </c>
      <c r="GE11" s="897" t="n">
        <v>1.2</v>
      </c>
      <c r="GF11" s="897" t="n">
        <v>1.2</v>
      </c>
      <c r="GG11" s="897" t="n">
        <v>1.2</v>
      </c>
      <c r="GH11" s="897"/>
      <c r="GI11" s="844"/>
      <c r="GJ11" s="844"/>
      <c r="GK11" s="844"/>
      <c r="GL11" s="844"/>
      <c r="GM11" s="844"/>
      <c r="GN11" s="844"/>
      <c r="GO11" s="844"/>
      <c r="GP11" s="844"/>
      <c r="GQ11" s="844"/>
      <c r="GR11" s="844"/>
      <c r="GS11" s="844"/>
      <c r="GT11" s="844"/>
      <c r="GU11" s="844"/>
      <c r="GV11" s="844"/>
      <c r="GW11" s="844"/>
      <c r="GX11" s="844"/>
      <c r="GY11" s="844"/>
      <c r="GZ11" s="844"/>
      <c r="HA11" s="844"/>
      <c r="HB11" s="844"/>
      <c r="HC11" s="844"/>
      <c r="HD11" s="844"/>
      <c r="HE11" s="844"/>
      <c r="HF11" s="844"/>
      <c r="HG11" s="844"/>
      <c r="HH11" s="844"/>
      <c r="HI11" s="844"/>
      <c r="HJ11" s="844"/>
      <c r="HK11" s="844"/>
      <c r="HL11" s="844"/>
      <c r="HM11" s="844"/>
      <c r="HN11" s="844"/>
      <c r="HO11" s="844"/>
      <c r="HP11" s="844"/>
      <c r="HQ11" s="844"/>
      <c r="HR11" s="844"/>
      <c r="HS11" s="844"/>
      <c r="HT11" s="844"/>
      <c r="HU11" s="844"/>
      <c r="HV11" s="844"/>
      <c r="HW11" s="844"/>
      <c r="HX11" s="844"/>
      <c r="HY11" s="844"/>
      <c r="HZ11" s="844"/>
      <c r="IA11" s="844"/>
      <c r="IB11" s="844"/>
      <c r="IC11" s="844"/>
      <c r="ID11" s="844"/>
      <c r="IE11" s="844"/>
      <c r="IF11" s="844"/>
      <c r="IG11" s="844"/>
      <c r="IH11" s="844"/>
      <c r="II11" s="844"/>
      <c r="IJ11" s="844"/>
      <c r="IK11" s="844"/>
      <c r="IL11" s="844"/>
      <c r="IM11" s="844"/>
      <c r="IN11" s="844"/>
      <c r="IO11" s="844"/>
      <c r="IP11" s="844"/>
      <c r="IQ11" s="844"/>
      <c r="IR11" s="844"/>
      <c r="IS11" s="844"/>
      <c r="IT11" s="844"/>
      <c r="IU11" s="844"/>
      <c r="IV11" s="844"/>
      <c r="IW11" s="844"/>
      <c r="IX11" s="844"/>
      <c r="IY11" s="844"/>
      <c r="IZ11" s="844"/>
      <c r="JA11" s="844"/>
      <c r="JB11" s="844"/>
      <c r="JC11" s="844"/>
      <c r="JD11" s="844"/>
      <c r="JE11" s="844"/>
      <c r="JF11" s="844"/>
      <c r="JG11" s="844"/>
      <c r="JH11" s="844"/>
      <c r="JI11" s="844"/>
      <c r="JK11" s="844"/>
      <c r="JM11" s="844"/>
    </row>
    <row r="12" customFormat="false" ht="18.75" hidden="false" customHeight="false" outlineLevel="0" collapsed="false">
      <c r="A12" s="859" t="s">
        <v>1520</v>
      </c>
      <c r="B12" s="859" t="s">
        <v>166</v>
      </c>
      <c r="C12" s="898" t="n">
        <f aca="false">C10*C11</f>
        <v>29344.04</v>
      </c>
      <c r="D12" s="898" t="n">
        <f aca="false">D10*D11</f>
        <v>260060.9</v>
      </c>
      <c r="E12" s="899" t="n">
        <f aca="false">E10*E11</f>
        <v>51071.46</v>
      </c>
      <c r="F12" s="899" t="n">
        <f aca="false">F10*F11</f>
        <v>289404.94</v>
      </c>
      <c r="G12" s="899" t="n">
        <f aca="false">G10*G11</f>
        <v>51071.46</v>
      </c>
      <c r="H12" s="898" t="n">
        <f aca="false">H10*H11</f>
        <v>340476.4</v>
      </c>
      <c r="I12" s="898" t="n">
        <f aca="false">I10*I11</f>
        <v>340476.4</v>
      </c>
      <c r="J12" s="898" t="n">
        <f aca="false">J10*J11</f>
        <v>340476.4</v>
      </c>
      <c r="K12" s="898" t="n">
        <f aca="false">K10*K11</f>
        <v>340476.4</v>
      </c>
      <c r="L12" s="898" t="n">
        <f aca="false">L10*L11</f>
        <v>340476.4</v>
      </c>
      <c r="M12" s="898" t="n">
        <f aca="false">M10*M11</f>
        <v>340476.4</v>
      </c>
      <c r="N12" s="898" t="n">
        <f aca="false">N10*N11</f>
        <v>490.6</v>
      </c>
      <c r="O12" s="898" t="n">
        <f aca="false">O10*O11</f>
        <v>340967</v>
      </c>
      <c r="P12" s="898" t="n">
        <f aca="false">P10*P11</f>
        <v>295827.73</v>
      </c>
      <c r="Q12" s="898" t="n">
        <f aca="false">Q10*Q11</f>
        <v>340967</v>
      </c>
      <c r="R12" s="898" t="n">
        <f aca="false">R10*R11</f>
        <v>295827.73</v>
      </c>
      <c r="S12" s="898" t="n">
        <f aca="false">S10*S11</f>
        <v>44374.154</v>
      </c>
      <c r="T12" s="898" t="n">
        <f aca="false">T10*T11</f>
        <v>44374.154</v>
      </c>
      <c r="U12" s="898" t="n">
        <f aca="false">U10*U11</f>
        <v>44374.154</v>
      </c>
      <c r="V12" s="898" t="n">
        <f aca="false">V10*V11</f>
        <v>251453.565</v>
      </c>
      <c r="W12" s="898" t="n">
        <v>340476.4</v>
      </c>
      <c r="X12" s="898" t="n">
        <v>340476.4</v>
      </c>
      <c r="Y12" s="898" t="n">
        <f aca="false">Y10*Y11</f>
        <v>340967</v>
      </c>
      <c r="Z12" s="898" t="n">
        <f aca="false">Z10*Z11</f>
        <v>340967</v>
      </c>
      <c r="AA12" s="898" t="n">
        <f aca="false">AA10*AA11</f>
        <v>815679.667</v>
      </c>
      <c r="AB12" s="898" t="n">
        <f aca="false">AB10*AB11</f>
        <v>471784.478</v>
      </c>
      <c r="AC12" s="898" t="n">
        <f aca="false">AC10*AC11</f>
        <v>471784.478</v>
      </c>
      <c r="AD12" s="898" t="n">
        <f aca="false">AD10*AD11</f>
        <v>812751.478</v>
      </c>
      <c r="AE12" s="898" t="n">
        <f aca="false">AE10*AE11</f>
        <v>813062.734</v>
      </c>
      <c r="AF12" s="898" t="n">
        <f aca="false">AF10*AF11</f>
        <v>311.256</v>
      </c>
      <c r="AG12" s="898" t="n">
        <f aca="false">AG10*AG11</f>
        <v>665.654</v>
      </c>
      <c r="AH12" s="898" t="n">
        <f aca="false">AH10*AH11</f>
        <v>809.743</v>
      </c>
      <c r="AI12" s="898" t="n">
        <f aca="false">AI10*AI11</f>
        <v>734.404</v>
      </c>
      <c r="AJ12" s="898" t="n">
        <f aca="false">AJ10*AJ11</f>
        <v>527.516</v>
      </c>
      <c r="AK12" s="898" t="n">
        <f aca="false">AK10*AK11</f>
        <v>18.326</v>
      </c>
      <c r="AL12" s="898" t="n">
        <f aca="false">AL10*AL11</f>
        <v>21.065</v>
      </c>
      <c r="AM12" s="898" t="n">
        <f aca="false">AM10*AM11</f>
        <v>24.2</v>
      </c>
      <c r="AN12" s="898" t="n">
        <f aca="false">AN10*AN11</f>
        <v>27.335</v>
      </c>
      <c r="AO12" s="898" t="n">
        <f aca="false">AO10*AO11</f>
        <v>29.612</v>
      </c>
      <c r="AP12" s="898" t="n">
        <f aca="false">AP10*AP11</f>
        <v>120.384</v>
      </c>
      <c r="AQ12" s="898" t="n">
        <f aca="false">AQ10*AQ11</f>
        <v>343895.178</v>
      </c>
      <c r="AR12" s="898" t="n">
        <f aca="false">AR10*AR11</f>
        <v>343895.178</v>
      </c>
      <c r="AS12" s="898" t="n">
        <f aca="false">AS10*AS11</f>
        <v>343895.178</v>
      </c>
      <c r="AT12" s="898" t="n">
        <f aca="false">AT10*AT11</f>
        <v>343895.178</v>
      </c>
      <c r="AU12" s="898" t="n">
        <f aca="false">AU10*AU11</f>
        <v>7373.036</v>
      </c>
      <c r="AV12" s="898" t="n">
        <f aca="false">AV10*AV11</f>
        <v>5736.885</v>
      </c>
      <c r="AW12" s="898" t="n">
        <f aca="false">AW10*AW11</f>
        <v>5762.097</v>
      </c>
      <c r="AX12" s="898" t="n">
        <f aca="false">AX10*AX11</f>
        <v>25.19</v>
      </c>
      <c r="AY12" s="898" t="n">
        <f aca="false">AY10*AY11</f>
        <v>13847.306</v>
      </c>
      <c r="AZ12" s="898" t="n">
        <f aca="false">AZ10*AZ11</f>
        <v>13967.69</v>
      </c>
      <c r="BA12" s="898" t="n">
        <f aca="false">BA10*BA11</f>
        <v>13967.69</v>
      </c>
      <c r="BB12" s="898" t="n">
        <f aca="false">BB10*BB11</f>
        <v>25737.69</v>
      </c>
      <c r="BC12" s="898" t="n">
        <f aca="false">BC10*BC11</f>
        <v>25737.69</v>
      </c>
      <c r="BD12" s="898" t="n">
        <f aca="false">BD10*BD11</f>
        <v>30487.49</v>
      </c>
      <c r="BE12" s="898" t="n">
        <f aca="false">BE10*BE11</f>
        <v>30487.49</v>
      </c>
      <c r="BF12" s="898" t="n">
        <f aca="false">BF10*BF11</f>
        <v>12437.337</v>
      </c>
      <c r="BG12" s="898" t="n">
        <f aca="false">BG10*BG11</f>
        <v>17675.581</v>
      </c>
      <c r="BH12" s="898" t="n">
        <f aca="false">BH10*BH11</f>
        <v>5065.005</v>
      </c>
      <c r="BI12" s="898" t="n">
        <f aca="false">BI10*BI11</f>
        <v>5065.005</v>
      </c>
      <c r="BJ12" s="898" t="n">
        <f aca="false">BJ10*BJ11</f>
        <v>12985.148</v>
      </c>
      <c r="BK12" s="898" t="n">
        <f aca="false">BK10*BK11</f>
        <v>12985.148</v>
      </c>
      <c r="BL12" s="898" t="n">
        <f aca="false">BL10*BL11</f>
        <v>330047.872</v>
      </c>
      <c r="BM12" s="898" t="n">
        <f aca="false">BM10*BM11</f>
        <v>330047.872</v>
      </c>
      <c r="BN12" s="898" t="n">
        <f aca="false">BN10*BN11</f>
        <v>35672.857</v>
      </c>
      <c r="BO12" s="898" t="n">
        <f aca="false">BO10*BO11</f>
        <v>3508.054</v>
      </c>
      <c r="BP12" s="898" t="n">
        <f aca="false">BP10*BP11</f>
        <v>14410</v>
      </c>
      <c r="BQ12" s="898" t="n">
        <f aca="false">BQ10*BQ11</f>
        <v>14410</v>
      </c>
      <c r="BR12" s="898" t="n">
        <f aca="false">BR10*BR11</f>
        <v>14410</v>
      </c>
      <c r="BS12" s="898" t="n">
        <f aca="false">BS10*BS11</f>
        <v>2640</v>
      </c>
      <c r="BT12" s="898" t="n">
        <f aca="false">BT10*BT11</f>
        <v>11770</v>
      </c>
      <c r="BU12" s="898" t="n">
        <f aca="false">BU10*BU11</f>
        <v>4749.8</v>
      </c>
      <c r="BV12" s="898" t="n">
        <f aca="false">BV10*BV11</f>
        <v>7196.805</v>
      </c>
      <c r="BW12" s="898" t="n">
        <f aca="false">BW10*BW11</f>
        <v>330898.392</v>
      </c>
      <c r="BX12" s="898" t="n">
        <f aca="false">BX10*BX11</f>
        <v>330898.392</v>
      </c>
      <c r="BY12" s="898" t="n">
        <f aca="false">BY10*BY11</f>
        <v>330898.392</v>
      </c>
      <c r="BZ12" s="898" t="n">
        <f aca="false">BZ10*BZ11</f>
        <v>330898.392</v>
      </c>
      <c r="CA12" s="898" t="n">
        <f aca="false">CA10*CA11</f>
        <v>8578.911</v>
      </c>
      <c r="CB12" s="898" t="n">
        <f aca="false">CB10*CB11</f>
        <v>8578.911</v>
      </c>
      <c r="CC12" s="898" t="n">
        <f aca="false">CC10*CC11</f>
        <v>322319.481</v>
      </c>
      <c r="CD12" s="898" t="n">
        <f aca="false">CD10*CD11</f>
        <v>322319.481</v>
      </c>
      <c r="CE12" s="898" t="n">
        <f aca="false">CE10*CE11</f>
        <v>322319.481</v>
      </c>
      <c r="CF12" s="898" t="n">
        <f aca="false">CF10*CF11</f>
        <v>295827.73</v>
      </c>
      <c r="CG12" s="898" t="n">
        <f aca="false">CG10*CG11</f>
        <v>343895.178</v>
      </c>
      <c r="CH12" s="898" t="n">
        <f aca="false">CH10*CH11</f>
        <v>22741.378</v>
      </c>
      <c r="CI12" s="898" t="n">
        <f aca="false">CI10*CI11</f>
        <v>25381.378</v>
      </c>
      <c r="CJ12" s="898" t="n">
        <f aca="false">CJ10*CJ11</f>
        <v>25381.378</v>
      </c>
      <c r="CK12" s="898" t="n">
        <f aca="false">CK10*CK11</f>
        <v>25381.378</v>
      </c>
      <c r="CL12" s="898" t="n">
        <f aca="false">CL10*CL11</f>
        <v>16700.222</v>
      </c>
      <c r="CM12" s="898" t="n">
        <f aca="false">CM10*CM11</f>
        <v>16700.222</v>
      </c>
      <c r="CN12" s="898" t="n">
        <f aca="false">CN10*CN11</f>
        <v>9555.104</v>
      </c>
      <c r="CO12" s="898" t="n">
        <f aca="false">CO10*CO11</f>
        <v>8615.134</v>
      </c>
      <c r="CP12" s="898" t="n">
        <f aca="false">CP10*CP11</f>
        <v>5238.244</v>
      </c>
      <c r="CQ12" s="898" t="n">
        <f aca="false">CQ10*CQ11</f>
        <v>3442.9166741497</v>
      </c>
      <c r="CR12" s="898" t="n">
        <f aca="false">CR10*CR11</f>
        <v>3442.9166741497</v>
      </c>
      <c r="CS12" s="898" t="n">
        <f aca="false">CS10*CS11</f>
        <v>3245</v>
      </c>
      <c r="CT12" s="898" t="n">
        <f aca="false">CT10*CT11</f>
        <v>3245</v>
      </c>
      <c r="CU12" s="898" t="n">
        <f aca="false">CU10*CU11</f>
        <v>29492.133</v>
      </c>
      <c r="CV12" s="898" t="n">
        <f aca="false">CV10*CV11</f>
        <v>29910.76</v>
      </c>
      <c r="CW12" s="898" t="n">
        <f aca="false">CW10*CW11</f>
        <v>7373.036</v>
      </c>
      <c r="CX12" s="898" t="n">
        <f aca="false">CX10*CX11</f>
        <v>22119.097</v>
      </c>
      <c r="CY12" s="898" t="n">
        <f aca="false">CY10*CY11</f>
        <v>418.638</v>
      </c>
      <c r="CZ12" s="898" t="n">
        <f aca="false">CZ10*CZ11</f>
        <v>295827.73</v>
      </c>
      <c r="DA12" s="898" t="n">
        <f aca="false">DA10*DA11</f>
        <v>295827.73</v>
      </c>
      <c r="DB12" s="898" t="n">
        <f aca="false">DB10*DB11</f>
        <v>71299.679</v>
      </c>
      <c r="DC12" s="898" t="n">
        <f aca="false">DC10*DC11</f>
        <v>71299.679</v>
      </c>
      <c r="DD12" s="898" t="n">
        <f aca="false">DD10*DD11</f>
        <v>71379.126</v>
      </c>
      <c r="DE12" s="898" t="n">
        <f aca="false">DE10*DE11</f>
        <v>71379.126</v>
      </c>
      <c r="DF12" s="898" t="n">
        <f aca="false">DF10*DF11</f>
        <v>66075.75</v>
      </c>
      <c r="DG12" s="898" t="n">
        <f aca="false">DG10*DG11</f>
        <v>4487.483</v>
      </c>
      <c r="DH12" s="898" t="n">
        <f aca="false">DH10*DH11</f>
        <v>4487.483</v>
      </c>
      <c r="DI12" s="898" t="n">
        <f aca="false">DI10*DI11</f>
        <v>4487.483</v>
      </c>
      <c r="DJ12" s="898" t="n">
        <f aca="false">DJ10*DJ11</f>
        <v>10901.946</v>
      </c>
      <c r="DK12" s="898" t="n">
        <f aca="false">DK10*DK11</f>
        <v>162500</v>
      </c>
      <c r="DL12" s="898" t="n">
        <f aca="false">DL10*DL11</f>
        <v>162500</v>
      </c>
      <c r="DM12" s="898" t="n">
        <f aca="false">DM10*DM11</f>
        <v>162500</v>
      </c>
      <c r="DN12" s="898" t="n">
        <f aca="false">DN10*DN11</f>
        <v>162500</v>
      </c>
      <c r="DO12" s="898" t="n">
        <f aca="false">DO10*DO11</f>
        <v>162500</v>
      </c>
      <c r="DP12" s="898" t="n">
        <f aca="false">DP10*DP11</f>
        <v>33641.762</v>
      </c>
      <c r="DQ12" s="898" t="n">
        <f aca="false">DQ10*DQ11</f>
        <v>33641.762</v>
      </c>
      <c r="DR12" s="898" t="n">
        <f aca="false">DR10*DR11</f>
        <v>4335.562</v>
      </c>
      <c r="DS12" s="898" t="n">
        <f aca="false">DS10*DS11</f>
        <v>29823.2</v>
      </c>
      <c r="DT12" s="898" t="n">
        <f aca="false">DT10*DT11</f>
        <v>29823.2</v>
      </c>
      <c r="DU12" s="898" t="n">
        <f aca="false">DU10*DU11</f>
        <v>29823.2</v>
      </c>
      <c r="DV12" s="898" t="n">
        <f aca="false">DV10*DV11</f>
        <v>4473.48</v>
      </c>
      <c r="DW12" s="898" t="n">
        <f aca="false">DW10*DW11</f>
        <v>4473.48</v>
      </c>
      <c r="DX12" s="898" t="n">
        <f aca="false">DX10*DX11</f>
        <v>660</v>
      </c>
      <c r="DY12" s="898" t="n">
        <f aca="false">DY10*DY11</f>
        <v>660</v>
      </c>
      <c r="DZ12" s="898" t="n">
        <f aca="false">DZ10*DZ11</f>
        <v>25349.72</v>
      </c>
      <c r="EA12" s="898" t="n">
        <f aca="false">EA10*EA11</f>
        <v>35672.857</v>
      </c>
      <c r="EB12" s="898" t="n">
        <f aca="false">EB10*EB11</f>
        <v>3671.217</v>
      </c>
      <c r="EC12" s="898" t="n">
        <f aca="false">EC10*EC11</f>
        <v>5736.885</v>
      </c>
      <c r="ED12" s="898" t="n">
        <f aca="false">ED10*ED11</f>
        <v>5736.885</v>
      </c>
      <c r="EE12" s="898" t="n">
        <f aca="false">EE10*EE11</f>
        <v>295827.73</v>
      </c>
      <c r="EF12" s="898" t="n">
        <f aca="false">EF10*EF11</f>
        <v>517</v>
      </c>
      <c r="EG12" s="898" t="n">
        <f aca="false">EG10*EG11</f>
        <v>9625</v>
      </c>
      <c r="EH12" s="898" t="n">
        <f aca="false">EH10*EH11</f>
        <v>25820.905</v>
      </c>
      <c r="EI12" s="898" t="n">
        <f aca="false">EI10*EI11</f>
        <v>4379.903</v>
      </c>
      <c r="EJ12" s="898" t="n">
        <f aca="false">EJ10*EJ11</f>
        <v>3539.173</v>
      </c>
      <c r="EK12" s="898" t="n">
        <f aca="false">EK10*EK11</f>
        <v>5257.902</v>
      </c>
      <c r="EL12" s="900" t="n">
        <f aca="false">EL10*EL11</f>
        <v>4448.994</v>
      </c>
      <c r="EM12" s="900" t="n">
        <f aca="false">EM10*EM11</f>
        <v>4448.994</v>
      </c>
      <c r="EN12" s="900" t="n">
        <f aca="false">EN10*EN11</f>
        <v>4448.994</v>
      </c>
      <c r="EO12" s="900" t="n">
        <f aca="false">EO10*EO11</f>
        <v>4448.994</v>
      </c>
      <c r="EP12" s="900" t="n">
        <f aca="false">EP10*EP11</f>
        <v>4448.994</v>
      </c>
      <c r="EQ12" s="900" t="n">
        <f aca="false">EQ10*EQ11</f>
        <v>4448.994</v>
      </c>
      <c r="ER12" s="900" t="n">
        <f aca="false">ER10*ER11</f>
        <v>4448.994</v>
      </c>
      <c r="ES12" s="900" t="n">
        <f aca="false">ES10*ES11</f>
        <v>4448.994</v>
      </c>
      <c r="ET12" s="898" t="n">
        <f aca="false">ET10*ET11</f>
        <v>7400.089</v>
      </c>
      <c r="EU12" s="900" t="n">
        <f aca="false">EU10*EU11</f>
        <v>909.821</v>
      </c>
      <c r="EV12" s="900" t="n">
        <f aca="false">EV10*EV11</f>
        <v>909.821</v>
      </c>
      <c r="EW12" s="900" t="n">
        <f aca="false">EW10*EW11</f>
        <v>909.821</v>
      </c>
      <c r="EX12" s="898" t="n">
        <f aca="false">EX10*EX11</f>
        <v>490.6</v>
      </c>
      <c r="EY12" s="898" t="n">
        <f aca="false">EY10*EY11</f>
        <v>180400</v>
      </c>
      <c r="EZ12" s="898" t="n">
        <f aca="false">EZ10*EZ11</f>
        <v>180400</v>
      </c>
      <c r="FA12" s="898" t="n">
        <f aca="false">FA10*FA11</f>
        <v>180400</v>
      </c>
      <c r="FB12" s="898" t="n">
        <f aca="false">FB10*FB11</f>
        <v>180400</v>
      </c>
      <c r="FC12" s="898" t="n">
        <f aca="false">FC10*FC11</f>
        <v>180400</v>
      </c>
      <c r="FD12" s="898" t="n">
        <f aca="false">FD10*FD11</f>
        <v>6677.946</v>
      </c>
      <c r="FE12" s="898" t="n">
        <f aca="false">FE10*FE11</f>
        <v>6675.207</v>
      </c>
      <c r="FF12" s="898" t="n">
        <f aca="false">FF10*FF11</f>
        <v>6675.207</v>
      </c>
      <c r="FG12" s="898" t="n">
        <f aca="false">FG10*FG11</f>
        <v>2.739</v>
      </c>
      <c r="FH12" s="898" t="n">
        <f aca="false">FH10*FH11</f>
        <v>2.739</v>
      </c>
      <c r="FI12" s="898" t="n">
        <f aca="false">FI10*FI11</f>
        <v>186433.236</v>
      </c>
      <c r="FJ12" s="898" t="n">
        <f aca="false">FJ10*FJ11</f>
        <v>186433.236</v>
      </c>
      <c r="FK12" s="898" t="n">
        <f aca="false">FK10*FK11</f>
        <v>186435.986</v>
      </c>
      <c r="FL12" s="898" t="n">
        <f aca="false">FL10*FL11</f>
        <v>19470</v>
      </c>
      <c r="FM12" s="898" t="n">
        <f aca="false">FM10*FM11</f>
        <v>33935</v>
      </c>
      <c r="FN12" s="898" t="n">
        <f aca="false">FN10*FN11</f>
        <v>33935</v>
      </c>
      <c r="FO12" s="898"/>
      <c r="FP12" s="901" t="n">
        <f aca="false">IF(FP10&lt;&gt;"",FP10*FP11,"")</f>
        <v>204870.892146913</v>
      </c>
      <c r="FQ12" s="901" t="n">
        <f aca="false">IF(FQ10&lt;&gt;"",FQ10*FQ11,"")</f>
        <v>326656.777579949</v>
      </c>
      <c r="FR12" s="901" t="n">
        <f aca="false">IF(FR10&lt;&gt;"",FR10*FR11,"")</f>
        <v>468412.293132865</v>
      </c>
      <c r="FS12" s="901" t="n">
        <f aca="false">IF(FS10&lt;&gt;"",FS10*FS11,"")</f>
        <v>8570.55186107347</v>
      </c>
      <c r="FT12" s="901" t="n">
        <f aca="false">IF(FT10&lt;&gt;"",FT10*FT11,"")</f>
        <v>20422.3899497487</v>
      </c>
      <c r="FU12" s="901" t="n">
        <f aca="false">IF(FU10&lt;&gt;"",FU10*FU11,"")</f>
        <v>397.968909308327</v>
      </c>
      <c r="FV12" s="901" t="n">
        <f aca="false">IF(FV10&lt;&gt;"",FV10*FV11,"")</f>
        <v>193157.05193747</v>
      </c>
      <c r="FW12" s="901" t="n">
        <f aca="false">IF(FW10&lt;&gt;"",FW10*FW11,"")</f>
        <v>17366.2635879218</v>
      </c>
      <c r="FX12" s="901" t="n">
        <f aca="false">IF(FX10&lt;&gt;"",FX10*FX11,"")</f>
        <v>244020.425410099</v>
      </c>
      <c r="FY12" s="901" t="n">
        <f aca="false">IF(FY10&lt;&gt;"",FY10*FY11,"")</f>
        <v>70012.5908939646</v>
      </c>
      <c r="FZ12" s="901" t="n">
        <f aca="false">IF(FZ10&lt;&gt;"",FZ10*FZ11,"")</f>
        <v>5472.79380026408</v>
      </c>
      <c r="GA12" s="901" t="n">
        <f aca="false">IF(GA10&lt;&gt;"",GA10*GA11,"")</f>
        <v>102358.974358974</v>
      </c>
      <c r="GB12" s="901" t="n">
        <f aca="false">IF(GB10&lt;&gt;"",GB10*GB11,"")</f>
        <v>21737.782976781</v>
      </c>
      <c r="GC12" s="901" t="n">
        <f aca="false">IF(GC10&lt;&gt;"",GC10*GC11,"")</f>
        <v>219797.876489707</v>
      </c>
      <c r="GD12" s="901" t="n">
        <f aca="false">IF(GD10&lt;&gt;"",GD10*GD11,"")</f>
        <v>85578.4357608287</v>
      </c>
      <c r="GE12" s="901" t="n">
        <f aca="false">IF(GE10&lt;&gt;"",GE10*GE11,"")</f>
        <v>15808.32</v>
      </c>
      <c r="GF12" s="901" t="n">
        <f aca="false">IF(GF10&lt;&gt;"",GF10*GF11,"")</f>
        <v>16118.2870588235</v>
      </c>
      <c r="GG12" s="901" t="n">
        <f aca="false">IF(GG10&lt;&gt;"",GG10*GG11,"")</f>
        <v>16189.7346534653</v>
      </c>
      <c r="GH12" s="901"/>
      <c r="GI12" s="898"/>
      <c r="GJ12" s="898"/>
      <c r="GK12" s="898"/>
      <c r="GL12" s="898"/>
      <c r="GM12" s="898"/>
      <c r="GN12" s="898"/>
      <c r="GO12" s="898"/>
      <c r="GP12" s="898"/>
      <c r="GQ12" s="898"/>
      <c r="GR12" s="898"/>
      <c r="GS12" s="898"/>
      <c r="GT12" s="898"/>
      <c r="GU12" s="898"/>
      <c r="GV12" s="898"/>
      <c r="GW12" s="898"/>
      <c r="GX12" s="898"/>
      <c r="GY12" s="898"/>
      <c r="GZ12" s="898"/>
      <c r="HA12" s="898"/>
      <c r="HB12" s="898"/>
      <c r="HC12" s="898"/>
      <c r="HD12" s="898"/>
      <c r="HE12" s="898"/>
      <c r="HF12" s="898"/>
      <c r="HG12" s="890"/>
      <c r="HH12" s="890"/>
      <c r="HI12" s="890"/>
      <c r="HJ12" s="890"/>
      <c r="HK12" s="890"/>
      <c r="HL12" s="890"/>
      <c r="HM12" s="890"/>
      <c r="HN12" s="890"/>
      <c r="HO12" s="890"/>
      <c r="HP12" s="890"/>
      <c r="HQ12" s="890"/>
      <c r="HR12" s="890"/>
      <c r="HS12" s="890"/>
      <c r="HT12" s="890"/>
      <c r="HU12" s="890"/>
      <c r="HV12" s="890"/>
      <c r="HW12" s="890"/>
      <c r="HX12" s="890"/>
      <c r="HY12" s="890"/>
      <c r="HZ12" s="890"/>
      <c r="IA12" s="890"/>
      <c r="IB12" s="890"/>
      <c r="IC12" s="890"/>
      <c r="ID12" s="890"/>
      <c r="IE12" s="890"/>
      <c r="IF12" s="890"/>
      <c r="IG12" s="890"/>
      <c r="IH12" s="890"/>
      <c r="II12" s="890"/>
      <c r="IJ12" s="890"/>
      <c r="IK12" s="890"/>
      <c r="IL12" s="890"/>
      <c r="IM12" s="890"/>
      <c r="IN12" s="890"/>
      <c r="IO12" s="890"/>
      <c r="IP12" s="890"/>
      <c r="IQ12" s="890"/>
      <c r="IR12" s="890"/>
      <c r="IS12" s="890"/>
      <c r="IT12" s="890"/>
      <c r="IU12" s="890"/>
      <c r="IV12" s="890"/>
      <c r="IW12" s="890"/>
      <c r="IX12" s="890"/>
      <c r="IY12" s="890"/>
      <c r="IZ12" s="890"/>
      <c r="JA12" s="890"/>
      <c r="JB12" s="890"/>
      <c r="JC12" s="890"/>
      <c r="JD12" s="890"/>
      <c r="JF12" s="890"/>
      <c r="JG12" s="890"/>
      <c r="JH12" s="890"/>
      <c r="JI12" s="890"/>
      <c r="JK12" s="890"/>
      <c r="JM12" s="890"/>
    </row>
    <row r="13" customFormat="false" ht="18.75" hidden="false" customHeight="false" outlineLevel="0" collapsed="false">
      <c r="A13" s="838" t="s">
        <v>1521</v>
      </c>
      <c r="B13" s="838" t="s">
        <v>1522</v>
      </c>
      <c r="C13" s="902" t="n">
        <f aca="false">IF(C9=1,HLOOKUP(C2,物流参数!$C$1:$GC$29,MATCH("VAP. DENSITY",物流参数!$A$1:$A$29,FALSE()),FALSE()),HLOOKUP(C2,物流参数!$C$1:$GC$29,MATCH("LIQUID DENSITY",物流参数!$A$1:$A$29,FALSE()),FALSE()))</f>
        <v>880.95</v>
      </c>
      <c r="D13" s="902" t="n">
        <f aca="false">IF(D9=1,HLOOKUP(D2,物流参数!$C$1:$GC$29,MATCH("VAP. DENSITY",物流参数!$A$1:$A$29,FALSE()),FALSE()),HLOOKUP(D2,物流参数!$C$1:$GC$29,MATCH("LIQUID DENSITY",物流参数!$A$1:$A$29,FALSE()),FALSE()))</f>
        <v>837.63</v>
      </c>
      <c r="E13" s="903" t="n">
        <f aca="false">IF(E9=1,HLOOKUP(E2,物流参数!$C$1:$GC$29,MATCH("VAP. DENSITY",物流参数!$A$1:$A$29,FALSE()),FALSE()),HLOOKUP(E2,物流参数!$C$1:$GC$29,MATCH("LIQUID DENSITY",物流参数!$A$1:$A$29,FALSE()),FALSE()))</f>
        <v>862.28</v>
      </c>
      <c r="F13" s="903" t="n">
        <f aca="false">IF(F9=1,HLOOKUP(F2,物流参数!$C$1:$GC$29,MATCH("VAP. DENSITY",物流参数!$A$1:$A$29,FALSE()),FALSE()),HLOOKUP(F2,物流参数!$C$1:$GC$29,MATCH("LIQUID DENSITY",物流参数!$A$1:$A$29,FALSE()),FALSE()))</f>
        <v>841.4</v>
      </c>
      <c r="G13" s="903" t="n">
        <f aca="false">IF(G9=1,HLOOKUP(G2,物流参数!$C$1:$GC$29,MATCH("VAP. DENSITY",物流参数!$A$1:$A$29,FALSE()),FALSE()),HLOOKUP(G2,物流参数!$C$1:$GC$29,MATCH("LIQUID DENSITY",物流参数!$A$1:$A$29,FALSE()),FALSE()))</f>
        <v>861.9</v>
      </c>
      <c r="H13" s="902" t="n">
        <f aca="false">IF(H9=1,HLOOKUP(H2,物流参数!$C$1:$GC$29,MATCH("VAP. DENSITY",物流参数!$A$1:$A$29,FALSE()),FALSE()),HLOOKUP(H2,物流参数!$C$1:$GC$29,MATCH("LIQUID DENSITY",物流参数!$A$1:$A$29,FALSE()),FALSE()))</f>
        <v>844.42</v>
      </c>
      <c r="I13" s="902" t="n">
        <f aca="false">IF(I9=1,HLOOKUP(I2,物流参数!$C$1:$GC$29,MATCH("VAP. DENSITY",物流参数!$A$1:$A$29,FALSE()),FALSE()),HLOOKUP(I2,物流参数!$C$1:$GC$29,MATCH("LIQUID DENSITY",物流参数!$A$1:$A$29,FALSE()),FALSE()))</f>
        <v>796.18</v>
      </c>
      <c r="J13" s="902" t="n">
        <f aca="false">IF(J9=1,HLOOKUP(J2,物流参数!$C$1:$GC$29,MATCH("VAP. DENSITY",物流参数!$A$1:$A$29,FALSE()),FALSE()),HLOOKUP(J2,物流参数!$C$1:$GC$29,MATCH("LIQUID DENSITY",物流参数!$A$1:$A$29,FALSE()),FALSE()))</f>
        <v>796.1</v>
      </c>
      <c r="K13" s="902" t="n">
        <f aca="false">IF(K9=1,HLOOKUP(K2,物流参数!$C$1:$GC$29,MATCH("VAP. DENSITY",物流参数!$A$1:$A$29,FALSE()),FALSE()),HLOOKUP(K2,物流参数!$C$1:$GC$29,MATCH("LIQUID DENSITY",物流参数!$A$1:$A$29,FALSE()),FALSE()))</f>
        <v>796.12</v>
      </c>
      <c r="L13" s="902" t="n">
        <f aca="false">IF(L9=1,HLOOKUP(L2,物流参数!$C$1:$GC$29,MATCH("VAP. DENSITY",物流参数!$A$1:$A$29,FALSE()),FALSE()),HLOOKUP(L2,物流参数!$C$1:$GC$29,MATCH("LIQUID DENSITY",物流参数!$A$1:$A$29,FALSE()),FALSE()))</f>
        <v>806.91</v>
      </c>
      <c r="M13" s="902" t="n">
        <f aca="false">IF(M9=1,HLOOKUP(M2,物流参数!$C$1:$GC$29,MATCH("VAP. DENSITY",物流参数!$A$1:$A$29,FALSE()),FALSE()),HLOOKUP(M2,物流参数!$C$1:$GC$29,MATCH("LIQUID DENSITY",物流参数!$A$1:$A$29,FALSE()),FALSE()))</f>
        <v>805.96</v>
      </c>
      <c r="N13" s="902" t="n">
        <f aca="false">IF(N9=1,HLOOKUP(N2,物流参数!$C$1:$GC$29,MATCH("VAP. DENSITY",物流参数!$A$1:$A$29,FALSE()),FALSE()),HLOOKUP(N2,物流参数!$C$1:$GC$29,MATCH("LIQUID DENSITY",物流参数!$A$1:$A$29,FALSE()),FALSE()))</f>
        <v>9.1</v>
      </c>
      <c r="O13" s="902" t="n">
        <f aca="false">IF(O9=1,HLOOKUP(O2,物流参数!$C$1:$GC$29,MATCH("VAP. DENSITY",物流参数!$A$1:$A$29,FALSE()),FALSE()),HLOOKUP(O2,物流参数!$C$1:$GC$29,MATCH("LIQUID DENSITY",物流参数!$A$1:$A$29,FALSE()),FALSE()))</f>
        <v>793.98</v>
      </c>
      <c r="P13" s="902" t="n">
        <f aca="false">IF(P9=1,HLOOKUP(P2,物流参数!$C$1:$GC$29,MATCH("VAP. DENSITY",物流参数!$A$1:$A$29,FALSE()),FALSE()),HLOOKUP(P2,物流参数!$C$1:$GC$29,MATCH("LIQUID DENSITY",物流参数!$A$1:$A$29,FALSE()),FALSE()))</f>
        <v>690.85</v>
      </c>
      <c r="Q13" s="902" t="n">
        <f aca="false">IF(Q9=1,HLOOKUP(Q2,物流参数!$C$1:$GC$29,MATCH("VAP. DENSITY",物流参数!$A$1:$A$29,FALSE()),FALSE()),HLOOKUP(Q2,物流参数!$C$1:$GC$29,MATCH("LIQUID DENSITY",物流参数!$A$1:$A$29,FALSE()),FALSE()))</f>
        <v>780.79</v>
      </c>
      <c r="R13" s="902" t="n">
        <f aca="false">IF(R9=1,HLOOKUP(R2,物流参数!$C$1:$GC$29,MATCH("VAP. DENSITY",物流参数!$A$1:$A$29,FALSE()),FALSE()),HLOOKUP(R2,物流参数!$C$1:$GC$29,MATCH("LIQUID DENSITY",物流参数!$A$1:$A$29,FALSE()),FALSE()))</f>
        <v>796.5</v>
      </c>
      <c r="S13" s="902" t="n">
        <f aca="false">IF(S9=1,HLOOKUP(S2,物流参数!$C$1:$GC$29,MATCH("VAP. DENSITY",物流参数!$A$1:$A$29,FALSE()),FALSE()),HLOOKUP(S2,物流参数!$C$1:$GC$29,MATCH("LIQUID DENSITY",物流参数!$A$1:$A$29,FALSE()),FALSE()))</f>
        <v>796.5</v>
      </c>
      <c r="T13" s="902" t="n">
        <f aca="false">IF(T9=1,HLOOKUP(T2,物流参数!$C$1:$GC$29,MATCH("VAP. DENSITY",物流参数!$A$1:$A$29,FALSE()),FALSE()),HLOOKUP(T2,物流参数!$C$1:$GC$29,MATCH("LIQUID DENSITY",物流参数!$A$1:$A$29,FALSE()),FALSE()))</f>
        <v>810.68</v>
      </c>
      <c r="U13" s="902" t="n">
        <f aca="false">IF(U9=1,HLOOKUP(U2,物流参数!$C$1:$GC$29,MATCH("VAP. DENSITY",物流参数!$A$1:$A$29,FALSE()),FALSE()),HLOOKUP(U2,物流参数!$C$1:$GC$29,MATCH("LIQUID DENSITY",物流参数!$A$1:$A$29,FALSE()),FALSE()))</f>
        <v>810.57</v>
      </c>
      <c r="V13" s="902" t="n">
        <f aca="false">IF(V9=1,HLOOKUP(V2,物流参数!$C$1:$GC$29,MATCH("VAP. DENSITY",物流参数!$A$1:$A$29,FALSE()),FALSE()),HLOOKUP(V2,物流参数!$C$1:$GC$29,MATCH("LIQUID DENSITY",物流参数!$A$1:$A$29,FALSE()),FALSE()))</f>
        <v>796.5</v>
      </c>
      <c r="W13" s="902" t="n">
        <v>844.42</v>
      </c>
      <c r="X13" s="902" t="n">
        <v>844.42</v>
      </c>
      <c r="Y13" s="902" t="n">
        <f aca="false">IF(Y9=1,HLOOKUP(Y2,物流参数!$C$1:$GC$29,MATCH("VAP. DENSITY",物流参数!$A$1:$A$29,FALSE()),FALSE()),HLOOKUP(Y2,物流参数!$C$1:$GC$29,MATCH("LIQUID DENSITY",物流参数!$A$1:$A$29,FALSE()),FALSE()))</f>
        <v>684.49</v>
      </c>
      <c r="Z13" s="902" t="n">
        <f aca="false">IF(Z9=1,HLOOKUP(Z2,物流参数!$C$1:$GC$29,MATCH("VAP. DENSITY",物流参数!$A$1:$A$29,FALSE()),FALSE()),HLOOKUP(Z2,物流参数!$C$1:$GC$29,MATCH("LIQUID DENSITY",物流参数!$A$1:$A$29,FALSE()),FALSE()))</f>
        <v>671.05</v>
      </c>
      <c r="AA13" s="902" t="n">
        <f aca="false">IF(AA9=1,HLOOKUP(AA2,物流参数!$C$1:$GC$29,MATCH("VAP. DENSITY",物流参数!$A$1:$A$29,FALSE()),FALSE()),HLOOKUP(AA2,物流参数!$C$1:$GC$29,MATCH("LIQUID DENSITY",物流参数!$A$1:$A$29,FALSE()),FALSE()))</f>
        <v>504.16</v>
      </c>
      <c r="AB13" s="902" t="n">
        <f aca="false">IF(AB9=1,HLOOKUP(AB2,物流参数!$C$1:$GC$29,MATCH("VAP. DENSITY",物流参数!$A$1:$A$29,FALSE()),FALSE()),HLOOKUP(AB2,物流参数!$C$1:$GC$29,MATCH("LIQUID DENSITY",物流参数!$A$1:$A$29,FALSE()),FALSE()))</f>
        <v>504.42</v>
      </c>
      <c r="AC13" s="902" t="n">
        <f aca="false">IF(AC9=1,HLOOKUP(AC2,物流参数!$C$1:$GC$29,MATCH("VAP. DENSITY",物流参数!$A$1:$A$29,FALSE()),FALSE()),HLOOKUP(AC2,物流参数!$C$1:$GC$29,MATCH("LIQUID DENSITY",物流参数!$A$1:$A$29,FALSE()),FALSE()))</f>
        <v>507.54</v>
      </c>
      <c r="AD13" s="902" t="n">
        <f aca="false">IF(AD9=1,HLOOKUP(AD2,物流参数!$C$1:$GC$29,MATCH("VAP. DENSITY",物流参数!$A$1:$A$29,FALSE()),FALSE()),HLOOKUP(AD2,物流参数!$C$1:$GC$29,MATCH("LIQUID DENSITY",物流参数!$A$1:$A$29,FALSE()),FALSE()))</f>
        <v>552.19</v>
      </c>
      <c r="AE13" s="902" t="n">
        <f aca="false">IF(AE9=1,HLOOKUP(AE2,物流参数!$C$1:$GC$29,MATCH("VAP. DENSITY",物流参数!$A$1:$A$29,FALSE()),FALSE()),HLOOKUP(AE2,物流参数!$C$1:$GC$29,MATCH("LIQUID DENSITY",物流参数!$A$1:$A$29,FALSE()),FALSE()))</f>
        <v>550.25</v>
      </c>
      <c r="AF13" s="902" t="n">
        <f aca="false">IF(AF9=1,HLOOKUP(AF2,物流参数!$C$1:$GC$29,MATCH("VAP. DENSITY",物流参数!$A$1:$A$29,FALSE()),FALSE()),HLOOKUP(AF2,物流参数!$C$1:$GC$29,MATCH("LIQUID DENSITY",物流参数!$A$1:$A$29,FALSE()),FALSE()))</f>
        <v>8.7</v>
      </c>
      <c r="AG13" s="902" t="n">
        <f aca="false">IF(AG9=1,HLOOKUP(AG2,物流参数!$C$1:$GC$29,MATCH("VAP. DENSITY",物流参数!$A$1:$A$29,FALSE()),FALSE()),HLOOKUP(AG2,物流参数!$C$1:$GC$29,MATCH("LIQUID DENSITY",物流参数!$A$1:$A$29,FALSE()),FALSE()))</f>
        <v>8.6</v>
      </c>
      <c r="AH13" s="902" t="n">
        <f aca="false">IF(AH9=1,HLOOKUP(AH2,物流参数!$C$1:$GC$29,MATCH("VAP. DENSITY",物流参数!$A$1:$A$29,FALSE()),FALSE()),HLOOKUP(AH2,物流参数!$C$1:$GC$29,MATCH("LIQUID DENSITY",物流参数!$A$1:$A$29,FALSE()),FALSE()))</f>
        <v>8.6</v>
      </c>
      <c r="AI13" s="902" t="n">
        <f aca="false">IF(AI9=1,HLOOKUP(AI2,物流参数!$C$1:$GC$29,MATCH("VAP. DENSITY",物流参数!$A$1:$A$29,FALSE()),FALSE()),HLOOKUP(AI2,物流参数!$C$1:$GC$29,MATCH("LIQUID DENSITY",物流参数!$A$1:$A$29,FALSE()),FALSE()))</f>
        <v>8.5</v>
      </c>
      <c r="AJ13" s="902" t="n">
        <f aca="false">IF(AJ9=1,HLOOKUP(AJ2,物流参数!$C$1:$GC$29,MATCH("VAP. DENSITY",物流参数!$A$1:$A$29,FALSE()),FALSE()),HLOOKUP(AJ2,物流参数!$C$1:$GC$29,MATCH("LIQUID DENSITY",物流参数!$A$1:$A$29,FALSE()),FALSE()))</f>
        <v>8.5</v>
      </c>
      <c r="AK13" s="902" t="n">
        <f aca="false">IF(AK9=1,HLOOKUP(AK2,物流参数!$C$1:$GC$29,MATCH("VAP. DENSITY",物流参数!$A$1:$A$29,FALSE()),FALSE()),HLOOKUP(AK2,物流参数!$C$1:$GC$29,MATCH("LIQUID DENSITY",物流参数!$A$1:$A$29,FALSE()),FALSE()))</f>
        <v>41.5</v>
      </c>
      <c r="AL13" s="902" t="n">
        <f aca="false">IF(AL9=1,HLOOKUP(AL2,物流参数!$C$1:$GC$29,MATCH("VAP. DENSITY",物流参数!$A$1:$A$29,FALSE()),FALSE()),HLOOKUP(AL2,物流参数!$C$1:$GC$29,MATCH("LIQUID DENSITY",物流参数!$A$1:$A$29,FALSE()),FALSE()))</f>
        <v>46.7</v>
      </c>
      <c r="AM13" s="902" t="n">
        <f aca="false">IF(AM9=1,HLOOKUP(AM2,物流参数!$C$1:$GC$29,MATCH("VAP. DENSITY",物流参数!$A$1:$A$29,FALSE()),FALSE()),HLOOKUP(AM2,物流参数!$C$1:$GC$29,MATCH("LIQUID DENSITY",物流参数!$A$1:$A$29,FALSE()),FALSE()))</f>
        <v>52.6</v>
      </c>
      <c r="AN13" s="902" t="n">
        <f aca="false">IF(AN9=1,HLOOKUP(AN2,物流参数!$C$1:$GC$29,MATCH("VAP. DENSITY",物流参数!$A$1:$A$29,FALSE()),FALSE()),HLOOKUP(AN2,物流参数!$C$1:$GC$29,MATCH("LIQUID DENSITY",物流参数!$A$1:$A$29,FALSE()),FALSE()))</f>
        <v>58.9</v>
      </c>
      <c r="AO13" s="902" t="n">
        <f aca="false">IF(AO9=1,HLOOKUP(AO2,物流参数!$C$1:$GC$29,MATCH("VAP. DENSITY",物流参数!$A$1:$A$29,FALSE()),FALSE()),HLOOKUP(AO2,物流参数!$C$1:$GC$29,MATCH("LIQUID DENSITY",物流参数!$A$1:$A$29,FALSE()),FALSE()))</f>
        <v>63.5</v>
      </c>
      <c r="AP13" s="902" t="n">
        <f aca="false">IF(AP9=1,HLOOKUP(AP2,物流参数!$C$1:$GC$29,MATCH("VAP. DENSITY",物流参数!$A$1:$A$29,FALSE()),FALSE()),HLOOKUP(AP2,物流参数!$C$1:$GC$29,MATCH("LIQUID DENSITY",物流参数!$A$1:$A$29,FALSE()),FALSE()))</f>
        <v>12</v>
      </c>
      <c r="AQ13" s="902" t="n">
        <f aca="false">IF(AQ9=1,HLOOKUP(AQ2,物流参数!$C$1:$GC$29,MATCH("VAP. DENSITY",物流参数!$A$1:$A$29,FALSE()),FALSE()),HLOOKUP(AQ2,物流参数!$C$1:$GC$29,MATCH("LIQUID DENSITY",物流参数!$A$1:$A$29,FALSE()),FALSE()))</f>
        <v>504.32</v>
      </c>
      <c r="AR13" s="902" t="n">
        <f aca="false">IF(AR9=1,HLOOKUP(AR2,物流参数!$C$1:$GC$29,MATCH("VAP. DENSITY",物流参数!$A$1:$A$29,FALSE()),FALSE()),HLOOKUP(AR2,物流参数!$C$1:$GC$29,MATCH("LIQUID DENSITY",物流参数!$A$1:$A$29,FALSE()),FALSE()))</f>
        <v>611.62</v>
      </c>
      <c r="AS13" s="902" t="n">
        <f aca="false">IF(AS9=1,HLOOKUP(AS2,物流参数!$C$1:$GC$29,MATCH("VAP. DENSITY",物流参数!$A$1:$A$29,FALSE()),FALSE()),HLOOKUP(AS2,物流参数!$C$1:$GC$29,MATCH("LIQUID DENSITY",物流参数!$A$1:$A$29,FALSE()),FALSE()))</f>
        <v>611.71</v>
      </c>
      <c r="AT13" s="902" t="n">
        <f aca="false">IF(AT9=1,HLOOKUP(AT2,物流参数!$C$1:$GC$29,MATCH("VAP. DENSITY",物流参数!$A$1:$A$29,FALSE()),FALSE()),HLOOKUP(AT2,物流参数!$C$1:$GC$29,MATCH("LIQUID DENSITY",物流参数!$A$1:$A$29,FALSE()),FALSE()))</f>
        <v>658.27</v>
      </c>
      <c r="AU13" s="902" t="n">
        <f aca="false">IF(AU9=1,HLOOKUP(AU2,物流参数!$C$1:$GC$29,MATCH("VAP. DENSITY",物流参数!$A$1:$A$29,FALSE()),FALSE()),HLOOKUP(AU2,物流参数!$C$1:$GC$29,MATCH("LIQUID DENSITY",物流参数!$A$1:$A$29,FALSE()),FALSE()))</f>
        <v>5.6</v>
      </c>
      <c r="AV13" s="902" t="n">
        <f aca="false">IF(AV9=1,HLOOKUP(AV2,物流参数!$C$1:$GC$29,MATCH("VAP. DENSITY",物流参数!$A$1:$A$29,FALSE()),FALSE()),HLOOKUP(AV2,物流参数!$C$1:$GC$29,MATCH("LIQUID DENSITY",物流参数!$A$1:$A$29,FALSE()),FALSE()))</f>
        <v>2</v>
      </c>
      <c r="AW13" s="902" t="n">
        <f aca="false">IF(AW9=1,HLOOKUP(AW2,物流参数!$C$1:$GC$29,MATCH("VAP. DENSITY",物流参数!$A$1:$A$29,FALSE()),FALSE()),HLOOKUP(AW2,物流参数!$C$1:$GC$29,MATCH("LIQUID DENSITY",物流参数!$A$1:$A$29,FALSE()),FALSE()))</f>
        <v>1.9</v>
      </c>
      <c r="AX13" s="902" t="n">
        <f aca="false">IF(AX9=1,HLOOKUP(AX2,物流参数!$C$1:$GC$29,MATCH("VAP. DENSITY",物流参数!$A$1:$A$29,FALSE()),FALSE()),HLOOKUP(AX2,物流参数!$C$1:$GC$29,MATCH("LIQUID DENSITY",物流参数!$A$1:$A$29,FALSE()),FALSE()))</f>
        <v>915.82</v>
      </c>
      <c r="AY13" s="902" t="n">
        <f aca="false">IF(AY9=1,HLOOKUP(AY2,物流参数!$C$1:$GC$29,MATCH("VAP. DENSITY",物流参数!$A$1:$A$29,FALSE()),FALSE()),HLOOKUP(AY2,物流参数!$C$1:$GC$29,MATCH("LIQUID DENSITY",物流参数!$A$1:$A$29,FALSE()),FALSE()))</f>
        <v>17.4</v>
      </c>
      <c r="AZ13" s="902" t="n">
        <f aca="false">IF(AZ9=1,HLOOKUP(AZ2,物流参数!$C$1:$GC$29,MATCH("VAP. DENSITY",物流参数!$A$1:$A$29,FALSE()),FALSE()),HLOOKUP(AZ2,物流参数!$C$1:$GC$29,MATCH("LIQUID DENSITY",物流参数!$A$1:$A$29,FALSE()),FALSE()))</f>
        <v>17.3</v>
      </c>
      <c r="BA13" s="902" t="n">
        <f aca="false">IF(BA9=1,HLOOKUP(BA2,物流参数!$C$1:$GC$29,MATCH("VAP. DENSITY",物流参数!$A$1:$A$29,FALSE()),FALSE()),HLOOKUP(BA2,物流参数!$C$1:$GC$29,MATCH("LIQUID DENSITY",物流参数!$A$1:$A$29,FALSE()),FALSE()))</f>
        <v>684.78</v>
      </c>
      <c r="BB13" s="902" t="n">
        <f aca="false">IF(BB9=1,HLOOKUP(BB2,物流参数!$C$1:$GC$29,MATCH("VAP. DENSITY",物流参数!$A$1:$A$29,FALSE()),FALSE()),HLOOKUP(BB2,物流参数!$C$1:$GC$29,MATCH("LIQUID DENSITY",物流参数!$A$1:$A$29,FALSE()),FALSE()))</f>
        <v>866.02</v>
      </c>
      <c r="BC13" s="902" t="n">
        <f aca="false">IF(BC9=1,HLOOKUP(BC2,物流参数!$C$1:$GC$29,MATCH("VAP. DENSITY",物流参数!$A$1:$A$29,FALSE()),FALSE()),HLOOKUP(BC2,物流参数!$C$1:$GC$29,MATCH("LIQUID DENSITY",物流参数!$A$1:$A$29,FALSE()),FALSE()))</f>
        <v>876.08</v>
      </c>
      <c r="BD13" s="902" t="n">
        <f aca="false">IF(BD9=1,HLOOKUP(BD2,物流参数!$C$1:$GC$29,MATCH("VAP. DENSITY",物流参数!$A$1:$A$29,FALSE()),FALSE()),HLOOKUP(BD2,物流参数!$C$1:$GC$29,MATCH("LIQUID DENSITY",物流参数!$A$1:$A$29,FALSE()),FALSE()))</f>
        <v>884.36</v>
      </c>
      <c r="BE13" s="902" t="n">
        <f aca="false">IF(BE9=1,HLOOKUP(BE2,物流参数!$C$1:$GC$29,MATCH("VAP. DENSITY",物流参数!$A$1:$A$29,FALSE()),FALSE()),HLOOKUP(BE2,物流参数!$C$1:$GC$29,MATCH("LIQUID DENSITY",物流参数!$A$1:$A$29,FALSE()),FALSE()))</f>
        <v>885.03</v>
      </c>
      <c r="BF13" s="902" t="n">
        <f aca="false">IF(BF9=1,HLOOKUP(BF2,物流参数!$C$1:$GC$29,MATCH("VAP. DENSITY",物流参数!$A$1:$A$29,FALSE()),FALSE()),HLOOKUP(BF2,物流参数!$C$1:$GC$29,MATCH("LIQUID DENSITY",物流参数!$A$1:$A$29,FALSE()),FALSE()))</f>
        <v>981.69</v>
      </c>
      <c r="BG13" s="902" t="n">
        <f aca="false">IF(BG9=1,HLOOKUP(BG2,物流参数!$C$1:$GC$29,MATCH("VAP. DENSITY",物流参数!$A$1:$A$29,FALSE()),FALSE()),HLOOKUP(BG2,物流参数!$C$1:$GC$29,MATCH("LIQUID DENSITY",物流参数!$A$1:$A$29,FALSE()),FALSE()))</f>
        <v>982.03</v>
      </c>
      <c r="BH13" s="902" t="n">
        <f aca="false">IF(BH9=1,HLOOKUP(BH2,物流参数!$C$1:$GC$29,MATCH("VAP. DENSITY",物流参数!$A$1:$A$29,FALSE()),FALSE()),HLOOKUP(BH2,物流参数!$C$1:$GC$29,MATCH("LIQUID DENSITY",物流参数!$A$1:$A$29,FALSE()),FALSE()))</f>
        <v>713.58</v>
      </c>
      <c r="BI13" s="902" t="n">
        <f aca="false">IF(BI9=1,HLOOKUP(BI2,物流参数!$C$1:$GC$29,MATCH("VAP. DENSITY",物流参数!$A$1:$A$29,FALSE()),FALSE()),HLOOKUP(BI2,物流参数!$C$1:$GC$29,MATCH("LIQUID DENSITY",物流参数!$A$1:$A$29,FALSE()),FALSE()))</f>
        <v>597.33</v>
      </c>
      <c r="BJ13" s="902" t="n">
        <f aca="false">IF(BJ9=1,HLOOKUP(BJ2,物流参数!$C$1:$GC$29,MATCH("VAP. DENSITY",物流参数!$A$1:$A$29,FALSE()),FALSE()),HLOOKUP(BJ2,物流参数!$C$1:$GC$29,MATCH("LIQUID DENSITY",物流参数!$A$1:$A$29,FALSE()),FALSE()))</f>
        <v>15.6</v>
      </c>
      <c r="BK13" s="902" t="n">
        <f aca="false">IF(BK9=1,HLOOKUP(BK2,物流参数!$C$1:$GC$29,MATCH("VAP. DENSITY",物流参数!$A$1:$A$29,FALSE()),FALSE()),HLOOKUP(BK2,物流参数!$C$1:$GC$29,MATCH("LIQUID DENSITY",物流参数!$A$1:$A$29,FALSE()),FALSE()))</f>
        <v>15.5</v>
      </c>
      <c r="BL13" s="902" t="n">
        <f aca="false">IF(BL9=1,HLOOKUP(BL2,物流参数!$C$1:$GC$29,MATCH("VAP. DENSITY",物流参数!$A$1:$A$29,FALSE()),FALSE()),HLOOKUP(BL2,物流参数!$C$1:$GC$29,MATCH("LIQUID DENSITY",物流参数!$A$1:$A$29,FALSE()),FALSE()))</f>
        <v>658.27</v>
      </c>
      <c r="BM13" s="902" t="n">
        <f aca="false">IF(BM9=1,HLOOKUP(BM2,物流参数!$C$1:$GC$29,MATCH("VAP. DENSITY",物流参数!$A$1:$A$29,FALSE()),FALSE()),HLOOKUP(BM2,物流参数!$C$1:$GC$29,MATCH("LIQUID DENSITY",物流参数!$A$1:$A$29,FALSE()),FALSE()))</f>
        <v>666.44</v>
      </c>
      <c r="BN13" s="902" t="n">
        <f aca="false">IF(BN9=1,HLOOKUP(BN2,物流参数!$C$1:$GC$29,MATCH("VAP. DENSITY",物流参数!$A$1:$A$29,FALSE()),FALSE()),HLOOKUP(BN2,物流参数!$C$1:$GC$29,MATCH("LIQUID DENSITY",物流参数!$A$1:$A$29,FALSE()),FALSE()))</f>
        <v>956.14</v>
      </c>
      <c r="BO13" s="902" t="n">
        <f aca="false">IF(BO9=1,HLOOKUP(BO2,物流参数!$C$1:$GC$29,MATCH("VAP. DENSITY",物流参数!$A$1:$A$29,FALSE()),FALSE()),HLOOKUP(BO2,物流参数!$C$1:$GC$29,MATCH("LIQUID DENSITY",物流参数!$A$1:$A$29,FALSE()),FALSE()))</f>
        <v>945.65</v>
      </c>
      <c r="BP13" s="902" t="n">
        <f aca="false">IF(BP9=1,HLOOKUP(BP2,物流参数!$C$1:$GC$29,MATCH("VAP. DENSITY",物流参数!$A$1:$A$29,FALSE()),FALSE()),HLOOKUP(BP2,物流参数!$C$1:$GC$29,MATCH("LIQUID DENSITY",物流参数!$A$1:$A$29,FALSE()),FALSE()))</f>
        <v>951.87</v>
      </c>
      <c r="BQ13" s="902" t="n">
        <f aca="false">IF(BQ9=1,HLOOKUP(BQ2,物流参数!$C$1:$GC$29,MATCH("VAP. DENSITY",物流参数!$A$1:$A$29,FALSE()),FALSE()),HLOOKUP(BQ2,物流参数!$C$1:$GC$29,MATCH("LIQUID DENSITY",物流参数!$A$1:$A$29,FALSE()),FALSE()))</f>
        <v>951.87</v>
      </c>
      <c r="BR13" s="902" t="n">
        <f aca="false">IF(BR9=1,HLOOKUP(BR2,物流参数!$C$1:$GC$29,MATCH("VAP. DENSITY",物流参数!$A$1:$A$29,FALSE()),FALSE()),HLOOKUP(BR2,物流参数!$C$1:$GC$29,MATCH("LIQUID DENSITY",物流参数!$A$1:$A$29,FALSE()),FALSE()))</f>
        <v>952.44</v>
      </c>
      <c r="BS13" s="902" t="n">
        <f aca="false">IF(BS9=1,HLOOKUP(BS2,物流参数!$C$1:$GC$29,MATCH("VAP. DENSITY",物流参数!$A$1:$A$29,FALSE()),FALSE()),HLOOKUP(BS2,物流参数!$C$1:$GC$29,MATCH("LIQUID DENSITY",物流参数!$A$1:$A$29,FALSE()),FALSE()))</f>
        <v>951.28</v>
      </c>
      <c r="BT13" s="902" t="n">
        <f aca="false">IF(BT9=1,HLOOKUP(BT2,物流参数!$C$1:$GC$29,MATCH("VAP. DENSITY",物流参数!$A$1:$A$29,FALSE()),FALSE()),HLOOKUP(BT2,物流参数!$C$1:$GC$29,MATCH("LIQUID DENSITY",物流参数!$A$1:$A$29,FALSE()),FALSE()))</f>
        <v>952.37</v>
      </c>
      <c r="BU13" s="902" t="n">
        <f aca="false">IF(BU9=1,HLOOKUP(BU2,物流参数!$C$1:$GC$29,MATCH("VAP. DENSITY",物流参数!$A$1:$A$29,FALSE()),FALSE()),HLOOKUP(BU2,物流参数!$C$1:$GC$29,MATCH("LIQUID DENSITY",物流参数!$A$1:$A$29,FALSE()),FALSE()))</f>
        <v>11</v>
      </c>
      <c r="BV13" s="902" t="n">
        <f aca="false">IF(BV9=1,HLOOKUP(BV2,物流参数!$C$1:$GC$29,MATCH("VAP. DENSITY",物流参数!$A$1:$A$29,FALSE()),FALSE()),HLOOKUP(BV2,物流参数!$C$1:$GC$29,MATCH("LIQUID DENSITY",物流参数!$A$1:$A$29,FALSE()),FALSE()))</f>
        <v>625.81</v>
      </c>
      <c r="BW13" s="902" t="n">
        <f aca="false">IF(BW9=1,HLOOKUP(BW2,物流参数!$C$1:$GC$29,MATCH("VAP. DENSITY",物流参数!$A$1:$A$29,FALSE()),FALSE()),HLOOKUP(BW2,物流参数!$C$1:$GC$29,MATCH("LIQUID DENSITY",物流参数!$A$1:$A$29,FALSE()),FALSE()))</f>
        <v>672.14</v>
      </c>
      <c r="BX13" s="902" t="n">
        <f aca="false">IF(BX9=1,HLOOKUP(BX2,物流参数!$C$1:$GC$29,MATCH("VAP. DENSITY",物流参数!$A$1:$A$29,FALSE()),FALSE()),HLOOKUP(BX2,物流参数!$C$1:$GC$29,MATCH("LIQUID DENSITY",物流参数!$A$1:$A$29,FALSE()),FALSE()))</f>
        <v>674.5</v>
      </c>
      <c r="BY13" s="902" t="n">
        <f aca="false">IF(BY9=1,HLOOKUP(BY2,物流参数!$C$1:$GC$29,MATCH("VAP. DENSITY",物流参数!$A$1:$A$29,FALSE()),FALSE()),HLOOKUP(BY2,物流参数!$C$1:$GC$29,MATCH("LIQUID DENSITY",物流参数!$A$1:$A$29,FALSE()),FALSE()))</f>
        <v>651.88</v>
      </c>
      <c r="BZ13" s="902" t="n">
        <f aca="false">IF(BZ9=1,HLOOKUP(BZ2,物流参数!$C$1:$GC$29,MATCH("VAP. DENSITY",物流参数!$A$1:$A$29,FALSE()),FALSE()),HLOOKUP(BZ2,物流参数!$C$1:$GC$29,MATCH("LIQUID DENSITY",物流参数!$A$1:$A$29,FALSE()),FALSE()))</f>
        <v>632.75</v>
      </c>
      <c r="CA13" s="902" t="n">
        <f aca="false">IF(CA9=1,HLOOKUP(CA2,物流参数!$C$1:$GC$29,MATCH("VAP. DENSITY",物流参数!$A$1:$A$29,FALSE()),FALSE()),HLOOKUP(CA2,物流参数!$C$1:$GC$29,MATCH("LIQUID DENSITY",物流参数!$A$1:$A$29,FALSE()),FALSE()))</f>
        <v>6.2</v>
      </c>
      <c r="CB13" s="902" t="n">
        <f aca="false">IF(CB9=1,HLOOKUP(CB2,物流参数!$C$1:$GC$29,MATCH("VAP. DENSITY",物流参数!$A$1:$A$29,FALSE()),FALSE()),HLOOKUP(CB2,物流参数!$C$1:$GC$29,MATCH("LIQUID DENSITY",物流参数!$A$1:$A$29,FALSE()),FALSE()))</f>
        <v>3.7</v>
      </c>
      <c r="CC13" s="902" t="n">
        <f aca="false">IF(CC9=1,HLOOKUP(CC2,物流参数!$C$1:$GC$29,MATCH("VAP. DENSITY",物流参数!$A$1:$A$29,FALSE()),FALSE()),HLOOKUP(CC2,物流参数!$C$1:$GC$29,MATCH("LIQUID DENSITY",物流参数!$A$1:$A$29,FALSE()),FALSE()))</f>
        <v>632.75</v>
      </c>
      <c r="CD13" s="902" t="n">
        <f aca="false">IF(CD9=1,HLOOKUP(CD2,物流参数!$C$1:$GC$29,MATCH("VAP. DENSITY",物流参数!$A$1:$A$29,FALSE()),FALSE()),HLOOKUP(CD2,物流参数!$C$1:$GC$29,MATCH("LIQUID DENSITY",物流参数!$A$1:$A$29,FALSE()),FALSE()))</f>
        <v>633.2</v>
      </c>
      <c r="CE13" s="902" t="n">
        <f aca="false">IF(CE9=1,HLOOKUP(CE2,物流参数!$C$1:$GC$29,MATCH("VAP. DENSITY",物流参数!$A$1:$A$29,FALSE()),FALSE()),HLOOKUP(CE2,物流参数!$C$1:$GC$29,MATCH("LIQUID DENSITY",物流参数!$A$1:$A$29,FALSE()),FALSE()))</f>
        <v>613.66</v>
      </c>
      <c r="CF13" s="902" t="n">
        <f aca="false">IF(CF9=1,HLOOKUP(CF2,物流参数!$C$1:$GC$29,MATCH("VAP. DENSITY",物流参数!$A$1:$A$29,FALSE()),FALSE()),HLOOKUP(CF2,物流参数!$C$1:$GC$29,MATCH("LIQUID DENSITY",物流参数!$A$1:$A$29,FALSE()),FALSE()))</f>
        <v>676.74</v>
      </c>
      <c r="CG13" s="902" t="n">
        <f aca="false">IF(CG9=1,HLOOKUP(CG2,物流参数!$C$1:$GC$29,MATCH("VAP. DENSITY",物流参数!$A$1:$A$29,FALSE()),FALSE()),HLOOKUP(CG2,物流参数!$C$1:$GC$29,MATCH("LIQUID DENSITY",物流参数!$A$1:$A$29,FALSE()),FALSE()))</f>
        <v>519.37</v>
      </c>
      <c r="CH13" s="902" t="n">
        <f aca="false">IF(CH9=1,HLOOKUP(CH2,物流参数!$C$1:$GC$29,MATCH("VAP. DENSITY",物流参数!$A$1:$A$29,FALSE()),FALSE()),HLOOKUP(CH2,物流参数!$C$1:$GC$29,MATCH("LIQUID DENSITY",物流参数!$A$1:$A$29,FALSE()),FALSE()))</f>
        <v>17.1</v>
      </c>
      <c r="CI13" s="902" t="n">
        <f aca="false">IF(CI9=1,HLOOKUP(CI2,物流参数!$C$1:$GC$29,MATCH("VAP. DENSITY",物流参数!$A$1:$A$29,FALSE()),FALSE()),HLOOKUP(CI2,物流参数!$C$1:$GC$29,MATCH("LIQUID DENSITY",物流参数!$A$1:$A$29,FALSE()),FALSE()))</f>
        <v>704.93</v>
      </c>
      <c r="CJ13" s="902" t="n">
        <f aca="false">IF(CJ9=1,HLOOKUP(CJ2,物流参数!$C$1:$GC$29,MATCH("VAP. DENSITY",物流参数!$A$1:$A$29,FALSE()),FALSE()),HLOOKUP(CJ2,物流参数!$C$1:$GC$29,MATCH("LIQUID DENSITY",物流参数!$A$1:$A$29,FALSE()),FALSE()))</f>
        <v>724.67</v>
      </c>
      <c r="CK13" s="902" t="n">
        <f aca="false">IF(CK9=1,HLOOKUP(CK2,物流参数!$C$1:$GC$29,MATCH("VAP. DENSITY",物流参数!$A$1:$A$29,FALSE()),FALSE()),HLOOKUP(CK2,物流参数!$C$1:$GC$29,MATCH("LIQUID DENSITY",物流参数!$A$1:$A$29,FALSE()),FALSE()))</f>
        <v>737.51</v>
      </c>
      <c r="CL13" s="902" t="n">
        <f aca="false">IF(CL9=1,HLOOKUP(CL2,物流参数!$C$1:$GC$29,MATCH("VAP. DENSITY",物流参数!$A$1:$A$29,FALSE()),FALSE()),HLOOKUP(CL2,物流参数!$C$1:$GC$29,MATCH("LIQUID DENSITY",物流参数!$A$1:$A$29,FALSE()),FALSE()))</f>
        <v>683.77</v>
      </c>
      <c r="CM13" s="902" t="n">
        <f aca="false">IF(CM9=1,HLOOKUP(CM2,物流参数!$C$1:$GC$29,MATCH("VAP. DENSITY",物流参数!$A$1:$A$29,FALSE()),FALSE()),HLOOKUP(CM2,物流参数!$C$1:$GC$29,MATCH("LIQUID DENSITY",物流参数!$A$1:$A$29,FALSE()),FALSE()))</f>
        <v>684.03</v>
      </c>
      <c r="CN13" s="902" t="n">
        <f aca="false">IF(CN9=1,HLOOKUP(CN2,物流参数!$C$1:$GC$29,MATCH("VAP. DENSITY",物流参数!$A$1:$A$29,FALSE()),FALSE()),HLOOKUP(CN2,物流参数!$C$1:$GC$29,MATCH("LIQUID DENSITY",物流参数!$A$1:$A$29,FALSE()),FALSE()))</f>
        <v>683.42</v>
      </c>
      <c r="CO13" s="902" t="n">
        <f aca="false">IF(CO9=1,HLOOKUP(CO2,物流参数!$C$1:$GC$29,MATCH("VAP. DENSITY",物流参数!$A$1:$A$29,FALSE()),FALSE()),HLOOKUP(CO2,物流参数!$C$1:$GC$29,MATCH("LIQUID DENSITY",物流参数!$A$1:$A$29,FALSE()),FALSE()))</f>
        <v>683.31</v>
      </c>
      <c r="CP13" s="902" t="n">
        <f aca="false">IF(CP9=1,HLOOKUP(CP2,物流参数!$C$1:$GC$29,MATCH("VAP. DENSITY",物流参数!$A$1:$A$29,FALSE()),FALSE()),HLOOKUP(CP2,物流参数!$C$1:$GC$29,MATCH("LIQUID DENSITY",物流参数!$A$1:$A$29,FALSE()),FALSE()))</f>
        <v>982.78</v>
      </c>
      <c r="CQ13" s="902" t="n">
        <f aca="false">IF(CQ9=1,HLOOKUP(CQ2,物流参数!$C$1:$GC$29,MATCH("VAP. DENSITY",物流参数!$A$1:$A$29,FALSE()),FALSE()),HLOOKUP(CQ2,物流参数!$C$1:$GC$29,MATCH("LIQUID DENSITY",物流参数!$A$1:$A$29,FALSE()),FALSE()))</f>
        <v>12.1</v>
      </c>
      <c r="CR13" s="902" t="n">
        <f aca="false">IF(CR9=1,HLOOKUP(CR2,物流参数!$C$1:$GC$29,MATCH("VAP. DENSITY",物流参数!$A$1:$A$29,FALSE()),FALSE()),HLOOKUP(CR2,物流参数!$C$1:$GC$29,MATCH("LIQUID DENSITY",物流参数!$A$1:$A$29,FALSE()),FALSE()))</f>
        <v>11.2</v>
      </c>
      <c r="CS13" s="902" t="n">
        <f aca="false">IF(CS9=1,HLOOKUP(CS2,物流参数!$C$1:$GC$29,MATCH("VAP. DENSITY",物流参数!$A$1:$A$29,FALSE()),FALSE()),HLOOKUP(CS2,物流参数!$C$1:$GC$29,MATCH("LIQUID DENSITY",物流参数!$A$1:$A$29,FALSE()),FALSE()))</f>
        <v>5.5</v>
      </c>
      <c r="CT13" s="902" t="n">
        <f aca="false">IF(CT9=1,HLOOKUP(CT2,物流参数!$C$1:$GC$29,MATCH("VAP. DENSITY",物流参数!$A$1:$A$29,FALSE()),FALSE()),HLOOKUP(CT2,物流参数!$C$1:$GC$29,MATCH("LIQUID DENSITY",物流参数!$A$1:$A$29,FALSE()),FALSE()))</f>
        <v>5</v>
      </c>
      <c r="CU13" s="902" t="n">
        <f aca="false">IF(CU9=1,HLOOKUP(CU2,物流参数!$C$1:$GC$29,MATCH("VAP. DENSITY",物流参数!$A$1:$A$29,FALSE()),FALSE()),HLOOKUP(CU2,物流参数!$C$1:$GC$29,MATCH("LIQUID DENSITY",物流参数!$A$1:$A$29,FALSE()),FALSE()))</f>
        <v>5.6</v>
      </c>
      <c r="CV13" s="902" t="n">
        <f aca="false">IF(CV9=1,HLOOKUP(CV2,物流参数!$C$1:$GC$29,MATCH("VAP. DENSITY",物流参数!$A$1:$A$29,FALSE()),FALSE()),HLOOKUP(CV2,物流参数!$C$1:$GC$29,MATCH("LIQUID DENSITY",物流参数!$A$1:$A$29,FALSE()),FALSE()))</f>
        <v>5.5</v>
      </c>
      <c r="CW13" s="902" t="n">
        <f aca="false">IF(CW9=1,HLOOKUP(CW2,物流参数!$C$1:$GC$29,MATCH("VAP. DENSITY",物流参数!$A$1:$A$29,FALSE()),FALSE()),HLOOKUP(CW2,物流参数!$C$1:$GC$29,MATCH("LIQUID DENSITY",物流参数!$A$1:$A$29,FALSE()),FALSE()))</f>
        <v>7.7</v>
      </c>
      <c r="CX13" s="902" t="n">
        <f aca="false">IF(CX9=1,HLOOKUP(CX2,物流参数!$C$1:$GC$29,MATCH("VAP. DENSITY",物流参数!$A$1:$A$29,FALSE()),FALSE()),HLOOKUP(CX2,物流参数!$C$1:$GC$29,MATCH("LIQUID DENSITY",物流参数!$A$1:$A$29,FALSE()),FALSE()))</f>
        <v>7.7</v>
      </c>
      <c r="CY13" s="902" t="n">
        <f aca="false">IF(CY9=1,HLOOKUP(CY2,物流参数!$C$1:$GC$29,MATCH("VAP. DENSITY",物流参数!$A$1:$A$29,FALSE()),FALSE()),HLOOKUP(CY2,物流参数!$C$1:$GC$29,MATCH("LIQUID DENSITY",物流参数!$A$1:$A$29,FALSE()),FALSE()))</f>
        <v>915.82</v>
      </c>
      <c r="CZ13" s="902" t="n">
        <f aca="false">IF(CZ9=1,HLOOKUP(CZ2,物流参数!$C$1:$GC$29,MATCH("VAP. DENSITY",物流参数!$A$1:$A$29,FALSE()),FALSE()),HLOOKUP(CZ2,物流参数!$C$1:$GC$29,MATCH("LIQUID DENSITY",物流参数!$A$1:$A$29,FALSE()),FALSE()))</f>
        <v>649.28</v>
      </c>
      <c r="DA13" s="902" t="n">
        <f aca="false">IF(DA9=1,HLOOKUP(DA2,物流参数!$C$1:$GC$29,MATCH("VAP. DENSITY",物流参数!$A$1:$A$29,FALSE()),FALSE()),HLOOKUP(DA2,物流参数!$C$1:$GC$29,MATCH("LIQUID DENSITY",物流参数!$A$1:$A$29,FALSE()),FALSE()))</f>
        <v>650.85</v>
      </c>
      <c r="DB13" s="902" t="n">
        <f aca="false">IF(DB9=1,HLOOKUP(DB2,物流参数!$C$1:$GC$29,MATCH("VAP. DENSITY",物流参数!$A$1:$A$29,FALSE()),FALSE()),HLOOKUP(DB2,物流参数!$C$1:$GC$29,MATCH("LIQUID DENSITY",物流参数!$A$1:$A$29,FALSE()),FALSE()))</f>
        <v>3.4</v>
      </c>
      <c r="DC13" s="902" t="n">
        <f aca="false">IF(DC9=1,HLOOKUP(DC2,物流参数!$C$1:$GC$29,MATCH("VAP. DENSITY",物流参数!$A$1:$A$29,FALSE()),FALSE()),HLOOKUP(DC2,物流参数!$C$1:$GC$29,MATCH("LIQUID DENSITY",物流参数!$A$1:$A$29,FALSE()),FALSE()))</f>
        <v>695.34</v>
      </c>
      <c r="DD13" s="902" t="n">
        <f aca="false">IF(DD9=1,HLOOKUP(DD2,物流参数!$C$1:$GC$29,MATCH("VAP. DENSITY",物流参数!$A$1:$A$29,FALSE()),FALSE()),HLOOKUP(DD2,物流参数!$C$1:$GC$29,MATCH("LIQUID DENSITY",物流参数!$A$1:$A$29,FALSE()),FALSE()))</f>
        <v>662.92</v>
      </c>
      <c r="DE13" s="902" t="n">
        <f aca="false">IF(DE9=1,HLOOKUP(DE2,物流参数!$C$1:$GC$29,MATCH("VAP. DENSITY",物流参数!$A$1:$A$29,FALSE()),FALSE()),HLOOKUP(DE2,物流参数!$C$1:$GC$29,MATCH("LIQUID DENSITY",物流参数!$A$1:$A$29,FALSE()),FALSE()))</f>
        <v>664.36</v>
      </c>
      <c r="DF13" s="902" t="n">
        <f aca="false">IF(DF9=1,HLOOKUP(DF2,物流参数!$C$1:$GC$29,MATCH("VAP. DENSITY",物流参数!$A$1:$A$29,FALSE()),FALSE()),HLOOKUP(DF2,物流参数!$C$1:$GC$29,MATCH("LIQUID DENSITY",物流参数!$A$1:$A$29,FALSE()),FALSE()))</f>
        <v>664.35</v>
      </c>
      <c r="DG13" s="902" t="n">
        <f aca="false">IF(DG9=1,HLOOKUP(DG2,物流参数!$C$1:$GC$29,MATCH("VAP. DENSITY",物流参数!$A$1:$A$29,FALSE()),FALSE()),HLOOKUP(DG2,物流参数!$C$1:$GC$29,MATCH("LIQUID DENSITY",物流参数!$A$1:$A$29,FALSE()),FALSE()))</f>
        <v>664.36</v>
      </c>
      <c r="DH13" s="902" t="n">
        <f aca="false">IF(DH9=1,HLOOKUP(DH2,物流参数!$C$1:$GC$29,MATCH("VAP. DENSITY",物流参数!$A$1:$A$29,FALSE()),FALSE()),HLOOKUP(DH2,物流参数!$C$1:$GC$29,MATCH("LIQUID DENSITY",物流参数!$A$1:$A$29,FALSE()),FALSE()))</f>
        <v>709.47</v>
      </c>
      <c r="DI13" s="902" t="n">
        <f aca="false">IF(DI9=1,HLOOKUP(DI2,物流参数!$C$1:$GC$29,MATCH("VAP. DENSITY",物流参数!$A$1:$A$29,FALSE()),FALSE()),HLOOKUP(DI2,物流参数!$C$1:$GC$29,MATCH("LIQUID DENSITY",物流参数!$A$1:$A$29,FALSE()),FALSE()))</f>
        <v>709.28</v>
      </c>
      <c r="DJ13" s="902" t="n">
        <f aca="false">IF(DJ9=1,HLOOKUP(DJ2,物流参数!$C$1:$GC$29,MATCH("VAP. DENSITY",物流参数!$A$1:$A$29,FALSE()),FALSE()),HLOOKUP(DJ2,物流参数!$C$1:$GC$29,MATCH("LIQUID DENSITY",物流参数!$A$1:$A$29,FALSE()),FALSE()))</f>
        <v>954.26</v>
      </c>
      <c r="DK13" s="902" t="n">
        <f aca="false">IF(DK9=1,HLOOKUP(DK2,物流参数!$C$1:$GC$29,MATCH("VAP. DENSITY",物流参数!$A$1:$A$29,FALSE()),FALSE()),HLOOKUP(DK2,物流参数!$C$1:$GC$29,MATCH("LIQUID DENSITY",物流参数!$A$1:$A$29,FALSE()),FALSE()))</f>
        <v>643.5</v>
      </c>
      <c r="DL13" s="902" t="n">
        <f aca="false">IF(DL9=1,HLOOKUP(DL2,物流参数!$C$1:$GC$29,MATCH("VAP. DENSITY",物流参数!$A$1:$A$29,FALSE()),FALSE()),HLOOKUP(DL2,物流参数!$C$1:$GC$29,MATCH("LIQUID DENSITY",物流参数!$A$1:$A$29,FALSE()),FALSE()))</f>
        <v>644.06</v>
      </c>
      <c r="DM13" s="902" t="n">
        <f aca="false">IF(DM9=1,HLOOKUP(DM2,物流参数!$C$1:$GC$29,MATCH("VAP. DENSITY",物流参数!$A$1:$A$29,FALSE()),FALSE()),HLOOKUP(DM2,物流参数!$C$1:$GC$29,MATCH("LIQUID DENSITY",物流参数!$A$1:$A$29,FALSE()),FALSE()))</f>
        <v>662</v>
      </c>
      <c r="DN13" s="902" t="n">
        <f aca="false">IF(DN9=1,HLOOKUP(DN2,物流参数!$C$1:$GC$29,MATCH("VAP. DENSITY",物流参数!$A$1:$A$29,FALSE()),FALSE()),HLOOKUP(DN2,物流参数!$C$1:$GC$29,MATCH("LIQUID DENSITY",物流参数!$A$1:$A$29,FALSE()),FALSE()))</f>
        <v>689.76</v>
      </c>
      <c r="DO13" s="902" t="n">
        <f aca="false">IF(DO9=1,HLOOKUP(DO2,物流参数!$C$1:$GC$29,MATCH("VAP. DENSITY",物流参数!$A$1:$A$29,FALSE()),FALSE()),HLOOKUP(DO2,物流参数!$C$1:$GC$29,MATCH("LIQUID DENSITY",物流参数!$A$1:$A$29,FALSE()),FALSE()))</f>
        <v>689.25</v>
      </c>
      <c r="DP13" s="902" t="n">
        <f aca="false">IF(DP9=1,HLOOKUP(DP2,物流参数!$C$1:$GC$29,MATCH("VAP. DENSITY",物流参数!$A$1:$A$29,FALSE()),FALSE()),HLOOKUP(DP2,物流参数!$C$1:$GC$29,MATCH("LIQUID DENSITY",物流参数!$A$1:$A$29,FALSE()),FALSE()))</f>
        <v>643.12</v>
      </c>
      <c r="DQ13" s="902" t="n">
        <f aca="false">IF(DQ9=1,HLOOKUP(DQ2,物流参数!$C$1:$GC$29,MATCH("VAP. DENSITY",物流参数!$A$1:$A$29,FALSE()),FALSE()),HLOOKUP(DQ2,物流参数!$C$1:$GC$29,MATCH("LIQUID DENSITY",物流参数!$A$1:$A$29,FALSE()),FALSE()))</f>
        <v>643.13</v>
      </c>
      <c r="DR13" s="902" t="n">
        <f aca="false">IF(DR9=1,HLOOKUP(DR2,物流参数!$C$1:$GC$29,MATCH("VAP. DENSITY",物流参数!$A$1:$A$29,FALSE()),FALSE()),HLOOKUP(DR2,物流参数!$C$1:$GC$29,MATCH("LIQUID DENSITY",物流参数!$A$1:$A$29,FALSE()),FALSE()))</f>
        <v>4.1</v>
      </c>
      <c r="DS13" s="902" t="n">
        <f aca="false">IF(DS9=1,HLOOKUP(DS2,物流参数!$C$1:$GC$29,MATCH("VAP. DENSITY",物流参数!$A$1:$A$29,FALSE()),FALSE()),HLOOKUP(DS2,物流参数!$C$1:$GC$29,MATCH("LIQUID DENSITY",物流参数!$A$1:$A$29,FALSE()),FALSE()))</f>
        <v>657.22</v>
      </c>
      <c r="DT13" s="902" t="n">
        <f aca="false">IF(DT9=1,HLOOKUP(DT2,物流参数!$C$1:$GC$29,MATCH("VAP. DENSITY",物流参数!$A$1:$A$29,FALSE()),FALSE()),HLOOKUP(DT2,物流参数!$C$1:$GC$29,MATCH("LIQUID DENSITY",物流参数!$A$1:$A$29,FALSE()),FALSE()))</f>
        <v>658.97</v>
      </c>
      <c r="DU13" s="902" t="n">
        <f aca="false">IF(DU9=1,HLOOKUP(DU2,物流参数!$C$1:$GC$29,MATCH("VAP. DENSITY",物流参数!$A$1:$A$29,FALSE()),FALSE()),HLOOKUP(DU2,物流参数!$C$1:$GC$29,MATCH("LIQUID DENSITY",物流参数!$A$1:$A$29,FALSE()),FALSE()))</f>
        <v>735.34</v>
      </c>
      <c r="DV13" s="902" t="n">
        <f aca="false">IF(DV9=1,HLOOKUP(DV2,物流参数!$C$1:$GC$29,MATCH("VAP. DENSITY",物流参数!$A$1:$A$29,FALSE()),FALSE()),HLOOKUP(DV2,物流参数!$C$1:$GC$29,MATCH("LIQUID DENSITY",物流参数!$A$1:$A$29,FALSE()),FALSE()))</f>
        <v>794.55</v>
      </c>
      <c r="DW13" s="902" t="n">
        <f aca="false">IF(DW9=1,HLOOKUP(DW2,物流参数!$C$1:$GC$29,MATCH("VAP. DENSITY",物流参数!$A$1:$A$29,FALSE()),FALSE()),HLOOKUP(DW2,物流参数!$C$1:$GC$29,MATCH("LIQUID DENSITY",物流参数!$A$1:$A$29,FALSE()),FALSE()))</f>
        <v>794.45</v>
      </c>
      <c r="DX13" s="844" t="n">
        <v>794.5</v>
      </c>
      <c r="DY13" s="844" t="n">
        <v>794.5</v>
      </c>
      <c r="DZ13" s="902" t="n">
        <f aca="false">IF(DZ9=1,HLOOKUP(DZ2,物流参数!$C$1:$GC$29,MATCH("VAP. DENSITY",物流参数!$A$1:$A$29,FALSE()),FALSE()),HLOOKUP(DZ2,物流参数!$C$1:$GC$29,MATCH("LIQUID DENSITY",物流参数!$A$1:$A$29,FALSE()),FALSE()))</f>
        <v>735.3</v>
      </c>
      <c r="EA13" s="902" t="n">
        <f aca="false">IF(EA9=1,HLOOKUP(EA2,物流参数!$C$1:$GC$29,MATCH("VAP. DENSITY",物流参数!$A$1:$A$29,FALSE()),FALSE()),HLOOKUP(EA2,物流参数!$C$1:$GC$29,MATCH("LIQUID DENSITY",物流参数!$A$1:$A$29,FALSE()),FALSE()))</f>
        <v>915.82</v>
      </c>
      <c r="EB13" s="902" t="n">
        <f aca="false">IF(EB9=1,HLOOKUP(EB2,物流参数!$C$1:$GC$29,MATCH("VAP. DENSITY",物流参数!$A$1:$A$29,FALSE()),FALSE()),HLOOKUP(EB2,物流参数!$C$1:$GC$29,MATCH("LIQUID DENSITY",物流参数!$A$1:$A$29,FALSE()),FALSE()))</f>
        <v>7.7</v>
      </c>
      <c r="EC13" s="902" t="n">
        <f aca="false">IF(EC9=1,HLOOKUP(EC2,物流参数!$C$1:$GC$29,MATCH("VAP. DENSITY",物流参数!$A$1:$A$29,FALSE()),FALSE()),HLOOKUP(EC2,物流参数!$C$1:$GC$29,MATCH("LIQUID DENSITY",物流参数!$A$1:$A$29,FALSE()),FALSE()))</f>
        <v>3.8</v>
      </c>
      <c r="ED13" s="902" t="n">
        <f aca="false">IF(ED9=1,HLOOKUP(ED2,物流参数!$C$1:$GC$29,MATCH("VAP. DENSITY",物流参数!$A$1:$A$29,FALSE()),FALSE()),HLOOKUP(ED2,物流参数!$C$1:$GC$29,MATCH("LIQUID DENSITY",物流参数!$A$1:$A$29,FALSE()),FALSE()))</f>
        <v>2.5</v>
      </c>
      <c r="EE13" s="902" t="n">
        <f aca="false">IF(EE9=1,HLOOKUP(EE2,物流参数!$C$1:$GC$29,MATCH("VAP. DENSITY",物流参数!$A$1:$A$29,FALSE()),FALSE()),HLOOKUP(EE2,物流参数!$C$1:$GC$29,MATCH("LIQUID DENSITY",物流参数!$A$1:$A$29,FALSE()),FALSE()))</f>
        <v>742.13</v>
      </c>
      <c r="EF13" s="902" t="n">
        <f aca="false">IF(EF9=1,HLOOKUP(EF2,物流参数!$C$1:$GC$29,MATCH("VAP. DENSITY",物流参数!$A$1:$A$29,FALSE()),FALSE()),HLOOKUP(EF2,物流参数!$C$1:$GC$29,MATCH("LIQUID DENSITY",物流参数!$A$1:$A$29,FALSE()),FALSE()))</f>
        <v>1.8</v>
      </c>
      <c r="EG13" s="902" t="n">
        <f aca="false">IF(EG9=1,HLOOKUP(EG2,物流参数!$C$1:$GC$29,MATCH("VAP. DENSITY",物流参数!$A$1:$A$29,FALSE()),FALSE()),HLOOKUP(EG2,物流参数!$C$1:$GC$29,MATCH("LIQUID DENSITY",物流参数!$A$1:$A$29,FALSE()),FALSE()))</f>
        <v>1.8</v>
      </c>
      <c r="EH13" s="902" t="n">
        <f aca="false">IF(EH9=1,HLOOKUP(EH2,物流参数!$C$1:$GC$29,MATCH("VAP. DENSITY",物流参数!$A$1:$A$29,FALSE()),FALSE()),HLOOKUP(EH2,物流参数!$C$1:$GC$29,MATCH("LIQUID DENSITY",物流参数!$A$1:$A$29,FALSE()),FALSE()))</f>
        <v>7.7</v>
      </c>
      <c r="EI13" s="902" t="n">
        <f aca="false">IF(EI9=1,HLOOKUP(EI2,物流参数!$C$1:$GC$29,MATCH("VAP. DENSITY",物流参数!$A$1:$A$29,FALSE()),FALSE()),HLOOKUP(EI2,物流参数!$C$1:$GC$29,MATCH("LIQUID DENSITY",物流参数!$A$1:$A$29,FALSE()),FALSE()))</f>
        <v>5.5</v>
      </c>
      <c r="EJ13" s="902" t="n">
        <f aca="false">IF(EJ9=1,HLOOKUP(EJ2,物流参数!$C$1:$GC$29,MATCH("VAP. DENSITY",物流参数!$A$1:$A$29,FALSE()),FALSE()),HLOOKUP(EJ2,物流参数!$C$1:$GC$29,MATCH("LIQUID DENSITY",物流参数!$A$1:$A$29,FALSE()),FALSE()))</f>
        <v>1.9</v>
      </c>
      <c r="EK13" s="902" t="n">
        <f aca="false">IF(EK9=1,HLOOKUP(EK2,物流参数!$C$1:$GC$29,MATCH("VAP. DENSITY",物流参数!$A$1:$A$29,FALSE()),FALSE()),HLOOKUP(EK2,物流参数!$C$1:$GC$29,MATCH("LIQUID DENSITY",物流参数!$A$1:$A$29,FALSE()),FALSE()))</f>
        <v>1.9</v>
      </c>
      <c r="EL13" s="904" t="n">
        <f aca="false">IF(EL9=1,HLOOKUP(EL2,物流参数!$C$1:$GC$29,MATCH("VAP. DENSITY",物流参数!$A$1:$A$29,FALSE()),FALSE()),HLOOKUP(EL2,物流参数!$C$1:$GC$29,MATCH("LIQUID DENSITY",物流参数!$A$1:$A$29,FALSE()),FALSE()))</f>
        <v>1.9</v>
      </c>
      <c r="EM13" s="904" t="n">
        <f aca="false">IF(EM9=1,HLOOKUP(EM2,物流参数!$C$1:$GC$29,MATCH("VAP. DENSITY",物流参数!$A$1:$A$29,FALSE()),FALSE()),HLOOKUP(EM2,物流参数!$C$1:$GC$29,MATCH("LIQUID DENSITY",物流参数!$A$1:$A$29,FALSE()),FALSE()))</f>
        <v>2.9</v>
      </c>
      <c r="EN13" s="904" t="n">
        <f aca="false">IF(EN9=1,HLOOKUP(EN2,物流参数!$C$1:$GC$29,MATCH("VAP. DENSITY",物流参数!$A$1:$A$29,FALSE()),FALSE()),HLOOKUP(EN2,物流参数!$C$1:$GC$29,MATCH("LIQUID DENSITY",物流参数!$A$1:$A$29,FALSE()),FALSE()))</f>
        <v>3.5</v>
      </c>
      <c r="EO13" s="904" t="n">
        <f aca="false">IF(EO9=1,HLOOKUP(EO2,物流参数!$C$1:$GC$29,MATCH("VAP. DENSITY",物流参数!$A$1:$A$29,FALSE()),FALSE()),HLOOKUP(EO2,物流参数!$C$1:$GC$29,MATCH("LIQUID DENSITY",物流参数!$A$1:$A$29,FALSE()),FALSE()))</f>
        <v>3.5</v>
      </c>
      <c r="EP13" s="904" t="n">
        <f aca="false">IF(EP9=1,HLOOKUP(EP2,物流参数!$C$1:$GC$29,MATCH("VAP. DENSITY",物流参数!$A$1:$A$29,FALSE()),FALSE()),HLOOKUP(EP2,物流参数!$C$1:$GC$29,MATCH("LIQUID DENSITY",物流参数!$A$1:$A$29,FALSE()),FALSE()))</f>
        <v>5.2</v>
      </c>
      <c r="EQ13" s="904" t="n">
        <f aca="false">IF(EQ9=1,HLOOKUP(EQ2,物流参数!$C$1:$GC$29,MATCH("VAP. DENSITY",物流参数!$A$1:$A$29,FALSE()),FALSE()),HLOOKUP(EQ2,物流参数!$C$1:$GC$29,MATCH("LIQUID DENSITY",物流参数!$A$1:$A$29,FALSE()),FALSE()))</f>
        <v>6.2</v>
      </c>
      <c r="ER13" s="904" t="n">
        <f aca="false">IF(ER9=1,HLOOKUP(ER2,物流参数!$C$1:$GC$29,MATCH("VAP. DENSITY",物流参数!$A$1:$A$29,FALSE()),FALSE()),HLOOKUP(ER2,物流参数!$C$1:$GC$29,MATCH("LIQUID DENSITY",物流参数!$A$1:$A$29,FALSE()),FALSE()))</f>
        <v>6.2</v>
      </c>
      <c r="ES13" s="904" t="n">
        <f aca="false">IF(ES9=1,HLOOKUP(ES2,物流参数!$C$1:$GC$29,MATCH("VAP. DENSITY",物流参数!$A$1:$A$29,FALSE()),FALSE()),HLOOKUP(ES2,物流参数!$C$1:$GC$29,MATCH("LIQUID DENSITY",物流参数!$A$1:$A$29,FALSE()),FALSE()))</f>
        <v>9.2</v>
      </c>
      <c r="ET13" s="902" t="n">
        <f aca="false">IF(ET9=1,HLOOKUP(ET2,物流参数!$C$1:$GC$29,MATCH("VAP. DENSITY",物流参数!$A$1:$A$29,FALSE()),FALSE()),HLOOKUP(ET2,物流参数!$C$1:$GC$29,MATCH("LIQUID DENSITY",物流参数!$A$1:$A$29,FALSE()),FALSE()))</f>
        <v>9.2</v>
      </c>
      <c r="EU13" s="904" t="n">
        <f aca="false">IF(EU9=1,HLOOKUP(EU2,物流参数!$C$1:$GC$29,MATCH("VAP. DENSITY",物流参数!$A$1:$A$29,FALSE()),FALSE()),HLOOKUP(EU2,物流参数!$C$1:$GC$29,MATCH("LIQUID DENSITY",物流参数!$A$1:$A$29,FALSE()),FALSE()))</f>
        <v>9.2</v>
      </c>
      <c r="EV13" s="904" t="n">
        <f aca="false">IF(EV9=1,HLOOKUP(EV2,物流参数!$C$1:$GC$29,MATCH("VAP. DENSITY",物流参数!$A$1:$A$29,FALSE()),FALSE()),HLOOKUP(EV2,物流参数!$C$1:$GC$29,MATCH("LIQUID DENSITY",物流参数!$A$1:$A$29,FALSE()),FALSE()))</f>
        <v>11.2</v>
      </c>
      <c r="EW13" s="904" t="n">
        <f aca="false">IF(EW9=1,HLOOKUP(EW2,物流参数!$C$1:$GC$29,MATCH("VAP. DENSITY",物流参数!$A$1:$A$29,FALSE()),FALSE()),HLOOKUP(EW2,物流参数!$C$1:$GC$29,MATCH("LIQUID DENSITY",物流参数!$A$1:$A$29,FALSE()),FALSE()))</f>
        <v>1.9</v>
      </c>
      <c r="EX13" s="902" t="n">
        <f aca="false">IF(EX9=1,HLOOKUP(EX2,物流参数!$C$1:$GC$29,MATCH("VAP. DENSITY",物流参数!$A$1:$A$29,FALSE()),FALSE()),HLOOKUP(EX2,物流参数!$C$1:$GC$29,MATCH("LIQUID DENSITY",物流参数!$A$1:$A$29,FALSE()),FALSE()))</f>
        <v>9.2</v>
      </c>
      <c r="EY13" s="902" t="n">
        <f aca="false">IF(EY9=1,HLOOKUP(EY2,物流参数!$C$1:$GC$29,MATCH("VAP. DENSITY",物流参数!$A$1:$A$29,FALSE()),FALSE()),HLOOKUP(EY2,物流参数!$C$1:$GC$29,MATCH("LIQUID DENSITY",物流参数!$A$1:$A$29,FALSE()),FALSE()))</f>
        <v>1009.82</v>
      </c>
      <c r="EZ13" s="902" t="n">
        <f aca="false">IF(EZ9=1,HLOOKUP(EZ2,物流参数!$C$1:$GC$29,MATCH("VAP. DENSITY",物流参数!$A$1:$A$29,FALSE()),FALSE()),HLOOKUP(EZ2,物流参数!$C$1:$GC$29,MATCH("LIQUID DENSITY",物流参数!$A$1:$A$29,FALSE()),FALSE()))</f>
        <v>1009.82</v>
      </c>
      <c r="FA13" s="902" t="n">
        <f aca="false">IF(FA9=1,HLOOKUP(FA2,物流参数!$C$1:$GC$29,MATCH("VAP. DENSITY",物流参数!$A$1:$A$29,FALSE()),FALSE()),HLOOKUP(FA2,物流参数!$C$1:$GC$29,MATCH("LIQUID DENSITY",物流参数!$A$1:$A$29,FALSE()),FALSE()))</f>
        <v>1009.82</v>
      </c>
      <c r="FB13" s="902" t="n">
        <f aca="false">IF(FB9=1,HLOOKUP(FB2,物流参数!$C$1:$GC$29,MATCH("VAP. DENSITY",物流参数!$A$1:$A$29,FALSE()),FALSE()),HLOOKUP(FB2,物流参数!$C$1:$GC$29,MATCH("LIQUID DENSITY",物流参数!$A$1:$A$29,FALSE()),FALSE()))</f>
        <v>1009.26</v>
      </c>
      <c r="FC13" s="902" t="n">
        <f aca="false">IF(FC9=1,HLOOKUP(FC2,物流参数!$C$1:$GC$29,MATCH("VAP. DENSITY",物流参数!$A$1:$A$29,FALSE()),FALSE()),HLOOKUP(FC2,物流参数!$C$1:$GC$29,MATCH("LIQUID DENSITY",物流参数!$A$1:$A$29,FALSE()),FALSE()))</f>
        <v>1009.26</v>
      </c>
      <c r="FD13" s="902" t="n">
        <f aca="false">IF(FD9=1,HLOOKUP(FD2,物流参数!$C$1:$GC$29,MATCH("VAP. DENSITY",物流参数!$A$1:$A$29,FALSE()),FALSE()),HLOOKUP(FD2,物流参数!$C$1:$GC$29,MATCH("LIQUID DENSITY",物流参数!$A$1:$A$29,FALSE()),FALSE()))</f>
        <v>9.2</v>
      </c>
      <c r="FE13" s="902" t="n">
        <f aca="false">IF(FE9=1,HLOOKUP(FE2,物流参数!$C$1:$GC$29,MATCH("VAP. DENSITY",物流参数!$A$1:$A$29,FALSE()),FALSE()),HLOOKUP(FE2,物流参数!$C$1:$GC$29,MATCH("LIQUID DENSITY",物流参数!$A$1:$A$29,FALSE()),FALSE()))</f>
        <v>9.2</v>
      </c>
      <c r="FF13" s="902" t="n">
        <f aca="false">IF(FF9=1,HLOOKUP(FF2,物流参数!$C$1:$GC$29,MATCH("VAP. DENSITY",物流参数!$A$1:$A$29,FALSE()),FALSE()),HLOOKUP(FF2,物流参数!$C$1:$GC$29,MATCH("LIQUID DENSITY",物流参数!$A$1:$A$29,FALSE()),FALSE()))</f>
        <v>8.9</v>
      </c>
      <c r="FG13" s="902" t="n">
        <f aca="false">IF(FG9=1,HLOOKUP(FG2,物流参数!$C$1:$GC$29,MATCH("VAP. DENSITY",物流参数!$A$1:$A$29,FALSE()),FALSE()),HLOOKUP(FG2,物流参数!$C$1:$GC$29,MATCH("LIQUID DENSITY",物流参数!$A$1:$A$29,FALSE()),FALSE()))</f>
        <v>984.45</v>
      </c>
      <c r="FH13" s="902" t="n">
        <f aca="false">IF(FH9=1,HLOOKUP(FH2,物流参数!$C$1:$GC$29,MATCH("VAP. DENSITY",物流参数!$A$1:$A$29,FALSE()),FALSE()),HLOOKUP(FH2,物流参数!$C$1:$GC$29,MATCH("LIQUID DENSITY",物流参数!$A$1:$A$29,FALSE()),FALSE()))</f>
        <v>983.57</v>
      </c>
      <c r="FI13" s="902" t="n">
        <f aca="false">IF(FI9=1,HLOOKUP(FI2,物流参数!$C$1:$GC$29,MATCH("VAP. DENSITY",物流参数!$A$1:$A$29,FALSE()),FALSE()),HLOOKUP(FI2,物流参数!$C$1:$GC$29,MATCH("LIQUID DENSITY",物流参数!$A$1:$A$29,FALSE()),FALSE()))</f>
        <v>1046.65</v>
      </c>
      <c r="FJ13" s="902" t="n">
        <f aca="false">IF(FJ9=1,HLOOKUP(FJ2,物流参数!$C$1:$GC$29,MATCH("VAP. DENSITY",物流参数!$A$1:$A$29,FALSE()),FALSE()),HLOOKUP(FJ2,物流参数!$C$1:$GC$29,MATCH("LIQUID DENSITY",物流参数!$A$1:$A$29,FALSE()),FALSE()))</f>
        <v>1046.64</v>
      </c>
      <c r="FK13" s="902" t="n">
        <f aca="false">IF(FK9=1,HLOOKUP(FK2,物流参数!$C$1:$GC$29,MATCH("VAP. DENSITY",物流参数!$A$1:$A$29,FALSE()),FALSE()),HLOOKUP(FK2,物流参数!$C$1:$GC$29,MATCH("LIQUID DENSITY",物流参数!$A$1:$A$29,FALSE()),FALSE()))</f>
        <v>965.06</v>
      </c>
      <c r="FL13" s="902" t="n">
        <v>993.7</v>
      </c>
      <c r="FM13" s="902" t="n">
        <v>796</v>
      </c>
      <c r="FN13" s="902" t="n">
        <v>796</v>
      </c>
      <c r="FO13" s="902"/>
      <c r="FP13" s="844" t="n">
        <v>998</v>
      </c>
      <c r="FQ13" s="844" t="n">
        <v>998</v>
      </c>
      <c r="FR13" s="844" t="n">
        <v>998</v>
      </c>
      <c r="FS13" s="844" t="n">
        <v>998</v>
      </c>
      <c r="FT13" s="844" t="n">
        <v>998</v>
      </c>
      <c r="FU13" s="844" t="n">
        <v>998</v>
      </c>
      <c r="FV13" s="844" t="n">
        <v>998</v>
      </c>
      <c r="FW13" s="844" t="n">
        <v>998</v>
      </c>
      <c r="FX13" s="844" t="n">
        <v>998</v>
      </c>
      <c r="FY13" s="844" t="n">
        <v>998</v>
      </c>
      <c r="FZ13" s="844" t="n">
        <v>998</v>
      </c>
      <c r="GA13" s="844" t="n">
        <v>998</v>
      </c>
      <c r="GB13" s="844" t="n">
        <v>998</v>
      </c>
      <c r="GC13" s="844" t="n">
        <v>998</v>
      </c>
      <c r="GD13" s="844" t="n">
        <v>998</v>
      </c>
      <c r="GE13" s="844" t="n">
        <v>998</v>
      </c>
      <c r="GF13" s="844" t="n">
        <v>998</v>
      </c>
      <c r="GG13" s="844" t="n">
        <v>999</v>
      </c>
      <c r="GH13" s="844"/>
      <c r="GI13" s="902"/>
      <c r="GJ13" s="902"/>
      <c r="GK13" s="902"/>
      <c r="GL13" s="902"/>
      <c r="GM13" s="902"/>
      <c r="GN13" s="902"/>
      <c r="GO13" s="902"/>
      <c r="GP13" s="902"/>
      <c r="GQ13" s="902"/>
      <c r="GR13" s="902"/>
      <c r="GS13" s="902"/>
      <c r="GT13" s="902"/>
      <c r="GU13" s="902"/>
      <c r="GV13" s="902"/>
      <c r="GW13" s="902"/>
      <c r="GX13" s="902"/>
      <c r="GY13" s="902"/>
      <c r="GZ13" s="902"/>
      <c r="HA13" s="902"/>
      <c r="HB13" s="902"/>
      <c r="HC13" s="902"/>
      <c r="HD13" s="902"/>
      <c r="HE13" s="902"/>
      <c r="HF13" s="902"/>
      <c r="HG13" s="875"/>
      <c r="HH13" s="875"/>
      <c r="HI13" s="875"/>
      <c r="HJ13" s="875"/>
      <c r="HK13" s="875"/>
      <c r="HL13" s="844"/>
      <c r="HM13" s="844"/>
      <c r="HN13" s="876"/>
      <c r="HO13" s="876"/>
      <c r="HP13" s="876"/>
      <c r="HQ13" s="876"/>
      <c r="HR13" s="876"/>
      <c r="HS13" s="876"/>
      <c r="HT13" s="876"/>
      <c r="HU13" s="876"/>
      <c r="HV13" s="875"/>
      <c r="HW13" s="875"/>
      <c r="HX13" s="875"/>
      <c r="HY13" s="875"/>
      <c r="HZ13" s="875"/>
      <c r="IA13" s="875"/>
      <c r="IB13" s="875"/>
      <c r="IC13" s="875"/>
      <c r="ID13" s="875"/>
      <c r="IE13" s="875"/>
      <c r="IF13" s="875"/>
      <c r="IG13" s="875"/>
      <c r="IH13" s="875"/>
      <c r="II13" s="905"/>
      <c r="IJ13" s="875"/>
      <c r="IK13" s="875"/>
      <c r="IL13" s="875"/>
      <c r="IM13" s="875"/>
      <c r="IN13" s="875"/>
      <c r="IO13" s="875"/>
      <c r="IP13" s="906"/>
      <c r="IQ13" s="876"/>
      <c r="IR13" s="870"/>
      <c r="IS13" s="844"/>
      <c r="IT13" s="844"/>
      <c r="IU13" s="875"/>
      <c r="IV13" s="844"/>
      <c r="IW13" s="876"/>
      <c r="IX13" s="876"/>
      <c r="IY13" s="876"/>
      <c r="IZ13" s="907"/>
      <c r="JA13" s="876"/>
      <c r="JB13" s="876"/>
      <c r="JC13" s="875"/>
      <c r="JD13" s="875"/>
      <c r="JF13" s="875"/>
      <c r="JG13" s="875"/>
      <c r="JH13" s="844"/>
      <c r="JI13" s="844"/>
      <c r="JK13" s="844"/>
      <c r="JM13" s="875"/>
    </row>
    <row r="14" customFormat="false" ht="18.75" hidden="false" customHeight="false" outlineLevel="0" collapsed="false">
      <c r="A14" s="838" t="s">
        <v>1523</v>
      </c>
      <c r="B14" s="838" t="s">
        <v>1524</v>
      </c>
      <c r="C14" s="908" t="n">
        <f aca="false">C15/C13*1000</f>
        <v>7.31029002781089</v>
      </c>
      <c r="D14" s="908" t="n">
        <f aca="false">D15/D13*1000</f>
        <v>4.23814810835333</v>
      </c>
      <c r="E14" s="909" t="n">
        <f aca="false">E15/E13*1000</f>
        <v>9.69522660852623</v>
      </c>
      <c r="F14" s="909" t="n">
        <f aca="false">F15/F13*1000</f>
        <v>4.45685761825529</v>
      </c>
      <c r="G14" s="909" t="n">
        <f aca="false">G15/G13*1000</f>
        <v>9.65309200603318</v>
      </c>
      <c r="H14" s="908" t="n">
        <f aca="false">H15/H13*1000</f>
        <v>5.04488287818858</v>
      </c>
      <c r="I14" s="908" t="n">
        <f aca="false">I15/I13*1000</f>
        <v>1.13039764877289</v>
      </c>
      <c r="J14" s="908" t="n">
        <f aca="false">J15/J13*1000</f>
        <v>1.13051124230624</v>
      </c>
      <c r="K14" s="908" t="n">
        <f aca="false">K15/K13*1000</f>
        <v>1.13048284178265</v>
      </c>
      <c r="L14" s="908" t="n">
        <f aca="false">L15/L13*1000</f>
        <v>1.09058011426305</v>
      </c>
      <c r="M14" s="908" t="n">
        <f aca="false">M15/M13*1000</f>
        <v>1.07945803761973</v>
      </c>
      <c r="N14" s="908" t="n">
        <f aca="false">N15/N13*1000</f>
        <v>1.0989010989011</v>
      </c>
      <c r="O14" s="908" t="n">
        <f aca="false">O15/O13*1000</f>
        <v>0.994987279276556</v>
      </c>
      <c r="P14" s="908" t="n">
        <f aca="false">P15/P13*1000</f>
        <v>0.303973366143157</v>
      </c>
      <c r="Q14" s="908" t="n">
        <f aca="false">Q15/Q13*1000</f>
        <v>0.768452464811281</v>
      </c>
      <c r="R14" s="908" t="n">
        <f aca="false">R15/R13*1000</f>
        <v>1.93345888261143</v>
      </c>
      <c r="S14" s="908" t="n">
        <f aca="false">S15/S13*1000</f>
        <v>1.93345888261143</v>
      </c>
      <c r="T14" s="908" t="n">
        <f aca="false">T15/T13*1000</f>
        <v>2.93580697685893</v>
      </c>
      <c r="U14" s="908" t="n">
        <f aca="false">U15/U13*1000</f>
        <v>2.93620538633307</v>
      </c>
      <c r="V14" s="908" t="n">
        <f aca="false">V15/V13*1000</f>
        <v>1.93345888261143</v>
      </c>
      <c r="W14" s="908" t="n">
        <v>5.04488287818858</v>
      </c>
      <c r="X14" s="908" t="n">
        <v>5.04488287818858</v>
      </c>
      <c r="Y14" s="908" t="n">
        <f aca="false">Y15/Y13*1000</f>
        <v>0.160703589533814</v>
      </c>
      <c r="Z14" s="908" t="n">
        <f aca="false">Z15/Z13*1000</f>
        <v>0.119216153788838</v>
      </c>
      <c r="AA14" s="908" t="n">
        <f aca="false">AA15/AA13*1000</f>
        <v>0.0991748651221834</v>
      </c>
      <c r="AB14" s="908" t="n">
        <f aca="false">AB15/AB13*1000</f>
        <v>0.099123746084612</v>
      </c>
      <c r="AC14" s="908" t="n">
        <f aca="false">AC15/AC13*1000</f>
        <v>0.0985144028056902</v>
      </c>
      <c r="AD14" s="908" t="n">
        <f aca="false">AD15/AD13*1000</f>
        <v>0.10865825168873</v>
      </c>
      <c r="AE14" s="908" t="n">
        <f aca="false">AE15/AE13*1000</f>
        <v>0.109041344843253</v>
      </c>
      <c r="AF14" s="908" t="n">
        <f aca="false">AF15/AF13*1000</f>
        <v>1.14942528735632</v>
      </c>
      <c r="AG14" s="908" t="n">
        <f aca="false">AG15/AG13*1000</f>
        <v>1.16279069767442</v>
      </c>
      <c r="AH14" s="908" t="n">
        <f aca="false">AH15/AH13*1000</f>
        <v>1.16279069767442</v>
      </c>
      <c r="AI14" s="908" t="n">
        <f aca="false">AI15/AI13*1000</f>
        <v>1.17647058823529</v>
      </c>
      <c r="AJ14" s="908" t="n">
        <f aca="false">AJ15/AJ13*1000</f>
        <v>1.17647058823529</v>
      </c>
      <c r="AK14" s="908" t="n">
        <f aca="false">AK15/AK13*1000</f>
        <v>0.481927710843374</v>
      </c>
      <c r="AL14" s="908" t="n">
        <f aca="false">AL15/AL13*1000</f>
        <v>0.642398286937902</v>
      </c>
      <c r="AM14" s="908" t="n">
        <f aca="false">AM15/AM13*1000</f>
        <v>0.570342205323194</v>
      </c>
      <c r="AN14" s="908" t="n">
        <f aca="false">AN15/AN13*1000</f>
        <v>0.509337860780985</v>
      </c>
      <c r="AO14" s="908" t="n">
        <f aca="false">AO15/AO13*1000</f>
        <v>0.47244094488189</v>
      </c>
      <c r="AP14" s="908" t="n">
        <f aca="false">AP15/AP13*1000</f>
        <v>2.5</v>
      </c>
      <c r="AQ14" s="908" t="n">
        <f aca="false">AQ15/AQ13*1000</f>
        <v>0.0991434010152284</v>
      </c>
      <c r="AR14" s="908" t="n">
        <f aca="false">AR15/AR13*1000</f>
        <v>0.228900297570387</v>
      </c>
      <c r="AS14" s="908" t="n">
        <f aca="false">AS15/AS13*1000</f>
        <v>0.228866619803502</v>
      </c>
      <c r="AT14" s="908" t="n">
        <f aca="false">AT15/AT13*1000</f>
        <v>0.273444027526699</v>
      </c>
      <c r="AU14" s="908" t="n">
        <f aca="false">AU15/AU13*1000</f>
        <v>3.39285714285714</v>
      </c>
      <c r="AV14" s="908" t="n">
        <f aca="false">AV15/AV13*1000</f>
        <v>10</v>
      </c>
      <c r="AW14" s="908" t="n">
        <f aca="false">AW15/AW13*1000</f>
        <v>10.5263157894737</v>
      </c>
      <c r="AX14" s="908" t="n">
        <f aca="false">AX15/AX13*1000</f>
        <v>0.196545172632177</v>
      </c>
      <c r="AY14" s="908" t="n">
        <f aca="false">AY15/AY13*1000</f>
        <v>1.14942528735632</v>
      </c>
      <c r="AZ14" s="908" t="n">
        <f aca="false">AZ15/AZ13*1000</f>
        <v>1.15606936416185</v>
      </c>
      <c r="BA14" s="908" t="n">
        <f aca="false">BA15/BA13*1000</f>
        <v>0.467303367504892</v>
      </c>
      <c r="BB14" s="908" t="n">
        <f aca="false">BB15/BB13*1000</f>
        <v>0.334865245606337</v>
      </c>
      <c r="BC14" s="908" t="n">
        <f aca="false">BC15/BC13*1000</f>
        <v>1.52954068121633</v>
      </c>
      <c r="BD14" s="908" t="n">
        <f aca="false">BD15/BD13*1000</f>
        <v>1.08553077932064</v>
      </c>
      <c r="BE14" s="908" t="n">
        <f aca="false">BE15/BE13*1000</f>
        <v>1.8304464255449</v>
      </c>
      <c r="BF14" s="908" t="n">
        <f aca="false">BF15/BF13*1000</f>
        <v>0.641750450753293</v>
      </c>
      <c r="BG14" s="908" t="n">
        <f aca="false">BG15/BG13*1000</f>
        <v>0.641528262884026</v>
      </c>
      <c r="BH14" s="908" t="n">
        <f aca="false">BH15/BH13*1000</f>
        <v>0.658650746937975</v>
      </c>
      <c r="BI14" s="908" t="n">
        <f aca="false">BI15/BI13*1000</f>
        <v>0.251117472753754</v>
      </c>
      <c r="BJ14" s="908" t="n">
        <f aca="false">BJ15/BJ13*1000</f>
        <v>0.641025641025641</v>
      </c>
      <c r="BK14" s="908" t="n">
        <f aca="false">BK15/BK13*1000</f>
        <v>0.645161290322581</v>
      </c>
      <c r="BL14" s="908" t="n">
        <f aca="false">BL15/BL13*1000</f>
        <v>0.273444027526699</v>
      </c>
      <c r="BM14" s="908" t="n">
        <f aca="false">BM15/BM13*1000</f>
        <v>0.270091831222616</v>
      </c>
      <c r="BN14" s="908" t="n">
        <f aca="false">BN15/BN13*1000</f>
        <v>0.282385424728596</v>
      </c>
      <c r="BO14" s="908" t="n">
        <f aca="false">BO15/BO13*1000</f>
        <v>0.285517897742294</v>
      </c>
      <c r="BP14" s="908" t="n">
        <f aca="false">BP15/BP13*1000</f>
        <v>0.304663451941967</v>
      </c>
      <c r="BQ14" s="908" t="n">
        <f aca="false">BQ15/BQ13*1000</f>
        <v>0.304663451941967</v>
      </c>
      <c r="BR14" s="908" t="n">
        <f aca="false">BR15/BR13*1000</f>
        <v>0.304481122170425</v>
      </c>
      <c r="BS14" s="908" t="n">
        <f aca="false">BS15/BS13*1000</f>
        <v>0.304852409385249</v>
      </c>
      <c r="BT14" s="908" t="n">
        <f aca="false">BT15/BT13*1000</f>
        <v>0.304503501790271</v>
      </c>
      <c r="BU14" s="908" t="n">
        <f aca="false">BU15/BU13*1000</f>
        <v>0.909090909090909</v>
      </c>
      <c r="BV14" s="908" t="n">
        <f aca="false">BV15/BV13*1000</f>
        <v>0.287627235103306</v>
      </c>
      <c r="BW14" s="908" t="n">
        <f aca="false">BW15/BW13*1000</f>
        <v>0.297557056565597</v>
      </c>
      <c r="BX14" s="908" t="n">
        <f aca="false">BX15/BX13*1000</f>
        <v>0.28169014084507</v>
      </c>
      <c r="BY14" s="908" t="n">
        <f aca="false">BY15/BY13*1000</f>
        <v>0.214763453396331</v>
      </c>
      <c r="BZ14" s="908" t="n">
        <f aca="false">BZ15/BZ13*1000</f>
        <v>0.173844330304228</v>
      </c>
      <c r="CA14" s="908" t="n">
        <f aca="false">CA15/CA13*1000</f>
        <v>1.61290322580645</v>
      </c>
      <c r="CB14" s="908" t="n">
        <f aca="false">CB15/CB13*1000</f>
        <v>2.7027027027027</v>
      </c>
      <c r="CC14" s="908" t="n">
        <f aca="false">CC15/CC13*1000</f>
        <v>0.173844330304228</v>
      </c>
      <c r="CD14" s="908" t="n">
        <f aca="false">CD15/CD13*1000</f>
        <v>0.173720783322805</v>
      </c>
      <c r="CE14" s="908" t="n">
        <f aca="false">CE15/CE13*1000</f>
        <v>0.146661017501548</v>
      </c>
      <c r="CF14" s="908" t="n">
        <f aca="false">CF15/CF13*1000</f>
        <v>0.251204302981943</v>
      </c>
      <c r="CG14" s="908" t="n">
        <f aca="false">CG15/CG13*1000</f>
        <v>0.0962704815449487</v>
      </c>
      <c r="CH14" s="908" t="n">
        <f aca="false">CH15/CH13*1000</f>
        <v>0.584795321637427</v>
      </c>
      <c r="CI14" s="908" t="n">
        <f aca="false">CI15/CI13*1000</f>
        <v>0.751847701190189</v>
      </c>
      <c r="CJ14" s="908" t="n">
        <f aca="false">CJ15/CJ13*1000</f>
        <v>0.703768611919909</v>
      </c>
      <c r="CK14" s="908" t="n">
        <f aca="false">CK15/CK13*1000</f>
        <v>0.759311738145924</v>
      </c>
      <c r="CL14" s="908" t="n">
        <f aca="false">CL15/CL13*1000</f>
        <v>0.424119221375609</v>
      </c>
      <c r="CM14" s="908" t="n">
        <f aca="false">CM15/CM13*1000</f>
        <v>0.423958013537418</v>
      </c>
      <c r="CN14" s="908" t="n">
        <f aca="false">CN15/CN13*1000</f>
        <v>0.424336425624067</v>
      </c>
      <c r="CO14" s="908" t="n">
        <f aca="false">CO15/CO13*1000</f>
        <v>0.424404735771465</v>
      </c>
      <c r="CP14" s="908" t="n">
        <f aca="false">CP15/CP13*1000</f>
        <v>0.651213903416838</v>
      </c>
      <c r="CQ14" s="908" t="n">
        <f aca="false">CQ15/CQ13*1000</f>
        <v>0.826446280991736</v>
      </c>
      <c r="CR14" s="908" t="n">
        <f aca="false">CR15/CR13*1000</f>
        <v>0.892857142857143</v>
      </c>
      <c r="CS14" s="908" t="n">
        <f aca="false">CS15/CS13*1000</f>
        <v>3.63636363636364</v>
      </c>
      <c r="CT14" s="908" t="n">
        <f aca="false">CT15/CT13*1000</f>
        <v>4</v>
      </c>
      <c r="CU14" s="908" t="n">
        <f aca="false">CU15/CU13*1000</f>
        <v>3.57142857142857</v>
      </c>
      <c r="CV14" s="908" t="n">
        <f aca="false">CV15/CV13*1000</f>
        <v>3.63636363636364</v>
      </c>
      <c r="CW14" s="908" t="n">
        <f aca="false">CW15/CW13*1000</f>
        <v>2.5974025974026</v>
      </c>
      <c r="CX14" s="908" t="n">
        <f aca="false">CX15/CX13*1000</f>
        <v>2.5974025974026</v>
      </c>
      <c r="CY14" s="908" t="n">
        <f aca="false">CY15/CY13*1000</f>
        <v>0.196545172632177</v>
      </c>
      <c r="CZ14" s="908" t="n">
        <f aca="false">CZ15/CZ13*1000</f>
        <v>0.184820108427797</v>
      </c>
      <c r="DA14" s="908" t="n">
        <f aca="false">DA15/DA13*1000</f>
        <v>0.18437427978797</v>
      </c>
      <c r="DB14" s="908" t="n">
        <f aca="false">DB15/DB13*1000</f>
        <v>2.94117647058824</v>
      </c>
      <c r="DC14" s="908" t="n">
        <f aca="false">DC15/DC13*1000</f>
        <v>0.560876693416171</v>
      </c>
      <c r="DD14" s="908" t="n">
        <f aca="false">DD15/DD13*1000</f>
        <v>0.392204187533941</v>
      </c>
      <c r="DE14" s="908" t="n">
        <f aca="false">DE15/DE13*1000</f>
        <v>0.391354085134566</v>
      </c>
      <c r="DF14" s="908" t="n">
        <f aca="false">DF15/DF13*1000</f>
        <v>0.391359975916309</v>
      </c>
      <c r="DG14" s="908" t="n">
        <f aca="false">DG15/DG13*1000</f>
        <v>0.391354085134566</v>
      </c>
      <c r="DH14" s="908" t="n">
        <f aca="false">DH15/DH13*1000</f>
        <v>0.591991204702102</v>
      </c>
      <c r="DI14" s="908" t="n">
        <f aca="false">DI15/DI13*1000</f>
        <v>0.592149785698173</v>
      </c>
      <c r="DJ14" s="908" t="n">
        <f aca="false">DJ15/DJ13*1000</f>
        <v>0.314379728795087</v>
      </c>
      <c r="DK14" s="908" t="n">
        <f aca="false">DK15/DK13*1000</f>
        <v>0.341880341880342</v>
      </c>
      <c r="DL14" s="908" t="n">
        <f aca="false">DL15/DL13*1000</f>
        <v>0.341583082321523</v>
      </c>
      <c r="DM14" s="908" t="n">
        <f aca="false">DM15/DM13*1000</f>
        <v>0.392749244712991</v>
      </c>
      <c r="DN14" s="908" t="n">
        <f aca="false">DN15/DN13*1000</f>
        <v>0.492925075388541</v>
      </c>
      <c r="DO14" s="908" t="n">
        <f aca="false">DO15/DO13*1000</f>
        <v>0.49328980776206</v>
      </c>
      <c r="DP14" s="908" t="n">
        <f aca="false">DP15/DP13*1000</f>
        <v>0.342082348550815</v>
      </c>
      <c r="DQ14" s="908" t="n">
        <f aca="false">DQ15/DQ13*1000</f>
        <v>0.342077029527467</v>
      </c>
      <c r="DR14" s="908" t="n">
        <f aca="false">DR15/DR13*1000</f>
        <v>2.4390243902439</v>
      </c>
      <c r="DS14" s="908" t="n">
        <f aca="false">DS15/DS13*1000</f>
        <v>0.380390128115395</v>
      </c>
      <c r="DT14" s="908" t="n">
        <f aca="false">DT15/DT13*1000</f>
        <v>0.379379941423737</v>
      </c>
      <c r="DU14" s="908" t="n">
        <f aca="false">DU15/DU13*1000</f>
        <v>0.802349933364158</v>
      </c>
      <c r="DV14" s="908" t="n">
        <f aca="false">DV15/DV13*1000</f>
        <v>2.20250456233088</v>
      </c>
      <c r="DW14" s="908" t="n">
        <f aca="false">DW15/DW13*1000</f>
        <v>2.20278179872868</v>
      </c>
      <c r="DX14" s="844" t="n">
        <v>2.2</v>
      </c>
      <c r="DY14" s="844" t="n">
        <v>2.2</v>
      </c>
      <c r="DZ14" s="908" t="n">
        <f aca="false">DZ15/DZ13*1000</f>
        <v>0.802393580851353</v>
      </c>
      <c r="EA14" s="908" t="n">
        <f aca="false">EA15/EA13*1000</f>
        <v>0.196545172632177</v>
      </c>
      <c r="EB14" s="908" t="n">
        <f aca="false">EB15/EB13*1000</f>
        <v>2.5974025974026</v>
      </c>
      <c r="EC14" s="908" t="n">
        <f aca="false">EC15/EC13*1000</f>
        <v>2.63157894736842</v>
      </c>
      <c r="ED14" s="908" t="n">
        <f aca="false">ED15/ED13*1000</f>
        <v>4</v>
      </c>
      <c r="EE14" s="908" t="n">
        <f aca="false">EE15/EE13*1000</f>
        <v>0.619837494778543</v>
      </c>
      <c r="EF14" s="908" t="n">
        <f aca="false">EF15/EF13*1000</f>
        <v>11.1111111111111</v>
      </c>
      <c r="EG14" s="908" t="n">
        <f aca="false">EG15/EG13*1000</f>
        <v>11.1111111111111</v>
      </c>
      <c r="EH14" s="908" t="n">
        <f aca="false">EH15/EH13*1000</f>
        <v>2.5974025974026</v>
      </c>
      <c r="EI14" s="908" t="n">
        <f aca="false">EI15/EI13*1000</f>
        <v>3.63636363636364</v>
      </c>
      <c r="EJ14" s="908" t="n">
        <f aca="false">EJ15/EJ13*1000</f>
        <v>5.26315789473684</v>
      </c>
      <c r="EK14" s="908" t="n">
        <f aca="false">EK15/EK13*1000</f>
        <v>5.26315789473684</v>
      </c>
      <c r="EL14" s="910" t="n">
        <f aca="false">EL15/EL13*1000</f>
        <v>5.26315789473684</v>
      </c>
      <c r="EM14" s="910" t="n">
        <f aca="false">EM15/EM13*1000</f>
        <v>3.44827586206897</v>
      </c>
      <c r="EN14" s="910" t="n">
        <f aca="false">EN15/EN13*1000</f>
        <v>2.85714285714286</v>
      </c>
      <c r="EO14" s="910" t="n">
        <f aca="false">EO15/EO13*1000</f>
        <v>2.85714285714286</v>
      </c>
      <c r="EP14" s="910" t="n">
        <f aca="false">EP15/EP13*1000</f>
        <v>1.92307692307692</v>
      </c>
      <c r="EQ14" s="910" t="n">
        <f aca="false">EQ15/EQ13*1000</f>
        <v>1.61290322580645</v>
      </c>
      <c r="ER14" s="910" t="n">
        <f aca="false">ER15/ER13*1000</f>
        <v>1.61290322580645</v>
      </c>
      <c r="ES14" s="910" t="n">
        <f aca="false">ES15/ES13*1000</f>
        <v>1.08695652173913</v>
      </c>
      <c r="ET14" s="908" t="n">
        <f aca="false">ET15/ET13*1000</f>
        <v>1.08695652173913</v>
      </c>
      <c r="EU14" s="910" t="n">
        <f aca="false">EU15/EU13*1000</f>
        <v>1.08695652173913</v>
      </c>
      <c r="EV14" s="910" t="n">
        <f aca="false">EV15/EV13*1000</f>
        <v>0.892857142857143</v>
      </c>
      <c r="EW14" s="910" t="n">
        <f aca="false">EW15/EW13*1000</f>
        <v>5.26315789473684</v>
      </c>
      <c r="EX14" s="908" t="n">
        <f aca="false">EX15/EX13*1000</f>
        <v>1.08695652173913</v>
      </c>
      <c r="EY14" s="908" t="n">
        <f aca="false">EY15/EY13*1000</f>
        <v>1.30716365292824</v>
      </c>
      <c r="EZ14" s="908" t="n">
        <f aca="false">EZ15/EZ13*1000</f>
        <v>1.30716365292824</v>
      </c>
      <c r="FA14" s="908" t="n">
        <f aca="false">FA15/FA13*1000</f>
        <v>1.30716365292824</v>
      </c>
      <c r="FB14" s="908" t="n">
        <f aca="false">FB15/FB13*1000</f>
        <v>1.28807244912114</v>
      </c>
      <c r="FC14" s="908" t="n">
        <f aca="false">FC15/FC13*1000</f>
        <v>1.28807244912114</v>
      </c>
      <c r="FD14" s="908" t="n">
        <f aca="false">FD15/FD13*1000</f>
        <v>1.08695652173913</v>
      </c>
      <c r="FE14" s="908" t="n">
        <f aca="false">FE15/FE13*1000</f>
        <v>1.08695652173913</v>
      </c>
      <c r="FF14" s="908" t="n">
        <f aca="false">FF15/FF13*1000</f>
        <v>1.12359550561798</v>
      </c>
      <c r="FG14" s="908" t="n">
        <f aca="false">FG15/FG13*1000</f>
        <v>0.497739854741226</v>
      </c>
      <c r="FH14" s="908" t="n">
        <f aca="false">FH15/FH13*1000</f>
        <v>0.498185182549285</v>
      </c>
      <c r="FI14" s="908" t="n">
        <f aca="false">FI15/FI13*1000</f>
        <v>1.05097214923805</v>
      </c>
      <c r="FJ14" s="908" t="n">
        <f aca="false">FJ15/FJ13*1000</f>
        <v>1.05098219062906</v>
      </c>
      <c r="FK14" s="908" t="n">
        <f aca="false">FK15/FK13*1000</f>
        <v>0.828964002238203</v>
      </c>
      <c r="FL14" s="908" t="n">
        <f aca="false">FL15/FL13*1000</f>
        <v>0.619804770051323</v>
      </c>
      <c r="FM14" s="908" t="n">
        <f aca="false">FM15/FM13*1000</f>
        <v>7.53768844221106</v>
      </c>
      <c r="FN14" s="908" t="n">
        <f aca="false">FN15/FN13*1000</f>
        <v>7.53768844221106</v>
      </c>
      <c r="FO14" s="908"/>
      <c r="FP14" s="911" t="n">
        <f aca="false">FP15/FP13*1000</f>
        <v>1.05210420841683</v>
      </c>
      <c r="FQ14" s="911" t="n">
        <f aca="false">FQ15/FQ13*1000</f>
        <v>1.05210420841683</v>
      </c>
      <c r="FR14" s="911" t="n">
        <f aca="false">FR15/FR13*1000</f>
        <v>1.05210420841683</v>
      </c>
      <c r="FS14" s="911" t="n">
        <f aca="false">FS15/FS13*1000</f>
        <v>1.05210420841683</v>
      </c>
      <c r="FT14" s="911" t="n">
        <f aca="false">FT15/FT13*1000</f>
        <v>1.05210420841683</v>
      </c>
      <c r="FU14" s="911" t="n">
        <f aca="false">FU15/FU13*1000</f>
        <v>1.05210420841683</v>
      </c>
      <c r="FV14" s="911" t="n">
        <f aca="false">FV15/FV13*1000</f>
        <v>1.05210420841683</v>
      </c>
      <c r="FW14" s="911" t="n">
        <f aca="false">FW15/FW13*1000</f>
        <v>1.05210420841683</v>
      </c>
      <c r="FX14" s="911" t="n">
        <f aca="false">FX15/FX13*1000</f>
        <v>1.05210420841683</v>
      </c>
      <c r="FY14" s="911" t="n">
        <f aca="false">FY15/FY13*1000</f>
        <v>1.05210420841683</v>
      </c>
      <c r="FZ14" s="911" t="n">
        <f aca="false">FZ15/FZ13*1000</f>
        <v>1.05210420841683</v>
      </c>
      <c r="GA14" s="911" t="n">
        <f aca="false">GA15/GA13*1000</f>
        <v>1.05210420841683</v>
      </c>
      <c r="GB14" s="911" t="n">
        <f aca="false">GB15/GB13*1000</f>
        <v>1.05210420841683</v>
      </c>
      <c r="GC14" s="911" t="n">
        <f aca="false">GC15/GC13*1000</f>
        <v>1.05210420841683</v>
      </c>
      <c r="GD14" s="911" t="n">
        <f aca="false">GD15/GD13*1000</f>
        <v>1.05210420841683</v>
      </c>
      <c r="GE14" s="911" t="n">
        <f aca="false">GE15/GE13*1000</f>
        <v>1.05210420841683</v>
      </c>
      <c r="GF14" s="911" t="n">
        <f aca="false">GF15/GF13*1000</f>
        <v>1.05210420841683</v>
      </c>
      <c r="GG14" s="911" t="n">
        <f aca="false">GG15/GG13*1000</f>
        <v>1.05105105105105</v>
      </c>
      <c r="GH14" s="911"/>
      <c r="GI14" s="908"/>
      <c r="GJ14" s="908"/>
      <c r="GK14" s="908"/>
      <c r="GL14" s="908"/>
      <c r="GM14" s="908"/>
      <c r="GN14" s="908"/>
      <c r="GO14" s="908"/>
      <c r="GP14" s="908"/>
      <c r="GQ14" s="908"/>
      <c r="GR14" s="908"/>
      <c r="GS14" s="908"/>
      <c r="GT14" s="908"/>
      <c r="GU14" s="908"/>
      <c r="GV14" s="908"/>
      <c r="GW14" s="908"/>
      <c r="GX14" s="908"/>
      <c r="GY14" s="908"/>
      <c r="GZ14" s="908"/>
      <c r="HA14" s="908"/>
      <c r="HB14" s="908"/>
      <c r="HC14" s="908"/>
      <c r="HD14" s="908"/>
      <c r="HE14" s="908"/>
      <c r="HF14" s="908"/>
      <c r="HG14" s="880"/>
      <c r="HH14" s="880"/>
      <c r="HI14" s="880"/>
      <c r="HJ14" s="880"/>
      <c r="HK14" s="880"/>
      <c r="HL14" s="912"/>
      <c r="HM14" s="912"/>
      <c r="HN14" s="912"/>
      <c r="HO14" s="912"/>
      <c r="HP14" s="912"/>
      <c r="HQ14" s="912"/>
      <c r="HR14" s="912"/>
      <c r="HS14" s="912"/>
      <c r="HT14" s="912"/>
      <c r="HU14" s="912"/>
      <c r="HV14" s="880"/>
      <c r="HW14" s="880"/>
      <c r="HX14" s="880"/>
      <c r="HY14" s="880"/>
      <c r="HZ14" s="880"/>
      <c r="IA14" s="880"/>
      <c r="IB14" s="880"/>
      <c r="IC14" s="880"/>
      <c r="ID14" s="880"/>
      <c r="IE14" s="880"/>
      <c r="IF14" s="880"/>
      <c r="IG14" s="880"/>
      <c r="IH14" s="880"/>
      <c r="II14" s="913"/>
      <c r="IJ14" s="880"/>
      <c r="IK14" s="880"/>
      <c r="IL14" s="880"/>
      <c r="IM14" s="880"/>
      <c r="IN14" s="880"/>
      <c r="IO14" s="880"/>
      <c r="IP14" s="914"/>
      <c r="IQ14" s="876"/>
      <c r="IR14" s="880"/>
      <c r="IS14" s="844"/>
      <c r="IT14" s="844"/>
      <c r="IU14" s="875"/>
      <c r="IV14" s="876"/>
      <c r="IW14" s="876"/>
      <c r="IX14" s="876"/>
      <c r="IY14" s="876"/>
      <c r="IZ14" s="876"/>
      <c r="JA14" s="876"/>
      <c r="JB14" s="876"/>
      <c r="JC14" s="875"/>
      <c r="JD14" s="875"/>
      <c r="JF14" s="880"/>
      <c r="JG14" s="880"/>
      <c r="JH14" s="880"/>
      <c r="JI14" s="880"/>
      <c r="JK14" s="880"/>
      <c r="JM14" s="880"/>
    </row>
    <row r="15" customFormat="false" ht="18.75" hidden="false" customHeight="false" outlineLevel="0" collapsed="false">
      <c r="A15" s="838" t="s">
        <v>1525</v>
      </c>
      <c r="B15" s="838" t="s">
        <v>1526</v>
      </c>
      <c r="C15" s="908" t="n">
        <f aca="false">IF(C9=1,HLOOKUP(C2,物流参数!$C$1:$GC$29,MATCH("VAP. VISC @ P&amp;T",物流参数!$A$1:$A$29,FALSE()),FALSE()),HLOOKUP(C2,物流参数!$C$1:$GC$29,MATCH("LIQ. VISC @ P&amp;T",物流参数!$A$1:$A$29,FALSE()),FALSE()))</f>
        <v>6.44</v>
      </c>
      <c r="D15" s="908" t="n">
        <f aca="false">IF(D9=1,HLOOKUP(D2,物流参数!$C$1:$GC$29,MATCH("VAP. VISC @ P&amp;T",物流参数!$A$1:$A$29,FALSE()),FALSE()),HLOOKUP(D2,物流参数!$C$1:$GC$29,MATCH("LIQ. VISC @ P&amp;T",物流参数!$A$1:$A$29,FALSE()),FALSE()))</f>
        <v>3.55</v>
      </c>
      <c r="E15" s="909" t="n">
        <f aca="false">IF(E9=1,HLOOKUP(E2,物流参数!$C$1:$GC$29,MATCH("VAP. VISC @ P&amp;T",物流参数!$A$1:$A$29,FALSE()),FALSE()),HLOOKUP(E2,物流参数!$C$1:$GC$29,MATCH("LIQ. VISC @ P&amp;T",物流参数!$A$1:$A$29,FALSE()),FALSE()))</f>
        <v>8.36</v>
      </c>
      <c r="F15" s="909" t="n">
        <f aca="false">IF(F9=1,HLOOKUP(F2,物流参数!$C$1:$GC$29,MATCH("VAP. VISC @ P&amp;T",物流参数!$A$1:$A$29,FALSE()),FALSE()),HLOOKUP(F2,物流参数!$C$1:$GC$29,MATCH("LIQ. VISC @ P&amp;T",物流参数!$A$1:$A$29,FALSE()),FALSE()))</f>
        <v>3.75</v>
      </c>
      <c r="G15" s="909" t="n">
        <f aca="false">IF(G9=1,HLOOKUP(G2,物流参数!$C$1:$GC$29,MATCH("VAP. VISC @ P&amp;T",物流参数!$A$1:$A$29,FALSE()),FALSE()),HLOOKUP(G2,物流参数!$C$1:$GC$29,MATCH("LIQ. VISC @ P&amp;T",物流参数!$A$1:$A$29,FALSE()),FALSE()))</f>
        <v>8.32</v>
      </c>
      <c r="H15" s="908" t="n">
        <f aca="false">IF(H9=1,HLOOKUP(H2,物流参数!$C$1:$GC$29,MATCH("VAP. VISC @ P&amp;T",物流参数!$A$1:$A$29,FALSE()),FALSE()),HLOOKUP(H2,物流参数!$C$1:$GC$29,MATCH("LIQ. VISC @ P&amp;T",物流参数!$A$1:$A$29,FALSE()),FALSE()))</f>
        <v>4.26</v>
      </c>
      <c r="I15" s="908" t="n">
        <f aca="false">IF(I9=1,HLOOKUP(I2,物流参数!$C$1:$GC$29,MATCH("VAP. VISC @ P&amp;T",物流参数!$A$1:$A$29,FALSE()),FALSE()),HLOOKUP(I2,物流参数!$C$1:$GC$29,MATCH("LIQ. VISC @ P&amp;T",物流参数!$A$1:$A$29,FALSE()),FALSE()))</f>
        <v>0.9</v>
      </c>
      <c r="J15" s="908" t="n">
        <f aca="false">IF(J9=1,HLOOKUP(J2,物流参数!$C$1:$GC$29,MATCH("VAP. VISC @ P&amp;T",物流参数!$A$1:$A$29,FALSE()),FALSE()),HLOOKUP(J2,物流参数!$C$1:$GC$29,MATCH("LIQ. VISC @ P&amp;T",物流参数!$A$1:$A$29,FALSE()),FALSE()))</f>
        <v>0.9</v>
      </c>
      <c r="K15" s="908" t="n">
        <f aca="false">IF(K9=1,HLOOKUP(K2,物流参数!$C$1:$GC$29,MATCH("VAP. VISC @ P&amp;T",物流参数!$A$1:$A$29,FALSE()),FALSE()),HLOOKUP(K2,物流参数!$C$1:$GC$29,MATCH("LIQ. VISC @ P&amp;T",物流参数!$A$1:$A$29,FALSE()),FALSE()))</f>
        <v>0.9</v>
      </c>
      <c r="L15" s="908" t="n">
        <f aca="false">IF(L9=1,HLOOKUP(L2,物流参数!$C$1:$GC$29,MATCH("VAP. VISC @ P&amp;T",物流参数!$A$1:$A$29,FALSE()),FALSE()),HLOOKUP(L2,物流参数!$C$1:$GC$29,MATCH("LIQ. VISC @ P&amp;T",物流参数!$A$1:$A$29,FALSE()),FALSE()))</f>
        <v>0.88</v>
      </c>
      <c r="M15" s="908" t="n">
        <f aca="false">IF(M9=1,HLOOKUP(M2,物流参数!$C$1:$GC$29,MATCH("VAP. VISC @ P&amp;T",物流参数!$A$1:$A$29,FALSE()),FALSE()),HLOOKUP(M2,物流参数!$C$1:$GC$29,MATCH("LIQ. VISC @ P&amp;T",物流参数!$A$1:$A$29,FALSE()),FALSE()))</f>
        <v>0.87</v>
      </c>
      <c r="N15" s="908" t="n">
        <f aca="false">IF(N9=1,HLOOKUP(N2,物流参数!$C$1:$GC$29,MATCH("VAP. VISC @ P&amp;T",物流参数!$A$1:$A$29,FALSE()),FALSE()),HLOOKUP(N2,物流参数!$C$1:$GC$29,MATCH("LIQ. VISC @ P&amp;T",物流参数!$A$1:$A$29,FALSE()),FALSE()))</f>
        <v>0.01</v>
      </c>
      <c r="O15" s="908" t="n">
        <f aca="false">IF(O9=1,HLOOKUP(O2,物流参数!$C$1:$GC$29,MATCH("VAP. VISC @ P&amp;T",物流参数!$A$1:$A$29,FALSE()),FALSE()),HLOOKUP(O2,物流参数!$C$1:$GC$29,MATCH("LIQ. VISC @ P&amp;T",物流参数!$A$1:$A$29,FALSE()),FALSE()))</f>
        <v>0.79</v>
      </c>
      <c r="P15" s="908" t="n">
        <f aca="false">IF(P9=1,HLOOKUP(P2,物流参数!$C$1:$GC$29,MATCH("VAP. VISC @ P&amp;T",物流参数!$A$1:$A$29,FALSE()),FALSE()),HLOOKUP(P2,物流参数!$C$1:$GC$29,MATCH("LIQ. VISC @ P&amp;T",物流参数!$A$1:$A$29,FALSE()),FALSE()))</f>
        <v>0.21</v>
      </c>
      <c r="Q15" s="908" t="n">
        <f aca="false">IF(Q9=1,HLOOKUP(Q2,物流参数!$C$1:$GC$29,MATCH("VAP. VISC @ P&amp;T",物流参数!$A$1:$A$29,FALSE()),FALSE()),HLOOKUP(Q2,物流参数!$C$1:$GC$29,MATCH("LIQ. VISC @ P&amp;T",物流参数!$A$1:$A$29,FALSE()),FALSE()))</f>
        <v>0.6</v>
      </c>
      <c r="R15" s="908" t="n">
        <f aca="false">IF(R9=1,HLOOKUP(R2,物流参数!$C$1:$GC$29,MATCH("VAP. VISC @ P&amp;T",物流参数!$A$1:$A$29,FALSE()),FALSE()),HLOOKUP(R2,物流参数!$C$1:$GC$29,MATCH("LIQ. VISC @ P&amp;T",物流参数!$A$1:$A$29,FALSE()),FALSE()))</f>
        <v>1.54</v>
      </c>
      <c r="S15" s="908" t="n">
        <f aca="false">IF(S9=1,HLOOKUP(S2,物流参数!$C$1:$GC$29,MATCH("VAP. VISC @ P&amp;T",物流参数!$A$1:$A$29,FALSE()),FALSE()),HLOOKUP(S2,物流参数!$C$1:$GC$29,MATCH("LIQ. VISC @ P&amp;T",物流参数!$A$1:$A$29,FALSE()),FALSE()))</f>
        <v>1.54</v>
      </c>
      <c r="T15" s="908" t="n">
        <f aca="false">IF(T9=1,HLOOKUP(T2,物流参数!$C$1:$GC$29,MATCH("VAP. VISC @ P&amp;T",物流参数!$A$1:$A$29,FALSE()),FALSE()),HLOOKUP(T2,物流参数!$C$1:$GC$29,MATCH("LIQ. VISC @ P&amp;T",物流参数!$A$1:$A$29,FALSE()),FALSE()))</f>
        <v>2.38</v>
      </c>
      <c r="U15" s="908" t="n">
        <f aca="false">IF(U9=1,HLOOKUP(U2,物流参数!$C$1:$GC$29,MATCH("VAP. VISC @ P&amp;T",物流参数!$A$1:$A$29,FALSE()),FALSE()),HLOOKUP(U2,物流参数!$C$1:$GC$29,MATCH("LIQ. VISC @ P&amp;T",物流参数!$A$1:$A$29,FALSE()),FALSE()))</f>
        <v>2.38</v>
      </c>
      <c r="V15" s="908" t="n">
        <f aca="false">IF(V9=1,HLOOKUP(V2,物流参数!$C$1:$GC$29,MATCH("VAP. VISC @ P&amp;T",物流参数!$A$1:$A$29,FALSE()),FALSE()),HLOOKUP(V2,物流参数!$C$1:$GC$29,MATCH("LIQ. VISC @ P&amp;T",物流参数!$A$1:$A$29,FALSE()),FALSE()))</f>
        <v>1.54</v>
      </c>
      <c r="W15" s="908" t="n">
        <v>4.26</v>
      </c>
      <c r="X15" s="908" t="n">
        <v>4.26</v>
      </c>
      <c r="Y15" s="908" t="n">
        <f aca="false">IF(Y9=1,HLOOKUP(Y2,物流参数!$C$1:$GC$29,MATCH("VAP. VISC @ P&amp;T",物流参数!$A$1:$A$29,FALSE()),FALSE()),HLOOKUP(Y2,物流参数!$C$1:$GC$29,MATCH("LIQ. VISC @ P&amp;T",物流参数!$A$1:$A$29,FALSE()),FALSE()))</f>
        <v>0.11</v>
      </c>
      <c r="Z15" s="908" t="n">
        <f aca="false">IF(Z9=1,HLOOKUP(Z2,物流参数!$C$1:$GC$29,MATCH("VAP. VISC @ P&amp;T",物流参数!$A$1:$A$29,FALSE()),FALSE()),HLOOKUP(Z2,物流参数!$C$1:$GC$29,MATCH("LIQ. VISC @ P&amp;T",物流参数!$A$1:$A$29,FALSE()),FALSE()))</f>
        <v>0.08</v>
      </c>
      <c r="AA15" s="908" t="n">
        <f aca="false">IF(AA9=1,HLOOKUP(AA2,物流参数!$C$1:$GC$29,MATCH("VAP. VISC @ P&amp;T",物流参数!$A$1:$A$29,FALSE()),FALSE()),HLOOKUP(AA2,物流参数!$C$1:$GC$29,MATCH("LIQ. VISC @ P&amp;T",物流参数!$A$1:$A$29,FALSE()),FALSE()))</f>
        <v>0.05</v>
      </c>
      <c r="AB15" s="908" t="n">
        <f aca="false">IF(AB9=1,HLOOKUP(AB2,物流参数!$C$1:$GC$29,MATCH("VAP. VISC @ P&amp;T",物流参数!$A$1:$A$29,FALSE()),FALSE()),HLOOKUP(AB2,物流参数!$C$1:$GC$29,MATCH("LIQ. VISC @ P&amp;T",物流参数!$A$1:$A$29,FALSE()),FALSE()))</f>
        <v>0.05</v>
      </c>
      <c r="AC15" s="908" t="n">
        <f aca="false">IF(AC9=1,HLOOKUP(AC2,物流参数!$C$1:$GC$29,MATCH("VAP. VISC @ P&amp;T",物流参数!$A$1:$A$29,FALSE()),FALSE()),HLOOKUP(AC2,物流参数!$C$1:$GC$29,MATCH("LIQ. VISC @ P&amp;T",物流参数!$A$1:$A$29,FALSE()),FALSE()))</f>
        <v>0.05</v>
      </c>
      <c r="AD15" s="908" t="n">
        <f aca="false">IF(AD9=1,HLOOKUP(AD2,物流参数!$C$1:$GC$29,MATCH("VAP. VISC @ P&amp;T",物流参数!$A$1:$A$29,FALSE()),FALSE()),HLOOKUP(AD2,物流参数!$C$1:$GC$29,MATCH("LIQ. VISC @ P&amp;T",物流参数!$A$1:$A$29,FALSE()),FALSE()))</f>
        <v>0.06</v>
      </c>
      <c r="AE15" s="908" t="n">
        <f aca="false">IF(AE9=1,HLOOKUP(AE2,物流参数!$C$1:$GC$29,MATCH("VAP. VISC @ P&amp;T",物流参数!$A$1:$A$29,FALSE()),FALSE()),HLOOKUP(AE2,物流参数!$C$1:$GC$29,MATCH("LIQ. VISC @ P&amp;T",物流参数!$A$1:$A$29,FALSE()),FALSE()))</f>
        <v>0.06</v>
      </c>
      <c r="AF15" s="908" t="n">
        <f aca="false">IF(AF9=1,HLOOKUP(AF2,物流参数!$C$1:$GC$29,MATCH("VAP. VISC @ P&amp;T",物流参数!$A$1:$A$29,FALSE()),FALSE()),HLOOKUP(AF2,物流参数!$C$1:$GC$29,MATCH("LIQ. VISC @ P&amp;T",物流参数!$A$1:$A$29,FALSE()),FALSE()))</f>
        <v>0.01</v>
      </c>
      <c r="AG15" s="908" t="n">
        <f aca="false">IF(AG9=1,HLOOKUP(AG2,物流参数!$C$1:$GC$29,MATCH("VAP. VISC @ P&amp;T",物流参数!$A$1:$A$29,FALSE()),FALSE()),HLOOKUP(AG2,物流参数!$C$1:$GC$29,MATCH("LIQ. VISC @ P&amp;T",物流参数!$A$1:$A$29,FALSE()),FALSE()))</f>
        <v>0.01</v>
      </c>
      <c r="AH15" s="908" t="n">
        <f aca="false">IF(AH9=1,HLOOKUP(AH2,物流参数!$C$1:$GC$29,MATCH("VAP. VISC @ P&amp;T",物流参数!$A$1:$A$29,FALSE()),FALSE()),HLOOKUP(AH2,物流参数!$C$1:$GC$29,MATCH("LIQ. VISC @ P&amp;T",物流参数!$A$1:$A$29,FALSE()),FALSE()))</f>
        <v>0.01</v>
      </c>
      <c r="AI15" s="908" t="n">
        <f aca="false">IF(AI9=1,HLOOKUP(AI2,物流参数!$C$1:$GC$29,MATCH("VAP. VISC @ P&amp;T",物流参数!$A$1:$A$29,FALSE()),FALSE()),HLOOKUP(AI2,物流参数!$C$1:$GC$29,MATCH("LIQ. VISC @ P&amp;T",物流参数!$A$1:$A$29,FALSE()),FALSE()))</f>
        <v>0.01</v>
      </c>
      <c r="AJ15" s="908" t="n">
        <f aca="false">IF(AJ9=1,HLOOKUP(AJ2,物流参数!$C$1:$GC$29,MATCH("VAP. VISC @ P&amp;T",物流参数!$A$1:$A$29,FALSE()),FALSE()),HLOOKUP(AJ2,物流参数!$C$1:$GC$29,MATCH("LIQ. VISC @ P&amp;T",物流参数!$A$1:$A$29,FALSE()),FALSE()))</f>
        <v>0.01</v>
      </c>
      <c r="AK15" s="908" t="n">
        <f aca="false">IF(AK9=1,HLOOKUP(AK2,物流参数!$C$1:$GC$29,MATCH("VAP. VISC @ P&amp;T",物流参数!$A$1:$A$29,FALSE()),FALSE()),HLOOKUP(AK2,物流参数!$C$1:$GC$29,MATCH("LIQ. VISC @ P&amp;T",物流参数!$A$1:$A$29,FALSE()),FALSE()))</f>
        <v>0.02</v>
      </c>
      <c r="AL15" s="908" t="n">
        <f aca="false">IF(AL9=1,HLOOKUP(AL2,物流参数!$C$1:$GC$29,MATCH("VAP. VISC @ P&amp;T",物流参数!$A$1:$A$29,FALSE()),FALSE()),HLOOKUP(AL2,物流参数!$C$1:$GC$29,MATCH("LIQ. VISC @ P&amp;T",物流参数!$A$1:$A$29,FALSE()),FALSE()))</f>
        <v>0.03</v>
      </c>
      <c r="AM15" s="908" t="n">
        <f aca="false">IF(AM9=1,HLOOKUP(AM2,物流参数!$C$1:$GC$29,MATCH("VAP. VISC @ P&amp;T",物流参数!$A$1:$A$29,FALSE()),FALSE()),HLOOKUP(AM2,物流参数!$C$1:$GC$29,MATCH("LIQ. VISC @ P&amp;T",物流参数!$A$1:$A$29,FALSE()),FALSE()))</f>
        <v>0.03</v>
      </c>
      <c r="AN15" s="908" t="n">
        <f aca="false">IF(AN9=1,HLOOKUP(AN2,物流参数!$C$1:$GC$29,MATCH("VAP. VISC @ P&amp;T",物流参数!$A$1:$A$29,FALSE()),FALSE()),HLOOKUP(AN2,物流参数!$C$1:$GC$29,MATCH("LIQ. VISC @ P&amp;T",物流参数!$A$1:$A$29,FALSE()),FALSE()))</f>
        <v>0.03</v>
      </c>
      <c r="AO15" s="908" t="n">
        <f aca="false">IF(AO9=1,HLOOKUP(AO2,物流参数!$C$1:$GC$29,MATCH("VAP. VISC @ P&amp;T",物流参数!$A$1:$A$29,FALSE()),FALSE()),HLOOKUP(AO2,物流参数!$C$1:$GC$29,MATCH("LIQ. VISC @ P&amp;T",物流参数!$A$1:$A$29,FALSE()),FALSE()))</f>
        <v>0.03</v>
      </c>
      <c r="AP15" s="908" t="n">
        <f aca="false">IF(AP9=1,HLOOKUP(AP2,物流参数!$C$1:$GC$29,MATCH("VAP. VISC @ P&amp;T",物流参数!$A$1:$A$29,FALSE()),FALSE()),HLOOKUP(AP2,物流参数!$C$1:$GC$29,MATCH("LIQ. VISC @ P&amp;T",物流参数!$A$1:$A$29,FALSE()),FALSE()))</f>
        <v>0.03</v>
      </c>
      <c r="AQ15" s="908" t="n">
        <f aca="false">IF(AQ9=1,HLOOKUP(AQ2,物流参数!$C$1:$GC$29,MATCH("VAP. VISC @ P&amp;T",物流参数!$A$1:$A$29,FALSE()),FALSE()),HLOOKUP(AQ2,物流参数!$C$1:$GC$29,MATCH("LIQ. VISC @ P&amp;T",物流参数!$A$1:$A$29,FALSE()),FALSE()))</f>
        <v>0.05</v>
      </c>
      <c r="AR15" s="908" t="n">
        <f aca="false">IF(AR9=1,HLOOKUP(AR2,物流参数!$C$1:$GC$29,MATCH("VAP. VISC @ P&amp;T",物流参数!$A$1:$A$29,FALSE()),FALSE()),HLOOKUP(AR2,物流参数!$C$1:$GC$29,MATCH("LIQ. VISC @ P&amp;T",物流参数!$A$1:$A$29,FALSE()),FALSE()))</f>
        <v>0.14</v>
      </c>
      <c r="AS15" s="908" t="n">
        <f aca="false">IF(AS9=1,HLOOKUP(AS2,物流参数!$C$1:$GC$29,MATCH("VAP. VISC @ P&amp;T",物流参数!$A$1:$A$29,FALSE()),FALSE()),HLOOKUP(AS2,物流参数!$C$1:$GC$29,MATCH("LIQ. VISC @ P&amp;T",物流参数!$A$1:$A$29,FALSE()),FALSE()))</f>
        <v>0.14</v>
      </c>
      <c r="AT15" s="908" t="n">
        <f aca="false">IF(AT9=1,HLOOKUP(AT2,物流参数!$C$1:$GC$29,MATCH("VAP. VISC @ P&amp;T",物流参数!$A$1:$A$29,FALSE()),FALSE()),HLOOKUP(AT2,物流参数!$C$1:$GC$29,MATCH("LIQ. VISC @ P&amp;T",物流参数!$A$1:$A$29,FALSE()),FALSE()))</f>
        <v>0.18</v>
      </c>
      <c r="AU15" s="908" t="n">
        <f aca="false">IF(AU9=1,HLOOKUP(AU2,物流参数!$C$1:$GC$29,MATCH("VAP. VISC @ P&amp;T",物流参数!$A$1:$A$29,FALSE()),FALSE()),HLOOKUP(AU2,物流参数!$C$1:$GC$29,MATCH("LIQ. VISC @ P&amp;T",物流参数!$A$1:$A$29,FALSE()),FALSE()))</f>
        <v>0.019</v>
      </c>
      <c r="AV15" s="908" t="n">
        <f aca="false">IF(AV9=1,HLOOKUP(AV2,物流参数!$C$1:$GC$29,MATCH("VAP. VISC @ P&amp;T",物流参数!$A$1:$A$29,FALSE()),FALSE()),HLOOKUP(AV2,物流参数!$C$1:$GC$29,MATCH("LIQ. VISC @ P&amp;T",物流参数!$A$1:$A$29,FALSE()),FALSE()))</f>
        <v>0.02</v>
      </c>
      <c r="AW15" s="908" t="n">
        <f aca="false">IF(AW9=1,HLOOKUP(AW2,物流参数!$C$1:$GC$29,MATCH("VAP. VISC @ P&amp;T",物流参数!$A$1:$A$29,FALSE()),FALSE()),HLOOKUP(AW2,物流参数!$C$1:$GC$29,MATCH("LIQ. VISC @ P&amp;T",物流参数!$A$1:$A$29,FALSE()),FALSE()))</f>
        <v>0.02</v>
      </c>
      <c r="AX15" s="908" t="n">
        <f aca="false">IF(AX9=1,HLOOKUP(AX2,物流参数!$C$1:$GC$29,MATCH("VAP. VISC @ P&amp;T",物流参数!$A$1:$A$29,FALSE()),FALSE()),HLOOKUP(AX2,物流参数!$C$1:$GC$29,MATCH("LIQ. VISC @ P&amp;T",物流参数!$A$1:$A$29,FALSE()),FALSE()))</f>
        <v>0.18</v>
      </c>
      <c r="AY15" s="908" t="n">
        <f aca="false">IF(AY9=1,HLOOKUP(AY2,物流参数!$C$1:$GC$29,MATCH("VAP. VISC @ P&amp;T",物流参数!$A$1:$A$29,FALSE()),FALSE()),HLOOKUP(AY2,物流参数!$C$1:$GC$29,MATCH("LIQ. VISC @ P&amp;T",物流参数!$A$1:$A$29,FALSE()),FALSE()))</f>
        <v>0.02</v>
      </c>
      <c r="AZ15" s="908" t="n">
        <f aca="false">IF(AZ9=1,HLOOKUP(AZ2,物流参数!$C$1:$GC$29,MATCH("VAP. VISC @ P&amp;T",物流参数!$A$1:$A$29,FALSE()),FALSE()),HLOOKUP(AZ2,物流参数!$C$1:$GC$29,MATCH("LIQ. VISC @ P&amp;T",物流参数!$A$1:$A$29,FALSE()),FALSE()))</f>
        <v>0.02</v>
      </c>
      <c r="BA15" s="908" t="n">
        <f aca="false">IF(BA9=1,HLOOKUP(BA2,物流参数!$C$1:$GC$29,MATCH("VAP. VISC @ P&amp;T",物流参数!$A$1:$A$29,FALSE()),FALSE()),HLOOKUP(BA2,物流参数!$C$1:$GC$29,MATCH("LIQ. VISC @ P&amp;T",物流参数!$A$1:$A$29,FALSE()),FALSE()))</f>
        <v>0.32</v>
      </c>
      <c r="BB15" s="908" t="n">
        <f aca="false">IF(BB9=1,HLOOKUP(BB2,物流参数!$C$1:$GC$29,MATCH("VAP. VISC @ P&amp;T",物流参数!$A$1:$A$29,FALSE()),FALSE()),HLOOKUP(BB2,物流参数!$C$1:$GC$29,MATCH("LIQ. VISC @ P&amp;T",物流参数!$A$1:$A$29,FALSE()),FALSE()))</f>
        <v>0.29</v>
      </c>
      <c r="BC15" s="908" t="n">
        <f aca="false">IF(BC9=1,HLOOKUP(BC2,物流参数!$C$1:$GC$29,MATCH("VAP. VISC @ P&amp;T",物流参数!$A$1:$A$29,FALSE()),FALSE()),HLOOKUP(BC2,物流参数!$C$1:$GC$29,MATCH("LIQ. VISC @ P&amp;T",物流参数!$A$1:$A$29,FALSE()),FALSE()))</f>
        <v>1.34</v>
      </c>
      <c r="BD15" s="908" t="n">
        <f aca="false">IF(BD9=1,HLOOKUP(BD2,物流参数!$C$1:$GC$29,MATCH("VAP. VISC @ P&amp;T",物流参数!$A$1:$A$29,FALSE()),FALSE()),HLOOKUP(BD2,物流参数!$C$1:$GC$29,MATCH("LIQ. VISC @ P&amp;T",物流参数!$A$1:$A$29,FALSE()),FALSE()))</f>
        <v>0.96</v>
      </c>
      <c r="BE15" s="908" t="n">
        <f aca="false">IF(BE9=1,HLOOKUP(BE2,物流参数!$C$1:$GC$29,MATCH("VAP. VISC @ P&amp;T",物流参数!$A$1:$A$29,FALSE()),FALSE()),HLOOKUP(BE2,物流参数!$C$1:$GC$29,MATCH("LIQ. VISC @ P&amp;T",物流参数!$A$1:$A$29,FALSE()),FALSE()))</f>
        <v>1.62</v>
      </c>
      <c r="BF15" s="908" t="n">
        <f aca="false">IF(BF9=1,HLOOKUP(BF2,物流参数!$C$1:$GC$29,MATCH("VAP. VISC @ P&amp;T",物流参数!$A$1:$A$29,FALSE()),FALSE()),HLOOKUP(BF2,物流参数!$C$1:$GC$29,MATCH("LIQ. VISC @ P&amp;T",物流参数!$A$1:$A$29,FALSE()),FALSE()))</f>
        <v>0.63</v>
      </c>
      <c r="BG15" s="908" t="n">
        <f aca="false">IF(BG9=1,HLOOKUP(BG2,物流参数!$C$1:$GC$29,MATCH("VAP. VISC @ P&amp;T",物流参数!$A$1:$A$29,FALSE()),FALSE()),HLOOKUP(BG2,物流参数!$C$1:$GC$29,MATCH("LIQ. VISC @ P&amp;T",物流参数!$A$1:$A$29,FALSE()),FALSE()))</f>
        <v>0.63</v>
      </c>
      <c r="BH15" s="908" t="n">
        <f aca="false">IF(BH9=1,HLOOKUP(BH2,物流参数!$C$1:$GC$29,MATCH("VAP. VISC @ P&amp;T",物流参数!$A$1:$A$29,FALSE()),FALSE()),HLOOKUP(BH2,物流参数!$C$1:$GC$29,MATCH("LIQ. VISC @ P&amp;T",物流参数!$A$1:$A$29,FALSE()),FALSE()))</f>
        <v>0.47</v>
      </c>
      <c r="BI15" s="908" t="n">
        <f aca="false">IF(BI9=1,HLOOKUP(BI2,物流参数!$C$1:$GC$29,MATCH("VAP. VISC @ P&amp;T",物流参数!$A$1:$A$29,FALSE()),FALSE()),HLOOKUP(BI2,物流参数!$C$1:$GC$29,MATCH("LIQ. VISC @ P&amp;T",物流参数!$A$1:$A$29,FALSE()),FALSE()))</f>
        <v>0.15</v>
      </c>
      <c r="BJ15" s="908" t="n">
        <f aca="false">IF(BJ9=1,HLOOKUP(BJ2,物流参数!$C$1:$GC$29,MATCH("VAP. VISC @ P&amp;T",物流参数!$A$1:$A$29,FALSE()),FALSE()),HLOOKUP(BJ2,物流参数!$C$1:$GC$29,MATCH("LIQ. VISC @ P&amp;T",物流参数!$A$1:$A$29,FALSE()),FALSE()))</f>
        <v>0.01</v>
      </c>
      <c r="BK15" s="908" t="n">
        <f aca="false">IF(BK9=1,HLOOKUP(BK2,物流参数!$C$1:$GC$29,MATCH("VAP. VISC @ P&amp;T",物流参数!$A$1:$A$29,FALSE()),FALSE()),HLOOKUP(BK2,物流参数!$C$1:$GC$29,MATCH("LIQ. VISC @ P&amp;T",物流参数!$A$1:$A$29,FALSE()),FALSE()))</f>
        <v>0.01</v>
      </c>
      <c r="BL15" s="908" t="n">
        <f aca="false">IF(BL9=1,HLOOKUP(BL2,物流参数!$C$1:$GC$29,MATCH("VAP. VISC @ P&amp;T",物流参数!$A$1:$A$29,FALSE()),FALSE()),HLOOKUP(BL2,物流参数!$C$1:$GC$29,MATCH("LIQ. VISC @ P&amp;T",物流参数!$A$1:$A$29,FALSE()),FALSE()))</f>
        <v>0.18</v>
      </c>
      <c r="BM15" s="908" t="n">
        <f aca="false">IF(BM9=1,HLOOKUP(BM2,物流参数!$C$1:$GC$29,MATCH("VAP. VISC @ P&amp;T",物流参数!$A$1:$A$29,FALSE()),FALSE()),HLOOKUP(BM2,物流参数!$C$1:$GC$29,MATCH("LIQ. VISC @ P&amp;T",物流参数!$A$1:$A$29,FALSE()),FALSE()))</f>
        <v>0.18</v>
      </c>
      <c r="BN15" s="908" t="n">
        <f aca="false">IF(BN9=1,HLOOKUP(BN2,物流参数!$C$1:$GC$29,MATCH("VAP. VISC @ P&amp;T",物流参数!$A$1:$A$29,FALSE()),FALSE()),HLOOKUP(BN2,物流参数!$C$1:$GC$29,MATCH("LIQ. VISC @ P&amp;T",物流参数!$A$1:$A$29,FALSE()),FALSE()))</f>
        <v>0.27</v>
      </c>
      <c r="BO15" s="908" t="n">
        <f aca="false">IF(BO9=1,HLOOKUP(BO2,物流参数!$C$1:$GC$29,MATCH("VAP. VISC @ P&amp;T",物流参数!$A$1:$A$29,FALSE()),FALSE()),HLOOKUP(BO2,物流参数!$C$1:$GC$29,MATCH("LIQ. VISC @ P&amp;T",物流参数!$A$1:$A$29,FALSE()),FALSE()))</f>
        <v>0.27</v>
      </c>
      <c r="BP15" s="908" t="n">
        <f aca="false">IF(BP9=1,HLOOKUP(BP2,物流参数!$C$1:$GC$29,MATCH("VAP. VISC @ P&amp;T",物流参数!$A$1:$A$29,FALSE()),FALSE()),HLOOKUP(BP2,物流参数!$C$1:$GC$29,MATCH("LIQ. VISC @ P&amp;T",物流参数!$A$1:$A$29,FALSE()),FALSE()))</f>
        <v>0.29</v>
      </c>
      <c r="BQ15" s="908" t="n">
        <f aca="false">IF(BQ9=1,HLOOKUP(BQ2,物流参数!$C$1:$GC$29,MATCH("VAP. VISC @ P&amp;T",物流参数!$A$1:$A$29,FALSE()),FALSE()),HLOOKUP(BQ2,物流参数!$C$1:$GC$29,MATCH("LIQ. VISC @ P&amp;T",物流参数!$A$1:$A$29,FALSE()),FALSE()))</f>
        <v>0.29</v>
      </c>
      <c r="BR15" s="908" t="n">
        <f aca="false">IF(BR9=1,HLOOKUP(BR2,物流参数!$C$1:$GC$29,MATCH("VAP. VISC @ P&amp;T",物流参数!$A$1:$A$29,FALSE()),FALSE()),HLOOKUP(BR2,物流参数!$C$1:$GC$29,MATCH("LIQ. VISC @ P&amp;T",物流参数!$A$1:$A$29,FALSE()),FALSE()))</f>
        <v>0.29</v>
      </c>
      <c r="BS15" s="908" t="n">
        <f aca="false">IF(BS9=1,HLOOKUP(BS2,物流参数!$C$1:$GC$29,MATCH("VAP. VISC @ P&amp;T",物流参数!$A$1:$A$29,FALSE()),FALSE()),HLOOKUP(BS2,物流参数!$C$1:$GC$29,MATCH("LIQ. VISC @ P&amp;T",物流参数!$A$1:$A$29,FALSE()),FALSE()))</f>
        <v>0.29</v>
      </c>
      <c r="BT15" s="908" t="n">
        <f aca="false">IF(BT9=1,HLOOKUP(BT2,物流参数!$C$1:$GC$29,MATCH("VAP. VISC @ P&amp;T",物流参数!$A$1:$A$29,FALSE()),FALSE()),HLOOKUP(BT2,物流参数!$C$1:$GC$29,MATCH("LIQ. VISC @ P&amp;T",物流参数!$A$1:$A$29,FALSE()),FALSE()))</f>
        <v>0.29</v>
      </c>
      <c r="BU15" s="908" t="n">
        <f aca="false">IF(BU9=1,HLOOKUP(BU2,物流参数!$C$1:$GC$29,MATCH("VAP. VISC @ P&amp;T",物流参数!$A$1:$A$29,FALSE()),FALSE()),HLOOKUP(BU2,物流参数!$C$1:$GC$29,MATCH("LIQ. VISC @ P&amp;T",物流参数!$A$1:$A$29,FALSE()),FALSE()))</f>
        <v>0.01</v>
      </c>
      <c r="BV15" s="908" t="n">
        <f aca="false">IF(BV9=1,HLOOKUP(BV2,物流参数!$C$1:$GC$29,MATCH("VAP. VISC @ P&amp;T",物流参数!$A$1:$A$29,FALSE()),FALSE()),HLOOKUP(BV2,物流参数!$C$1:$GC$29,MATCH("LIQ. VISC @ P&amp;T",物流参数!$A$1:$A$29,FALSE()),FALSE()))</f>
        <v>0.18</v>
      </c>
      <c r="BW15" s="908" t="n">
        <f aca="false">IF(BW9=1,HLOOKUP(BW2,物流参数!$C$1:$GC$29,MATCH("VAP. VISC @ P&amp;T",物流参数!$A$1:$A$29,FALSE()),FALSE()),HLOOKUP(BW2,物流参数!$C$1:$GC$29,MATCH("LIQ. VISC @ P&amp;T",物流参数!$A$1:$A$29,FALSE()),FALSE()))</f>
        <v>0.2</v>
      </c>
      <c r="BX15" s="908" t="n">
        <f aca="false">IF(BX9=1,HLOOKUP(BX2,物流参数!$C$1:$GC$29,MATCH("VAP. VISC @ P&amp;T",物流参数!$A$1:$A$29,FALSE()),FALSE()),HLOOKUP(BX2,物流参数!$C$1:$GC$29,MATCH("LIQ. VISC @ P&amp;T",物流参数!$A$1:$A$29,FALSE()),FALSE()))</f>
        <v>0.19</v>
      </c>
      <c r="BY15" s="908" t="n">
        <f aca="false">IF(BY9=1,HLOOKUP(BY2,物流参数!$C$1:$GC$29,MATCH("VAP. VISC @ P&amp;T",物流参数!$A$1:$A$29,FALSE()),FALSE()),HLOOKUP(BY2,物流参数!$C$1:$GC$29,MATCH("LIQ. VISC @ P&amp;T",物流参数!$A$1:$A$29,FALSE()),FALSE()))</f>
        <v>0.14</v>
      </c>
      <c r="BZ15" s="908" t="n">
        <f aca="false">IF(BZ9=1,HLOOKUP(BZ2,物流参数!$C$1:$GC$29,MATCH("VAP. VISC @ P&amp;T",物流参数!$A$1:$A$29,FALSE()),FALSE()),HLOOKUP(BZ2,物流参数!$C$1:$GC$29,MATCH("LIQ. VISC @ P&amp;T",物流参数!$A$1:$A$29,FALSE()),FALSE()))</f>
        <v>0.11</v>
      </c>
      <c r="CA15" s="908" t="n">
        <f aca="false">IF(CA9=1,HLOOKUP(CA2,物流参数!$C$1:$GC$29,MATCH("VAP. VISC @ P&amp;T",物流参数!$A$1:$A$29,FALSE()),FALSE()),HLOOKUP(CA2,物流参数!$C$1:$GC$29,MATCH("LIQ. VISC @ P&amp;T",物流参数!$A$1:$A$29,FALSE()),FALSE()))</f>
        <v>0.01</v>
      </c>
      <c r="CB15" s="908" t="n">
        <f aca="false">IF(CB9=1,HLOOKUP(CB2,物流参数!$C$1:$GC$29,MATCH("VAP. VISC @ P&amp;T",物流参数!$A$1:$A$29,FALSE()),FALSE()),HLOOKUP(CB2,物流参数!$C$1:$GC$29,MATCH("LIQ. VISC @ P&amp;T",物流参数!$A$1:$A$29,FALSE()),FALSE()))</f>
        <v>0.01</v>
      </c>
      <c r="CC15" s="908" t="n">
        <f aca="false">IF(CC9=1,HLOOKUP(CC2,物流参数!$C$1:$GC$29,MATCH("VAP. VISC @ P&amp;T",物流参数!$A$1:$A$29,FALSE()),FALSE()),HLOOKUP(CC2,物流参数!$C$1:$GC$29,MATCH("LIQ. VISC @ P&amp;T",物流参数!$A$1:$A$29,FALSE()),FALSE()))</f>
        <v>0.11</v>
      </c>
      <c r="CD15" s="908" t="n">
        <f aca="false">IF(CD9=1,HLOOKUP(CD2,物流参数!$C$1:$GC$29,MATCH("VAP. VISC @ P&amp;T",物流参数!$A$1:$A$29,FALSE()),FALSE()),HLOOKUP(CD2,物流参数!$C$1:$GC$29,MATCH("LIQ. VISC @ P&amp;T",物流参数!$A$1:$A$29,FALSE()),FALSE()))</f>
        <v>0.11</v>
      </c>
      <c r="CE15" s="908" t="n">
        <f aca="false">IF(CE9=1,HLOOKUP(CE2,物流参数!$C$1:$GC$29,MATCH("VAP. VISC @ P&amp;T",物流参数!$A$1:$A$29,FALSE()),FALSE()),HLOOKUP(CE2,物流参数!$C$1:$GC$29,MATCH("LIQ. VISC @ P&amp;T",物流参数!$A$1:$A$29,FALSE()),FALSE()))</f>
        <v>0.09</v>
      </c>
      <c r="CF15" s="908" t="n">
        <f aca="false">IF(CF9=1,HLOOKUP(CF2,物流参数!$C$1:$GC$29,MATCH("VAP. VISC @ P&amp;T",物流参数!$A$1:$A$29,FALSE()),FALSE()),HLOOKUP(CF2,物流参数!$C$1:$GC$29,MATCH("LIQ. VISC @ P&amp;T",物流参数!$A$1:$A$29,FALSE()),FALSE()))</f>
        <v>0.17</v>
      </c>
      <c r="CG15" s="908" t="n">
        <f aca="false">IF(CG9=1,HLOOKUP(CG2,物流参数!$C$1:$GC$29,MATCH("VAP. VISC @ P&amp;T",物流参数!$A$1:$A$29,FALSE()),FALSE()),HLOOKUP(CG2,物流参数!$C$1:$GC$29,MATCH("LIQ. VISC @ P&amp;T",物流参数!$A$1:$A$29,FALSE()),FALSE()))</f>
        <v>0.05</v>
      </c>
      <c r="CH15" s="908" t="n">
        <f aca="false">IF(CH9=1,HLOOKUP(CH2,物流参数!$C$1:$GC$29,MATCH("VAP. VISC @ P&amp;T",物流参数!$A$1:$A$29,FALSE()),FALSE()),HLOOKUP(CH2,物流参数!$C$1:$GC$29,MATCH("LIQ. VISC @ P&amp;T",物流参数!$A$1:$A$29,FALSE()),FALSE()))</f>
        <v>0.01</v>
      </c>
      <c r="CI15" s="908" t="n">
        <f aca="false">IF(CI9=1,HLOOKUP(CI2,物流参数!$C$1:$GC$29,MATCH("VAP. VISC @ P&amp;T",物流参数!$A$1:$A$29,FALSE()),FALSE()),HLOOKUP(CI2,物流参数!$C$1:$GC$29,MATCH("LIQ. VISC @ P&amp;T",物流参数!$A$1:$A$29,FALSE()),FALSE()))</f>
        <v>0.53</v>
      </c>
      <c r="CJ15" s="908" t="n">
        <f aca="false">IF(CJ9=1,HLOOKUP(CJ2,物流参数!$C$1:$GC$29,MATCH("VAP. VISC @ P&amp;T",物流参数!$A$1:$A$29,FALSE()),FALSE()),HLOOKUP(CJ2,物流参数!$C$1:$GC$29,MATCH("LIQ. VISC @ P&amp;T",物流参数!$A$1:$A$29,FALSE()),FALSE()))</f>
        <v>0.51</v>
      </c>
      <c r="CK15" s="908" t="n">
        <f aca="false">IF(CK9=1,HLOOKUP(CK2,物流参数!$C$1:$GC$29,MATCH("VAP. VISC @ P&amp;T",物流参数!$A$1:$A$29,FALSE()),FALSE()),HLOOKUP(CK2,物流参数!$C$1:$GC$29,MATCH("LIQ. VISC @ P&amp;T",物流参数!$A$1:$A$29,FALSE()),FALSE()))</f>
        <v>0.56</v>
      </c>
      <c r="CL15" s="908" t="n">
        <f aca="false">IF(CL9=1,HLOOKUP(CL2,物流参数!$C$1:$GC$29,MATCH("VAP. VISC @ P&amp;T",物流参数!$A$1:$A$29,FALSE()),FALSE()),HLOOKUP(CL2,物流参数!$C$1:$GC$29,MATCH("LIQ. VISC @ P&amp;T",物流参数!$A$1:$A$29,FALSE()),FALSE()))</f>
        <v>0.29</v>
      </c>
      <c r="CM15" s="908" t="n">
        <f aca="false">IF(CM9=1,HLOOKUP(CM2,物流参数!$C$1:$GC$29,MATCH("VAP. VISC @ P&amp;T",物流参数!$A$1:$A$29,FALSE()),FALSE()),HLOOKUP(CM2,物流参数!$C$1:$GC$29,MATCH("LIQ. VISC @ P&amp;T",物流参数!$A$1:$A$29,FALSE()),FALSE()))</f>
        <v>0.29</v>
      </c>
      <c r="CN15" s="908" t="n">
        <f aca="false">IF(CN9=1,HLOOKUP(CN2,物流参数!$C$1:$GC$29,MATCH("VAP. VISC @ P&amp;T",物流参数!$A$1:$A$29,FALSE()),FALSE()),HLOOKUP(CN2,物流参数!$C$1:$GC$29,MATCH("LIQ. VISC @ P&amp;T",物流参数!$A$1:$A$29,FALSE()),FALSE()))</f>
        <v>0.29</v>
      </c>
      <c r="CO15" s="908" t="n">
        <f aca="false">IF(CO9=1,HLOOKUP(CO2,物流参数!$C$1:$GC$29,MATCH("VAP. VISC @ P&amp;T",物流参数!$A$1:$A$29,FALSE()),FALSE()),HLOOKUP(CO2,物流参数!$C$1:$GC$29,MATCH("LIQ. VISC @ P&amp;T",物流参数!$A$1:$A$29,FALSE()),FALSE()))</f>
        <v>0.29</v>
      </c>
      <c r="CP15" s="908" t="n">
        <f aca="false">IF(CP9=1,HLOOKUP(CP2,物流参数!$C$1:$GC$29,MATCH("VAP. VISC @ P&amp;T",物流参数!$A$1:$A$29,FALSE()),FALSE()),HLOOKUP(CP2,物流参数!$C$1:$GC$29,MATCH("LIQ. VISC @ P&amp;T",物流参数!$A$1:$A$29,FALSE()),FALSE()))</f>
        <v>0.64</v>
      </c>
      <c r="CQ15" s="908" t="n">
        <f aca="false">IF(CQ9=1,HLOOKUP(CQ2,物流参数!$C$1:$GC$29,MATCH("VAP. VISC @ P&amp;T",物流参数!$A$1:$A$29,FALSE()),FALSE()),HLOOKUP(CQ2,物流参数!$C$1:$GC$29,MATCH("LIQ. VISC @ P&amp;T",物流参数!$A$1:$A$29,FALSE()),FALSE()))</f>
        <v>0.01</v>
      </c>
      <c r="CR15" s="908" t="n">
        <f aca="false">IF(CR9=1,HLOOKUP(CR2,物流参数!$C$1:$GC$29,MATCH("VAP. VISC @ P&amp;T",物流参数!$A$1:$A$29,FALSE()),FALSE()),HLOOKUP(CR2,物流参数!$C$1:$GC$29,MATCH("LIQ. VISC @ P&amp;T",物流参数!$A$1:$A$29,FALSE()),FALSE()))</f>
        <v>0.01</v>
      </c>
      <c r="CS15" s="908" t="n">
        <f aca="false">IF(CS9=1,HLOOKUP(CS2,物流参数!$C$1:$GC$29,MATCH("VAP. VISC @ P&amp;T",物流参数!$A$1:$A$29,FALSE()),FALSE()),HLOOKUP(CS2,物流参数!$C$1:$GC$29,MATCH("LIQ. VISC @ P&amp;T",物流参数!$A$1:$A$29,FALSE()),FALSE()))</f>
        <v>0.02</v>
      </c>
      <c r="CT15" s="908" t="n">
        <f aca="false">IF(CT9=1,HLOOKUP(CT2,物流参数!$C$1:$GC$29,MATCH("VAP. VISC @ P&amp;T",物流参数!$A$1:$A$29,FALSE()),FALSE()),HLOOKUP(CT2,物流参数!$C$1:$GC$29,MATCH("LIQ. VISC @ P&amp;T",物流参数!$A$1:$A$29,FALSE()),FALSE()))</f>
        <v>0.02</v>
      </c>
      <c r="CU15" s="908" t="n">
        <f aca="false">IF(CU9=1,HLOOKUP(CU2,物流参数!$C$1:$GC$29,MATCH("VAP. VISC @ P&amp;T",物流参数!$A$1:$A$29,FALSE()),FALSE()),HLOOKUP(CU2,物流参数!$C$1:$GC$29,MATCH("LIQ. VISC @ P&amp;T",物流参数!$A$1:$A$29,FALSE()),FALSE()))</f>
        <v>0.02</v>
      </c>
      <c r="CV15" s="908" t="n">
        <f aca="false">IF(CV9=1,HLOOKUP(CV2,物流参数!$C$1:$GC$29,MATCH("VAP. VISC @ P&amp;T",物流参数!$A$1:$A$29,FALSE()),FALSE()),HLOOKUP(CV2,物流参数!$C$1:$GC$29,MATCH("LIQ. VISC @ P&amp;T",物流参数!$A$1:$A$29,FALSE()),FALSE()))</f>
        <v>0.02</v>
      </c>
      <c r="CW15" s="908" t="n">
        <f aca="false">IF(CW9=1,HLOOKUP(CW2,物流参数!$C$1:$GC$29,MATCH("VAP. VISC @ P&amp;T",物流参数!$A$1:$A$29,FALSE()),FALSE()),HLOOKUP(CW2,物流参数!$C$1:$GC$29,MATCH("LIQ. VISC @ P&amp;T",物流参数!$A$1:$A$29,FALSE()),FALSE()))</f>
        <v>0.02</v>
      </c>
      <c r="CX15" s="908" t="n">
        <f aca="false">IF(CX9=1,HLOOKUP(CX2,物流参数!$C$1:$GC$29,MATCH("VAP. VISC @ P&amp;T",物流参数!$A$1:$A$29,FALSE()),FALSE()),HLOOKUP(CX2,物流参数!$C$1:$GC$29,MATCH("LIQ. VISC @ P&amp;T",物流参数!$A$1:$A$29,FALSE()),FALSE()))</f>
        <v>0.02</v>
      </c>
      <c r="CY15" s="908" t="n">
        <f aca="false">IF(CY9=1,HLOOKUP(CY2,物流参数!$C$1:$GC$29,MATCH("VAP. VISC @ P&amp;T",物流参数!$A$1:$A$29,FALSE()),FALSE()),HLOOKUP(CY2,物流参数!$C$1:$GC$29,MATCH("LIQ. VISC @ P&amp;T",物流参数!$A$1:$A$29,FALSE()),FALSE()))</f>
        <v>0.18</v>
      </c>
      <c r="CZ15" s="908" t="n">
        <f aca="false">IF(CZ9=1,HLOOKUP(CZ2,物流参数!$C$1:$GC$29,MATCH("VAP. VISC @ P&amp;T",物流参数!$A$1:$A$29,FALSE()),FALSE()),HLOOKUP(CZ2,物流参数!$C$1:$GC$29,MATCH("LIQ. VISC @ P&amp;T",物流参数!$A$1:$A$29,FALSE()),FALSE()))</f>
        <v>0.12</v>
      </c>
      <c r="DA15" s="908" t="n">
        <f aca="false">IF(DA9=1,HLOOKUP(DA2,物流参数!$C$1:$GC$29,MATCH("VAP. VISC @ P&amp;T",物流参数!$A$1:$A$29,FALSE()),FALSE()),HLOOKUP(DA2,物流参数!$C$1:$GC$29,MATCH("LIQ. VISC @ P&amp;T",物流参数!$A$1:$A$29,FALSE()),FALSE()))</f>
        <v>0.12</v>
      </c>
      <c r="DB15" s="908" t="n">
        <f aca="false">IF(DB9=1,HLOOKUP(DB2,物流参数!$C$1:$GC$29,MATCH("VAP. VISC @ P&amp;T",物流参数!$A$1:$A$29,FALSE()),FALSE()),HLOOKUP(DB2,物流参数!$C$1:$GC$29,MATCH("LIQ. VISC @ P&amp;T",物流参数!$A$1:$A$29,FALSE()),FALSE()))</f>
        <v>0.01</v>
      </c>
      <c r="DC15" s="908" t="n">
        <f aca="false">IF(DC9=1,HLOOKUP(DC2,物流参数!$C$1:$GC$29,MATCH("VAP. VISC @ P&amp;T",物流参数!$A$1:$A$29,FALSE()),FALSE()),HLOOKUP(DC2,物流参数!$C$1:$GC$29,MATCH("LIQ. VISC @ P&amp;T",物流参数!$A$1:$A$29,FALSE()),FALSE()))</f>
        <v>0.39</v>
      </c>
      <c r="DD15" s="908" t="n">
        <f aca="false">IF(DD9=1,HLOOKUP(DD2,物流参数!$C$1:$GC$29,MATCH("VAP. VISC @ P&amp;T",物流参数!$A$1:$A$29,FALSE()),FALSE()),HLOOKUP(DD2,物流参数!$C$1:$GC$29,MATCH("LIQ. VISC @ P&amp;T",物流参数!$A$1:$A$29,FALSE()),FALSE()))</f>
        <v>0.26</v>
      </c>
      <c r="DE15" s="908" t="n">
        <f aca="false">IF(DE9=1,HLOOKUP(DE2,物流参数!$C$1:$GC$29,MATCH("VAP. VISC @ P&amp;T",物流参数!$A$1:$A$29,FALSE()),FALSE()),HLOOKUP(DE2,物流参数!$C$1:$GC$29,MATCH("LIQ. VISC @ P&amp;T",物流参数!$A$1:$A$29,FALSE()),FALSE()))</f>
        <v>0.26</v>
      </c>
      <c r="DF15" s="908" t="n">
        <f aca="false">IF(DF9=1,HLOOKUP(DF2,物流参数!$C$1:$GC$29,MATCH("VAP. VISC @ P&amp;T",物流参数!$A$1:$A$29,FALSE()),FALSE()),HLOOKUP(DF2,物流参数!$C$1:$GC$29,MATCH("LIQ. VISC @ P&amp;T",物流参数!$A$1:$A$29,FALSE()),FALSE()))</f>
        <v>0.26</v>
      </c>
      <c r="DG15" s="908" t="n">
        <f aca="false">IF(DG9=1,HLOOKUP(DG2,物流参数!$C$1:$GC$29,MATCH("VAP. VISC @ P&amp;T",物流参数!$A$1:$A$29,FALSE()),FALSE()),HLOOKUP(DG2,物流参数!$C$1:$GC$29,MATCH("LIQ. VISC @ P&amp;T",物流参数!$A$1:$A$29,FALSE()),FALSE()))</f>
        <v>0.26</v>
      </c>
      <c r="DH15" s="908" t="n">
        <f aca="false">IF(DH9=1,HLOOKUP(DH2,物流参数!$C$1:$GC$29,MATCH("VAP. VISC @ P&amp;T",物流参数!$A$1:$A$29,FALSE()),FALSE()),HLOOKUP(DH2,物流参数!$C$1:$GC$29,MATCH("LIQ. VISC @ P&amp;T",物流参数!$A$1:$A$29,FALSE()),FALSE()))</f>
        <v>0.42</v>
      </c>
      <c r="DI15" s="908" t="n">
        <f aca="false">IF(DI9=1,HLOOKUP(DI2,物流参数!$C$1:$GC$29,MATCH("VAP. VISC @ P&amp;T",物流参数!$A$1:$A$29,FALSE()),FALSE()),HLOOKUP(DI2,物流参数!$C$1:$GC$29,MATCH("LIQ. VISC @ P&amp;T",物流参数!$A$1:$A$29,FALSE()),FALSE()))</f>
        <v>0.42</v>
      </c>
      <c r="DJ15" s="908" t="n">
        <f aca="false">IF(DJ9=1,HLOOKUP(DJ2,物流参数!$C$1:$GC$29,MATCH("VAP. VISC @ P&amp;T",物流参数!$A$1:$A$29,FALSE()),FALSE()),HLOOKUP(DJ2,物流参数!$C$1:$GC$29,MATCH("LIQ. VISC @ P&amp;T",物流参数!$A$1:$A$29,FALSE()),FALSE()))</f>
        <v>0.3</v>
      </c>
      <c r="DK15" s="908" t="n">
        <f aca="false">IF(DK9=1,HLOOKUP(DK2,物流参数!$C$1:$GC$29,MATCH("VAP. VISC @ P&amp;T",物流参数!$A$1:$A$29,FALSE()),FALSE()),HLOOKUP(DK2,物流参数!$C$1:$GC$29,MATCH("LIQ. VISC @ P&amp;T",物流参数!$A$1:$A$29,FALSE()),FALSE()))</f>
        <v>0.22</v>
      </c>
      <c r="DL15" s="908" t="n">
        <f aca="false">IF(DL9=1,HLOOKUP(DL2,物流参数!$C$1:$GC$29,MATCH("VAP. VISC @ P&amp;T",物流参数!$A$1:$A$29,FALSE()),FALSE()),HLOOKUP(DL2,物流参数!$C$1:$GC$29,MATCH("LIQ. VISC @ P&amp;T",物流参数!$A$1:$A$29,FALSE()),FALSE()))</f>
        <v>0.22</v>
      </c>
      <c r="DM15" s="908" t="n">
        <f aca="false">IF(DM9=1,HLOOKUP(DM2,物流参数!$C$1:$GC$29,MATCH("VAP. VISC @ P&amp;T",物流参数!$A$1:$A$29,FALSE()),FALSE()),HLOOKUP(DM2,物流参数!$C$1:$GC$29,MATCH("LIQ. VISC @ P&amp;T",物流参数!$A$1:$A$29,FALSE()),FALSE()))</f>
        <v>0.26</v>
      </c>
      <c r="DN15" s="908" t="n">
        <f aca="false">IF(DN9=1,HLOOKUP(DN2,物流参数!$C$1:$GC$29,MATCH("VAP. VISC @ P&amp;T",物流参数!$A$1:$A$29,FALSE()),FALSE()),HLOOKUP(DN2,物流参数!$C$1:$GC$29,MATCH("LIQ. VISC @ P&amp;T",物流参数!$A$1:$A$29,FALSE()),FALSE()))</f>
        <v>0.34</v>
      </c>
      <c r="DO15" s="908" t="n">
        <f aca="false">IF(DO9=1,HLOOKUP(DO2,物流参数!$C$1:$GC$29,MATCH("VAP. VISC @ P&amp;T",物流参数!$A$1:$A$29,FALSE()),FALSE()),HLOOKUP(DO2,物流参数!$C$1:$GC$29,MATCH("LIQ. VISC @ P&amp;T",物流参数!$A$1:$A$29,FALSE()),FALSE()))</f>
        <v>0.34</v>
      </c>
      <c r="DP15" s="908" t="n">
        <f aca="false">IF(DP9=1,HLOOKUP(DP2,物流参数!$C$1:$GC$29,MATCH("VAP. VISC @ P&amp;T",物流参数!$A$1:$A$29,FALSE()),FALSE()),HLOOKUP(DP2,物流参数!$C$1:$GC$29,MATCH("LIQ. VISC @ P&amp;T",物流参数!$A$1:$A$29,FALSE()),FALSE()))</f>
        <v>0.22</v>
      </c>
      <c r="DQ15" s="908" t="n">
        <f aca="false">IF(DQ9=1,HLOOKUP(DQ2,物流参数!$C$1:$GC$29,MATCH("VAP. VISC @ P&amp;T",物流参数!$A$1:$A$29,FALSE()),FALSE()),HLOOKUP(DQ2,物流参数!$C$1:$GC$29,MATCH("LIQ. VISC @ P&amp;T",物流参数!$A$1:$A$29,FALSE()),FALSE()))</f>
        <v>0.22</v>
      </c>
      <c r="DR15" s="908" t="n">
        <f aca="false">IF(DR9=1,HLOOKUP(DR2,物流参数!$C$1:$GC$29,MATCH("VAP. VISC @ P&amp;T",物流参数!$A$1:$A$29,FALSE()),FALSE()),HLOOKUP(DR2,物流参数!$C$1:$GC$29,MATCH("LIQ. VISC @ P&amp;T",物流参数!$A$1:$A$29,FALSE()),FALSE()))</f>
        <v>0.01</v>
      </c>
      <c r="DS15" s="908" t="n">
        <f aca="false">IF(DS9=1,HLOOKUP(DS2,物流参数!$C$1:$GC$29,MATCH("VAP. VISC @ P&amp;T",物流参数!$A$1:$A$29,FALSE()),FALSE()),HLOOKUP(DS2,物流参数!$C$1:$GC$29,MATCH("LIQ. VISC @ P&amp;T",物流参数!$A$1:$A$29,FALSE()),FALSE()))</f>
        <v>0.25</v>
      </c>
      <c r="DT15" s="908" t="n">
        <f aca="false">IF(DT9=1,HLOOKUP(DT2,物流参数!$C$1:$GC$29,MATCH("VAP. VISC @ P&amp;T",物流参数!$A$1:$A$29,FALSE()),FALSE()),HLOOKUP(DT2,物流参数!$C$1:$GC$29,MATCH("LIQ. VISC @ P&amp;T",物流参数!$A$1:$A$29,FALSE()),FALSE()))</f>
        <v>0.25</v>
      </c>
      <c r="DU15" s="908" t="n">
        <f aca="false">IF(DU9=1,HLOOKUP(DU2,物流参数!$C$1:$GC$29,MATCH("VAP. VISC @ P&amp;T",物流参数!$A$1:$A$29,FALSE()),FALSE()),HLOOKUP(DU2,物流参数!$C$1:$GC$29,MATCH("LIQ. VISC @ P&amp;T",物流参数!$A$1:$A$29,FALSE()),FALSE()))</f>
        <v>0.59</v>
      </c>
      <c r="DV15" s="908" t="n">
        <f aca="false">IF(DV9=1,HLOOKUP(DV2,物流参数!$C$1:$GC$29,MATCH("VAP. VISC @ P&amp;T",物流参数!$A$1:$A$29,FALSE()),FALSE()),HLOOKUP(DV2,物流参数!$C$1:$GC$29,MATCH("LIQ. VISC @ P&amp;T",物流参数!$A$1:$A$29,FALSE()),FALSE()))</f>
        <v>1.75</v>
      </c>
      <c r="DW15" s="908" t="n">
        <f aca="false">IF(DW9=1,HLOOKUP(DW2,物流参数!$C$1:$GC$29,MATCH("VAP. VISC @ P&amp;T",物流参数!$A$1:$A$29,FALSE()),FALSE()),HLOOKUP(DW2,物流参数!$C$1:$GC$29,MATCH("LIQ. VISC @ P&amp;T",物流参数!$A$1:$A$29,FALSE()),FALSE()))</f>
        <v>1.75</v>
      </c>
      <c r="DX15" s="844" t="n">
        <v>1.75</v>
      </c>
      <c r="DY15" s="844" t="n">
        <v>1.75</v>
      </c>
      <c r="DZ15" s="908" t="n">
        <f aca="false">IF(DZ9=1,HLOOKUP(DZ2,物流参数!$C$1:$GC$29,MATCH("VAP. VISC @ P&amp;T",物流参数!$A$1:$A$29,FALSE()),FALSE()),HLOOKUP(DZ2,物流参数!$C$1:$GC$29,MATCH("LIQ. VISC @ P&amp;T",物流参数!$A$1:$A$29,FALSE()),FALSE()))</f>
        <v>0.59</v>
      </c>
      <c r="EA15" s="908" t="n">
        <f aca="false">IF(EA9=1,HLOOKUP(EA2,物流参数!$C$1:$GC$29,MATCH("VAP. VISC @ P&amp;T",物流参数!$A$1:$A$29,FALSE()),FALSE()),HLOOKUP(EA2,物流参数!$C$1:$GC$29,MATCH("LIQ. VISC @ P&amp;T",物流参数!$A$1:$A$29,FALSE()),FALSE()))</f>
        <v>0.18</v>
      </c>
      <c r="EB15" s="908" t="n">
        <f aca="false">IF(EB9=1,HLOOKUP(EB2,物流参数!$C$1:$GC$29,MATCH("VAP. VISC @ P&amp;T",物流参数!$A$1:$A$29,FALSE()),FALSE()),HLOOKUP(EB2,物流参数!$C$1:$GC$29,MATCH("LIQ. VISC @ P&amp;T",物流参数!$A$1:$A$29,FALSE()),FALSE()))</f>
        <v>0.02</v>
      </c>
      <c r="EC15" s="908" t="n">
        <f aca="false">IF(EC9=1,HLOOKUP(EC2,物流参数!$C$1:$GC$29,MATCH("VAP. VISC @ P&amp;T",物流参数!$A$1:$A$29,FALSE()),FALSE()),HLOOKUP(EC2,物流参数!$C$1:$GC$29,MATCH("LIQ. VISC @ P&amp;T",物流参数!$A$1:$A$29,FALSE()),FALSE()))</f>
        <v>0.01</v>
      </c>
      <c r="ED15" s="908" t="n">
        <f aca="false">IF(ED9=1,HLOOKUP(ED2,物流参数!$C$1:$GC$29,MATCH("VAP. VISC @ P&amp;T",物流参数!$A$1:$A$29,FALSE()),FALSE()),HLOOKUP(ED2,物流参数!$C$1:$GC$29,MATCH("LIQ. VISC @ P&amp;T",物流参数!$A$1:$A$29,FALSE()),FALSE()))</f>
        <v>0.01</v>
      </c>
      <c r="EE15" s="908" t="n">
        <f aca="false">IF(EE9=1,HLOOKUP(EE2,物流参数!$C$1:$GC$29,MATCH("VAP. VISC @ P&amp;T",物流参数!$A$1:$A$29,FALSE()),FALSE()),HLOOKUP(EE2,物流参数!$C$1:$GC$29,MATCH("LIQ. VISC @ P&amp;T",物流参数!$A$1:$A$29,FALSE()),FALSE()))</f>
        <v>0.46</v>
      </c>
      <c r="EF15" s="908" t="n">
        <f aca="false">IF(EF9=1,HLOOKUP(EF2,物流参数!$C$1:$GC$29,MATCH("VAP. VISC @ P&amp;T",物流参数!$A$1:$A$29,FALSE()),FALSE()),HLOOKUP(EF2,物流参数!$C$1:$GC$29,MATCH("LIQ. VISC @ P&amp;T",物流参数!$A$1:$A$29,FALSE()),FALSE()))</f>
        <v>0.02</v>
      </c>
      <c r="EG15" s="908" t="n">
        <f aca="false">IF(EG9=1,HLOOKUP(EG2,物流参数!$C$1:$GC$29,MATCH("VAP. VISC @ P&amp;T",物流参数!$A$1:$A$29,FALSE()),FALSE()),HLOOKUP(EG2,物流参数!$C$1:$GC$29,MATCH("LIQ. VISC @ P&amp;T",物流参数!$A$1:$A$29,FALSE()),FALSE()))</f>
        <v>0.02</v>
      </c>
      <c r="EH15" s="908" t="n">
        <f aca="false">IF(EH9=1,HLOOKUP(EH2,物流参数!$C$1:$GC$29,MATCH("VAP. VISC @ P&amp;T",物流参数!$A$1:$A$29,FALSE()),FALSE()),HLOOKUP(EH2,物流参数!$C$1:$GC$29,MATCH("LIQ. VISC @ P&amp;T",物流参数!$A$1:$A$29,FALSE()),FALSE()))</f>
        <v>0.02</v>
      </c>
      <c r="EI15" s="908" t="n">
        <f aca="false">IF(EI9=1,HLOOKUP(EI2,物流参数!$C$1:$GC$29,MATCH("VAP. VISC @ P&amp;T",物流参数!$A$1:$A$29,FALSE()),FALSE()),HLOOKUP(EI2,物流参数!$C$1:$GC$29,MATCH("LIQ. VISC @ P&amp;T",物流参数!$A$1:$A$29,FALSE()),FALSE()))</f>
        <v>0.02</v>
      </c>
      <c r="EJ15" s="908" t="n">
        <f aca="false">IF(EJ9=1,HLOOKUP(EJ2,物流参数!$C$1:$GC$29,MATCH("VAP. VISC @ P&amp;T",物流参数!$A$1:$A$29,FALSE()),FALSE()),HLOOKUP(EJ2,物流参数!$C$1:$GC$29,MATCH("LIQ. VISC @ P&amp;T",物流参数!$A$1:$A$29,FALSE()),FALSE()))</f>
        <v>0.01</v>
      </c>
      <c r="EK15" s="908" t="n">
        <f aca="false">IF(EK9=1,HLOOKUP(EK2,物流参数!$C$1:$GC$29,MATCH("VAP. VISC @ P&amp;T",物流参数!$A$1:$A$29,FALSE()),FALSE()),HLOOKUP(EK2,物流参数!$C$1:$GC$29,MATCH("LIQ. VISC @ P&amp;T",物流参数!$A$1:$A$29,FALSE()),FALSE()))</f>
        <v>0.01</v>
      </c>
      <c r="EL15" s="910" t="n">
        <f aca="false">IF(EL9=1,HLOOKUP(EL2,物流参数!$C$1:$GC$29,MATCH("VAP. VISC @ P&amp;T",物流参数!$A$1:$A$29,FALSE()),FALSE()),HLOOKUP(EL2,物流参数!$C$1:$GC$29,MATCH("LIQ. VISC @ P&amp;T",物流参数!$A$1:$A$29,FALSE()),FALSE()))</f>
        <v>0.01</v>
      </c>
      <c r="EM15" s="910" t="n">
        <f aca="false">IF(EM9=1,HLOOKUP(EM2,物流参数!$C$1:$GC$29,MATCH("VAP. VISC @ P&amp;T",物流参数!$A$1:$A$29,FALSE()),FALSE()),HLOOKUP(EM2,物流参数!$C$1:$GC$29,MATCH("LIQ. VISC @ P&amp;T",物流参数!$A$1:$A$29,FALSE()),FALSE()))</f>
        <v>0.01</v>
      </c>
      <c r="EN15" s="910" t="n">
        <f aca="false">IF(EN9=1,HLOOKUP(EN2,物流参数!$C$1:$GC$29,MATCH("VAP. VISC @ P&amp;T",物流参数!$A$1:$A$29,FALSE()),FALSE()),HLOOKUP(EN2,物流参数!$C$1:$GC$29,MATCH("LIQ. VISC @ P&amp;T",物流参数!$A$1:$A$29,FALSE()),FALSE()))</f>
        <v>0.01</v>
      </c>
      <c r="EO15" s="910" t="n">
        <f aca="false">IF(EO9=1,HLOOKUP(EO2,物流参数!$C$1:$GC$29,MATCH("VAP. VISC @ P&amp;T",物流参数!$A$1:$A$29,FALSE()),FALSE()),HLOOKUP(EO2,物流参数!$C$1:$GC$29,MATCH("LIQ. VISC @ P&amp;T",物流参数!$A$1:$A$29,FALSE()),FALSE()))</f>
        <v>0.01</v>
      </c>
      <c r="EP15" s="910" t="n">
        <f aca="false">IF(EP9=1,HLOOKUP(EP2,物流参数!$C$1:$GC$29,MATCH("VAP. VISC @ P&amp;T",物流参数!$A$1:$A$29,FALSE()),FALSE()),HLOOKUP(EP2,物流参数!$C$1:$GC$29,MATCH("LIQ. VISC @ P&amp;T",物流参数!$A$1:$A$29,FALSE()),FALSE()))</f>
        <v>0.01</v>
      </c>
      <c r="EQ15" s="910" t="n">
        <f aca="false">IF(EQ9=1,HLOOKUP(EQ2,物流参数!$C$1:$GC$29,MATCH("VAP. VISC @ P&amp;T",物流参数!$A$1:$A$29,FALSE()),FALSE()),HLOOKUP(EQ2,物流参数!$C$1:$GC$29,MATCH("LIQ. VISC @ P&amp;T",物流参数!$A$1:$A$29,FALSE()),FALSE()))</f>
        <v>0.01</v>
      </c>
      <c r="ER15" s="910" t="n">
        <f aca="false">IF(ER9=1,HLOOKUP(ER2,物流参数!$C$1:$GC$29,MATCH("VAP. VISC @ P&amp;T",物流参数!$A$1:$A$29,FALSE()),FALSE()),HLOOKUP(ER2,物流参数!$C$1:$GC$29,MATCH("LIQ. VISC @ P&amp;T",物流参数!$A$1:$A$29,FALSE()),FALSE()))</f>
        <v>0.01</v>
      </c>
      <c r="ES15" s="910" t="n">
        <f aca="false">IF(ES9=1,HLOOKUP(ES2,物流参数!$C$1:$GC$29,MATCH("VAP. VISC @ P&amp;T",物流参数!$A$1:$A$29,FALSE()),FALSE()),HLOOKUP(ES2,物流参数!$C$1:$GC$29,MATCH("LIQ. VISC @ P&amp;T",物流参数!$A$1:$A$29,FALSE()),FALSE()))</f>
        <v>0.01</v>
      </c>
      <c r="ET15" s="908" t="n">
        <f aca="false">IF(ET9=1,HLOOKUP(ET2,物流参数!$C$1:$GC$29,MATCH("VAP. VISC @ P&amp;T",物流参数!$A$1:$A$29,FALSE()),FALSE()),HLOOKUP(ET2,物流参数!$C$1:$GC$29,MATCH("LIQ. VISC @ P&amp;T",物流参数!$A$1:$A$29,FALSE()),FALSE()))</f>
        <v>0.01</v>
      </c>
      <c r="EU15" s="910" t="n">
        <f aca="false">IF(EU9=1,HLOOKUP(EU2,物流参数!$C$1:$GC$29,MATCH("VAP. VISC @ P&amp;T",物流参数!$A$1:$A$29,FALSE()),FALSE()),HLOOKUP(EU2,物流参数!$C$1:$GC$29,MATCH("LIQ. VISC @ P&amp;T",物流参数!$A$1:$A$29,FALSE()),FALSE()))</f>
        <v>0.01</v>
      </c>
      <c r="EV15" s="910" t="n">
        <f aca="false">IF(EV9=1,HLOOKUP(EV2,物流参数!$C$1:$GC$29,MATCH("VAP. VISC @ P&amp;T",物流参数!$A$1:$A$29,FALSE()),FALSE()),HLOOKUP(EV2,物流参数!$C$1:$GC$29,MATCH("LIQ. VISC @ P&amp;T",物流参数!$A$1:$A$29,FALSE()),FALSE()))</f>
        <v>0.01</v>
      </c>
      <c r="EW15" s="910" t="n">
        <f aca="false">IF(EW9=1,HLOOKUP(EW2,物流参数!$C$1:$GC$29,MATCH("VAP. VISC @ P&amp;T",物流参数!$A$1:$A$29,FALSE()),FALSE()),HLOOKUP(EW2,物流参数!$C$1:$GC$29,MATCH("LIQ. VISC @ P&amp;T",物流参数!$A$1:$A$29,FALSE()),FALSE()))</f>
        <v>0.01</v>
      </c>
      <c r="EX15" s="908" t="n">
        <f aca="false">IF(EX9=1,HLOOKUP(EX2,物流参数!$C$1:$GC$29,MATCH("VAP. VISC @ P&amp;T",物流参数!$A$1:$A$29,FALSE()),FALSE()),HLOOKUP(EX2,物流参数!$C$1:$GC$29,MATCH("LIQ. VISC @ P&amp;T",物流参数!$A$1:$A$29,FALSE()),FALSE()))</f>
        <v>0.01</v>
      </c>
      <c r="EY15" s="908" t="n">
        <f aca="false">IF(EY9=1,HLOOKUP(EY2,物流参数!$C$1:$GC$29,MATCH("VAP. VISC @ P&amp;T",物流参数!$A$1:$A$29,FALSE()),FALSE()),HLOOKUP(EY2,物流参数!$C$1:$GC$29,MATCH("LIQ. VISC @ P&amp;T",物流参数!$A$1:$A$29,FALSE()),FALSE()))</f>
        <v>1.32</v>
      </c>
      <c r="EZ15" s="908" t="n">
        <f aca="false">IF(EZ9=1,HLOOKUP(EZ2,物流参数!$C$1:$GC$29,MATCH("VAP. VISC @ P&amp;T",物流参数!$A$1:$A$29,FALSE()),FALSE()),HLOOKUP(EZ2,物流参数!$C$1:$GC$29,MATCH("LIQ. VISC @ P&amp;T",物流参数!$A$1:$A$29,FALSE()),FALSE()))</f>
        <v>1.32</v>
      </c>
      <c r="FA15" s="908" t="n">
        <f aca="false">IF(FA9=1,HLOOKUP(FA2,物流参数!$C$1:$GC$29,MATCH("VAP. VISC @ P&amp;T",物流参数!$A$1:$A$29,FALSE()),FALSE()),HLOOKUP(FA2,物流参数!$C$1:$GC$29,MATCH("LIQ. VISC @ P&amp;T",物流参数!$A$1:$A$29,FALSE()),FALSE()))</f>
        <v>1.32</v>
      </c>
      <c r="FB15" s="908" t="n">
        <f aca="false">IF(FB9=1,HLOOKUP(FB2,物流参数!$C$1:$GC$29,MATCH("VAP. VISC @ P&amp;T",物流参数!$A$1:$A$29,FALSE()),FALSE()),HLOOKUP(FB2,物流参数!$C$1:$GC$29,MATCH("LIQ. VISC @ P&amp;T",物流参数!$A$1:$A$29,FALSE()),FALSE()))</f>
        <v>1.3</v>
      </c>
      <c r="FC15" s="908" t="n">
        <f aca="false">IF(FC9=1,HLOOKUP(FC2,物流参数!$C$1:$GC$29,MATCH("VAP. VISC @ P&amp;T",物流参数!$A$1:$A$29,FALSE()),FALSE()),HLOOKUP(FC2,物流参数!$C$1:$GC$29,MATCH("LIQ. VISC @ P&amp;T",物流参数!$A$1:$A$29,FALSE()),FALSE()))</f>
        <v>1.3</v>
      </c>
      <c r="FD15" s="908" t="n">
        <f aca="false">IF(FD9=1,HLOOKUP(FD2,物流参数!$C$1:$GC$29,MATCH("VAP. VISC @ P&amp;T",物流参数!$A$1:$A$29,FALSE()),FALSE()),HLOOKUP(FD2,物流参数!$C$1:$GC$29,MATCH("LIQ. VISC @ P&amp;T",物流参数!$A$1:$A$29,FALSE()),FALSE()))</f>
        <v>0.01</v>
      </c>
      <c r="FE15" s="908" t="n">
        <f aca="false">IF(FE9=1,HLOOKUP(FE2,物流参数!$C$1:$GC$29,MATCH("VAP. VISC @ P&amp;T",物流参数!$A$1:$A$29,FALSE()),FALSE()),HLOOKUP(FE2,物流参数!$C$1:$GC$29,MATCH("LIQ. VISC @ P&amp;T",物流参数!$A$1:$A$29,FALSE()),FALSE()))</f>
        <v>0.01</v>
      </c>
      <c r="FF15" s="908" t="n">
        <f aca="false">IF(FF9=1,HLOOKUP(FF2,物流参数!$C$1:$GC$29,MATCH("VAP. VISC @ P&amp;T",物流参数!$A$1:$A$29,FALSE()),FALSE()),HLOOKUP(FF2,物流参数!$C$1:$GC$29,MATCH("LIQ. VISC @ P&amp;T",物流参数!$A$1:$A$29,FALSE()),FALSE()))</f>
        <v>0.01</v>
      </c>
      <c r="FG15" s="908" t="n">
        <f aca="false">IF(FG9=1,HLOOKUP(FG2,物流参数!$C$1:$GC$29,MATCH("VAP. VISC @ P&amp;T",物流参数!$A$1:$A$29,FALSE()),FALSE()),HLOOKUP(FG2,物流参数!$C$1:$GC$29,MATCH("LIQ. VISC @ P&amp;T",物流参数!$A$1:$A$29,FALSE()),FALSE()))</f>
        <v>0.49</v>
      </c>
      <c r="FH15" s="908" t="n">
        <f aca="false">IF(FH9=1,HLOOKUP(FH2,物流参数!$C$1:$GC$29,MATCH("VAP. VISC @ P&amp;T",物流参数!$A$1:$A$29,FALSE()),FALSE()),HLOOKUP(FH2,物流参数!$C$1:$GC$29,MATCH("LIQ. VISC @ P&amp;T",物流参数!$A$1:$A$29,FALSE()),FALSE()))</f>
        <v>0.49</v>
      </c>
      <c r="FI15" s="908" t="n">
        <f aca="false">IF(FI9=1,HLOOKUP(FI2,物流参数!$C$1:$GC$29,MATCH("VAP. VISC @ P&amp;T",物流参数!$A$1:$A$29,FALSE()),FALSE()),HLOOKUP(FI2,物流参数!$C$1:$GC$29,MATCH("LIQ. VISC @ P&amp;T",物流参数!$A$1:$A$29,FALSE()),FALSE()))</f>
        <v>1.1</v>
      </c>
      <c r="FJ15" s="908" t="n">
        <f aca="false">IF(FJ9=1,HLOOKUP(FJ2,物流参数!$C$1:$GC$29,MATCH("VAP. VISC @ P&amp;T",物流参数!$A$1:$A$29,FALSE()),FALSE()),HLOOKUP(FJ2,物流参数!$C$1:$GC$29,MATCH("LIQ. VISC @ P&amp;T",物流参数!$A$1:$A$29,FALSE()),FALSE()))</f>
        <v>1.1</v>
      </c>
      <c r="FK15" s="908" t="n">
        <f aca="false">IF(FK9=1,HLOOKUP(FK2,物流参数!$C$1:$GC$29,MATCH("VAP. VISC @ P&amp;T",物流参数!$A$1:$A$29,FALSE()),FALSE()),HLOOKUP(FK2,物流参数!$C$1:$GC$29,MATCH("LIQ. VISC @ P&amp;T",物流参数!$A$1:$A$29,FALSE()),FALSE()))</f>
        <v>0.8</v>
      </c>
      <c r="FL15" s="908" t="n">
        <v>0.6159</v>
      </c>
      <c r="FM15" s="908" t="n">
        <v>6</v>
      </c>
      <c r="FN15" s="908" t="n">
        <v>6</v>
      </c>
      <c r="FO15" s="908"/>
      <c r="FP15" s="915" t="n">
        <v>1.05</v>
      </c>
      <c r="FQ15" s="915" t="n">
        <v>1.05</v>
      </c>
      <c r="FR15" s="915" t="n">
        <v>1.05</v>
      </c>
      <c r="FS15" s="915" t="n">
        <v>1.05</v>
      </c>
      <c r="FT15" s="915" t="n">
        <v>1.05</v>
      </c>
      <c r="FU15" s="915" t="n">
        <v>1.05</v>
      </c>
      <c r="FV15" s="915" t="n">
        <v>1.05</v>
      </c>
      <c r="FW15" s="915" t="n">
        <v>1.05</v>
      </c>
      <c r="FX15" s="915" t="n">
        <v>1.05</v>
      </c>
      <c r="FY15" s="915" t="n">
        <v>1.05</v>
      </c>
      <c r="FZ15" s="915" t="n">
        <v>1.05</v>
      </c>
      <c r="GA15" s="915" t="n">
        <v>1.05</v>
      </c>
      <c r="GB15" s="915" t="n">
        <v>1.05</v>
      </c>
      <c r="GC15" s="915" t="n">
        <v>1.05</v>
      </c>
      <c r="GD15" s="915" t="n">
        <v>1.05</v>
      </c>
      <c r="GE15" s="915" t="n">
        <v>1.05</v>
      </c>
      <c r="GF15" s="915" t="n">
        <v>1.05</v>
      </c>
      <c r="GG15" s="915" t="n">
        <v>1.05</v>
      </c>
      <c r="GH15" s="915"/>
      <c r="GI15" s="908"/>
      <c r="GJ15" s="908"/>
      <c r="GK15" s="908"/>
      <c r="GL15" s="908"/>
      <c r="GM15" s="908"/>
      <c r="GN15" s="908"/>
      <c r="GO15" s="908"/>
      <c r="GP15" s="908"/>
      <c r="GQ15" s="908"/>
      <c r="GR15" s="908"/>
      <c r="GS15" s="908"/>
      <c r="GT15" s="908"/>
      <c r="GU15" s="908"/>
      <c r="GV15" s="908"/>
      <c r="GW15" s="908"/>
      <c r="GX15" s="908"/>
      <c r="GY15" s="908"/>
      <c r="GZ15" s="908"/>
      <c r="HA15" s="908"/>
      <c r="HB15" s="908"/>
      <c r="HC15" s="908"/>
      <c r="HD15" s="908"/>
      <c r="HE15" s="908"/>
      <c r="HF15" s="908"/>
      <c r="HG15" s="880"/>
      <c r="HH15" s="880"/>
      <c r="HI15" s="880"/>
      <c r="HJ15" s="880"/>
      <c r="HK15" s="880"/>
      <c r="HL15" s="844"/>
      <c r="HM15" s="844"/>
      <c r="HN15" s="912"/>
      <c r="HO15" s="912"/>
      <c r="HP15" s="912"/>
      <c r="HQ15" s="912"/>
      <c r="HR15" s="912"/>
      <c r="HS15" s="912"/>
      <c r="HT15" s="912"/>
      <c r="HU15" s="912"/>
      <c r="HV15" s="880"/>
      <c r="HW15" s="880"/>
      <c r="HX15" s="880"/>
      <c r="HY15" s="880"/>
      <c r="HZ15" s="880"/>
      <c r="IA15" s="880"/>
      <c r="IB15" s="880"/>
      <c r="IC15" s="880"/>
      <c r="ID15" s="880"/>
      <c r="IE15" s="880"/>
      <c r="IF15" s="880"/>
      <c r="IG15" s="880"/>
      <c r="IH15" s="880"/>
      <c r="II15" s="913"/>
      <c r="IJ15" s="880"/>
      <c r="IK15" s="880"/>
      <c r="IL15" s="880"/>
      <c r="IM15" s="880"/>
      <c r="IN15" s="880"/>
      <c r="IO15" s="880"/>
      <c r="IP15" s="914"/>
      <c r="IQ15" s="876"/>
      <c r="IR15" s="880"/>
      <c r="IS15" s="870"/>
      <c r="IT15" s="870"/>
      <c r="IU15" s="875"/>
      <c r="IV15" s="844"/>
      <c r="IW15" s="876"/>
      <c r="IX15" s="876"/>
      <c r="IY15" s="876"/>
      <c r="IZ15" s="907"/>
      <c r="JA15" s="876"/>
      <c r="JB15" s="876"/>
      <c r="JC15" s="875"/>
      <c r="JD15" s="875"/>
      <c r="JF15" s="880"/>
      <c r="JG15" s="880"/>
      <c r="JH15" s="844"/>
      <c r="JI15" s="844"/>
      <c r="JK15" s="844"/>
      <c r="JM15" s="880"/>
    </row>
    <row r="16" customFormat="false" ht="18.75" hidden="false" customHeight="false" outlineLevel="0" collapsed="false">
      <c r="A16" s="859" t="s">
        <v>1527</v>
      </c>
      <c r="B16" s="859" t="s">
        <v>1528</v>
      </c>
      <c r="C16" s="890" t="n">
        <f aca="false">IF(OR(C13="自选",C13=0),"",C10/C13)</f>
        <v>30.2814007605426</v>
      </c>
      <c r="D16" s="890" t="n">
        <f aca="false">IF(OR(D13="自选",D13=0),"",D10/D13)</f>
        <v>282.247531726419</v>
      </c>
      <c r="E16" s="916" t="n">
        <f aca="false">IF(OR(E13="自选",E13=0),"",E10/E13)</f>
        <v>53.8439949900264</v>
      </c>
      <c r="F16" s="916" t="n">
        <f aca="false">IF(OR(F13="自选",F13=0),"",F10/F13)</f>
        <v>312.687663418113</v>
      </c>
      <c r="G16" s="916" t="n">
        <f aca="false">IF(OR(G13="自选",G13=0),"",G10/G13)</f>
        <v>53.8677340758789</v>
      </c>
      <c r="H16" s="890" t="n">
        <f aca="false">IF(OR(H13="自选",H13=0),"",H10/H13)</f>
        <v>366.552189668648</v>
      </c>
      <c r="I16" s="890" t="n">
        <f aca="false">IF(OR(I13="自选",I13=0),"",I10/I13)</f>
        <v>388.761335376422</v>
      </c>
      <c r="J16" s="890" t="n">
        <f aca="false">IF(OR(J13="自选",J13=0),"",J10/J13)</f>
        <v>388.800401959553</v>
      </c>
      <c r="K16" s="890" t="n">
        <f aca="false">IF(OR(K13="自选",K13=0),"",K10/K13)</f>
        <v>388.790634577702</v>
      </c>
      <c r="L16" s="890" t="n">
        <f aca="false">IF(OR(L13="自选",L13=0),"",L10/L13)</f>
        <v>383.591726462679</v>
      </c>
      <c r="M16" s="890" t="n">
        <f aca="false">IF(OR(M13="自选",M13=0),"",M10/M13)</f>
        <v>384.043873145069</v>
      </c>
      <c r="N16" s="890" t="n">
        <f aca="false">IF(OR(N13="自选",N13=0),"",N10/N13)</f>
        <v>49.010989010989</v>
      </c>
      <c r="O16" s="890" t="n">
        <f aca="false">IF(OR(O13="自选",O13=0),"",O10/O13)</f>
        <v>390.400261971334</v>
      </c>
      <c r="P16" s="890" t="n">
        <f aca="false">IF(OR(P13="自选",P13=0),"",P10/P13)</f>
        <v>389.280306868351</v>
      </c>
      <c r="Q16" s="890" t="n">
        <f aca="false">IF(OR(Q13="自选",Q13=0),"",Q10/Q13)</f>
        <v>396.995350862588</v>
      </c>
      <c r="R16" s="890" t="n">
        <f aca="false">IF(OR(R13="自选",R13=0),"",R10/R13)</f>
        <v>337.645072190835</v>
      </c>
      <c r="S16" s="890" t="n">
        <f aca="false">IF(OR(S13="自选",S13=0),"",S10/S13)</f>
        <v>50.6467545511613</v>
      </c>
      <c r="T16" s="890" t="n">
        <f aca="false">IF(OR(T13="自选",T13=0),"",T10/T13)</f>
        <v>49.7608674199438</v>
      </c>
      <c r="U16" s="890" t="n">
        <f aca="false">IF(OR(U13="自选",U13=0),"",U10/U13)</f>
        <v>49.7676203165674</v>
      </c>
      <c r="V16" s="890" t="n">
        <f aca="false">IF(OR(V13="自选",V13=0),"",V10/V13)</f>
        <v>286.998305084746</v>
      </c>
      <c r="W16" s="890" t="n">
        <v>366.552189668648</v>
      </c>
      <c r="X16" s="890" t="n">
        <v>366.552189668648</v>
      </c>
      <c r="Y16" s="890" t="n">
        <f aca="false">IF(OR(Y13="自选",Y13=0),"",Y10/Y13)</f>
        <v>452.848105889056</v>
      </c>
      <c r="Z16" s="890" t="n">
        <f aca="false">IF(OR(Z13="自选",Z13=0),"",Z10/Z13)</f>
        <v>461.917889874078</v>
      </c>
      <c r="AA16" s="890" t="n">
        <f aca="false">IF(OR(AA13="自选",AA13=0),"",AA10/AA13)</f>
        <v>1470.81674468423</v>
      </c>
      <c r="AB16" s="890" t="n">
        <f aca="false">IF(OR(AB13="自选",AB13=0),"",AB10/AB13)</f>
        <v>850.273541889695</v>
      </c>
      <c r="AC16" s="890" t="n">
        <f aca="false">IF(OR(AC13="自选",AC13=0),"",AC10/AC13)</f>
        <v>845.046656421169</v>
      </c>
      <c r="AD16" s="890" t="n">
        <f aca="false">IF(OR(AD13="自选",AD13=0),"",AD10/AD13)</f>
        <v>1338.06294934715</v>
      </c>
      <c r="AE16" s="890" t="n">
        <f aca="false">IF(OR(AE13="自选",AE13=0),"",AE10/AE13)</f>
        <v>1343.29475692867</v>
      </c>
      <c r="AF16" s="890" t="n">
        <f aca="false">IF(OR(AF13="自选",AF13=0),"",AF10/AF13)</f>
        <v>32.5241379310345</v>
      </c>
      <c r="AG16" s="890" t="n">
        <f aca="false">IF(OR(AG13="自选",AG13=0),"",AG10/AG13)</f>
        <v>70.3651162790698</v>
      </c>
      <c r="AH16" s="890" t="n">
        <f aca="false">IF(OR(AH13="自选",AH13=0),"",AH10/AH13)</f>
        <v>85.596511627907</v>
      </c>
      <c r="AI16" s="890" t="n">
        <f aca="false">IF(OR(AI13="自选",AI13=0),"",AI10/AI13)</f>
        <v>78.5458823529412</v>
      </c>
      <c r="AJ16" s="890" t="n">
        <f aca="false">IF(OR(AJ13="自选",AJ13=0),"",AJ10/AJ13)</f>
        <v>56.4188235294118</v>
      </c>
      <c r="AK16" s="890" t="n">
        <f aca="false">IF(OR(AK13="自选",AK13=0),"",AK10/AK13)</f>
        <v>0.40144578313253</v>
      </c>
      <c r="AL16" s="890" t="n">
        <f aca="false">IF(OR(AL13="自选",AL13=0),"",AL10/AL13)</f>
        <v>0.410064239828694</v>
      </c>
      <c r="AM16" s="890" t="n">
        <f aca="false">IF(OR(AM13="自选",AM13=0),"",AM10/AM13)</f>
        <v>0.418250950570342</v>
      </c>
      <c r="AN16" s="890" t="n">
        <f aca="false">IF(OR(AN13="自选",AN13=0),"",AN10/AN13)</f>
        <v>0.421901528013582</v>
      </c>
      <c r="AO16" s="890" t="n">
        <f aca="false">IF(OR(AO13="自选",AO13=0),"",AO10/AO13)</f>
        <v>0.423937007874016</v>
      </c>
      <c r="AP16" s="890" t="n">
        <f aca="false">IF(OR(AP13="自选",AP13=0),"",AP10/AP13)</f>
        <v>9.12</v>
      </c>
      <c r="AQ16" s="890" t="n">
        <f aca="false">IF(OR(AQ13="自选",AQ13=0),"",AQ10/AQ13)</f>
        <v>619.907955266497</v>
      </c>
      <c r="AR16" s="890" t="n">
        <f aca="false">IF(OR(AR13="自选",AR13=0),"",AR10/AR13)</f>
        <v>511.153951800137</v>
      </c>
      <c r="AS16" s="890" t="n">
        <f aca="false">IF(OR(AS13="自选",AS13=0),"",AS10/AS13)</f>
        <v>511.078746464828</v>
      </c>
      <c r="AT16" s="890" t="n">
        <f aca="false">IF(OR(AT13="自选",AT13=0),"",AT10/AT13)</f>
        <v>474.929709693591</v>
      </c>
      <c r="AU16" s="890" t="n">
        <f aca="false">IF(OR(AU13="自选",AU13=0),"",AU10/AU13)</f>
        <v>1196.92142857143</v>
      </c>
      <c r="AV16" s="890" t="n">
        <f aca="false">IF(OR(AV13="自选",AV13=0),"",AV10/AV13)</f>
        <v>2607.675</v>
      </c>
      <c r="AW16" s="890" t="n">
        <f aca="false">IF(OR(AW13="自选",AW13=0),"",AW10/AW13)</f>
        <v>2756.98421052632</v>
      </c>
      <c r="AX16" s="890" t="n">
        <f aca="false">IF(OR(AX13="自选",AX13=0),"",AX10/AX13)</f>
        <v>0.0250049136293158</v>
      </c>
      <c r="AY16" s="890" t="n">
        <f aca="false">IF(OR(AY13="自选",AY13=0),"",AY10/AY13)</f>
        <v>723.474712643678</v>
      </c>
      <c r="AZ16" s="890" t="n">
        <f aca="false">IF(OR(AZ13="自选",AZ13=0),"",AZ10/AZ13)</f>
        <v>733.982658959538</v>
      </c>
      <c r="BA16" s="890" t="n">
        <f aca="false">IF(OR(BA13="自选",BA13=0),"",BA10/BA13)</f>
        <v>18.5430357195012</v>
      </c>
      <c r="BB16" s="890" t="n">
        <f aca="false">IF(OR(BB13="自选",BB13=0),"",BB10/BB13)</f>
        <v>27.0177363109397</v>
      </c>
      <c r="BC16" s="890" t="n">
        <f aca="false">IF(OR(BC13="自选",BC13=0),"",BC10/BC13)</f>
        <v>26.7074924664414</v>
      </c>
      <c r="BD16" s="890" t="n">
        <f aca="false">IF(OR(BD13="自选",BD13=0),"",BD10/BD13)</f>
        <v>31.3400651318468</v>
      </c>
      <c r="BE16" s="890" t="n">
        <f aca="false">IF(OR(BE13="自选",BE13=0),"",BE10/BE13)</f>
        <v>31.316339559111</v>
      </c>
      <c r="BF16" s="890" t="n">
        <f aca="false">IF(OR(BF13="自选",BF13=0),"",BF10/BF13)</f>
        <v>11.5175564587599</v>
      </c>
      <c r="BG16" s="890" t="n">
        <f aca="false">IF(OR(BG13="自选",BG13=0),"",BG10/BG13)</f>
        <v>16.3627485922019</v>
      </c>
      <c r="BH16" s="890" t="n">
        <f aca="false">IF(OR(BH13="自选",BH13=0),"",BH10/BH13)</f>
        <v>6.45274531236862</v>
      </c>
      <c r="BI16" s="890" t="n">
        <f aca="false">IF(OR(BI13="自选",BI13=0),"",BI10/BI13)</f>
        <v>7.70855306112199</v>
      </c>
      <c r="BJ16" s="890" t="n">
        <f aca="false">IF(OR(BJ13="自选",BJ13=0),"",BJ10/BJ13)</f>
        <v>756.710256410256</v>
      </c>
      <c r="BK16" s="890" t="n">
        <f aca="false">IF(OR(BK13="自选",BK13=0),"",BK10/BK13)</f>
        <v>761.592258064516</v>
      </c>
      <c r="BL16" s="890" t="n">
        <f aca="false">IF(OR(BL13="自选",BL13=0),"",BL10/BL13)</f>
        <v>455.806158567153</v>
      </c>
      <c r="BM16" s="890" t="n">
        <f aca="false">IF(OR(BM13="自选",BM13=0),"",BM10/BM13)</f>
        <v>450.218354240442</v>
      </c>
      <c r="BN16" s="890" t="n">
        <f aca="false">IF(OR(BN13="自选",BN13=0),"",BN10/BN13)</f>
        <v>33.9174911623821</v>
      </c>
      <c r="BO16" s="890" t="n">
        <f aca="false">IF(OR(BO13="自选",BO13=0),"",BO10/BO13)</f>
        <v>3.37243166076244</v>
      </c>
      <c r="BP16" s="890" t="n">
        <f aca="false">IF(OR(BP13="自选",BP13=0),"",BP10/BP13)</f>
        <v>13.7623835187578</v>
      </c>
      <c r="BQ16" s="890" t="n">
        <f aca="false">IF(OR(BQ13="自选",BQ13=0),"",BQ10/BQ13)</f>
        <v>13.7623835187578</v>
      </c>
      <c r="BR16" s="890" t="n">
        <f aca="false">IF(OR(BR13="自选",BR13=0),"",BR10/BR13)</f>
        <v>13.7541472428709</v>
      </c>
      <c r="BS16" s="890" t="n">
        <f aca="false">IF(OR(BS13="自选",BS13=0),"",BS10/BS13)</f>
        <v>2.52291649146413</v>
      </c>
      <c r="BT16" s="890" t="n">
        <f aca="false">IF(OR(BT13="自选",BT13=0),"",BT10/BT13)</f>
        <v>11.2351292039858</v>
      </c>
      <c r="BU16" s="890" t="n">
        <f aca="false">IF(OR(BU13="自选",BU13=0),"",BU10/BU13)</f>
        <v>392.545454545455</v>
      </c>
      <c r="BV16" s="890" t="n">
        <f aca="false">IF(OR(BV13="自选",BV13=0),"",BV10/BV13)</f>
        <v>10.4545309279174</v>
      </c>
      <c r="BW16" s="890" t="n">
        <f aca="false">IF(OR(BW13="自选",BW13=0),"",BW10/BW13)</f>
        <v>447.550688844586</v>
      </c>
      <c r="BX16" s="890" t="n">
        <f aca="false">IF(OR(BX13="自选",BX13=0),"",BX10/BX13)</f>
        <v>445.984759080801</v>
      </c>
      <c r="BY16" s="890" t="n">
        <f aca="false">IF(OR(BY13="自选",BY13=0),"",BY10/BY13)</f>
        <v>461.460268761122</v>
      </c>
      <c r="BZ16" s="890" t="n">
        <f aca="false">IF(OR(BZ13="自选",BZ13=0),"",BZ10/BZ13)</f>
        <v>475.41164757013</v>
      </c>
      <c r="CA16" s="890" t="n">
        <f aca="false">IF(OR(CA13="自选",CA13=0),"",CA10/CA13)</f>
        <v>1257.90483870968</v>
      </c>
      <c r="CB16" s="890" t="n">
        <f aca="false">IF(OR(CB13="自选",CB13=0),"",CB10/CB13)</f>
        <v>2107.84054054054</v>
      </c>
      <c r="CC16" s="890" t="n">
        <f aca="false">IF(OR(CC13="自选",CC13=0),"",CC10/CC13)</f>
        <v>463.086068747531</v>
      </c>
      <c r="CD16" s="890" t="n">
        <f aca="false">IF(OR(CD13="自选",CD13=0),"",CD10/CD13)</f>
        <v>462.756964624131</v>
      </c>
      <c r="CE16" s="890" t="n">
        <f aca="false">IF(OR(CE13="自选",CE13=0),"",CE10/CE13)</f>
        <v>477.491949939706</v>
      </c>
      <c r="CF16" s="890" t="n">
        <f aca="false">IF(OR(CF13="自选",CF13=0),"",CF10/CF13)</f>
        <v>397.396784584922</v>
      </c>
      <c r="CG16" s="890" t="n">
        <f aca="false">IF(OR(CG13="自选",CG13=0),"",CG10/CG13)</f>
        <v>601.944625219015</v>
      </c>
      <c r="CH16" s="890" t="n">
        <f aca="false">IF(OR(CH13="自选",CH13=0),"",CH10/CH13)</f>
        <v>1209.00467836257</v>
      </c>
      <c r="CI16" s="890" t="n">
        <f aca="false">IF(OR(CI13="自选",CI13=0),"",CI10/CI13)</f>
        <v>32.7322996609593</v>
      </c>
      <c r="CJ16" s="890" t="n">
        <f aca="false">IF(OR(CJ13="自选",CJ13=0),"",CJ10/CJ13)</f>
        <v>31.8406723060152</v>
      </c>
      <c r="CK16" s="890" t="n">
        <f aca="false">IF(OR(CK13="自选",CK13=0),"",CK10/CK13)</f>
        <v>31.2863283209719</v>
      </c>
      <c r="CL16" s="890" t="n">
        <f aca="false">IF(OR(CL13="自选",CL13=0),"",CL10/CL13)</f>
        <v>22.2034017286515</v>
      </c>
      <c r="CM16" s="890" t="n">
        <f aca="false">IF(OR(CM13="自选",CM13=0),"",CM10/CM13)</f>
        <v>22.1949622092598</v>
      </c>
      <c r="CN16" s="890" t="n">
        <f aca="false">IF(OR(CN13="自选",CN13=0),"",CN10/CN13)</f>
        <v>10.7548506043136</v>
      </c>
      <c r="CO16" s="890" t="n">
        <f aca="false">IF(OR(CO13="自选",CO13=0),"",CO10/CO13)</f>
        <v>11.4617669871654</v>
      </c>
      <c r="CP16" s="890" t="n">
        <f aca="false">IF(OR(CP13="自选",CP13=0),"",CP10/CP13)</f>
        <v>4.84547915097987</v>
      </c>
      <c r="CQ16" s="890" t="n">
        <f aca="false">IF(OR(CQ13="自选",CQ13=0),"",CQ10/CQ13)</f>
        <v>258.67142555595</v>
      </c>
      <c r="CR16" s="890" t="n">
        <f aca="false">IF(OR(CR13="自选",CR13=0),"",CR10/CR13)</f>
        <v>279.457522252411</v>
      </c>
      <c r="CS16" s="890" t="n">
        <f aca="false">IF(OR(CS13="自选",CS13=0),"",CS10/CS13)</f>
        <v>536.363636363636</v>
      </c>
      <c r="CT16" s="890" t="n">
        <f aca="false">IF(OR(CT13="自选",CT13=0),"",CT10/CT13)</f>
        <v>590</v>
      </c>
      <c r="CU16" s="890" t="n">
        <f aca="false">IF(OR(CU13="自选",CU13=0),"",CU10/CU13)</f>
        <v>4787.68392857143</v>
      </c>
      <c r="CV16" s="890" t="n">
        <f aca="false">IF(OR(CV13="自选",CV13=0),"",CV10/CV13)</f>
        <v>4943.92727272727</v>
      </c>
      <c r="CW16" s="890" t="n">
        <f aca="false">IF(OR(CW13="自选",CW13=0),"",CW10/CW13)</f>
        <v>870.488311688312</v>
      </c>
      <c r="CX16" s="890" t="n">
        <f aca="false">IF(OR(CX13="自选",CX13=0),"",CX10/CX13)</f>
        <v>2611.46363636364</v>
      </c>
      <c r="CY16" s="890" t="n">
        <f aca="false">IF(OR(CY13="自选",CY13=0),"",CY10/CY13)</f>
        <v>0.415562010001965</v>
      </c>
      <c r="CZ16" s="890" t="n">
        <f aca="false">IF(OR(CZ13="自选",CZ13=0),"",CZ10/CZ13)</f>
        <v>414.203887382947</v>
      </c>
      <c r="DA16" s="890" t="n">
        <f aca="false">IF(OR(DA13="自选",DA13=0),"",DA10/DA13)</f>
        <v>413.204732273181</v>
      </c>
      <c r="DB16" s="890" t="n">
        <f aca="false">IF(OR(DB13="自选",DB13=0),"",DB10/DB13)</f>
        <v>19064.0852941177</v>
      </c>
      <c r="DC16" s="890" t="n">
        <f aca="false">IF(OR(DC13="自选",DC13=0),"",DC10/DC13)</f>
        <v>93.2175482497771</v>
      </c>
      <c r="DD16" s="890" t="n">
        <f aca="false">IF(OR(DD13="自选",DD13=0),"",DD10/DD13)</f>
        <v>82.8260121884994</v>
      </c>
      <c r="DE16" s="890" t="n">
        <f aca="false">IF(OR(DE13="自选",DE13=0),"",DE10/DE13)</f>
        <v>82.6464868444819</v>
      </c>
      <c r="DF16" s="890" t="n">
        <f aca="false">IF(OR(DF13="自选",DF13=0),"",DF10/DF13)</f>
        <v>76.5071122149469</v>
      </c>
      <c r="DG16" s="890" t="n">
        <f aca="false">IF(OR(DG13="自选",DG13=0),"",DG10/DG13)</f>
        <v>6.1405412728039</v>
      </c>
      <c r="DH16" s="890" t="n">
        <f aca="false">IF(OR(DH13="自选",DH13=0),"",DH10/DH13)</f>
        <v>5.7501092364723</v>
      </c>
      <c r="DI16" s="890" t="n">
        <f aca="false">IF(OR(DI13="自选",DI13=0),"",DI10/DI13)</f>
        <v>5.7516495601173</v>
      </c>
      <c r="DJ16" s="890" t="n">
        <f aca="false">IF(OR(DJ13="自选",DJ13=0),"",DJ10/DJ13)</f>
        <v>10.3859115964203</v>
      </c>
      <c r="DK16" s="890" t="n">
        <f aca="false">IF(OR(DK13="自选",DK13=0),"",DK10/DK13)</f>
        <v>194.250194250194</v>
      </c>
      <c r="DL16" s="890" t="n">
        <f aca="false">IF(OR(DL13="自选",DL13=0),"",DL10/DL13)</f>
        <v>194.081296773593</v>
      </c>
      <c r="DM16" s="890" t="n">
        <f aca="false">IF(OR(DM13="自选",DM13=0),"",DM10/DM13)</f>
        <v>188.821752265861</v>
      </c>
      <c r="DN16" s="890" t="n">
        <f aca="false">IF(OR(DN13="自选",DN13=0),"",DN10/DN13)</f>
        <v>181.222454186964</v>
      </c>
      <c r="DO16" s="890" t="n">
        <f aca="false">IF(OR(DO13="自选",DO13=0),"",DO10/DO13)</f>
        <v>181.356546971346</v>
      </c>
      <c r="DP16" s="890" t="n">
        <f aca="false">IF(OR(DP13="自选",DP13=0),"",DP10/DP13)</f>
        <v>47.5547642741635</v>
      </c>
      <c r="DQ16" s="890" t="n">
        <f aca="false">IF(OR(DQ13="自选",DQ13=0),"",DQ10/DQ13)</f>
        <v>47.5540248472315</v>
      </c>
      <c r="DR16" s="890" t="n">
        <f aca="false">IF(OR(DR13="自选",DR13=0),"",DR10/DR13)</f>
        <v>961.321951219512</v>
      </c>
      <c r="DS16" s="890" t="n">
        <f aca="false">IF(OR(DS13="自选",DS13=0),"",DS10/DS13)</f>
        <v>41.2525486138584</v>
      </c>
      <c r="DT16" s="890" t="n">
        <f aca="false">IF(OR(DT13="自选",DT13=0),"",DT10/DT13)</f>
        <v>41.1429958875214</v>
      </c>
      <c r="DU16" s="890" t="n">
        <f aca="false">IF(OR(DU13="自选",DU13=0),"",DU10/DU13)</f>
        <v>36.870019310795</v>
      </c>
      <c r="DV16" s="890" t="n">
        <f aca="false">IF(OR(DV13="自选",DV13=0),"",DV10/DV13)</f>
        <v>5.11836888804984</v>
      </c>
      <c r="DW16" s="890" t="n">
        <f aca="false">IF(OR(DW13="自选",DW13=0),"",DW10/DW13)</f>
        <v>5.11901315375417</v>
      </c>
      <c r="DX16" s="890" t="n">
        <f aca="false">IF(OR(DX13="自选",DX13=0),"",DX10/DX13)</f>
        <v>0.755191944619257</v>
      </c>
      <c r="DY16" s="890" t="n">
        <f aca="false">IF(OR(DY13="自选",DY13=0),"",DY10/DY13)</f>
        <v>0.755191944619257</v>
      </c>
      <c r="DZ16" s="890" t="n">
        <f aca="false">IF(OR(DZ13="自选",DZ13=0),"",DZ10/DZ13)</f>
        <v>31.3412212702298</v>
      </c>
      <c r="EA16" s="890" t="n">
        <f aca="false">IF(OR(EA13="自选",EA13=0),"",EA10/EA13)</f>
        <v>35.4107466532725</v>
      </c>
      <c r="EB16" s="890" t="n">
        <f aca="false">IF(OR(EB13="自选",EB13=0),"",EB10/EB13)</f>
        <v>433.437662337662</v>
      </c>
      <c r="EC16" s="890" t="n">
        <f aca="false">IF(OR(EC13="自选",EC13=0),"",EC10/EC13)</f>
        <v>1372.46052631579</v>
      </c>
      <c r="ED16" s="890" t="n">
        <f aca="false">IF(OR(ED13="自选",ED13=0),"",ED10/ED13)</f>
        <v>2086.14</v>
      </c>
      <c r="EE16" s="890" t="n">
        <f aca="false">IF(OR(EE13="自选",EE13=0),"",EE10/EE13)</f>
        <v>362.381658200046</v>
      </c>
      <c r="EF16" s="890" t="n">
        <f aca="false">IF(OR(EF13="自选",EF13=0),"",EF10/EF13)</f>
        <v>261.111111111111</v>
      </c>
      <c r="EG16" s="890" t="n">
        <f aca="false">IF(OR(EG13="自选",EG13=0),"",EG10/EG13)</f>
        <v>4861.11111111111</v>
      </c>
      <c r="EH16" s="890" t="n">
        <f aca="false">IF(OR(EH13="自选",EH13=0),"",EH10/EH13)</f>
        <v>3048.51298701299</v>
      </c>
      <c r="EI16" s="890" t="n">
        <f aca="false">IF(OR(EI13="自选",EI13=0),"",EI10/EI13)</f>
        <v>723.950909090909</v>
      </c>
      <c r="EJ16" s="890" t="n">
        <f aca="false">IF(OR(EJ13="自选",EJ13=0),"",EJ10/EJ13)</f>
        <v>1693.38421052632</v>
      </c>
      <c r="EK16" s="890" t="n">
        <f aca="false">IF(OR(EK13="自选",EK13=0),"",EK10/EK13)</f>
        <v>2128.7052631579</v>
      </c>
      <c r="EL16" s="917" t="n">
        <f aca="false">IF(OR(EL13="自选",EL13=0),"",EL10/EL13)</f>
        <v>2128.7052631579</v>
      </c>
      <c r="EM16" s="917" t="n">
        <f aca="false">IF(OR(EM13="自选",EM13=0),"",EM10/EM13)</f>
        <v>1394.66896551724</v>
      </c>
      <c r="EN16" s="917" t="n">
        <f aca="false">IF(OR(EN13="自选",EN13=0),"",EN10/EN13)</f>
        <v>1155.58285714286</v>
      </c>
      <c r="EO16" s="917" t="n">
        <f aca="false">IF(OR(EO13="自选",EO13=0),"",EO10/EO13)</f>
        <v>1155.58285714286</v>
      </c>
      <c r="EP16" s="917" t="n">
        <f aca="false">IF(OR(EP13="自选",EP13=0),"",EP10/EP13)</f>
        <v>777.796153846154</v>
      </c>
      <c r="EQ16" s="917" t="n">
        <f aca="false">IF(OR(EQ13="自选",EQ13=0),"",EQ10/EQ13)</f>
        <v>652.345161290323</v>
      </c>
      <c r="ER16" s="917" t="n">
        <f aca="false">IF(OR(ER13="自选",ER13=0),"",ER10/ER13)</f>
        <v>652.345161290323</v>
      </c>
      <c r="ES16" s="917" t="n">
        <f aca="false">IF(OR(ES13="自选",ES13=0),"",ES10/ES13)</f>
        <v>439.623913043478</v>
      </c>
      <c r="ET16" s="890" t="n">
        <f aca="false">IF(OR(ET13="自选",ET13=0),"",ET10/ET13)</f>
        <v>349.720652173913</v>
      </c>
      <c r="EU16" s="917" t="n">
        <f aca="false">IF(OR(EU13="自选",EU13=0),"",EU10/EU13)</f>
        <v>89.9032608695652</v>
      </c>
      <c r="EV16" s="917" t="n">
        <f aca="false">IF(OR(EV13="自选",EV13=0),"",EV10/EV13)</f>
        <v>73.8491071428572</v>
      </c>
      <c r="EW16" s="917" t="n">
        <f aca="false">IF(OR(EW13="自选",EW13=0),"",EW10/EW13)</f>
        <v>435.321052631579</v>
      </c>
      <c r="EX16" s="890" t="n">
        <f aca="false">IF(OR(EX13="自选",EX13=0),"",EX10/EX13)</f>
        <v>48.4782608695652</v>
      </c>
      <c r="EY16" s="890" t="n">
        <f aca="false">IF(OR(EY13="自选",EY13=0),"",EY10/EY13)</f>
        <v>162.405181121388</v>
      </c>
      <c r="EZ16" s="890" t="n">
        <f aca="false">IF(OR(EZ13="自选",EZ13=0),"",EZ10/EZ13)</f>
        <v>162.405181121388</v>
      </c>
      <c r="FA16" s="890" t="n">
        <f aca="false">IF(OR(FA13="自选",FA13=0),"",FA10/FA13)</f>
        <v>162.405181121388</v>
      </c>
      <c r="FB16" s="890" t="n">
        <f aca="false">IF(OR(FB13="自选",FB13=0),"",FB10/FB13)</f>
        <v>162.495293581436</v>
      </c>
      <c r="FC16" s="890" t="n">
        <f aca="false">IF(OR(FC13="自选",FC13=0),"",FC10/FC13)</f>
        <v>162.495293581436</v>
      </c>
      <c r="FD16" s="890" t="n">
        <f aca="false">IF(OR(FD13="自选",FD13=0),"",FD10/FD13)</f>
        <v>659.876086956522</v>
      </c>
      <c r="FE16" s="890" t="n">
        <f aca="false">IF(OR(FE13="自选",FE13=0),"",FE10/FE13)</f>
        <v>659.605434782609</v>
      </c>
      <c r="FF16" s="890" t="n">
        <f aca="false">IF(OR(FF13="自选",FF13=0),"",FF10/FF13)</f>
        <v>681.839325842697</v>
      </c>
      <c r="FG16" s="890" t="n">
        <f aca="false">IF(OR(FG13="自选",FG13=0),"",FG10/FG13)</f>
        <v>0.00252933109858297</v>
      </c>
      <c r="FH16" s="890" t="n">
        <f aca="false">IF(OR(FH13="自选",FH13=0),"",FH10/FH13)</f>
        <v>0.00253159409091371</v>
      </c>
      <c r="FI16" s="890" t="n">
        <f aca="false">IF(OR(FI13="自选",FI13=0),"",FI10/FI13)</f>
        <v>161.930693163904</v>
      </c>
      <c r="FJ16" s="890" t="n">
        <f aca="false">IF(OR(FJ13="自选",FJ13=0),"",FJ10/FJ13)</f>
        <v>161.932240311855</v>
      </c>
      <c r="FK16" s="890" t="n">
        <f aca="false">IF(OR(FK13="自选",FK13=0),"",FK10/FK13)</f>
        <v>175.623546722484</v>
      </c>
      <c r="FL16" s="890" t="n">
        <f aca="false">IF(OR(FL13="自选",FL13=0),"",FL10/FL13)</f>
        <v>17.8122169668914</v>
      </c>
      <c r="FM16" s="890" t="n">
        <f aca="false">IF(OR(FM13="自选",FM13=0),"",FM10/FM13)</f>
        <v>38.7562814070352</v>
      </c>
      <c r="FN16" s="890" t="n">
        <f aca="false">IF(OR(FN13="自选",FN13=0),"",FN10/FN13)</f>
        <v>38.7562814070352</v>
      </c>
      <c r="FO16" s="890"/>
      <c r="FP16" s="918" t="n">
        <f aca="false">'机泵选型（详细设计新模板）'!B17</f>
        <v>171.067879214189</v>
      </c>
      <c r="FQ16" s="918" t="n">
        <f aca="false">'机泵选型（详细设计新模板）'!C17</f>
        <v>272.759500317259</v>
      </c>
      <c r="FR16" s="918" t="n">
        <f aca="false">'机泵选型（详细设计新模板）'!D17</f>
        <v>391.12582926926</v>
      </c>
      <c r="FS16" s="918" t="n">
        <f aca="false">'机泵选型（详细设计新模板）'!E17</f>
        <v>7.15643942975406</v>
      </c>
      <c r="FT16" s="918" t="n">
        <f aca="false">'机泵选型（详细设计新模板）'!F17</f>
        <v>17.0527638190955</v>
      </c>
      <c r="FU16" s="918" t="n">
        <f aca="false">'机泵选型（详细设计新模板）'!G17</f>
        <v>0.332305368493927</v>
      </c>
      <c r="FV16" s="918" t="n">
        <f aca="false">'机泵选型（详细设计新模板）'!H17</f>
        <v>161.286783514922</v>
      </c>
      <c r="FW16" s="918" t="n">
        <f aca="false">'机泵选型（详细设计新模板）'!I17</f>
        <v>14.5008880994671</v>
      </c>
      <c r="FX16" s="918" t="n">
        <f aca="false">'机泵选型（详细设计新模板）'!J17</f>
        <v>203.757870248914</v>
      </c>
      <c r="FY16" s="918" t="n">
        <f aca="false">'机泵选型（详细设计新模板）'!K17</f>
        <v>58.4607472394494</v>
      </c>
      <c r="FZ16" s="918" t="n">
        <f aca="false">'机泵选型（详细设计新模板）'!L17</f>
        <v>4.56980110242492</v>
      </c>
      <c r="GA16" s="918" t="n">
        <f aca="false">'机泵选型（详细设计新模板）'!M17</f>
        <v>85.4700854700855</v>
      </c>
      <c r="GB16" s="918" t="n">
        <f aca="false">'机泵选型（详细设计新模板）'!N17</f>
        <v>18.1511213900977</v>
      </c>
      <c r="GC16" s="918" t="n">
        <f aca="false">'机泵选型（详细设计新模板）'!O17</f>
        <v>183.53196099675</v>
      </c>
      <c r="GD16" s="918" t="n">
        <f aca="false">'机泵选型（详细设计新模板）'!P17</f>
        <v>71.4582796934107</v>
      </c>
      <c r="GE16" s="918" t="n">
        <f aca="false">'机泵选型（详细设计新模板）'!Q17</f>
        <v>13.2</v>
      </c>
      <c r="GF16" s="918" t="n">
        <f aca="false">'机泵选型（详细设计新模板）'!R17</f>
        <v>13.4588235294118</v>
      </c>
      <c r="GG16" s="918" t="n">
        <f aca="false">'机泵选型（详细设计新模板）'!S17</f>
        <v>13.5049504950495</v>
      </c>
      <c r="GH16" s="918"/>
      <c r="GI16" s="890"/>
      <c r="GJ16" s="890"/>
      <c r="GK16" s="890"/>
      <c r="GL16" s="890"/>
      <c r="GM16" s="890"/>
      <c r="GN16" s="890"/>
      <c r="GO16" s="890"/>
      <c r="GP16" s="890"/>
      <c r="GQ16" s="890"/>
      <c r="GR16" s="890"/>
      <c r="GS16" s="890"/>
      <c r="GT16" s="890"/>
      <c r="GU16" s="890"/>
      <c r="GV16" s="890"/>
      <c r="GW16" s="890"/>
      <c r="GX16" s="890"/>
      <c r="GY16" s="890"/>
      <c r="GZ16" s="890"/>
      <c r="HA16" s="890"/>
      <c r="HB16" s="890"/>
      <c r="HC16" s="890"/>
      <c r="HD16" s="890"/>
      <c r="HE16" s="890"/>
      <c r="HF16" s="890"/>
      <c r="HG16" s="890"/>
      <c r="HH16" s="890"/>
      <c r="HI16" s="890"/>
      <c r="HJ16" s="890"/>
      <c r="HK16" s="890"/>
      <c r="HL16" s="890"/>
      <c r="HM16" s="890"/>
      <c r="HN16" s="890"/>
      <c r="HO16" s="890"/>
      <c r="HP16" s="890"/>
      <c r="HQ16" s="890"/>
      <c r="HR16" s="890"/>
      <c r="HS16" s="890"/>
      <c r="HT16" s="890"/>
      <c r="HU16" s="890"/>
      <c r="HV16" s="890"/>
      <c r="HW16" s="890"/>
      <c r="HX16" s="890"/>
      <c r="HY16" s="890"/>
      <c r="HZ16" s="890"/>
      <c r="IA16" s="890"/>
      <c r="IB16" s="890"/>
      <c r="IC16" s="890"/>
      <c r="ID16" s="890"/>
      <c r="IE16" s="890"/>
      <c r="IF16" s="890"/>
      <c r="IG16" s="890"/>
      <c r="IH16" s="890"/>
      <c r="II16" s="890"/>
      <c r="IJ16" s="890"/>
      <c r="IK16" s="890"/>
      <c r="IL16" s="890"/>
      <c r="IM16" s="890"/>
      <c r="IN16" s="890"/>
      <c r="IO16" s="890"/>
      <c r="IP16" s="890"/>
      <c r="IQ16" s="890"/>
      <c r="IR16" s="890"/>
      <c r="IS16" s="890"/>
      <c r="IT16" s="890"/>
      <c r="IU16" s="890"/>
      <c r="IV16" s="890"/>
      <c r="IW16" s="890"/>
      <c r="IX16" s="890"/>
      <c r="IY16" s="890"/>
      <c r="IZ16" s="890"/>
      <c r="JA16" s="890"/>
      <c r="JB16" s="890"/>
      <c r="JC16" s="890"/>
      <c r="JD16" s="890"/>
      <c r="JE16" s="890"/>
      <c r="JF16" s="890"/>
      <c r="JG16" s="890"/>
      <c r="JH16" s="890"/>
      <c r="JI16" s="890"/>
      <c r="JK16" s="890"/>
      <c r="JM16" s="890"/>
    </row>
    <row r="17" customFormat="false" ht="18.75" hidden="false" customHeight="false" outlineLevel="0" collapsed="false">
      <c r="A17" s="859" t="s">
        <v>1529</v>
      </c>
      <c r="B17" s="859" t="s">
        <v>1528</v>
      </c>
      <c r="C17" s="890" t="n">
        <f aca="false">IF(OR(C13="自选",C13=0),"",C12/C13)</f>
        <v>33.3095408365969</v>
      </c>
      <c r="D17" s="890" t="n">
        <f aca="false">IF(OR(D13="自选",D13=0),"",D12/D13)</f>
        <v>310.47228489906</v>
      </c>
      <c r="E17" s="916" t="n">
        <f aca="false">IF(OR(E13="自选",E13=0),"",E12/E13)</f>
        <v>59.2283944890291</v>
      </c>
      <c r="F17" s="916" t="n">
        <f aca="false">IF(OR(F13="自选",F13=0),"",F12/F13)</f>
        <v>343.956429759924</v>
      </c>
      <c r="G17" s="916" t="n">
        <f aca="false">IF(OR(G13="自选",G13=0),"",G12/G13)</f>
        <v>59.2545074834668</v>
      </c>
      <c r="H17" s="890" t="n">
        <f aca="false">IF(OR(H13="自选",H13=0),"",H12/H13)</f>
        <v>403.207408635513</v>
      </c>
      <c r="I17" s="890" t="n">
        <f aca="false">IF(OR(I13="自选",I13=0),"",I12/I13)</f>
        <v>427.637468914065</v>
      </c>
      <c r="J17" s="890" t="n">
        <f aca="false">IF(OR(J13="自选",J13=0),"",J12/J13)</f>
        <v>427.680442155508</v>
      </c>
      <c r="K17" s="890" t="n">
        <f aca="false">IF(OR(K13="自选",K13=0),"",K12/K13)</f>
        <v>427.669698035472</v>
      </c>
      <c r="L17" s="890" t="n">
        <f aca="false">IF(OR(L13="自选",L13=0),"",L12/L13)</f>
        <v>421.950899108947</v>
      </c>
      <c r="M17" s="890" t="n">
        <f aca="false">IF(OR(M13="自选",M13=0),"",M12/M13)</f>
        <v>422.448260459576</v>
      </c>
      <c r="N17" s="890" t="n">
        <f aca="false">IF(OR(N13="自选",N13=0),"",N12/N13)</f>
        <v>53.9120879120879</v>
      </c>
      <c r="O17" s="890" t="n">
        <f aca="false">IF(OR(O13="自选",O13=0),"",O12/O13)</f>
        <v>429.440288168468</v>
      </c>
      <c r="P17" s="890" t="n">
        <f aca="false">IF(OR(P13="自选",P13=0),"",P12/P13)</f>
        <v>428.208337555186</v>
      </c>
      <c r="Q17" s="890" t="n">
        <f aca="false">IF(OR(Q13="自选",Q13=0),"",Q12/Q13)</f>
        <v>436.694885948847</v>
      </c>
      <c r="R17" s="890" t="n">
        <f aca="false">IF(OR(R13="自选",R13=0),"",R12/R13)</f>
        <v>371.409579409918</v>
      </c>
      <c r="S17" s="890" t="n">
        <f aca="false">IF(OR(S13="自选",S13=0),"",S12/S13)</f>
        <v>55.7114300062775</v>
      </c>
      <c r="T17" s="890" t="n">
        <f aca="false">IF(OR(T13="自选",T13=0),"",T12/T13)</f>
        <v>54.7369541619381</v>
      </c>
      <c r="U17" s="890" t="n">
        <f aca="false">IF(OR(U13="自选",U13=0),"",U12/U13)</f>
        <v>54.7443823482241</v>
      </c>
      <c r="V17" s="890" t="n">
        <f aca="false">IF(OR(V13="自选",V13=0),"",V12/V13)</f>
        <v>315.69813559322</v>
      </c>
      <c r="W17" s="890" t="n">
        <v>403.207408635513</v>
      </c>
      <c r="X17" s="890" t="n">
        <v>403.207408635513</v>
      </c>
      <c r="Y17" s="890" t="n">
        <f aca="false">IF(OR(Y13="自选",Y13=0),"",Y12/Y13)</f>
        <v>498.132916477962</v>
      </c>
      <c r="Z17" s="890" t="n">
        <f aca="false">IF(OR(Z13="自选",Z13=0),"",Z12/Z13)</f>
        <v>508.109678861486</v>
      </c>
      <c r="AA17" s="890" t="n">
        <f aca="false">IF(OR(AA13="自选",AA13=0),"",AA12/AA13)</f>
        <v>1617.89841915265</v>
      </c>
      <c r="AB17" s="890" t="n">
        <f aca="false">IF(OR(AB13="自选",AB13=0),"",AB12/AB13)</f>
        <v>935.300896078665</v>
      </c>
      <c r="AC17" s="890" t="n">
        <f aca="false">IF(OR(AC13="自选",AC13=0),"",AC12/AC13)</f>
        <v>929.551322063286</v>
      </c>
      <c r="AD17" s="890" t="n">
        <f aca="false">IF(OR(AD13="自选",AD13=0),"",AD12/AD13)</f>
        <v>1471.86924428186</v>
      </c>
      <c r="AE17" s="890" t="n">
        <f aca="false">IF(OR(AE13="自选",AE13=0),"",AE12/AE13)</f>
        <v>1477.62423262154</v>
      </c>
      <c r="AF17" s="890" t="n">
        <f aca="false">IF(OR(AF13="自选",AF13=0),"",AF12/AF13)</f>
        <v>35.7765517241379</v>
      </c>
      <c r="AG17" s="890" t="n">
        <f aca="false">IF(OR(AG13="自选",AG13=0),"",AG12/AG13)</f>
        <v>77.4016279069767</v>
      </c>
      <c r="AH17" s="890" t="n">
        <f aca="false">IF(OR(AH13="自选",AH13=0),"",AH12/AH13)</f>
        <v>94.1561627906977</v>
      </c>
      <c r="AI17" s="890" t="n">
        <f aca="false">IF(OR(AI13="自选",AI13=0),"",AI12/AI13)</f>
        <v>86.4004705882353</v>
      </c>
      <c r="AJ17" s="890" t="n">
        <f aca="false">IF(OR(AJ13="自选",AJ13=0),"",AJ12/AJ13)</f>
        <v>62.060705882353</v>
      </c>
      <c r="AK17" s="890" t="n">
        <f aca="false">IF(OR(AK13="自选",AK13=0),"",AK12/AK13)</f>
        <v>0.441590361445783</v>
      </c>
      <c r="AL17" s="890" t="n">
        <f aca="false">IF(OR(AL13="自选",AL13=0),"",AL12/AL13)</f>
        <v>0.451070663811563</v>
      </c>
      <c r="AM17" s="890" t="n">
        <f aca="false">IF(OR(AM13="自选",AM13=0),"",AM12/AM13)</f>
        <v>0.460076045627377</v>
      </c>
      <c r="AN17" s="890" t="n">
        <f aca="false">IF(OR(AN13="自选",AN13=0),"",AN12/AN13)</f>
        <v>0.464091680814941</v>
      </c>
      <c r="AO17" s="890" t="n">
        <f aca="false">IF(OR(AO13="自选",AO13=0),"",AO12/AO13)</f>
        <v>0.466330708661417</v>
      </c>
      <c r="AP17" s="890" t="n">
        <f aca="false">IF(OR(AP13="自选",AP13=0),"",AP12/AP13)</f>
        <v>10.032</v>
      </c>
      <c r="AQ17" s="890" t="n">
        <f aca="false">IF(OR(AQ13="自选",AQ13=0),"",AQ12/AQ13)</f>
        <v>681.898750793147</v>
      </c>
      <c r="AR17" s="890" t="n">
        <f aca="false">IF(OR(AR13="自选",AR13=0),"",AR12/AR13)</f>
        <v>562.269346980151</v>
      </c>
      <c r="AS17" s="890" t="n">
        <f aca="false">IF(OR(AS13="自选",AS13=0),"",AS12/AS13)</f>
        <v>562.186621111311</v>
      </c>
      <c r="AT17" s="890" t="n">
        <f aca="false">IF(OR(AT13="自选",AT13=0),"",AT12/AT13)</f>
        <v>522.42268066295</v>
      </c>
      <c r="AU17" s="890" t="n">
        <f aca="false">IF(OR(AU13="自选",AU13=0),"",AU12/AU13)</f>
        <v>1316.61357142857</v>
      </c>
      <c r="AV17" s="890" t="n">
        <f aca="false">IF(OR(AV13="自选",AV13=0),"",AV12/AV13)</f>
        <v>2868.4425</v>
      </c>
      <c r="AW17" s="890" t="n">
        <f aca="false">IF(OR(AW13="自选",AW13=0),"",AW12/AW13)</f>
        <v>3032.68263157895</v>
      </c>
      <c r="AX17" s="890" t="n">
        <f aca="false">IF(OR(AX13="自选",AX13=0),"",AX12/AX13)</f>
        <v>0.0275054049922474</v>
      </c>
      <c r="AY17" s="890" t="n">
        <f aca="false">IF(OR(AY13="自选",AY13=0),"",AY12/AY13)</f>
        <v>795.822183908046</v>
      </c>
      <c r="AZ17" s="890" t="n">
        <f aca="false">IF(OR(AZ13="自选",AZ13=0),"",AZ12/AZ13)</f>
        <v>807.380924855491</v>
      </c>
      <c r="BA17" s="890" t="n">
        <f aca="false">IF(OR(BA13="自选",BA13=0),"",BA12/BA13)</f>
        <v>20.3973392914513</v>
      </c>
      <c r="BB17" s="890" t="n">
        <f aca="false">IF(OR(BB13="自选",BB13=0),"",BB12/BB13)</f>
        <v>29.7195099420337</v>
      </c>
      <c r="BC17" s="890" t="n">
        <f aca="false">IF(OR(BC13="自选",BC13=0),"",BC12/BC13)</f>
        <v>29.3782417130856</v>
      </c>
      <c r="BD17" s="890" t="n">
        <f aca="false">IF(OR(BD13="自选",BD13=0),"",BD12/BD13)</f>
        <v>34.4740716450314</v>
      </c>
      <c r="BE17" s="890" t="n">
        <f aca="false">IF(OR(BE13="自选",BE13=0),"",BE12/BE13)</f>
        <v>34.4479735150221</v>
      </c>
      <c r="BF17" s="890" t="n">
        <f aca="false">IF(OR(BF13="自选",BF13=0),"",BF12/BF13)</f>
        <v>12.6693121046359</v>
      </c>
      <c r="BG17" s="890" t="n">
        <f aca="false">IF(OR(BG13="自选",BG13=0),"",BG12/BG13)</f>
        <v>17.9990234514221</v>
      </c>
      <c r="BH17" s="890" t="n">
        <f aca="false">IF(OR(BH13="自选",BH13=0),"",BH12/BH13)</f>
        <v>7.09801984360548</v>
      </c>
      <c r="BI17" s="890" t="n">
        <f aca="false">IF(OR(BI13="自选",BI13=0),"",BI12/BI13)</f>
        <v>8.47940836723419</v>
      </c>
      <c r="BJ17" s="890" t="n">
        <f aca="false">IF(OR(BJ13="自选",BJ13=0),"",BJ12/BJ13)</f>
        <v>832.381282051282</v>
      </c>
      <c r="BK17" s="890" t="n">
        <f aca="false">IF(OR(BK13="自选",BK13=0),"",BK12/BK13)</f>
        <v>837.751483870968</v>
      </c>
      <c r="BL17" s="890" t="n">
        <f aca="false">IF(OR(BL13="自选",BL13=0),"",BL12/BL13)</f>
        <v>501.386774423869</v>
      </c>
      <c r="BM17" s="890" t="n">
        <f aca="false">IF(OR(BM13="自选",BM13=0),"",BM12/BM13)</f>
        <v>495.240189664486</v>
      </c>
      <c r="BN17" s="890" t="n">
        <f aca="false">IF(OR(BN13="自选",BN13=0),"",BN12/BN13)</f>
        <v>37.3092402786203</v>
      </c>
      <c r="BO17" s="890" t="n">
        <f aca="false">IF(OR(BO13="自选",BO13=0),"",BO12/BO13)</f>
        <v>3.70967482683868</v>
      </c>
      <c r="BP17" s="890" t="n">
        <f aca="false">IF(OR(BP13="自选",BP13=0),"",BP12/BP13)</f>
        <v>15.1386218706336</v>
      </c>
      <c r="BQ17" s="890" t="n">
        <f aca="false">IF(OR(BQ13="自选",BQ13=0),"",BQ12/BQ13)</f>
        <v>15.1386218706336</v>
      </c>
      <c r="BR17" s="890" t="n">
        <f aca="false">IF(OR(BR13="自选",BR13=0),"",BR12/BR13)</f>
        <v>15.129561967158</v>
      </c>
      <c r="BS17" s="890" t="n">
        <f aca="false">IF(OR(BS13="自选",BS13=0),"",BS12/BS13)</f>
        <v>2.77520814061055</v>
      </c>
      <c r="BT17" s="890" t="n">
        <f aca="false">IF(OR(BT13="自选",BT13=0),"",BT12/BT13)</f>
        <v>12.3586421243844</v>
      </c>
      <c r="BU17" s="890" t="n">
        <f aca="false">IF(OR(BU13="自选",BU13=0),"",BU12/BU13)</f>
        <v>431.8</v>
      </c>
      <c r="BV17" s="890" t="n">
        <f aca="false">IF(OR(BV13="自选",BV13=0),"",BV12/BV13)</f>
        <v>11.4999840207092</v>
      </c>
      <c r="BW17" s="890" t="n">
        <f aca="false">IF(OR(BW13="自选",BW13=0),"",BW12/BW13)</f>
        <v>492.305757729045</v>
      </c>
      <c r="BX17" s="890" t="n">
        <f aca="false">IF(OR(BX13="自选",BX13=0),"",BX12/BX13)</f>
        <v>490.583234988881</v>
      </c>
      <c r="BY17" s="890" t="n">
        <f aca="false">IF(OR(BY13="自选",BY13=0),"",BY12/BY13)</f>
        <v>507.606295637234</v>
      </c>
      <c r="BZ17" s="890" t="n">
        <f aca="false">IF(OR(BZ13="自选",BZ13=0),"",BZ12/BZ13)</f>
        <v>522.952812327143</v>
      </c>
      <c r="CA17" s="890" t="n">
        <f aca="false">IF(OR(CA13="自选",CA13=0),"",CA12/CA13)</f>
        <v>1383.69532258065</v>
      </c>
      <c r="CB17" s="890" t="n">
        <f aca="false">IF(OR(CB13="自选",CB13=0),"",CB12/CB13)</f>
        <v>2318.62459459459</v>
      </c>
      <c r="CC17" s="890" t="n">
        <f aca="false">IF(OR(CC13="自选",CC13=0),"",CC12/CC13)</f>
        <v>509.394675622284</v>
      </c>
      <c r="CD17" s="890" t="n">
        <f aca="false">IF(OR(CD13="自选",CD13=0),"",CD12/CD13)</f>
        <v>509.032661086545</v>
      </c>
      <c r="CE17" s="890" t="n">
        <f aca="false">IF(OR(CE13="自选",CE13=0),"",CE12/CE13)</f>
        <v>525.241144933677</v>
      </c>
      <c r="CF17" s="890" t="n">
        <f aca="false">IF(OR(CF13="自选",CF13=0),"",CF12/CF13)</f>
        <v>437.136463043414</v>
      </c>
      <c r="CG17" s="890" t="n">
        <f aca="false">IF(OR(CG13="自选",CG13=0),"",CG12/CG13)</f>
        <v>662.139087740917</v>
      </c>
      <c r="CH17" s="890" t="n">
        <f aca="false">IF(OR(CH13="自选",CH13=0),"",CH12/CH13)</f>
        <v>1329.90514619883</v>
      </c>
      <c r="CI17" s="890" t="n">
        <f aca="false">IF(OR(CI13="自选",CI13=0),"",CI12/CI13)</f>
        <v>36.0055296270552</v>
      </c>
      <c r="CJ17" s="890" t="n">
        <f aca="false">IF(OR(CJ13="自选",CJ13=0),"",CJ12/CJ13)</f>
        <v>35.0247395366167</v>
      </c>
      <c r="CK17" s="890" t="n">
        <f aca="false">IF(OR(CK13="自选",CK13=0),"",CK12/CK13)</f>
        <v>34.4149611530691</v>
      </c>
      <c r="CL17" s="890" t="n">
        <f aca="false">IF(OR(CL13="自选",CL13=0),"",CL12/CL13)</f>
        <v>24.4237419015166</v>
      </c>
      <c r="CM17" s="890" t="n">
        <f aca="false">IF(OR(CM13="自选",CM13=0),"",CM12/CM13)</f>
        <v>24.4144584301858</v>
      </c>
      <c r="CN17" s="890" t="n">
        <f aca="false">IF(OR(CN13="自选",CN13=0),"",CN12/CN13)</f>
        <v>13.9813057856077</v>
      </c>
      <c r="CO17" s="890" t="n">
        <f aca="false">IF(OR(CO13="自选",CO13=0),"",CO12/CO13)</f>
        <v>12.607943685882</v>
      </c>
      <c r="CP17" s="890" t="n">
        <f aca="false">IF(OR(CP13="自选",CP13=0),"",CP12/CP13)</f>
        <v>5.33002706607786</v>
      </c>
      <c r="CQ17" s="890" t="n">
        <f aca="false">IF(OR(CQ13="自选",CQ13=0),"",CQ12/CQ13)</f>
        <v>284.538568111546</v>
      </c>
      <c r="CR17" s="890" t="n">
        <f aca="false">IF(OR(CR13="自选",CR13=0),"",CR12/CR13)</f>
        <v>307.403274477652</v>
      </c>
      <c r="CS17" s="890" t="n">
        <f aca="false">IF(OR(CS13="自选",CS13=0),"",CS12/CS13)</f>
        <v>590</v>
      </c>
      <c r="CT17" s="890" t="n">
        <f aca="false">IF(OR(CT13="自选",CT13=0),"",CT12/CT13)</f>
        <v>649</v>
      </c>
      <c r="CU17" s="890" t="n">
        <f aca="false">IF(OR(CU13="自选",CU13=0),"",CU12/CU13)</f>
        <v>5266.45232142857</v>
      </c>
      <c r="CV17" s="890" t="n">
        <f aca="false">IF(OR(CV13="自选",CV13=0),"",CV12/CV13)</f>
        <v>5438.32</v>
      </c>
      <c r="CW17" s="890" t="n">
        <f aca="false">IF(OR(CW13="自选",CW13=0),"",CW12/CW13)</f>
        <v>957.537142857143</v>
      </c>
      <c r="CX17" s="890" t="n">
        <f aca="false">IF(OR(CX13="自选",CX13=0),"",CX12/CX13)</f>
        <v>2872.61</v>
      </c>
      <c r="CY17" s="890" t="n">
        <f aca="false">IF(OR(CY13="自选",CY13=0),"",CY12/CY13)</f>
        <v>0.457118211002162</v>
      </c>
      <c r="CZ17" s="890" t="n">
        <f aca="false">IF(OR(CZ13="自选",CZ13=0),"",CZ12/CZ13)</f>
        <v>455.624276121242</v>
      </c>
      <c r="DA17" s="890" t="n">
        <f aca="false">IF(OR(DA13="自选",DA13=0),"",DA12/DA13)</f>
        <v>454.525205500499</v>
      </c>
      <c r="DB17" s="890" t="n">
        <f aca="false">IF(OR(DB13="自选",DB13=0),"",DB12/DB13)</f>
        <v>20970.4938235294</v>
      </c>
      <c r="DC17" s="890" t="n">
        <f aca="false">IF(OR(DC13="自选",DC13=0),"",DC12/DC13)</f>
        <v>102.539303074755</v>
      </c>
      <c r="DD17" s="890" t="n">
        <f aca="false">IF(OR(DD13="自选",DD13=0),"",DD12/DD13)</f>
        <v>107.673815845049</v>
      </c>
      <c r="DE17" s="890" t="n">
        <f aca="false">IF(OR(DE13="自选",DE13=0),"",DE12/DE13)</f>
        <v>107.440432897826</v>
      </c>
      <c r="DF17" s="890" t="n">
        <f aca="false">IF(OR(DF13="自选",DF13=0),"",DF12/DF13)</f>
        <v>99.459245879431</v>
      </c>
      <c r="DG17" s="890" t="n">
        <f aca="false">IF(OR(DG13="自选",DG13=0),"",DG12/DG13)</f>
        <v>6.75459540008429</v>
      </c>
      <c r="DH17" s="890" t="n">
        <f aca="false">IF(OR(DH13="自选",DH13=0),"",DH12/DH13)</f>
        <v>6.32512016011953</v>
      </c>
      <c r="DI17" s="890" t="n">
        <f aca="false">IF(OR(DI13="自选",DI13=0),"",DI12/DI13)</f>
        <v>6.32681451612903</v>
      </c>
      <c r="DJ17" s="890" t="n">
        <f aca="false">IF(OR(DJ13="自选",DJ13=0),"",DJ12/DJ13)</f>
        <v>11.4245027560623</v>
      </c>
      <c r="DK17" s="890" t="n">
        <f aca="false">IF(OR(DK13="自选",DK13=0),"",DK12/DK13)</f>
        <v>252.525252525253</v>
      </c>
      <c r="DL17" s="890" t="n">
        <f aca="false">IF(OR(DL13="自选",DL13=0),"",DL12/DL13)</f>
        <v>252.30568580567</v>
      </c>
      <c r="DM17" s="890" t="n">
        <f aca="false">IF(OR(DM13="自选",DM13=0),"",DM12/DM13)</f>
        <v>245.468277945619</v>
      </c>
      <c r="DN17" s="890" t="n">
        <f aca="false">IF(OR(DN13="自选",DN13=0),"",DN12/DN13)</f>
        <v>235.589190443053</v>
      </c>
      <c r="DO17" s="890" t="n">
        <f aca="false">IF(OR(DO13="自选",DO13=0),"",DO12/DO13)</f>
        <v>235.763511062749</v>
      </c>
      <c r="DP17" s="890" t="n">
        <f aca="false">IF(OR(DP13="自选",DP13=0),"",DP12/DP13)</f>
        <v>52.3102407015798</v>
      </c>
      <c r="DQ17" s="890" t="n">
        <f aca="false">IF(OR(DQ13="自选",DQ13=0),"",DQ12/DQ13)</f>
        <v>52.3094273319547</v>
      </c>
      <c r="DR17" s="890" t="n">
        <f aca="false">IF(OR(DR13="自选",DR13=0),"",DR12/DR13)</f>
        <v>1057.45414634146</v>
      </c>
      <c r="DS17" s="890" t="n">
        <f aca="false">IF(OR(DS13="自选",DS13=0),"",DS12/DS13)</f>
        <v>45.3778034752442</v>
      </c>
      <c r="DT17" s="890" t="n">
        <f aca="false">IF(OR(DT13="自选",DT13=0),"",DT12/DT13)</f>
        <v>45.2572954762736</v>
      </c>
      <c r="DU17" s="890" t="n">
        <f aca="false">IF(OR(DU13="自选",DU13=0),"",DU12/DU13)</f>
        <v>40.5570212418745</v>
      </c>
      <c r="DV17" s="890" t="n">
        <f aca="false">IF(OR(DV13="自选",DV13=0),"",DV12/DV13)</f>
        <v>5.63020577685482</v>
      </c>
      <c r="DW17" s="890" t="n">
        <f aca="false">IF(OR(DW13="自选",DW13=0),"",DW12/DW13)</f>
        <v>5.63091446912959</v>
      </c>
      <c r="DX17" s="890" t="n">
        <f aca="false">IF(OR(DX13="自选",DX13=0),"",DX12/DX13)</f>
        <v>0.830711139081183</v>
      </c>
      <c r="DY17" s="890" t="n">
        <f aca="false">IF(OR(DY13="自选",DY13=0),"",DY12/DY13)</f>
        <v>0.830711139081183</v>
      </c>
      <c r="DZ17" s="890" t="n">
        <f aca="false">IF(OR(DZ13="自选",DZ13=0),"",DZ12/DZ13)</f>
        <v>34.4753433972528</v>
      </c>
      <c r="EA17" s="890" t="n">
        <f aca="false">IF(OR(EA13="自选",EA13=0),"",EA12/EA13)</f>
        <v>38.9518213185997</v>
      </c>
      <c r="EB17" s="890" t="n">
        <f aca="false">IF(OR(EB13="自选",EB13=0),"",EB12/EB13)</f>
        <v>476.781428571429</v>
      </c>
      <c r="EC17" s="890" t="n">
        <f aca="false">IF(OR(EC13="自选",EC13=0),"",EC12/EC13)</f>
        <v>1509.70657894737</v>
      </c>
      <c r="ED17" s="890" t="n">
        <f aca="false">IF(OR(ED13="自选",ED13=0),"",ED12/ED13)</f>
        <v>2294.754</v>
      </c>
      <c r="EE17" s="890" t="n">
        <f aca="false">IF(OR(EE13="自选",EE13=0),"",EE12/EE13)</f>
        <v>398.61982402005</v>
      </c>
      <c r="EF17" s="890" t="n">
        <f aca="false">IF(OR(EF13="自选",EF13=0),"",EF12/EF13)</f>
        <v>287.222222222222</v>
      </c>
      <c r="EG17" s="890" t="n">
        <f aca="false">IF(OR(EG13="自选",EG13=0),"",EG12/EG13)</f>
        <v>5347.22222222222</v>
      </c>
      <c r="EH17" s="890" t="n">
        <f aca="false">IF(OR(EH13="自选",EH13=0),"",EH12/EH13)</f>
        <v>3353.36428571429</v>
      </c>
      <c r="EI17" s="890" t="n">
        <f aca="false">IF(OR(EI13="自选",EI13=0),"",EI12/EI13)</f>
        <v>796.346</v>
      </c>
      <c r="EJ17" s="890" t="n">
        <f aca="false">IF(OR(EJ13="自选",EJ13=0),"",EJ12/EJ13)</f>
        <v>1862.72263157895</v>
      </c>
      <c r="EK17" s="890" t="n">
        <f aca="false">IF(OR(EK13="自选",EK13=0),"",EK12/EK13)</f>
        <v>2767.31684210526</v>
      </c>
      <c r="EL17" s="917" t="n">
        <f aca="false">IF(OR(EL13="自选",EL13=0),"",EL12/EL13)</f>
        <v>2341.57578947369</v>
      </c>
      <c r="EM17" s="917" t="n">
        <f aca="false">IF(OR(EM13="自选",EM13=0),"",EM12/EM13)</f>
        <v>1534.13586206897</v>
      </c>
      <c r="EN17" s="917" t="n">
        <f aca="false">IF(OR(EN13="自选",EN13=0),"",EN12/EN13)</f>
        <v>1271.14114285714</v>
      </c>
      <c r="EO17" s="917" t="n">
        <f aca="false">IF(OR(EO13="自选",EO13=0),"",EO12/EO13)</f>
        <v>1271.14114285714</v>
      </c>
      <c r="EP17" s="917" t="n">
        <f aca="false">IF(OR(EP13="自选",EP13=0),"",EP12/EP13)</f>
        <v>855.575769230769</v>
      </c>
      <c r="EQ17" s="917" t="n">
        <f aca="false">IF(OR(EQ13="自选",EQ13=0),"",EQ12/EQ13)</f>
        <v>717.579677419355</v>
      </c>
      <c r="ER17" s="917" t="n">
        <f aca="false">IF(OR(ER13="自选",ER13=0),"",ER12/ER13)</f>
        <v>717.579677419355</v>
      </c>
      <c r="ES17" s="917" t="n">
        <f aca="false">IF(OR(ES13="自选",ES13=0),"",ES12/ES13)</f>
        <v>483.586304347826</v>
      </c>
      <c r="ET17" s="890" t="n">
        <f aca="false">IF(OR(ET13="自选",ET13=0),"",ET12/ET13)</f>
        <v>804.3575</v>
      </c>
      <c r="EU17" s="917" t="n">
        <f aca="false">IF(OR(EU13="自选",EU13=0),"",EU12/EU13)</f>
        <v>98.8935869565218</v>
      </c>
      <c r="EV17" s="917" t="n">
        <f aca="false">IF(OR(EV13="自选",EV13=0),"",EV12/EV13)</f>
        <v>81.2340178571429</v>
      </c>
      <c r="EW17" s="917" t="n">
        <f aca="false">IF(OR(EW13="自选",EW13=0),"",EW12/EW13)</f>
        <v>478.853157894737</v>
      </c>
      <c r="EX17" s="890" t="n">
        <f aca="false">IF(OR(EX13="自选",EX13=0),"",EX12/EX13)</f>
        <v>53.3260869565218</v>
      </c>
      <c r="EY17" s="890" t="n">
        <f aca="false">IF(OR(EY13="自选",EY13=0),"",EY12/EY13)</f>
        <v>178.645699233527</v>
      </c>
      <c r="EZ17" s="890" t="n">
        <f aca="false">IF(OR(EZ13="自选",EZ13=0),"",EZ12/EZ13)</f>
        <v>178.645699233527</v>
      </c>
      <c r="FA17" s="890" t="n">
        <f aca="false">IF(OR(FA13="自选",FA13=0),"",FA12/FA13)</f>
        <v>178.645699233527</v>
      </c>
      <c r="FB17" s="890" t="n">
        <f aca="false">IF(OR(FB13="自选",FB13=0),"",FB12/FB13)</f>
        <v>178.74482293958</v>
      </c>
      <c r="FC17" s="890" t="n">
        <f aca="false">IF(OR(FC13="自选",FC13=0),"",FC12/FC13)</f>
        <v>178.74482293958</v>
      </c>
      <c r="FD17" s="890" t="n">
        <f aca="false">IF(OR(FD13="自选",FD13=0),"",FD12/FD13)</f>
        <v>725.863695652174</v>
      </c>
      <c r="FE17" s="890" t="n">
        <f aca="false">IF(OR(FE13="自选",FE13=0),"",FE12/FE13)</f>
        <v>725.56597826087</v>
      </c>
      <c r="FF17" s="890" t="n">
        <f aca="false">IF(OR(FF13="自选",FF13=0),"",FF12/FF13)</f>
        <v>750.023258426966</v>
      </c>
      <c r="FG17" s="890" t="n">
        <f aca="false">IF(OR(FG13="自选",FG13=0),"",FG12/FG13)</f>
        <v>0.00278226420844126</v>
      </c>
      <c r="FH17" s="890" t="n">
        <f aca="false">IF(OR(FH13="自选",FH13=0),"",FH12/FH13)</f>
        <v>0.00278475350000508</v>
      </c>
      <c r="FI17" s="890" t="n">
        <f aca="false">IF(OR(FI13="自选",FI13=0),"",FI12/FI13)</f>
        <v>178.123762480294</v>
      </c>
      <c r="FJ17" s="890" t="n">
        <f aca="false">IF(OR(FJ13="自选",FJ13=0),"",FJ12/FJ13)</f>
        <v>178.125464343041</v>
      </c>
      <c r="FK17" s="890" t="n">
        <f aca="false">IF(OR(FK13="自选",FK13=0),"",FK12/FK13)</f>
        <v>193.185901394732</v>
      </c>
      <c r="FL17" s="890" t="n">
        <f aca="false">IF(OR(FL13="自选",FL13=0),"",FL12/FL13)</f>
        <v>19.5934386635806</v>
      </c>
      <c r="FM17" s="890" t="n">
        <f aca="false">IF(OR(FM13="自选",FM13=0),"",FM12/FM13)</f>
        <v>42.6319095477387</v>
      </c>
      <c r="FN17" s="890" t="n">
        <f aca="false">IF(OR(FN13="自选",FN13=0),"",FN12/FN13)</f>
        <v>42.6319095477387</v>
      </c>
      <c r="FO17" s="890"/>
      <c r="FP17" s="919" t="n">
        <f aca="false">FP16*FP11</f>
        <v>205.281455057027</v>
      </c>
      <c r="FQ17" s="919" t="n">
        <f aca="false">FQ16*FQ11</f>
        <v>327.311400380711</v>
      </c>
      <c r="FR17" s="919" t="n">
        <f aca="false">FR16*FR11</f>
        <v>469.350995123112</v>
      </c>
      <c r="FS17" s="919" t="n">
        <f aca="false">FS16*FS11</f>
        <v>8.58772731570488</v>
      </c>
      <c r="FT17" s="919" t="n">
        <f aca="false">FT16*FT11</f>
        <v>20.4633165829146</v>
      </c>
      <c r="FU17" s="919" t="n">
        <f aca="false">FU16*FU11</f>
        <v>0.398766442192712</v>
      </c>
      <c r="FV17" s="919" t="n">
        <f aca="false">FV16*FV11</f>
        <v>193.544140217906</v>
      </c>
      <c r="FW17" s="919" t="n">
        <f aca="false">FW16*FW11</f>
        <v>17.4010657193606</v>
      </c>
      <c r="FX17" s="919" t="n">
        <f aca="false">FX16*FX11</f>
        <v>244.509444298696</v>
      </c>
      <c r="FY17" s="919" t="n">
        <f aca="false">FY16*FY11</f>
        <v>70.1528966873393</v>
      </c>
      <c r="FZ17" s="919" t="n">
        <f aca="false">FZ16*FZ11</f>
        <v>5.4837613229099</v>
      </c>
      <c r="GA17" s="919" t="n">
        <f aca="false">GA16*GA11</f>
        <v>102.564102564103</v>
      </c>
      <c r="GB17" s="919" t="n">
        <f aca="false">GB16*GB11</f>
        <v>21.7813456681172</v>
      </c>
      <c r="GC17" s="919" t="n">
        <f aca="false">GC16*GC11</f>
        <v>220.2383531961</v>
      </c>
      <c r="GD17" s="919" t="n">
        <f aca="false">GD16*GD11</f>
        <v>85.7499356320929</v>
      </c>
      <c r="GE17" s="919" t="n">
        <f aca="false">GE16*GE11</f>
        <v>15.84</v>
      </c>
      <c r="GF17" s="919" t="n">
        <f aca="false">GF16*GF11</f>
        <v>16.1505882352941</v>
      </c>
      <c r="GG17" s="919" t="n">
        <f aca="false">GG16*GG11</f>
        <v>16.2059405940594</v>
      </c>
      <c r="GH17" s="919"/>
      <c r="GI17" s="890"/>
      <c r="GJ17" s="890"/>
      <c r="GK17" s="890"/>
      <c r="GL17" s="890"/>
      <c r="GM17" s="890"/>
      <c r="GN17" s="890"/>
      <c r="GO17" s="890"/>
      <c r="GP17" s="890"/>
      <c r="GQ17" s="890"/>
      <c r="GR17" s="890"/>
      <c r="GS17" s="890"/>
      <c r="GT17" s="890"/>
      <c r="GU17" s="890"/>
      <c r="GV17" s="890"/>
      <c r="GW17" s="890"/>
      <c r="GX17" s="890"/>
      <c r="GY17" s="890"/>
      <c r="GZ17" s="890"/>
      <c r="HA17" s="890"/>
      <c r="HB17" s="890"/>
      <c r="HC17" s="890"/>
      <c r="HD17" s="890"/>
      <c r="HE17" s="890"/>
      <c r="HF17" s="890"/>
      <c r="HG17" s="890"/>
      <c r="HH17" s="890"/>
      <c r="HI17" s="890"/>
      <c r="HJ17" s="890"/>
      <c r="HK17" s="890"/>
      <c r="HL17" s="890"/>
      <c r="HM17" s="890"/>
      <c r="HN17" s="890"/>
      <c r="HO17" s="890"/>
      <c r="HP17" s="890"/>
      <c r="HQ17" s="890"/>
      <c r="HR17" s="890"/>
      <c r="HS17" s="890"/>
      <c r="HT17" s="890"/>
      <c r="HU17" s="890"/>
      <c r="HV17" s="890"/>
      <c r="HW17" s="890"/>
      <c r="HX17" s="890"/>
      <c r="HY17" s="890"/>
      <c r="HZ17" s="890"/>
      <c r="IA17" s="890"/>
      <c r="IB17" s="890"/>
      <c r="IC17" s="890"/>
      <c r="ID17" s="890"/>
      <c r="IE17" s="890"/>
      <c r="IF17" s="890"/>
      <c r="IG17" s="890"/>
      <c r="IH17" s="890"/>
      <c r="II17" s="890"/>
      <c r="IJ17" s="890"/>
      <c r="IK17" s="890"/>
      <c r="IL17" s="890"/>
      <c r="IM17" s="890"/>
      <c r="IN17" s="890"/>
      <c r="IO17" s="890"/>
      <c r="IP17" s="890"/>
      <c r="IQ17" s="890"/>
      <c r="IR17" s="890"/>
      <c r="IS17" s="890"/>
      <c r="IT17" s="890"/>
      <c r="IU17" s="890"/>
      <c r="IV17" s="890"/>
      <c r="IW17" s="890"/>
      <c r="IX17" s="890"/>
      <c r="IY17" s="890"/>
      <c r="IZ17" s="890"/>
      <c r="JA17" s="890"/>
      <c r="JB17" s="890"/>
      <c r="JC17" s="890"/>
      <c r="JD17" s="890"/>
      <c r="JE17" s="890"/>
      <c r="JF17" s="890"/>
      <c r="JG17" s="890"/>
      <c r="JH17" s="890"/>
      <c r="JI17" s="890"/>
      <c r="JK17" s="890"/>
      <c r="JM17" s="890"/>
    </row>
    <row r="18" customFormat="false" ht="18.75" hidden="false" customHeight="false" outlineLevel="0" collapsed="false">
      <c r="A18" s="895" t="s">
        <v>1530</v>
      </c>
      <c r="B18" s="895"/>
      <c r="C18" s="920" t="n">
        <f aca="false">IF(OR(C13="自选",C21=0,C14=0),"",64/C20)</f>
        <v>0.00397132503402518</v>
      </c>
      <c r="D18" s="920" t="n">
        <f aca="false">IF(OR(D13="自选",D21=0,D14=0),"",64/D20)</f>
        <v>0.000617536699927098</v>
      </c>
      <c r="E18" s="921" t="n">
        <f aca="false">IF(OR(E13="自选",E21=0,E14=0),"",64/E20)</f>
        <v>0.00444312708324746</v>
      </c>
      <c r="F18" s="921" t="n">
        <f aca="false">IF(OR(F13="自选",F21=0,F14=0),"",64/F20)</f>
        <v>0.000586185145024556</v>
      </c>
      <c r="G18" s="921" t="n">
        <f aca="false">IF(OR(G13="自选",G21=0,G14=0),"",64/G20)</f>
        <v>0.0044218681019879</v>
      </c>
      <c r="H18" s="920" t="n">
        <f aca="false">IF(OR(H13="自选",H21=0,H14=0),"",64/H20)</f>
        <v>0.000566020376035711</v>
      </c>
      <c r="I18" s="920" t="n">
        <f aca="false">IF(OR(I13="自选",I21=0,I14=0),"",64/I20)</f>
        <v>0.000119581769585009</v>
      </c>
      <c r="J18" s="920" t="n">
        <f aca="false">IF(OR(J13="自选",J21=0,J14=0),"",64/J20)</f>
        <v>0.000119581769585009</v>
      </c>
      <c r="K18" s="920" t="n">
        <f aca="false">IF(OR(K13="自选",K21=0,K14=0),"",64/K20)</f>
        <v>0.000157847935852212</v>
      </c>
      <c r="L18" s="920" t="n">
        <f aca="false">IF(OR(L13="自选",L21=0,L14=0),"",64/L20)</f>
        <v>0.000120198280041537</v>
      </c>
      <c r="M18" s="920" t="n">
        <f aca="false">IF(OR(M13="自选",M21=0,M14=0),"",64/M20)</f>
        <v>0.000231191421197685</v>
      </c>
      <c r="N18" s="920" t="n">
        <f aca="false">IF(OR(N13="自选",N21=0,N14=0),"",64/N20)</f>
        <v>0.000295074659882654</v>
      </c>
      <c r="O18" s="920" t="n">
        <f aca="false">IF(OR(O13="自选",O21=0,O14=0),"",64/O20)</f>
        <v>0.000107750014740963</v>
      </c>
      <c r="P18" s="920" t="n">
        <f aca="false">IF(OR(P13="自选",P21=0,P14=0),"",64/P20)</f>
        <v>3.26274852804699E-005</v>
      </c>
      <c r="Q18" s="920" t="n">
        <f aca="false">IF(OR(Q13="自选",Q21=0,Q14=0),"",64/Q20)</f>
        <v>8.18354542336426E-005</v>
      </c>
      <c r="R18" s="920" t="n">
        <f aca="false">IF(OR(R13="自选",R21=0,R14=0),"",64/R20)</f>
        <v>0.000235500221840662</v>
      </c>
      <c r="S18" s="920" t="n">
        <f aca="false">IF(OR(S13="自选",S21=0,S14=0),"",64/S20)</f>
        <v>0.00157000167353319</v>
      </c>
      <c r="T18" s="920" t="n">
        <f aca="false">IF(OR(T13="自选",T21=0,T14=0),"",64/T20)</f>
        <v>0.00242636622273311</v>
      </c>
      <c r="U18" s="920" t="n">
        <f aca="false">IF(OR(U13="自选",U21=0,U14=0),"",64/U20)</f>
        <v>0.00242636622273311</v>
      </c>
      <c r="V18" s="920" t="n">
        <f aca="false">IF(OR(V13="自选",V21=0,V14=0),"",64/V20)</f>
        <v>0.000277059090578491</v>
      </c>
      <c r="W18" s="920" t="n">
        <v>0.000566020376035711</v>
      </c>
      <c r="X18" s="920" t="n">
        <v>0.000566020376035711</v>
      </c>
      <c r="Y18" s="920" t="n">
        <f aca="false">IF(OR(Y13="自选",Y21=0,Y14=0),"",64/Y20)</f>
        <v>1.50031666095011E-005</v>
      </c>
      <c r="Z18" s="920" t="n">
        <f aca="false">IF(OR(Z13="自选",Z21=0,Z14=0),"",64/Z20)</f>
        <v>1.0911393897819E-005</v>
      </c>
      <c r="AA18" s="920" t="n">
        <f aca="false">IF(OR(AA13="自选",AA21=0,AA14=0),"",64/AA20)</f>
        <v>5.43520488630671E-006</v>
      </c>
      <c r="AB18" s="920" t="n">
        <f aca="false">IF(OR(AB13="自选",AB21=0,AB14=0),"",64/AB20)</f>
        <v>7.82448912515933E-006</v>
      </c>
      <c r="AC18" s="920" t="n">
        <f aca="false">IF(OR(AC13="自选",AC21=0,AC14=0),"",64/AC20)</f>
        <v>6.23274256293329E-006</v>
      </c>
      <c r="AD18" s="920" t="n">
        <f aca="false">IF(OR(AD13="自选",AD21=0,AD14=0),"",64/AD20)</f>
        <v>4.34156508033349E-006</v>
      </c>
      <c r="AE18" s="920" t="n">
        <f aca="false">IF(OR(AE13="自选",AE21=0,AE14=0),"",64/AE20)</f>
        <v>5.46160106404083E-006</v>
      </c>
      <c r="AF18" s="920" t="n">
        <f aca="false">IF(OR(AF13="自选",AF21=0,AF14=0),"",64/AF20)</f>
        <v>0.000383703424879215</v>
      </c>
      <c r="AG18" s="920" t="n">
        <f aca="false">IF(OR(AG13="自选",AG21=0,AG14=0),"",64/AG20)</f>
        <v>0.000179417525041846</v>
      </c>
      <c r="AH18" s="920" t="n">
        <f aca="false">IF(OR(AH13="自选",AH21=0,AH14=0),"",64/AH20)</f>
        <v>0.000147491232667902</v>
      </c>
      <c r="AI18" s="920" t="n">
        <f aca="false">IF(OR(AI13="自选",AI21=0,AI14=0),"",64/AI20)</f>
        <v>0.000162621654040834</v>
      </c>
      <c r="AJ18" s="920" t="n">
        <f aca="false">IF(OR(AJ13="自选",AJ21=0,AJ14=0),"",64/AJ20)</f>
        <v>0.000226400702943996</v>
      </c>
      <c r="AK18" s="920" t="n">
        <f aca="false">IF(OR(AK13="自选",AK21=0,AK14=0),"",64/AK20)</f>
        <v>0.00829432552359226</v>
      </c>
      <c r="AL18" s="920" t="n">
        <f aca="false">IF(OR(AL13="自选",AL21=0,AL14=0),"",64/AL20)</f>
        <v>0.0108237699652517</v>
      </c>
      <c r="AM18" s="920" t="n">
        <f aca="false">IF(OR(AM13="自选",AM21=0,AM14=0),"",64/AM20)</f>
        <v>0.00942159976520775</v>
      </c>
      <c r="AN18" s="920" t="n">
        <f aca="false">IF(OR(AN13="自选",AN21=0,AN14=0),"",64/AN20)</f>
        <v>0.00834105411809137</v>
      </c>
      <c r="AO18" s="920" t="n">
        <f aca="false">IF(OR(AO13="自选",AO21=0,AO14=0),"",64/AO20)</f>
        <v>0.00769967291361703</v>
      </c>
      <c r="AP18" s="920" t="n">
        <f aca="false">IF(OR(AP13="自选",AP21=0,AP14=0),"",64/AP20)</f>
        <v>0.00189396194110536</v>
      </c>
      <c r="AQ18" s="920" t="n">
        <f aca="false">IF(OR(AQ13="自选",AQ21=0,AQ14=0),"",64/AQ20)</f>
        <v>6.76155388539218E-006</v>
      </c>
      <c r="AR18" s="920" t="n">
        <f aca="false">IF(OR(AR13="自选",AR21=0,AR14=0),"",64/AR20)</f>
        <v>1.89323508790981E-005</v>
      </c>
      <c r="AS18" s="920" t="n">
        <f aca="false">IF(OR(AS13="自选",AS21=0,AS14=0),"",64/AS20)</f>
        <v>1.89323508790981E-005</v>
      </c>
      <c r="AT18" s="920" t="n">
        <f aca="false">IF(OR(AT13="自选",AT21=0,AT14=0),"",64/AT20)</f>
        <v>2.43415939874119E-005</v>
      </c>
      <c r="AU18" s="920" t="n">
        <f aca="false">IF(OR(AU13="自选",AU21=0,AU14=0),"",64/AU20)</f>
        <v>9.32624272630086E-005</v>
      </c>
      <c r="AV18" s="920" t="n">
        <f aca="false">IF(OR(AV13="自选",AV21=0,AV14=0),"",64/AV20)</f>
        <v>0.000157711489051147</v>
      </c>
      <c r="AW18" s="920" t="n">
        <f aca="false">IF(OR(AW13="自选",AW21=0,AW14=0),"",64/AW20)</f>
        <v>0.000157021423947773</v>
      </c>
      <c r="AX18" s="920" t="n">
        <f aca="false">IF(OR(AX13="自选",AX21=0,AX14=0),"",64/AX20)</f>
        <v>0.0646522753694855</v>
      </c>
      <c r="AY18" s="920" t="n">
        <f aca="false">IF(OR(AY13="自选",AY21=0,AY14=0),"",64/AY20)</f>
        <v>7.84071075657768E-005</v>
      </c>
      <c r="AZ18" s="920" t="n">
        <f aca="false">IF(OR(AZ13="自选",AZ21=0,AZ14=0),"",64/AZ20)</f>
        <v>7.77313364656738E-005</v>
      </c>
      <c r="BA18" s="920" t="n">
        <f aca="false">IF(OR(BA13="自选",BA21=0,BA14=0),"",64/BA20)</f>
        <v>0.00124370138345078</v>
      </c>
      <c r="BB18" s="920" t="n">
        <f aca="false">IF(OR(BB13="自选",BB21=0,BB14=0),"",64/BB20)</f>
        <v>0.00061167278648761</v>
      </c>
      <c r="BC18" s="920" t="n">
        <f aca="false">IF(OR(BC13="自选",BC21=0,BC14=0),"",64/BC20)</f>
        <v>0.00235529176406149</v>
      </c>
      <c r="BD18" s="920" t="n">
        <f aca="false">IF(OR(BD13="自选",BD21=0,BD14=0),"",64/BD20)</f>
        <v>0.00142448881300261</v>
      </c>
      <c r="BE18" s="920" t="n">
        <f aca="false">IF(OR(BE13="自选",BE21=0,BE14=0),"",64/BE20)</f>
        <v>0.00240382487194191</v>
      </c>
      <c r="BF18" s="920" t="n">
        <f aca="false">IF(OR(BF13="自选",BF21=0,BF14=0),"",64/BF20)</f>
        <v>0.00073328467120583</v>
      </c>
      <c r="BG18" s="920" t="n">
        <f aca="false">IF(OR(BG13="自选",BG21=0,BG14=0),"",64/BG20)</f>
        <v>0.000515972208931695</v>
      </c>
      <c r="BH18" s="920" t="n">
        <f aca="false">IF(OR(BH13="自选",BH21=0,BH14=0),"",64/BH20)</f>
        <v>0.000839571052065376</v>
      </c>
      <c r="BI18" s="920" t="n">
        <f aca="false">IF(OR(BI13="自选",BI21=0,BI14=0),"",64/BI20)</f>
        <v>0.000535896416211942</v>
      </c>
      <c r="BJ18" s="920" t="n">
        <f aca="false">IF(OR(BJ13="自选",BJ21=0,BJ14=0),"",64/BJ20)</f>
        <v>2.09032506028854E-005</v>
      </c>
      <c r="BK18" s="920" t="n">
        <f aca="false">IF(OR(BK13="自选",BK21=0,BK14=0),"",64/BK20)</f>
        <v>2.09032506028854E-005</v>
      </c>
      <c r="BL18" s="920" t="n">
        <f aca="false">IF(OR(BL13="自选",BL21=0,BL14=0),"",64/BL20)</f>
        <v>2.46720393421797E-005</v>
      </c>
      <c r="BM18" s="920" t="n">
        <f aca="false">IF(OR(BM13="自选",BM21=0,BM14=0),"",64/BM20)</f>
        <v>2.46720393421797E-005</v>
      </c>
      <c r="BN18" s="920" t="n">
        <f aca="false">IF(OR(BN13="自选",BN21=0,BN14=0),"",64/BN20)</f>
        <v>0.000136960503322513</v>
      </c>
      <c r="BO18" s="920" t="n">
        <f aca="false">IF(OR(BO13="自选",BO21=0,BO14=0),"",64/BO20)</f>
        <v>0.000696365057332644</v>
      </c>
      <c r="BP18" s="920" t="n">
        <f aca="false">IF(OR(BP13="自选",BP21=0,BP14=0),"",64/BP20)</f>
        <v>0.000291335545871928</v>
      </c>
      <c r="BQ18" s="920" t="n">
        <f aca="false">IF(OR(BQ13="自选",BQ21=0,BQ14=0),"",64/BQ20)</f>
        <v>0.000291335545871928</v>
      </c>
      <c r="BR18" s="920" t="n">
        <f aca="false">IF(OR(BR13="自选",BR21=0,BR14=0),"",64/BR20)</f>
        <v>0.000291335545871928</v>
      </c>
      <c r="BS18" s="920" t="n">
        <f aca="false">IF(OR(BS13="自选",BS21=0,BS14=0),"",64/BS20)</f>
        <v>0.000993879075761003</v>
      </c>
      <c r="BT18" s="920" t="n">
        <f aca="false">IF(OR(BT13="自选",BT21=0,BT14=0),"",64/BT20)</f>
        <v>0.00035668183653479</v>
      </c>
      <c r="BU18" s="920" t="n">
        <f aca="false">IF(OR(BU13="自选",BU21=0,BU14=0),"",64/BU20)</f>
        <v>5.71459435680569E-005</v>
      </c>
      <c r="BV18" s="920" t="n">
        <f aca="false">IF(OR(BV13="自选",BV21=0,BV14=0),"",64/BV20)</f>
        <v>0.000452587173490831</v>
      </c>
      <c r="BW18" s="920" t="n">
        <f aca="false">IF(OR(BW13="自选",BW21=0,BW14=0),"",64/BW20)</f>
        <v>3.14990386111244E-005</v>
      </c>
      <c r="BX18" s="920" t="n">
        <f aca="false">IF(OR(BX13="自选",BX21=0,BX14=0),"",64/BX20)</f>
        <v>2.99240866805682E-005</v>
      </c>
      <c r="BY18" s="920" t="n">
        <f aca="false">IF(OR(BY13="自选",BY21=0,BY14=0),"",64/BY20)</f>
        <v>2.20493270277871E-005</v>
      </c>
      <c r="BZ18" s="920" t="n">
        <f aca="false">IF(OR(BZ13="自选",BZ21=0,BZ14=0),"",64/BZ20)</f>
        <v>2.18360522871909E-005</v>
      </c>
      <c r="CA18" s="920" t="n">
        <f aca="false">IF(OR(CA13="自选",CA21=0,CA14=0),"",64/CA20)</f>
        <v>4.21858986934444E-005</v>
      </c>
      <c r="CB18" s="920" t="n">
        <f aca="false">IF(OR(CB13="自选",CB21=0,CB14=0),"",64/CB20)</f>
        <v>4.21858986934444E-005</v>
      </c>
      <c r="CC18" s="920" t="n">
        <f aca="false">IF(OR(CC13="自选",CC21=0,CC14=0),"",64/CC20)</f>
        <v>1.77855823560408E-005</v>
      </c>
      <c r="CD18" s="920" t="n">
        <f aca="false">IF(OR(CD13="自选",CD21=0,CD14=0),"",64/CD20)</f>
        <v>1.54388735729521E-005</v>
      </c>
      <c r="CE18" s="920" t="n">
        <f aca="false">IF(OR(CE13="自选",CE21=0,CE14=0),"",64/CE20)</f>
        <v>1.51581667807166E-005</v>
      </c>
      <c r="CF18" s="920" t="n">
        <f aca="false">IF(OR(CF13="自选",CF21=0,CF14=0),"",64/CF20)</f>
        <v>2.59967777356575E-005</v>
      </c>
      <c r="CG18" s="920" t="n">
        <f aca="false">IF(OR(CG13="自选",CG21=0,CG14=0),"",64/CG20)</f>
        <v>6.76155388539218E-006</v>
      </c>
      <c r="CH18" s="920" t="n">
        <f aca="false">IF(OR(CH13="自选",CH21=0,CH14=0),"",64/CH20)</f>
        <v>1.59141222816874E-005</v>
      </c>
      <c r="CI18" s="920" t="n">
        <f aca="false">IF(OR(CI13="自选",CI21=0,CI14=0),"",64/CI20)</f>
        <v>0.000944648313043819</v>
      </c>
      <c r="CJ18" s="920" t="n">
        <f aca="false">IF(OR(CJ13="自选",CJ21=0,CJ14=0),"",64/CJ20)</f>
        <v>0.000909001206891222</v>
      </c>
      <c r="CK18" s="920" t="n">
        <f aca="false">IF(OR(CK13="自选",CK21=0,CK14=0),"",64/CK20)</f>
        <v>0.000998118972272715</v>
      </c>
      <c r="CL18" s="920" t="n">
        <f aca="false">IF(OR(CL13="自选",CL21=0,CL14=0),"",64/CL20)</f>
        <v>0.000314228249182442</v>
      </c>
      <c r="CM18" s="920" t="n">
        <f aca="false">IF(OR(CM13="自选",CM21=0,CM14=0),"",64/CM20)</f>
        <v>0.000251382599345953</v>
      </c>
      <c r="CN18" s="920" t="n">
        <f aca="false">IF(OR(CN13="自选",CN21=0,CN14=0),"",64/CN20)</f>
        <v>0.00043936154080735</v>
      </c>
      <c r="CO18" s="920" t="n">
        <f aca="false">IF(OR(CO13="自选",CO21=0,CO14=0),"",64/CO20)</f>
        <v>0.000487298887749683</v>
      </c>
      <c r="CP18" s="920" t="n">
        <f aca="false">IF(OR(CP13="自选",CP21=0,CP14=0),"",64/CP20)</f>
        <v>0.00110543631139313</v>
      </c>
      <c r="CQ18" s="920" t="n">
        <f aca="false">IF(OR(CQ13="自选",CQ21=0,CQ14=0),"",64/CQ20)</f>
        <v>7.88377496317399E-005</v>
      </c>
      <c r="CR18" s="920" t="n">
        <f aca="false">IF(OR(CR13="自选",CR21=0,CR14=0),"",64/CR20)</f>
        <v>7.88377496317399E-005</v>
      </c>
      <c r="CS18" s="920" t="n">
        <f aca="false">IF(OR(CS13="自选",CS21=0,CS14=0),"",64/CS20)</f>
        <v>0.0001672923283572</v>
      </c>
      <c r="CT18" s="920" t="n">
        <f aca="false">IF(OR(CT13="自选",CT21=0,CT14=0),"",64/CT20)</f>
        <v>0.0001672923283572</v>
      </c>
      <c r="CU18" s="920" t="n">
        <f aca="false">IF(OR(CU13="自选",CU21=0,CU14=0),"",64/CU20)</f>
        <v>3.6814129755831E-005</v>
      </c>
      <c r="CV18" s="920" t="n">
        <f aca="false">IF(OR(CV13="自选",CV21=0,CV14=0),"",64/CV20)</f>
        <v>4.2348698134426E-005</v>
      </c>
      <c r="CW18" s="920" t="n">
        <f aca="false">IF(OR(CW13="自选",CW21=0,CW14=0),"",64/CW20)</f>
        <v>9.81709760663248E-005</v>
      </c>
      <c r="CX18" s="920" t="n">
        <f aca="false">IF(OR(CX13="自选",CX21=0,CX14=0),"",64/CX20)</f>
        <v>4.90855124437597E-005</v>
      </c>
      <c r="CY18" s="920" t="n">
        <f aca="false">IF(OR(CY13="自选",CY21=0,CY14=0),"",64/CY20)</f>
        <v>0.00389021258595096</v>
      </c>
      <c r="CZ18" s="920" t="n">
        <f aca="false">IF(OR(CZ13="自选",CZ21=0,CZ14=0),"",64/CZ20)</f>
        <v>2.56909332917086E-005</v>
      </c>
      <c r="DA18" s="920" t="n">
        <f aca="false">IF(OR(DA13="自选",DA21=0,DA14=0),"",64/DA20)</f>
        <v>1.83506666369347E-005</v>
      </c>
      <c r="DB18" s="920" t="n">
        <f aca="false">IF(OR(DB13="自选",DB21=0,DB14=0),"",64/DB20)</f>
        <v>1.5227659174149E-005</v>
      </c>
      <c r="DC18" s="920" t="n">
        <f aca="false">IF(OR(DC13="自选",DC21=0,DC14=0),"",64/DC20)</f>
        <v>0.000148469676947952</v>
      </c>
      <c r="DD18" s="920" t="n">
        <f aca="false">IF(OR(DD13="自选",DD21=0,DD14=0),"",64/DD20)</f>
        <v>0.000131826156417185</v>
      </c>
      <c r="DE18" s="920" t="n">
        <f aca="false">IF(OR(DE13="自选",DE21=0,DE14=0),"",64/DE20)</f>
        <v>9.88696173128888E-005</v>
      </c>
      <c r="DF18" s="920" t="n">
        <f aca="false">IF(OR(DF13="自选",DF21=0,DF14=0),"",64/DF20)</f>
        <v>0.00014240679567009</v>
      </c>
      <c r="DG18" s="920" t="n">
        <f aca="false">IF(OR(DG13="自选",DG21=0,DG14=0),"",64/DG20)</f>
        <v>0.000524215681095503</v>
      </c>
      <c r="DH18" s="920" t="n">
        <f aca="false">IF(OR(DH13="自选",DH21=0,DH14=0),"",64/DH20)</f>
        <v>0.000846809946385043</v>
      </c>
      <c r="DI18" s="920" t="n">
        <f aca="false">IF(OR(DI13="自选",DI21=0,DI14=0),"",64/DI20)</f>
        <v>0.000846809946385043</v>
      </c>
      <c r="DJ18" s="920" t="n">
        <f aca="false">IF(OR(DJ13="自选",DJ21=0,DJ14=0),"",64/DJ20)</f>
        <v>0.000398360883841555</v>
      </c>
      <c r="DK18" s="920" t="n">
        <f aca="false">IF(OR(DK13="自选",DK21=0,DK14=0),"",64/DK20)</f>
        <v>6.12461503662589E-005</v>
      </c>
      <c r="DL18" s="920" t="n">
        <f aca="false">IF(OR(DL13="自选",DL21=0,DL14=0),"",64/DL20)</f>
        <v>4.89969202930072E-005</v>
      </c>
      <c r="DM18" s="920" t="n">
        <f aca="false">IF(OR(DM13="自选",DM21=0,DM14=0),"",64/DM20)</f>
        <v>5.79054512553721E-005</v>
      </c>
      <c r="DN18" s="920" t="n">
        <f aca="false">IF(OR(DN13="自选",DN21=0,DN14=0),"",64/DN20)</f>
        <v>7.5722513180102E-005</v>
      </c>
      <c r="DO18" s="920" t="n">
        <f aca="false">IF(OR(DO13="自选",DO21=0,DO14=0),"",64/DO20)</f>
        <v>7.5722513180102E-005</v>
      </c>
      <c r="DP18" s="920" t="n">
        <f aca="false">IF(OR(DP13="自选",DP21=0,DP14=0),"",64/DP20)</f>
        <v>0.000118335055512456</v>
      </c>
      <c r="DQ18" s="920" t="n">
        <f aca="false">IF(OR(DQ13="自选",DQ21=0,DQ14=0),"",64/DQ20)</f>
        <v>0.000118335055512456</v>
      </c>
      <c r="DR18" s="920" t="n">
        <f aca="false">IF(OR(DR13="自选",DR21=0,DR14=0),"",64/DR20)</f>
        <v>6.26059096282227E-005</v>
      </c>
      <c r="DS18" s="920" t="n">
        <f aca="false">IF(OR(DS13="自选",DS21=0,DS14=0),"",64/DS20)</f>
        <v>0.000227534103281637</v>
      </c>
      <c r="DT18" s="920" t="n">
        <f aca="false">IF(OR(DT13="自选",DT21=0,DT14=0),"",64/DT20)</f>
        <v>0.000151689402187758</v>
      </c>
      <c r="DU18" s="920" t="n">
        <f aca="false">IF(OR(DU13="自选",DU21=0,DU14=0),"",64/DU20)</f>
        <v>0.000357986989163109</v>
      </c>
      <c r="DV18" s="920" t="n">
        <f aca="false">IF(OR(DV13="自选",DV21=0,DV14=0),"",64/DV20)</f>
        <v>0.00707883876876204</v>
      </c>
      <c r="DW18" s="920" t="n">
        <f aca="false">IF(OR(DW13="自选",DW21=0,DW14=0),"",64/DW20)</f>
        <v>0.00707883876876204</v>
      </c>
      <c r="DX18" s="920" t="n">
        <f aca="false">IF(OR(DX13="自选",DX21=0,DX14=0),"",64/DX20)</f>
        <v>0.0191691170926638</v>
      </c>
      <c r="DY18" s="920" t="n">
        <f aca="false">IF(OR(DY13="自选",DY21=0,DY14=0),"",64/DY20)</f>
        <v>0.0119806981829149</v>
      </c>
      <c r="DZ18" s="920" t="n">
        <f aca="false">IF(OR(DZ13="自选",DZ21=0,DZ14=0),"",64/DZ20)</f>
        <v>0.000421161163721305</v>
      </c>
      <c r="EA18" s="920" t="n">
        <f aca="false">IF(OR(EA13="自选",EA21=0,EA14=0),"",64/EA20)</f>
        <v>9.13070022150085E-005</v>
      </c>
      <c r="EB18" s="920" t="n">
        <f aca="false">IF(OR(EB13="自选",EB21=0,EB14=0),"",64/EB20)</f>
        <v>7.88641086257937E-005</v>
      </c>
      <c r="EC18" s="920" t="n">
        <f aca="false">IF(OR(EC13="自选",EC21=0,EC14=0),"",64/EC20)</f>
        <v>7.88557445255734E-005</v>
      </c>
      <c r="ED18" s="920" t="n">
        <f aca="false">IF(OR(ED13="自选",ED21=0,ED14=0),"",64/ED20)</f>
        <v>7.88557445255734E-005</v>
      </c>
      <c r="EE18" s="920" t="n">
        <f aca="false">IF(OR(EE13="自选",EE21=0,EE14=0),"",64/EE20)</f>
        <v>7.03442221082498E-005</v>
      </c>
      <c r="EF18" s="920" t="n">
        <f aca="false">IF(OR(EF13="自选",EF21=0,EF14=0),"",64/EF20)</f>
        <v>0.000700017544189701</v>
      </c>
      <c r="EG18" s="920" t="n">
        <f aca="false">IF(OR(EG13="自选",EG21=0,EG14=0),"",64/EG20)</f>
        <v>9.40023559340456E-005</v>
      </c>
      <c r="EH18" s="920" t="n">
        <f aca="false">IF(OR(EH13="自选",EH21=0,EH14=0),"",64/EH20)</f>
        <v>2.80322529629442E-005</v>
      </c>
      <c r="EI18" s="920" t="n">
        <f aca="false">IF(OR(EI13="自选",EI21=0,EI14=0),"",64/EI20)</f>
        <v>8.2629471553611E-005</v>
      </c>
      <c r="EJ18" s="920" t="n">
        <f aca="false">IF(OR(EJ13="自选",EJ21=0,EJ14=0),"",64/EJ20)</f>
        <v>0.000127822612212682</v>
      </c>
      <c r="EK18" s="920" t="n">
        <f aca="false">IF(OR(EK13="自选",EK21=0,EK14=0),"",64/EK20)</f>
        <v>0.000103247189757267</v>
      </c>
      <c r="EL18" s="922" t="n">
        <f aca="false">IF(OR(EL13="自选",EL21=0,EL14=0),"",64/EL20)</f>
        <v>0.000101682838397308</v>
      </c>
      <c r="EM18" s="922" t="n">
        <f aca="false">IF(OR(EM13="自选",EM21=0,EM14=0),"",64/EM20)</f>
        <v>0.000101682838397308</v>
      </c>
      <c r="EN18" s="922" t="n">
        <f aca="false">IF(OR(EN13="自选",EN21=0,EN14=0),"",64/EN20)</f>
        <v>0.000101682838397308</v>
      </c>
      <c r="EO18" s="922" t="n">
        <f aca="false">IF(OR(EO13="自选",EO21=0,EO14=0),"",64/EO20)</f>
        <v>0.000101682838397308</v>
      </c>
      <c r="EP18" s="922" t="n">
        <f aca="false">IF(OR(EP13="自选",EP21=0,EP14=0),"",64/EP20)</f>
        <v>0.000101682838397308</v>
      </c>
      <c r="EQ18" s="922" t="n">
        <f aca="false">IF(OR(EQ13="自选",EQ21=0,EQ14=0),"",64/EQ20)</f>
        <v>0.000101682838397308</v>
      </c>
      <c r="ER18" s="922" t="n">
        <f aca="false">IF(OR(ER13="自选",ER21=0,ER14=0),"",64/ER20)</f>
        <v>0.000101682838397308</v>
      </c>
      <c r="ES18" s="922" t="n">
        <f aca="false">IF(OR(ES13="自选",ES21=0,ES14=0),"",64/ES20)</f>
        <v>0.000101682838397308</v>
      </c>
      <c r="ET18" s="920" t="n">
        <f aca="false">IF(OR(ET13="自选",ET21=0,ET14=0),"",64/ET20)</f>
        <v>5.2573996153564E-005</v>
      </c>
      <c r="EU18" s="922" t="n">
        <f aca="false">IF(OR(EU13="自选",EU21=0,EU14=0),"",64/EU20)</f>
        <v>0.000497225649806494</v>
      </c>
      <c r="EV18" s="922" t="n">
        <f aca="false">IF(OR(EV13="自选",EV21=0,EV14=0),"",64/EV20)</f>
        <v>0.000497225649806494</v>
      </c>
      <c r="EW18" s="922" t="n">
        <f aca="false">IF(OR(EW13="自选",EW21=0,EW14=0),"",64/EW20)</f>
        <v>0.000497225649806494</v>
      </c>
      <c r="EX18" s="920" t="n">
        <f aca="false">IF(OR(EX13="自选",EX21=0,EX14=0),"",64/EX20)</f>
        <v>0.00024343659440319</v>
      </c>
      <c r="EY18" s="920" t="n">
        <f aca="false">IF(OR(EY13="自选",EY21=0,EY14=0),"",64/EY20)</f>
        <v>0.000264811514887372</v>
      </c>
      <c r="EZ18" s="920" t="n">
        <f aca="false">IF(OR(EZ13="自选",EZ21=0,EZ14=0),"",64/EZ20)</f>
        <v>0.000264811514887372</v>
      </c>
      <c r="FA18" s="920" t="n">
        <f aca="false">IF(OR(FA13="自选",FA21=0,FA14=0),"",64/FA20)</f>
        <v>0.000331014393609215</v>
      </c>
      <c r="FB18" s="920" t="n">
        <f aca="false">IF(OR(FB13="自选",FB21=0,FB14=0),"",64/FB20)</f>
        <v>0.000260799219207261</v>
      </c>
      <c r="FC18" s="920" t="n">
        <f aca="false">IF(OR(FC13="自选",FC21=0,FC14=0),"",64/FC20)</f>
        <v>0.000260799219207261</v>
      </c>
      <c r="FD18" s="920" t="n">
        <f aca="false">IF(OR(FD13="自选",FD21=0,FD14=0),"",64/FD20)</f>
        <v>4.06460014440902E-005</v>
      </c>
      <c r="FE18" s="920" t="n">
        <f aca="false">IF(OR(FE13="自选",FE21=0,FE14=0),"",64/FE20)</f>
        <v>4.06626794883749E-005</v>
      </c>
      <c r="FF18" s="920" t="n">
        <f aca="false">IF(OR(FF13="自选",FF21=0,FF14=0),"",64/FF20)</f>
        <v>4.06626794883749E-005</v>
      </c>
      <c r="FG18" s="920" t="n">
        <f aca="false">IF(OR(FG13="自选",FG21=0,FG14=0),"",64/FG20)</f>
        <v>1.61861486372378</v>
      </c>
      <c r="FH18" s="920" t="n">
        <f aca="false">IF(OR(FH13="自选",FH21=0,FH14=0),"",64/FH20)</f>
        <v>1.61861486372378</v>
      </c>
      <c r="FI18" s="920" t="n">
        <f aca="false">IF(OR(FI13="自选",FI21=0,FI14=0),"",64/FI20)</f>
        <v>0.00032030231244338</v>
      </c>
      <c r="FJ18" s="920" t="n">
        <f aca="false">IF(OR(FJ13="自选",FJ21=0,FJ14=0),"",64/FJ20)</f>
        <v>0.000266918593702817</v>
      </c>
      <c r="FK18" s="920" t="n">
        <f aca="false">IF(OR(FK13="自选",FK21=0,FK14=0),"",64/FK20)</f>
        <v>0.000194119750221438</v>
      </c>
      <c r="FL18" s="920" t="n">
        <f aca="false">IF(OR(FL13="自选",FL21=0,FL14=0),"",64/FL20)</f>
        <v>0.000457934866823108</v>
      </c>
      <c r="FM18" s="920" t="n">
        <f aca="false">IF(OR(FM13="自选",FM21=0,FM14=0),"",64/FM20)</f>
        <v>0.00479914783131675</v>
      </c>
      <c r="FN18" s="920" t="n">
        <f aca="false">IF(OR(FN13="自选",FN21=0,FN14=0),"",64/FN20)</f>
        <v>0.0031994318875445</v>
      </c>
      <c r="FO18" s="920"/>
      <c r="FP18" s="923" t="n">
        <f aca="false">IF(FP13&lt;&gt;"",IF(OR(FP13="自选",FP21=0,FP14=0),"",64/FP20),"")</f>
        <v>0.000238348067920883</v>
      </c>
      <c r="FQ18" s="923" t="n">
        <f aca="false">IF(FQ13&lt;&gt;"",IF(OR(FQ13="自选",FQ21=0,FQ14=0),"",64/FQ20),"")</f>
        <v>0.000149485896720735</v>
      </c>
      <c r="FR18" s="923" t="n">
        <f aca="false">IF(FR13&lt;&gt;"",IF(OR(FR13="自选",FR21=0,FR14=0),"",64/FR20),"")</f>
        <v>0.000131829877296332</v>
      </c>
      <c r="FS18" s="923" t="n">
        <f aca="false">IF(FS13&lt;&gt;"",IF(OR(FS13="自选",FS21=0,FS14=0),"",64/FS20),"")</f>
        <v>0.0017735358470407</v>
      </c>
      <c r="FT18" s="923" t="n">
        <f aca="false">IF(FT13&lt;&gt;"",IF(OR(FT13="自选",FT21=0,FT14=0),"",64/FT20),"")</f>
        <v>0.000930362520739289</v>
      </c>
      <c r="FU18" s="923" t="n">
        <f aca="false">IF(FU13&lt;&gt;"",IF(OR(FU13="自选",FU21=0,FU14=0),"",64/FU20),"")</f>
        <v>0.0119357478365531</v>
      </c>
      <c r="FV18" s="923" t="n">
        <f aca="false">IF(FV13&lt;&gt;"",IF(OR(FV13="自选",FV21=0,FV14=0),"",64/FV20),"")</f>
        <v>0.000245916807108339</v>
      </c>
      <c r="FW18" s="923" t="n">
        <f aca="false">IF(FW13&lt;&gt;"",IF(OR(FW13="自选",FW21=0,FW14=0),"",64/FW20),"")</f>
        <v>0.000875270657823415</v>
      </c>
      <c r="FX18" s="923" t="n">
        <f aca="false">IF(FX13&lt;&gt;"",IF(OR(FX13="自选",FX21=0,FX14=0),"",64/FX20),"")</f>
        <v>0.000194658153730752</v>
      </c>
      <c r="FY18" s="923" t="n">
        <f aca="false">IF(FY13&lt;&gt;"",IF(OR(FY13="自选",FY21=0,FY14=0),"",64/FY20),"")</f>
        <v>0.000407074483687052</v>
      </c>
      <c r="FZ18" s="923" t="n">
        <f aca="false">IF(FZ13&lt;&gt;"",IF(OR(FZ13="自选",FZ21=0,FZ14=0),"",64/FZ20),"")</f>
        <v>0.00277740793994499</v>
      </c>
      <c r="GA18" s="923" t="n">
        <f aca="false">IF(GA13&lt;&gt;"",IF(OR(GA13="自选",GA21=0,GA14=0),"",64/GA20),"")</f>
        <v>0.000371246904575947</v>
      </c>
      <c r="GB18" s="923" t="n">
        <f aca="false">IF(GB13&lt;&gt;"",IF(OR(GB13="自选",GB21=0,GB14=0),"",64/GB20),"")</f>
        <v>0.000874064582090266</v>
      </c>
      <c r="GC18" s="923" t="n">
        <f aca="false">IF(GC13&lt;&gt;"",IF(OR(GC13="自选",GC21=0,GC14=0),"",64/GC20),"")</f>
        <v>0.000216110211079072</v>
      </c>
      <c r="GD18" s="923" t="n">
        <f aca="false">IF(GD13&lt;&gt;"",IF(OR(GD13="自选",GD21=0,GD14=0),"",64/GD20),"")</f>
        <v>0.000444042381103344</v>
      </c>
      <c r="GE18" s="923" t="n">
        <f aca="false">IF(GE13&lt;&gt;"",IF(OR(GE13="自选",GE21=0,GE14=0),"",64/GE20),"")</f>
        <v>0.00120191305547768</v>
      </c>
      <c r="GF18" s="923" t="n">
        <f aca="false">IF(GF13&lt;&gt;"",IF(OR(GF13="自选",GF21=0,GF14=0),"",64/GF20),"")</f>
        <v>0.00117879934287234</v>
      </c>
      <c r="GG18" s="923" t="n">
        <f aca="false">IF(GG13&lt;&gt;"",IF(OR(GG13="自选",GG21=0,GG14=0),"",64/GG20),"")</f>
        <v>0.000938877707379944</v>
      </c>
      <c r="GH18" s="923"/>
      <c r="GI18" s="920"/>
      <c r="GJ18" s="920"/>
      <c r="GK18" s="920"/>
      <c r="GL18" s="920"/>
      <c r="GM18" s="920"/>
      <c r="GN18" s="920"/>
      <c r="GO18" s="920"/>
      <c r="GP18" s="920"/>
      <c r="GQ18" s="920"/>
      <c r="GR18" s="920"/>
      <c r="GS18" s="920"/>
      <c r="GT18" s="920"/>
      <c r="GU18" s="920"/>
      <c r="GV18" s="920"/>
      <c r="GW18" s="920"/>
      <c r="GX18" s="920"/>
      <c r="GY18" s="920"/>
      <c r="GZ18" s="920"/>
      <c r="HA18" s="920"/>
      <c r="HB18" s="920"/>
      <c r="HC18" s="920"/>
      <c r="HD18" s="920"/>
      <c r="HE18" s="920"/>
      <c r="HF18" s="920"/>
      <c r="HG18" s="920"/>
      <c r="HH18" s="920"/>
      <c r="HI18" s="920"/>
      <c r="HJ18" s="920"/>
      <c r="HK18" s="920"/>
      <c r="HL18" s="920"/>
      <c r="HM18" s="920"/>
      <c r="HN18" s="920"/>
      <c r="HO18" s="920"/>
      <c r="HP18" s="920"/>
      <c r="HQ18" s="920"/>
      <c r="HR18" s="920"/>
      <c r="HS18" s="920"/>
      <c r="HT18" s="920"/>
      <c r="HU18" s="920"/>
      <c r="HV18" s="920"/>
      <c r="HW18" s="920"/>
      <c r="HX18" s="920"/>
      <c r="HY18" s="920"/>
      <c r="HZ18" s="920"/>
      <c r="IA18" s="920"/>
      <c r="IB18" s="920"/>
      <c r="IC18" s="920"/>
      <c r="ID18" s="920"/>
      <c r="IE18" s="920"/>
      <c r="IF18" s="920"/>
      <c r="IG18" s="920"/>
      <c r="IH18" s="920"/>
      <c r="II18" s="920"/>
      <c r="IJ18" s="920"/>
      <c r="IK18" s="920"/>
      <c r="IL18" s="920"/>
      <c r="IM18" s="920"/>
      <c r="IN18" s="920"/>
      <c r="IO18" s="920"/>
      <c r="IP18" s="920"/>
      <c r="IQ18" s="920"/>
      <c r="IR18" s="920"/>
      <c r="IS18" s="920"/>
      <c r="IT18" s="920"/>
      <c r="IU18" s="920"/>
      <c r="IV18" s="920"/>
      <c r="IW18" s="920"/>
      <c r="IX18" s="920"/>
      <c r="IY18" s="920"/>
      <c r="IZ18" s="920"/>
      <c r="JA18" s="920"/>
      <c r="JB18" s="920"/>
      <c r="JC18" s="920"/>
      <c r="JD18" s="920"/>
      <c r="JE18" s="920"/>
      <c r="JF18" s="920"/>
      <c r="JG18" s="920"/>
      <c r="JH18" s="920"/>
      <c r="JI18" s="920"/>
      <c r="JK18" s="920"/>
      <c r="JM18" s="920"/>
    </row>
    <row r="19" customFormat="false" ht="18.75" hidden="false" customHeight="false" outlineLevel="0" collapsed="false">
      <c r="A19" s="895" t="s">
        <v>1531</v>
      </c>
      <c r="B19" s="895"/>
      <c r="C19" s="920" t="n">
        <f aca="false">IF(OR(C13="自选",C21=0,C14=0),"",0.16*POWER(C20,-0.16))</f>
        <v>0.0339594662865637</v>
      </c>
      <c r="D19" s="920" t="n">
        <f aca="false">IF(OR(D13="自选",D21=0,D14=0),"",0.16*POWER(D20,-0.16))</f>
        <v>0.0252137376946645</v>
      </c>
      <c r="E19" s="921" t="n">
        <f aca="false">IF(OR(E13="自选",E21=0,E14=0),"",0.16*POWER(E20,-0.16))</f>
        <v>0.0345749359657672</v>
      </c>
      <c r="F19" s="921" t="n">
        <f aca="false">IF(OR(F13="自选",F21=0,F14=0),"",0.16*POWER(F20,-0.16))</f>
        <v>0.0250044183315004</v>
      </c>
      <c r="G19" s="921" t="n">
        <f aca="false">IF(OR(G13="自选",G21=0,G14=0),"",0.16*POWER(G20,-0.16))</f>
        <v>0.0345484137676486</v>
      </c>
      <c r="H19" s="920" t="n">
        <f aca="false">IF(OR(H13="自选",H21=0,H14=0),"",0.16*POWER(H20,-0.16))</f>
        <v>0.0248647626118507</v>
      </c>
      <c r="I19" s="920" t="n">
        <f aca="false">IF(OR(I13="自选",I21=0,I14=0),"",0.16*POWER(I20,-0.16))</f>
        <v>0.0193890969828921</v>
      </c>
      <c r="J19" s="920" t="n">
        <f aca="false">IF(OR(J13="自选",J21=0,J14=0),"",0.16*POWER(J20,-0.16))</f>
        <v>0.0193890969828921</v>
      </c>
      <c r="K19" s="920" t="n">
        <f aca="false">IF(OR(K13="自选",K21=0,K14=0),"",0.16*POWER(K20,-0.16))</f>
        <v>0.0202697975905165</v>
      </c>
      <c r="L19" s="920" t="n">
        <f aca="false">IF(OR(L13="自选",L21=0,L14=0),"",0.16*POWER(L20,-0.16))</f>
        <v>0.0194050563106506</v>
      </c>
      <c r="M19" s="920" t="n">
        <f aca="false">IF(OR(M13="自选",M21=0,M14=0),"",0.16*POWER(M20,-0.16))</f>
        <v>0.021546000280963</v>
      </c>
      <c r="N19" s="920" t="n">
        <f aca="false">IF(OR(N13="自选",N21=0,N14=0),"",0.16*POWER(N20,-0.16))</f>
        <v>0.0224037280991152</v>
      </c>
      <c r="O19" s="920" t="n">
        <f aca="false">IF(OR(O13="自选",O21=0,O14=0),"",0.16*POWER(O20,-0.16))</f>
        <v>0.0190685627775569</v>
      </c>
      <c r="P19" s="920" t="n">
        <f aca="false">IF(OR(P13="自选",P21=0,P14=0),"",0.16*POWER(P20,-0.16))</f>
        <v>0.0157508705854282</v>
      </c>
      <c r="Q19" s="920" t="n">
        <f aca="false">IF(OR(Q13="自选",Q21=0,Q14=0),"",0.16*POWER(Q20,-0.16))</f>
        <v>0.0182474350456888</v>
      </c>
      <c r="R19" s="920" t="n">
        <f aca="false">IF(OR(R13="自选",R21=0,R14=0),"",0.16*POWER(R20,-0.16))</f>
        <v>0.0216097527608843</v>
      </c>
      <c r="S19" s="920" t="n">
        <f aca="false">IF(OR(S13="自选",S21=0,S14=0),"",0.16*POWER(S20,-0.16))</f>
        <v>0.0292735373821275</v>
      </c>
      <c r="T19" s="920" t="n">
        <f aca="false">IF(OR(T13="自选",T21=0,T14=0),"",0.16*POWER(T20,-0.16))</f>
        <v>0.0313851495982017</v>
      </c>
      <c r="U19" s="920" t="n">
        <f aca="false">IF(OR(U13="自选",U21=0,U14=0),"",0.16*POWER(U20,-0.16))</f>
        <v>0.0313851495982017</v>
      </c>
      <c r="V19" s="920" t="n">
        <f aca="false">IF(OR(V13="自选",V21=0,V14=0),"",0.16*POWER(V20,-0.16))</f>
        <v>0.0221790413964979</v>
      </c>
      <c r="W19" s="920" t="n">
        <v>0.0248647626118507</v>
      </c>
      <c r="X19" s="920" t="n">
        <v>0.0248647626118507</v>
      </c>
      <c r="Y19" s="920" t="n">
        <f aca="false">IF(OR(Y13="自选",Y21=0,Y14=0),"",0.16*POWER(Y20,-0.16))</f>
        <v>0.0139097862392474</v>
      </c>
      <c r="Z19" s="920" t="n">
        <f aca="false">IF(OR(Z13="自选",Z21=0,Z14=0),"",0.16*POWER(Z20,-0.16))</f>
        <v>0.0132187997710145</v>
      </c>
      <c r="AA19" s="920" t="n">
        <f aca="false">IF(OR(AA13="自选",AA21=0,AA14=0),"",0.16*POWER(AA20,-0.16))</f>
        <v>0.0118240357464391</v>
      </c>
      <c r="AB19" s="920" t="n">
        <f aca="false">IF(OR(AB13="自选",AB21=0,AB14=0),"",0.16*POWER(AB20,-0.16))</f>
        <v>0.0125338399707145</v>
      </c>
      <c r="AC19" s="920" t="n">
        <f aca="false">IF(OR(AC13="自选",AC21=0,AC14=0),"",0.16*POWER(AC20,-0.16))</f>
        <v>0.0120859239482959</v>
      </c>
      <c r="AD19" s="920" t="n">
        <f aca="false">IF(OR(AD13="自选",AD21=0,AD14=0),"",0.16*POWER(AD20,-0.16))</f>
        <v>0.011406557584517</v>
      </c>
      <c r="AE19" s="920" t="n">
        <f aca="false">IF(OR(AE13="自选",AE21=0,AE14=0),"",0.16*POWER(AE20,-0.16))</f>
        <v>0.0118332048467484</v>
      </c>
      <c r="AF19" s="920" t="n">
        <f aca="false">IF(OR(AF13="自选",AF21=0,AF14=0),"",0.16*POWER(AF20,-0.16))</f>
        <v>0.023365253375463</v>
      </c>
      <c r="AG19" s="920" t="n">
        <f aca="false">IF(OR(AG13="自选",AG21=0,AG14=0),"",0.16*POWER(AG20,-0.16))</f>
        <v>0.0206894794866134</v>
      </c>
      <c r="AH19" s="920" t="n">
        <f aca="false">IF(OR(AH13="自选",AH21=0,AH14=0),"",0.16*POWER(AH20,-0.16))</f>
        <v>0.0200508957815332</v>
      </c>
      <c r="AI19" s="920" t="n">
        <f aca="false">IF(OR(AI13="自选",AI21=0,AI14=0),"",0.16*POWER(AI20,-0.16))</f>
        <v>0.0203666559338703</v>
      </c>
      <c r="AJ19" s="920" t="n">
        <f aca="false">IF(OR(AJ13="自选",AJ21=0,AJ14=0),"",0.16*POWER(AJ20,-0.16))</f>
        <v>0.021473934800786</v>
      </c>
      <c r="AK19" s="920" t="n">
        <f aca="false">IF(OR(AK13="自选",AK21=0,AK14=0),"",0.16*POWER(AK20,-0.16))</f>
        <v>0.0382064035866065</v>
      </c>
      <c r="AL19" s="920" t="n">
        <f aca="false">IF(OR(AL13="自选",AL21=0,AL14=0),"",0.16*POWER(AL20,-0.16))</f>
        <v>0.0398686706767357</v>
      </c>
      <c r="AM19" s="920" t="n">
        <f aca="false">IF(OR(AM13="自选",AM21=0,AM14=0),"",0.16*POWER(AM20,-0.16))</f>
        <v>0.038993402352074</v>
      </c>
      <c r="AN19" s="920" t="n">
        <f aca="false">IF(OR(AN13="自选",AN21=0,AN14=0),"",0.16*POWER(AN20,-0.16))</f>
        <v>0.0382407619513069</v>
      </c>
      <c r="AO19" s="920" t="n">
        <f aca="false">IF(OR(AO13="自选",AO21=0,AO14=0),"",0.16*POWER(AO20,-0.16))</f>
        <v>0.0377543285663977</v>
      </c>
      <c r="AP19" s="920" t="n">
        <f aca="false">IF(OR(AP13="自选",AP21=0,AP14=0),"",0.16*POWER(AP20,-0.16))</f>
        <v>0.0301655040427733</v>
      </c>
      <c r="AQ19" s="920" t="n">
        <f aca="false">IF(OR(AQ13="自选",AQ21=0,AQ14=0),"",0.16*POWER(AQ20,-0.16))</f>
        <v>0.0122444315850208</v>
      </c>
      <c r="AR19" s="920" t="n">
        <f aca="false">IF(OR(AR13="自选",AR21=0,AR14=0),"",0.16*POWER(AR20,-0.16))</f>
        <v>0.0144372312863201</v>
      </c>
      <c r="AS19" s="920" t="n">
        <f aca="false">IF(OR(AS13="自选",AS21=0,AS14=0),"",0.16*POWER(AS20,-0.16))</f>
        <v>0.0144372312863201</v>
      </c>
      <c r="AT19" s="920" t="n">
        <f aca="false">IF(OR(AT13="自选",AT21=0,AT14=0),"",0.16*POWER(AT20,-0.16))</f>
        <v>0.0150295863901</v>
      </c>
      <c r="AU19" s="920" t="n">
        <f aca="false">IF(OR(AU13="自选",AU21=0,AU14=0),"",0.16*POWER(AU20,-0.16))</f>
        <v>0.018633063375368</v>
      </c>
      <c r="AV19" s="920" t="n">
        <f aca="false">IF(OR(AV13="自选",AV21=0,AV14=0),"",0.16*POWER(AV20,-0.16))</f>
        <v>0.020266993115509</v>
      </c>
      <c r="AW19" s="920" t="n">
        <f aca="false">IF(OR(AW13="自选",AW21=0,AW14=0),"",0.16*POWER(AW20,-0.16))</f>
        <v>0.0202527784857033</v>
      </c>
      <c r="AX19" s="920" t="n">
        <f aca="false">IF(OR(AX13="自选",AX21=0,AX14=0),"",0.16*POWER(AX20,-0.16))</f>
        <v>0.0530670073814579</v>
      </c>
      <c r="AY19" s="920" t="n">
        <f aca="false">IF(OR(AY13="自选",AY21=0,AY14=0),"",0.16*POWER(AY20,-0.16))</f>
        <v>0.0181229151075925</v>
      </c>
      <c r="AZ19" s="920" t="n">
        <f aca="false">IF(OR(AZ13="自选",AZ21=0,AZ14=0),"",0.16*POWER(AZ20,-0.16))</f>
        <v>0.0180978326662829</v>
      </c>
      <c r="BA19" s="920" t="n">
        <f aca="false">IF(OR(BA13="自选",BA21=0,BA14=0),"",0.16*POWER(BA20,-0.16))</f>
        <v>0.0282023803643807</v>
      </c>
      <c r="BB19" s="920" t="n">
        <f aca="false">IF(OR(BB13="自选",BB21=0,BB14=0),"",0.16*POWER(BB20,-0.16))</f>
        <v>0.0251752766829711</v>
      </c>
      <c r="BC19" s="920" t="n">
        <f aca="false">IF(OR(BC13="自选",BC21=0,BC14=0),"",0.16*POWER(BC20,-0.16))</f>
        <v>0.0312362105075232</v>
      </c>
      <c r="BD19" s="920" t="n">
        <f aca="false">IF(OR(BD13="自选",BD21=0,BD14=0),"",0.16*POWER(BD20,-0.16))</f>
        <v>0.0288215035829713</v>
      </c>
      <c r="BE19" s="920" t="n">
        <f aca="false">IF(OR(BE13="自选",BE21=0,BE14=0),"",0.16*POWER(BE20,-0.16))</f>
        <v>0.0313383147931212</v>
      </c>
      <c r="BF19" s="920" t="n">
        <f aca="false">IF(OR(BF13="自选",BF21=0,BF14=0),"",0.16*POWER(BF20,-0.16))</f>
        <v>0.025916407729245</v>
      </c>
      <c r="BG19" s="920" t="n">
        <f aca="false">IF(OR(BG13="自选",BG21=0,BG14=0),"",0.16*POWER(BG20,-0.16))</f>
        <v>0.0244991714223153</v>
      </c>
      <c r="BH19" s="920" t="n">
        <f aca="false">IF(OR(BH13="自选",BH21=0,BH14=0),"",0.16*POWER(BH20,-0.16))</f>
        <v>0.0264838048935278</v>
      </c>
      <c r="BI19" s="920" t="n">
        <f aca="false">IF(OR(BI13="自选",BI21=0,BI14=0),"",0.16*POWER(BI20,-0.16))</f>
        <v>0.0246481383638361</v>
      </c>
      <c r="BJ19" s="920" t="n">
        <f aca="false">IF(OR(BJ13="自选",BJ21=0,BJ14=0),"",0.16*POWER(BJ20,-0.16))</f>
        <v>0.0146678141709857</v>
      </c>
      <c r="BK19" s="920" t="n">
        <f aca="false">IF(OR(BK13="自选",BK21=0,BK14=0),"",0.16*POWER(BK20,-0.16))</f>
        <v>0.0146678141709857</v>
      </c>
      <c r="BL19" s="920" t="n">
        <f aca="false">IF(OR(BL13="自选",BL21=0,BL14=0),"",0.16*POWER(BL20,-0.16))</f>
        <v>0.0150620468679099</v>
      </c>
      <c r="BM19" s="920" t="n">
        <f aca="false">IF(OR(BM13="自选",BM21=0,BM14=0),"",0.16*POWER(BM20,-0.16))</f>
        <v>0.0150620468679099</v>
      </c>
      <c r="BN19" s="920" t="n">
        <f aca="false">IF(OR(BN13="自选",BN21=0,BN14=0),"",0.16*POWER(BN20,-0.16))</f>
        <v>0.0198146516544714</v>
      </c>
      <c r="BO19" s="920" t="n">
        <f aca="false">IF(OR(BO13="自选",BO21=0,BO14=0),"",0.16*POWER(BO20,-0.16))</f>
        <v>0.0257030761039798</v>
      </c>
      <c r="BP19" s="920" t="n">
        <f aca="false">IF(OR(BP13="自选",BP21=0,BP14=0),"",0.16*POWER(BP20,-0.16))</f>
        <v>0.0223580613238615</v>
      </c>
      <c r="BQ19" s="920" t="n">
        <f aca="false">IF(OR(BQ13="自选",BQ21=0,BQ14=0),"",0.16*POWER(BQ20,-0.16))</f>
        <v>0.0223580613238615</v>
      </c>
      <c r="BR19" s="920" t="n">
        <f aca="false">IF(OR(BR13="自选",BR21=0,BR14=0),"",0.16*POWER(BR20,-0.16))</f>
        <v>0.0223580613238615</v>
      </c>
      <c r="BS19" s="920" t="n">
        <f aca="false">IF(OR(BS13="自选",BS21=0,BS14=0),"",0.16*POWER(BS20,-0.16))</f>
        <v>0.0272084971527051</v>
      </c>
      <c r="BT19" s="920" t="n">
        <f aca="false">IF(OR(BT13="自选",BT21=0,BT14=0),"",0.16*POWER(BT20,-0.16))</f>
        <v>0.0230938396433992</v>
      </c>
      <c r="BU19" s="920" t="n">
        <f aca="false">IF(OR(BU13="自选",BU21=0,BU14=0),"",0.16*POWER(BU20,-0.16))</f>
        <v>0.0172285549379047</v>
      </c>
      <c r="BV19" s="920" t="n">
        <f aca="false">IF(OR(BV13="自选",BV21=0,BV14=0),"",0.16*POWER(BV20,-0.16))</f>
        <v>0.0239907345533752</v>
      </c>
      <c r="BW19" s="920" t="n">
        <f aca="false">IF(OR(BW13="自选",BW21=0,BW14=0),"",0.16*POWER(BW20,-0.16))</f>
        <v>0.015662415993048</v>
      </c>
      <c r="BX19" s="920" t="n">
        <f aca="false">IF(OR(BX13="自选",BX21=0,BX14=0),"",0.16*POWER(BX20,-0.16))</f>
        <v>0.0155344017072259</v>
      </c>
      <c r="BY19" s="920" t="n">
        <f aca="false">IF(OR(BY13="自选",BY21=0,BY14=0),"",0.16*POWER(BY20,-0.16))</f>
        <v>0.0147936193913671</v>
      </c>
      <c r="BZ19" s="920" t="n">
        <f aca="false">IF(OR(BZ13="自选",BZ21=0,BZ14=0),"",0.16*POWER(BZ20,-0.16))</f>
        <v>0.0147706309381286</v>
      </c>
      <c r="CA19" s="920" t="n">
        <f aca="false">IF(OR(CA13="自选",CA21=0,CA14=0),"",0.16*POWER(CA20,-0.16))</f>
        <v>0.0164118657471831</v>
      </c>
      <c r="CB19" s="920" t="n">
        <f aca="false">IF(OR(CB13="自选",CB21=0,CB14=0),"",0.16*POWER(CB20,-0.16))</f>
        <v>0.0164118657471831</v>
      </c>
      <c r="CC19" s="920" t="n">
        <f aca="false">IF(OR(CC13="自选",CC21=0,CC14=0),"",0.16*POWER(CC20,-0.16))</f>
        <v>0.0142936150345804</v>
      </c>
      <c r="CD19" s="920" t="n">
        <f aca="false">IF(OR(CD13="自选",CD21=0,CD14=0),"",0.16*POWER(CD20,-0.16))</f>
        <v>0.0139736443156721</v>
      </c>
      <c r="CE19" s="920" t="n">
        <f aca="false">IF(OR(CE13="自选",CE21=0,CE14=0),"",0.16*POWER(CE20,-0.16))</f>
        <v>0.0139326797842455</v>
      </c>
      <c r="CF19" s="920" t="n">
        <f aca="false">IF(OR(CF13="自选",CF21=0,CF14=0),"",0.16*POWER(CF20,-0.16))</f>
        <v>0.015188619770953</v>
      </c>
      <c r="CG19" s="920" t="n">
        <f aca="false">IF(OR(CG13="自选",CG21=0,CG14=0),"",0.16*POWER(CG20,-0.16))</f>
        <v>0.0122444315850208</v>
      </c>
      <c r="CH19" s="920" t="n">
        <f aca="false">IF(OR(CH13="自选",CH21=0,CH14=0),"",0.16*POWER(CH20,-0.16))</f>
        <v>0.0140415941842021</v>
      </c>
      <c r="CI19" s="920" t="n">
        <f aca="false">IF(OR(CI13="自选",CI21=0,CI14=0),"",0.16*POWER(CI20,-0.16))</f>
        <v>0.0269882305403509</v>
      </c>
      <c r="CJ19" s="920" t="n">
        <f aca="false">IF(OR(CJ13="自选",CJ21=0,CJ14=0),"",0.16*POWER(CJ20,-0.16))</f>
        <v>0.0268226387423039</v>
      </c>
      <c r="CK19" s="920" t="n">
        <f aca="false">IF(OR(CK13="自选",CK21=0,CK14=0),"",0.16*POWER(CK20,-0.16))</f>
        <v>0.0272270354330668</v>
      </c>
      <c r="CL19" s="920" t="n">
        <f aca="false">IF(OR(CL13="自选",CL21=0,CL14=0),"",0.16*POWER(CL20,-0.16))</f>
        <v>0.022630305819057</v>
      </c>
      <c r="CM19" s="920" t="n">
        <f aca="false">IF(OR(CM13="自选",CM21=0,CM14=0),"",0.16*POWER(CM20,-0.16))</f>
        <v>0.0218365900451279</v>
      </c>
      <c r="CN19" s="920" t="n">
        <f aca="false">IF(OR(CN13="自选",CN21=0,CN14=0),"",0.16*POWER(CN20,-0.16))</f>
        <v>0.0238771623844875</v>
      </c>
      <c r="CO19" s="920" t="n">
        <f aca="false">IF(OR(CO13="自选",CO21=0,CO14=0),"",0.16*POWER(CO20,-0.16))</f>
        <v>0.0242760740765743</v>
      </c>
      <c r="CP19" s="920" t="n">
        <f aca="false">IF(OR(CP13="自选",CP21=0,CP14=0),"",0.16*POWER(CP20,-0.16))</f>
        <v>0.027675570556464</v>
      </c>
      <c r="CQ19" s="920" t="n">
        <f aca="false">IF(OR(CQ13="自选",CQ21=0,CQ14=0),"",0.16*POWER(CQ20,-0.16))</f>
        <v>0.0181388045785247</v>
      </c>
      <c r="CR19" s="920" t="n">
        <f aca="false">IF(OR(CR13="自选",CR21=0,CR14=0),"",0.16*POWER(CR20,-0.16))</f>
        <v>0.0181388045785247</v>
      </c>
      <c r="CS19" s="920" t="n">
        <f aca="false">IF(OR(CS13="自选",CS21=0,CS14=0),"",0.16*POWER(CS20,-0.16))</f>
        <v>0.0204591389040296</v>
      </c>
      <c r="CT19" s="920" t="n">
        <f aca="false">IF(OR(CT13="自选",CT21=0,CT14=0),"",0.16*POWER(CT20,-0.16))</f>
        <v>0.0204591389040296</v>
      </c>
      <c r="CU19" s="920" t="n">
        <f aca="false">IF(OR(CU13="自选",CU21=0,CU14=0),"",0.16*POWER(CU20,-0.16))</f>
        <v>0.0160580761474966</v>
      </c>
      <c r="CV19" s="920" t="n">
        <f aca="false">IF(OR(CV13="自选",CV21=0,CV14=0),"",0.16*POWER(CV20,-0.16))</f>
        <v>0.0164219829561913</v>
      </c>
      <c r="CW19" s="920" t="n">
        <f aca="false">IF(OR(CW13="自选",CW21=0,CW14=0),"",0.16*POWER(CW20,-0.16))</f>
        <v>0.0187866127907643</v>
      </c>
      <c r="CX19" s="920" t="n">
        <f aca="false">IF(OR(CX13="自选",CX21=0,CX14=0),"",0.16*POWER(CX20,-0.16))</f>
        <v>0.0168144907834662</v>
      </c>
      <c r="CY19" s="920" t="n">
        <f aca="false">IF(OR(CY13="自选",CY21=0,CY14=0),"",0.16*POWER(CY20,-0.16))</f>
        <v>0.0338475252079047</v>
      </c>
      <c r="CZ19" s="920" t="n">
        <f aca="false">IF(OR(CZ13="自选",CZ21=0,CZ14=0),"",0.16*POWER(CZ20,-0.16))</f>
        <v>0.0151598871299723</v>
      </c>
      <c r="DA19" s="920" t="n">
        <f aca="false">IF(OR(DA13="自选",DA21=0,DA14=0),"",0.16*POWER(DA20,-0.16))</f>
        <v>0.0143653258685982</v>
      </c>
      <c r="DB19" s="920" t="n">
        <f aca="false">IF(OR(DB13="自选",DB21=0,DB14=0),"",0.16*POWER(DB20,-0.16))</f>
        <v>0.0139428800278109</v>
      </c>
      <c r="DC19" s="920" t="n">
        <f aca="false">IF(OR(DC13="自选",DC21=0,DC14=0),"",0.16*POWER(DC20,-0.16))</f>
        <v>0.02007211927297</v>
      </c>
      <c r="DD19" s="920" t="n">
        <f aca="false">IF(OR(DD13="自选",DD21=0,DD14=0),"",0.16*POWER(DD20,-0.16))</f>
        <v>0.019693886977157</v>
      </c>
      <c r="DE19" s="920" t="n">
        <f aca="false">IF(OR(DE13="自选",DE21=0,DE14=0),"",0.16*POWER(DE20,-0.16))</f>
        <v>0.0188079405485897</v>
      </c>
      <c r="DF19" s="920" t="n">
        <f aca="false">IF(OR(DF13="自选",DF21=0,DF14=0),"",0.16*POWER(DF20,-0.16))</f>
        <v>0.0199386661249557</v>
      </c>
      <c r="DG19" s="920" t="n">
        <f aca="false">IF(OR(DG13="自选",DG21=0,DG14=0),"",0.16*POWER(DG20,-0.16))</f>
        <v>0.0245613813450094</v>
      </c>
      <c r="DH19" s="920" t="n">
        <f aca="false">IF(OR(DH13="自选",DH21=0,DH14=0),"",0.16*POWER(DH20,-0.16))</f>
        <v>0.0265202087904182</v>
      </c>
      <c r="DI19" s="920" t="n">
        <f aca="false">IF(OR(DI13="自选",DI21=0,DI14=0),"",0.16*POWER(DI20,-0.16))</f>
        <v>0.0265202087904182</v>
      </c>
      <c r="DJ19" s="920" t="n">
        <f aca="false">IF(OR(DJ13="自选",DJ21=0,DJ14=0),"",0.16*POWER(DJ20,-0.16))</f>
        <v>0.0235058227408218</v>
      </c>
      <c r="DK19" s="920" t="n">
        <f aca="false">IF(OR(DK13="自选",DK21=0,DK14=0),"",0.16*POWER(DK20,-0.16))</f>
        <v>0.0174206274902138</v>
      </c>
      <c r="DL19" s="920" t="n">
        <f aca="false">IF(OR(DL13="自选",DL21=0,DL14=0),"",0.16*POWER(DL20,-0.16))</f>
        <v>0.016809631468274</v>
      </c>
      <c r="DM19" s="920" t="n">
        <f aca="false">IF(OR(DM13="自选",DM21=0,DM14=0),"",0.16*POWER(DM20,-0.16))</f>
        <v>0.0172649887177011</v>
      </c>
      <c r="DN19" s="920" t="n">
        <f aca="false">IF(OR(DN13="自选",DN21=0,DN14=0),"",0.16*POWER(DN20,-0.16))</f>
        <v>0.018022174479143</v>
      </c>
      <c r="DO19" s="920" t="n">
        <f aca="false">IF(OR(DO13="自选",DO21=0,DO14=0),"",0.16*POWER(DO20,-0.16))</f>
        <v>0.018022174479143</v>
      </c>
      <c r="DP19" s="920" t="n">
        <f aca="false">IF(OR(DP13="自选",DP21=0,DP14=0),"",0.16*POWER(DP20,-0.16))</f>
        <v>0.019356611511832</v>
      </c>
      <c r="DQ19" s="920" t="n">
        <f aca="false">IF(OR(DQ13="自选",DQ21=0,DQ14=0),"",0.16*POWER(DQ20,-0.16))</f>
        <v>0.019356611511832</v>
      </c>
      <c r="DR19" s="920" t="n">
        <f aca="false">IF(OR(DR13="自选",DR21=0,DR14=0),"",0.16*POWER(DR20,-0.16))</f>
        <v>0.0174819405740426</v>
      </c>
      <c r="DS19" s="920" t="n">
        <f aca="false">IF(OR(DS13="自选",DS21=0,DS14=0),"",0.16*POWER(DS20,-0.16))</f>
        <v>0.0214910990919951</v>
      </c>
      <c r="DT19" s="920" t="n">
        <f aca="false">IF(OR(DT13="自选",DT21=0,DT14=0),"",0.16*POWER(DT20,-0.16))</f>
        <v>0.0201411389311742</v>
      </c>
      <c r="DU19" s="920" t="n">
        <f aca="false">IF(OR(DU13="自选",DU21=0,DU14=0),"",0.16*POWER(DU20,-0.16))</f>
        <v>0.0231073395255432</v>
      </c>
      <c r="DV19" s="920" t="n">
        <f aca="false">IF(OR(DV13="自选",DV21=0,DV14=0),"",0.16*POWER(DV20,-0.16))</f>
        <v>0.0372498999093953</v>
      </c>
      <c r="DW19" s="920" t="n">
        <f aca="false">IF(OR(DW13="自选",DW21=0,DW14=0),"",0.16*POWER(DW20,-0.16))</f>
        <v>0.0372498999093953</v>
      </c>
      <c r="DX19" s="920" t="n">
        <f aca="false">IF(OR(DX13="自选",DX21=0,DX14=0),"",0.16*POWER(DX20,-0.16))</f>
        <v>0.0436865274025364</v>
      </c>
      <c r="DY19" s="920" t="n">
        <f aca="false">IF(OR(DY13="自选",DY21=0,DY14=0),"",0.16*POWER(DY20,-0.16))</f>
        <v>0.0405217625401569</v>
      </c>
      <c r="DZ19" s="920" t="n">
        <f aca="false">IF(OR(DZ13="自选",DZ21=0,DZ14=0),"",0.16*POWER(DZ20,-0.16))</f>
        <v>0.0237160805945943</v>
      </c>
      <c r="EA19" s="920" t="n">
        <f aca="false">IF(OR(EA13="自选",EA21=0,EA14=0),"",0.16*POWER(EA20,-0.16))</f>
        <v>0.018569997287583</v>
      </c>
      <c r="EB19" s="920" t="n">
        <f aca="false">IF(OR(EB13="自选",EB21=0,EB14=0),"",0.16*POWER(EB20,-0.16))</f>
        <v>0.0181397747807803</v>
      </c>
      <c r="EC19" s="920" t="n">
        <f aca="false">IF(OR(EC13="自选",EC21=0,EC14=0),"",0.16*POWER(EC20,-0.16))</f>
        <v>0.0181394669507052</v>
      </c>
      <c r="ED19" s="920" t="n">
        <f aca="false">IF(OR(ED13="自选",ED21=0,ED14=0),"",0.16*POWER(ED20,-0.16))</f>
        <v>0.0181394669507052</v>
      </c>
      <c r="EE19" s="920" t="n">
        <f aca="false">IF(OR(EE13="自选",EE21=0,EE14=0),"",0.16*POWER(EE20,-0.16))</f>
        <v>0.0178109767137385</v>
      </c>
      <c r="EF19" s="920" t="n">
        <f aca="false">IF(OR(EF13="自选",EF21=0,EF14=0),"",0.16*POWER(EF20,-0.16))</f>
        <v>0.0257245990676566</v>
      </c>
      <c r="EG19" s="920" t="n">
        <f aca="false">IF(OR(EG13="自选",EG21=0,EG14=0),"",0.16*POWER(EG20,-0.16))</f>
        <v>0.0186566380025914</v>
      </c>
      <c r="EH19" s="920" t="n">
        <f aca="false">IF(OR(EH13="自选",EH21=0,EH14=0),"",0.16*POWER(EH20,-0.16))</f>
        <v>0.0153729235486942</v>
      </c>
      <c r="EI19" s="920" t="n">
        <f aca="false">IF(OR(EI13="自选",EI21=0,EI14=0),"",0.16*POWER(EI20,-0.16))</f>
        <v>0.0182756479231682</v>
      </c>
      <c r="EJ19" s="920" t="n">
        <f aca="false">IF(OR(EJ13="自选",EJ21=0,EJ14=0),"",0.16*POWER(EJ20,-0.16))</f>
        <v>0.0195969469516063</v>
      </c>
      <c r="EK19" s="920" t="n">
        <f aca="false">IF(OR(EK13="自选",EK21=0,EK14=0),"",0.16*POWER(EK20,-0.16))</f>
        <v>0.0189387671795342</v>
      </c>
      <c r="EL19" s="922" t="n">
        <f aca="false">IF(OR(EL13="自选",EL21=0,EL14=0),"",0.16*POWER(EL20,-0.16))</f>
        <v>0.0188925601037142</v>
      </c>
      <c r="EM19" s="922" t="n">
        <f aca="false">IF(OR(EM13="自选",EM21=0,EM14=0),"",0.16*POWER(EM20,-0.16))</f>
        <v>0.0188925601037142</v>
      </c>
      <c r="EN19" s="922" t="n">
        <f aca="false">IF(OR(EN13="自选",EN21=0,EN14=0),"",0.16*POWER(EN20,-0.16))</f>
        <v>0.0188925601037142</v>
      </c>
      <c r="EO19" s="922" t="n">
        <f aca="false">IF(OR(EO13="自选",EO21=0,EO14=0),"",0.16*POWER(EO20,-0.16))</f>
        <v>0.0188925601037142</v>
      </c>
      <c r="EP19" s="922" t="n">
        <f aca="false">IF(OR(EP13="自选",EP21=0,EP14=0),"",0.16*POWER(EP20,-0.16))</f>
        <v>0.0188925601037142</v>
      </c>
      <c r="EQ19" s="922" t="n">
        <f aca="false">IF(OR(EQ13="自选",EQ21=0,EQ14=0),"",0.16*POWER(EQ20,-0.16))</f>
        <v>0.0188925601037142</v>
      </c>
      <c r="ER19" s="922" t="n">
        <f aca="false">IF(OR(ER13="自选",ER21=0,ER14=0),"",0.16*POWER(ER20,-0.16))</f>
        <v>0.0188925601037142</v>
      </c>
      <c r="ES19" s="922" t="n">
        <f aca="false">IF(OR(ES13="自选",ES21=0,ES14=0),"",0.16*POWER(ES20,-0.16))</f>
        <v>0.0188925601037142</v>
      </c>
      <c r="ET19" s="920" t="n">
        <f aca="false">IF(OR(ET13="自选",ET21=0,ET14=0),"",0.16*POWER(ET20,-0.16))</f>
        <v>0.0170002201346556</v>
      </c>
      <c r="EU19" s="922" t="n">
        <f aca="false">IF(OR(EU13="自选",EU21=0,EU14=0),"",0.16*POWER(EU20,-0.16))</f>
        <v>0.0243545298764122</v>
      </c>
      <c r="EV19" s="922" t="n">
        <f aca="false">IF(OR(EV13="自选",EV21=0,EV14=0),"",0.16*POWER(EV20,-0.16))</f>
        <v>0.0243545298764122</v>
      </c>
      <c r="EW19" s="922" t="n">
        <f aca="false">IF(OR(EW13="自选",EW21=0,EW14=0),"",0.16*POWER(EW20,-0.16))</f>
        <v>0.0243545298764122</v>
      </c>
      <c r="EX19" s="920" t="n">
        <f aca="false">IF(OR(EX13="自选",EX21=0,EX14=0),"",0.16*POWER(EX20,-0.16))</f>
        <v>0.021724656835343</v>
      </c>
      <c r="EY19" s="920" t="n">
        <f aca="false">IF(OR(EY13="自选",EY21=0,EY14=0),"",0.16*POWER(EY20,-0.16))</f>
        <v>0.0220191771425548</v>
      </c>
      <c r="EZ19" s="920" t="n">
        <f aca="false">IF(OR(EZ13="自选",EZ21=0,EZ14=0),"",0.16*POWER(EZ20,-0.16))</f>
        <v>0.0220191771425548</v>
      </c>
      <c r="FA19" s="920" t="n">
        <f aca="false">IF(OR(FA13="自选",FA21=0,FA14=0),"",0.16*POWER(FA20,-0.16))</f>
        <v>0.0228195295872756</v>
      </c>
      <c r="FB19" s="920" t="n">
        <f aca="false">IF(OR(FB13="自选",FB21=0,FB14=0),"",0.16*POWER(FB20,-0.16))</f>
        <v>0.021965454438322</v>
      </c>
      <c r="FC19" s="920" t="n">
        <f aca="false">IF(OR(FC13="自选",FC21=0,FC14=0),"",0.16*POWER(FC20,-0.16))</f>
        <v>0.021965454438322</v>
      </c>
      <c r="FD19" s="920" t="n">
        <f aca="false">IF(OR(FD13="自选",FD21=0,FD14=0),"",0.16*POWER(FD20,-0.16))</f>
        <v>0.0163145101835463</v>
      </c>
      <c r="FE19" s="920" t="n">
        <f aca="false">IF(OR(FE13="自选",FE21=0,FE14=0),"",0.16*POWER(FE20,-0.16))</f>
        <v>0.0163155810775434</v>
      </c>
      <c r="FF19" s="920" t="n">
        <f aca="false">IF(OR(FF13="自选",FF21=0,FF14=0),"",0.16*POWER(FF20,-0.16))</f>
        <v>0.0163155810775434</v>
      </c>
      <c r="FG19" s="920" t="n">
        <f aca="false">IF(OR(FG13="自选",FG21=0,FG14=0),"",0.16*POWER(FG20,-0.16))</f>
        <v>0.0888370545273471</v>
      </c>
      <c r="FH19" s="920" t="n">
        <f aca="false">IF(OR(FH13="自选",FH21=0,FH14=0),"",0.16*POWER(FH20,-0.16))</f>
        <v>0.0888370545273471</v>
      </c>
      <c r="FI19" s="920" t="n">
        <f aca="false">IF(OR(FI13="自选",FI21=0,FI14=0),"",0.16*POWER(FI20,-0.16))</f>
        <v>0.0226997355993771</v>
      </c>
      <c r="FJ19" s="920" t="n">
        <f aca="false">IF(OR(FJ13="自选",FJ21=0,FJ14=0),"",0.16*POWER(FJ20,-0.16))</f>
        <v>0.0220471166182041</v>
      </c>
      <c r="FK19" s="920" t="n">
        <f aca="false">IF(OR(FK13="自选",FK21=0,FK14=0),"",0.16*POWER(FK20,-0.16))</f>
        <v>0.0209518483807046</v>
      </c>
      <c r="FL19" s="920" t="n">
        <f aca="false">IF(OR(FL13="自选",FL21=0,FL14=0),"",0.16*POWER(FL20,-0.16))</f>
        <v>0.0240358663612265</v>
      </c>
      <c r="FM19" s="920" t="n">
        <f aca="false">IF(OR(FM13="自选",FM21=0,FM14=0),"",0.16*POWER(FM20,-0.16))</f>
        <v>0.0350039816336579</v>
      </c>
      <c r="FN19" s="920" t="n">
        <f aca="false">IF(OR(FN13="自选",FN21=0,FN14=0),"",0.16*POWER(FN20,-0.16))</f>
        <v>0.0328052117860447</v>
      </c>
      <c r="FO19" s="920"/>
      <c r="FP19" s="923" t="n">
        <f aca="false">IF(FP13&lt;&gt;"",IF(OR(FP13="自选",FP21=0,FP14=0),"",0.16*POWER(FP20,-0.16)),"")</f>
        <v>0.0216513533894931</v>
      </c>
      <c r="FQ19" s="923" t="n">
        <f aca="false">IF(FQ13&lt;&gt;"",IF(OR(FQ13="自选",FQ21=0,FQ14=0),"",0.16*POWER(FQ20,-0.16)),"")</f>
        <v>0.0200940381366842</v>
      </c>
      <c r="FR19" s="923" t="n">
        <f aca="false">IF(FR13&lt;&gt;"",IF(OR(FR13="自选",FR21=0,FR14=0),"",0.16*POWER(FR20,-0.16)),"")</f>
        <v>0.0196939759157491</v>
      </c>
      <c r="FS19" s="923" t="n">
        <f aca="false">IF(FS13&lt;&gt;"",IF(OR(FS13="自选",FS21=0,FS14=0),"",0.16*POWER(FS20,-0.16)),"")</f>
        <v>0.029850085688739</v>
      </c>
      <c r="FT19" s="923" t="n">
        <f aca="false">IF(FT13&lt;&gt;"",IF(OR(FT13="自选",FT21=0,FT14=0),"",0.16*POWER(FT20,-0.16)),"")</f>
        <v>0.0269225095626394</v>
      </c>
      <c r="FU19" s="923" t="n">
        <f aca="false">IF(FU13&lt;&gt;"",IF(OR(FU13="自选",FU21=0,FU14=0),"",0.16*POWER(FU20,-0.16)),"")</f>
        <v>0.0404973987627766</v>
      </c>
      <c r="FV19" s="923" t="n">
        <f aca="false">IF(FV13&lt;&gt;"",IF(OR(FV13="自选",FV21=0,FV14=0),"",0.16*POWER(FV20,-0.16)),"")</f>
        <v>0.021759920315769</v>
      </c>
      <c r="FW19" s="923" t="n">
        <f aca="false">IF(FW13&lt;&gt;"",IF(OR(FW13="自选",FW21=0,FW14=0),"",0.16*POWER(FW20,-0.16)),"")</f>
        <v>0.0266608484347296</v>
      </c>
      <c r="FX19" s="923" t="n">
        <f aca="false">IF(FX13&lt;&gt;"",IF(OR(FX13="自选",FX21=0,FX14=0),"",0.16*POWER(FX20,-0.16)),"")</f>
        <v>0.0209611353741749</v>
      </c>
      <c r="FY19" s="923" t="n">
        <f aca="false">IF(FY13&lt;&gt;"",IF(OR(FY13="自选",FY21=0,FY14=0),"",0.16*POWER(FY20,-0.16)),"")</f>
        <v>0.0235873421995747</v>
      </c>
      <c r="FZ19" s="923" t="n">
        <f aca="false">IF(FZ13&lt;&gt;"",IF(OR(FZ13="自选",FZ21=0,FZ14=0),"",0.16*POWER(FZ20,-0.16)),"")</f>
        <v>0.0320710762578111</v>
      </c>
      <c r="GA19" s="923" t="n">
        <f aca="false">IF(GA13&lt;&gt;"",IF(OR(GA13="自选",GA21=0,GA14=0),"",0.16*POWER(GA20,-0.16)),"")</f>
        <v>0.0232422003975633</v>
      </c>
      <c r="GB19" s="923" t="n">
        <f aca="false">IF(GB13&lt;&gt;"",IF(OR(GB13="自选",GB21=0,GB14=0),"",0.16*POWER(GB20,-0.16)),"")</f>
        <v>0.0266549670763949</v>
      </c>
      <c r="GC19" s="923" t="n">
        <f aca="false">IF(GC13&lt;&gt;"",IF(OR(GC13="自选",GC21=0,GC14=0),"",0.16*POWER(GC20,-0.16)),"")</f>
        <v>0.0213147004123291</v>
      </c>
      <c r="GD19" s="923" t="n">
        <f aca="false">IF(GD13&lt;&gt;"",IF(OR(GD13="自选",GD21=0,GD14=0),"",0.16*POWER(GD20,-0.16)),"")</f>
        <v>0.0239176823903313</v>
      </c>
      <c r="GE19" s="923" t="n">
        <f aca="false">IF(GE13&lt;&gt;"",IF(OR(GE13="自选",GE21=0,GE14=0),"",0.16*POWER(GE20,-0.16)),"")</f>
        <v>0.0280485797336271</v>
      </c>
      <c r="GF19" s="923" t="n">
        <f aca="false">IF(GF13&lt;&gt;"",IF(OR(GF13="自选",GF21=0,GF14=0),"",0.16*POWER(GF20,-0.16)),"")</f>
        <v>0.0279615710103356</v>
      </c>
      <c r="GG19" s="923" t="n">
        <f aca="false">IF(GG13&lt;&gt;"",IF(OR(GG13="自选",GG21=0,GG14=0),"",0.16*POWER(GG20,-0.16)),"")</f>
        <v>0.0269617843786373</v>
      </c>
      <c r="GH19" s="923"/>
      <c r="GI19" s="920"/>
      <c r="GJ19" s="920"/>
      <c r="GK19" s="920"/>
      <c r="GL19" s="920"/>
      <c r="GM19" s="920"/>
      <c r="GN19" s="920"/>
      <c r="GO19" s="920"/>
      <c r="GP19" s="920"/>
      <c r="GQ19" s="920"/>
      <c r="GR19" s="920"/>
      <c r="GS19" s="920"/>
      <c r="GT19" s="920"/>
      <c r="GU19" s="920"/>
      <c r="GV19" s="920"/>
      <c r="GW19" s="920"/>
      <c r="GX19" s="920"/>
      <c r="GY19" s="920"/>
      <c r="GZ19" s="920"/>
      <c r="HA19" s="920"/>
      <c r="HB19" s="920"/>
      <c r="HC19" s="920"/>
      <c r="HD19" s="920"/>
      <c r="HE19" s="920"/>
      <c r="HF19" s="920"/>
      <c r="HG19" s="920"/>
      <c r="HH19" s="920"/>
      <c r="HI19" s="920"/>
      <c r="HJ19" s="920"/>
      <c r="HK19" s="920"/>
      <c r="HL19" s="920"/>
      <c r="HM19" s="920"/>
      <c r="HN19" s="920"/>
      <c r="HO19" s="920"/>
      <c r="HP19" s="920"/>
      <c r="HQ19" s="920"/>
      <c r="HR19" s="920"/>
      <c r="HS19" s="920"/>
      <c r="HT19" s="920"/>
      <c r="HU19" s="920"/>
      <c r="HV19" s="920"/>
      <c r="HW19" s="920"/>
      <c r="HX19" s="920"/>
      <c r="HY19" s="920"/>
      <c r="HZ19" s="920"/>
      <c r="IA19" s="920"/>
      <c r="IB19" s="920"/>
      <c r="IC19" s="920"/>
      <c r="ID19" s="920"/>
      <c r="IE19" s="920"/>
      <c r="IF19" s="920"/>
      <c r="IG19" s="920"/>
      <c r="IH19" s="920"/>
      <c r="II19" s="920"/>
      <c r="IJ19" s="920"/>
      <c r="IK19" s="920"/>
      <c r="IL19" s="920"/>
      <c r="IM19" s="920"/>
      <c r="IN19" s="920"/>
      <c r="IO19" s="920"/>
      <c r="IP19" s="920"/>
      <c r="IQ19" s="920"/>
      <c r="IR19" s="920"/>
      <c r="IS19" s="920"/>
      <c r="IT19" s="920"/>
      <c r="IU19" s="920"/>
      <c r="IV19" s="920"/>
      <c r="IW19" s="920"/>
      <c r="IX19" s="920"/>
      <c r="IY19" s="920"/>
      <c r="IZ19" s="920"/>
      <c r="JA19" s="920"/>
      <c r="JB19" s="920"/>
      <c r="JC19" s="920"/>
      <c r="JD19" s="920"/>
      <c r="JE19" s="920"/>
      <c r="JF19" s="920"/>
      <c r="JG19" s="920"/>
      <c r="JH19" s="920"/>
      <c r="JI19" s="920"/>
      <c r="JK19" s="920"/>
      <c r="JM19" s="920"/>
    </row>
    <row r="20" customFormat="false" ht="18.75" hidden="false" customHeight="false" outlineLevel="0" collapsed="false">
      <c r="A20" s="895" t="s">
        <v>1532</v>
      </c>
      <c r="B20" s="895"/>
      <c r="C20" s="890" t="n">
        <f aca="false">IF(OR(C13="自选",C21=0,C14=0),"",3.5368*C17/C21/C14*100)</f>
        <v>16115.5280546584</v>
      </c>
      <c r="D20" s="890" t="n">
        <f aca="false">IF(OR(D13="自选",D21=0,D14=0),"",3.5368*D17/D21/D14*100)</f>
        <v>103637.56519662</v>
      </c>
      <c r="E20" s="916" t="n">
        <f aca="false">IF(OR(E13="自选",E21=0,E14=0),"",3.5368*E17/E21/E14*100)</f>
        <v>14404.2695157895</v>
      </c>
      <c r="F20" s="916" t="n">
        <f aca="false">IF(OR(F13="自选",F21=0,F14=0),"",3.5368*F17/F21/F14*100)</f>
        <v>109180.521791147</v>
      </c>
      <c r="G20" s="916" t="n">
        <f aca="false">IF(OR(G13="自选",G21=0,G14=0),"",3.5368*G17/G21/G14*100)</f>
        <v>14473.5208115385</v>
      </c>
      <c r="H20" s="890" t="n">
        <f aca="false">IF(OR(H13="自选",H21=0,H14=0),"",3.5368*H17/H21/H14*100)</f>
        <v>113070.134415023</v>
      </c>
      <c r="I20" s="890" t="n">
        <f aca="false">IF(OR(I13="自选",I21=0,I14=0),"",3.5368*I17/I21/I14*100)</f>
        <v>535198.636231111</v>
      </c>
      <c r="J20" s="890" t="n">
        <f aca="false">IF(OR(J13="自选",J21=0,J14=0),"",3.5368*J17/J21/J14*100)</f>
        <v>535198.636231111</v>
      </c>
      <c r="K20" s="890" t="n">
        <f aca="false">IF(OR(K13="自选",K21=0,K14=0),"",3.5368*K17/K21/K14*100)</f>
        <v>405453.512296296</v>
      </c>
      <c r="L20" s="890" t="n">
        <f aca="false">IF(OR(L13="自选",L21=0,L14=0),"",3.5368*L17/L21/L14*100)</f>
        <v>532453.542412451</v>
      </c>
      <c r="M20" s="890" t="n">
        <f aca="false">IF(OR(M13="自选",M21=0,M14=0),"",3.5368*M17/M21/M14*100)</f>
        <v>276826.880809195</v>
      </c>
      <c r="N20" s="890" t="n">
        <f aca="false">IF(OR(N13="自选",N21=0,N14=0),"",3.5368*N17/N21/N14*100)</f>
        <v>216894.26</v>
      </c>
      <c r="O20" s="890" t="n">
        <f aca="false">IF(OR(O13="自选",O21=0,O14=0),"",3.5368*O17/O21/O14*100)</f>
        <v>593967.436142442</v>
      </c>
      <c r="P20" s="890" t="n">
        <f aca="false">IF(OR(P13="自选",P21=0,P14=0),"",3.5368*P17/P21/P14*100)</f>
        <v>1961536.39944507</v>
      </c>
      <c r="Q20" s="890" t="n">
        <f aca="false">IF(OR(Q13="自选",Q21=0,Q14=0),"",3.5368*Q17/Q21/Q14*100)</f>
        <v>782057.124254215</v>
      </c>
      <c r="R20" s="890" t="n">
        <f aca="false">IF(OR(R13="自选",R21=0,R14=0),"",3.5368*R17/R21/R14*100)</f>
        <v>271761.952068571</v>
      </c>
      <c r="S20" s="890" t="n">
        <f aca="false">IF(OR(S13="自选",S21=0,S14=0),"",3.5368*S17/S21/S14*100)</f>
        <v>40764.2877577143</v>
      </c>
      <c r="T20" s="890" t="n">
        <f aca="false">IF(OR(T13="自选",T21=0,T14=0),"",3.5368*T17/T21/T14*100)</f>
        <v>26376.892078521</v>
      </c>
      <c r="U20" s="890" t="n">
        <f aca="false">IF(OR(U13="自选",U21=0,U14=0),"",3.5368*U17/U21/U14*100)</f>
        <v>26376.892078521</v>
      </c>
      <c r="V20" s="890" t="n">
        <f aca="false">IF(OR(V13="自选",V21=0,V14=0),"",3.5368*V17/V21/V14*100)</f>
        <v>230997.654205714</v>
      </c>
      <c r="W20" s="890" t="n">
        <v>113070.134415023</v>
      </c>
      <c r="X20" s="890" t="n">
        <v>113070.134415023</v>
      </c>
      <c r="Y20" s="890" t="n">
        <f aca="false">IF(OR(Y13="自选",Y21=0,Y14=0),"",3.5368*Y17/Y21/Y14*100)</f>
        <v>4265766.13229572</v>
      </c>
      <c r="Z20" s="890" t="n">
        <f aca="false">IF(OR(Z13="自选",Z21=0,Z14=0),"",3.5368*Z17/Z21/Z14*100)</f>
        <v>5865428.43190661</v>
      </c>
      <c r="AA20" s="890" t="n">
        <f aca="false">IF(OR(AA13="自选",AA21=0,AA14=0),"",3.5368*AA17/AA21/AA14*100)</f>
        <v>11775085.0867167</v>
      </c>
      <c r="AB20" s="890" t="n">
        <f aca="false">IF(OR(AB13="自选",AB21=0,AB14=0),"",3.5368*AB17/AB21/AB14*100)</f>
        <v>8179447.75387451</v>
      </c>
      <c r="AC20" s="890" t="n">
        <f aca="false">IF(OR(AC13="自选",AC21=0,AC14=0),"",3.5368*AC17/AC21/AC14*100)</f>
        <v>10268352.8725563</v>
      </c>
      <c r="AD20" s="890" t="n">
        <f aca="false">IF(OR(AD13="自选",AD21=0,AD14=0),"",3.5368*AD17/AD21/AD14*100)</f>
        <v>14741227.8327713</v>
      </c>
      <c r="AE20" s="890" t="n">
        <f aca="false">IF(OR(AE13="自选",AE21=0,AE14=0),"",3.5368*AE17/AE21/AE14*100)</f>
        <v>11718175.5403879</v>
      </c>
      <c r="AF20" s="890" t="n">
        <f aca="false">IF(OR(AF13="自选",AF21=0,AF14=0),"",3.5368*AF17/AF21/AF14*100)</f>
        <v>166795.488</v>
      </c>
      <c r="AG20" s="890" t="n">
        <f aca="false">IF(OR(AG13="自选",AG21=0,AG14=0),"",3.5368*AG17/AG21/AG14*100)</f>
        <v>356709.858666667</v>
      </c>
      <c r="AH20" s="890" t="n">
        <f aca="false">IF(OR(AH13="自选",AH21=0,AH14=0),"",3.5368*AH17/AH21/AH14*100)</f>
        <v>433924.097333333</v>
      </c>
      <c r="AI20" s="890" t="n">
        <f aca="false">IF(OR(AI13="自选",AI21=0,AI14=0),"",3.5368*AI17/AI21/AI14*100)</f>
        <v>393551.525333333</v>
      </c>
      <c r="AJ20" s="890" t="n">
        <f aca="false">IF(OR(AJ13="自选",AJ21=0,AJ14=0),"",3.5368*AJ17/AJ21/AJ14*100)</f>
        <v>282684.634666667</v>
      </c>
      <c r="AK20" s="890" t="n">
        <f aca="false">IF(OR(AK13="自选",AK21=0,AK14=0),"",3.5368*AK17/AK21/AK14*100)</f>
        <v>7716.11866666667</v>
      </c>
      <c r="AL20" s="890" t="n">
        <f aca="false">IF(OR(AL13="自选",AL21=0,AL14=0),"",3.5368*AL17/AL21/AL14*100)</f>
        <v>5912.91206349206</v>
      </c>
      <c r="AM20" s="890" t="n">
        <f aca="false">IF(OR(AM13="自选",AM21=0,AM14=0),"",3.5368*AM17/AM21/AM14*100)</f>
        <v>6792.90158730159</v>
      </c>
      <c r="AN20" s="890" t="n">
        <f aca="false">IF(OR(AN13="自选",AN21=0,AN14=0),"",3.5368*AN17/AN21/AN14*100)</f>
        <v>7672.89111111112</v>
      </c>
      <c r="AO20" s="890" t="n">
        <f aca="false">IF(OR(AO13="自选",AO21=0,AO14=0),"",3.5368*AO17/AO21/AO14*100)</f>
        <v>8312.0413968254</v>
      </c>
      <c r="AP20" s="890" t="n">
        <f aca="false">IF(OR(AP13="自选",AP21=0,AP14=0),"",3.5368*AP17/AP21/AP14*100)</f>
        <v>33791.5977142857</v>
      </c>
      <c r="AQ20" s="890" t="n">
        <f aca="false">IF(OR(AQ13="自选",AQ21=0,AQ14=0),"",3.5368*AQ17/AQ21/AQ14*100)</f>
        <v>9465279.88755175</v>
      </c>
      <c r="AR20" s="890" t="n">
        <f aca="false">IF(OR(AR13="自选",AR21=0,AR14=0),"",3.5368*AR17/AR21/AR14*100)</f>
        <v>3380457.10269705</v>
      </c>
      <c r="AS20" s="890" t="n">
        <f aca="false">IF(OR(AS13="自选",AS21=0,AS14=0),"",3.5368*AS17/AS21/AS14*100)</f>
        <v>3380457.10269705</v>
      </c>
      <c r="AT20" s="890" t="n">
        <f aca="false">IF(OR(AT13="自选",AT21=0,AT14=0),"",3.5368*AT17/AT21/AT14*100)</f>
        <v>2629244.41320882</v>
      </c>
      <c r="AU20" s="890" t="n">
        <f aca="false">IF(OR(AU13="自选",AU21=0,AU14=0),"",3.5368*AU17/AU21/AU14*100)</f>
        <v>686235.624336842</v>
      </c>
      <c r="AV20" s="890" t="n">
        <f aca="false">IF(OR(AV13="自选",AV21=0,AV14=0),"",3.5368*AV17/AV21/AV14*100)</f>
        <v>405804.29736</v>
      </c>
      <c r="AW20" s="890" t="n">
        <f aca="false">IF(OR(AW13="自选",AW21=0,AW14=0),"",3.5368*AW17/AW21/AW14*100)</f>
        <v>407587.693392</v>
      </c>
      <c r="AX20" s="890" t="n">
        <f aca="false">IF(OR(AX13="自选",AX21=0,AX14=0),"",3.5368*AX17/AX21/AX14*100)</f>
        <v>989.911022222222</v>
      </c>
      <c r="AY20" s="890" t="n">
        <f aca="false">IF(OR(AY13="自选",AY21=0,AY14=0),"",3.5368*AY17/AY21/AY14*100)</f>
        <v>816252.531013333</v>
      </c>
      <c r="AZ20" s="890" t="n">
        <f aca="false">IF(OR(AZ13="自选",AZ21=0,AZ14=0),"",3.5368*AZ17/AZ21/AZ14*100)</f>
        <v>823348.766533333</v>
      </c>
      <c r="BA20" s="890" t="n">
        <f aca="false">IF(OR(BA13="自选",BA21=0,BA14=0),"",3.5368*BA17/BA21/BA14*100)</f>
        <v>51459.2979083333</v>
      </c>
      <c r="BB20" s="890" t="n">
        <f aca="false">IF(OR(BB13="自选",BB21=0,BB14=0),"",3.5368*BB17/BB21/BB14*100)</f>
        <v>104631.105737931</v>
      </c>
      <c r="BC20" s="890" t="n">
        <f aca="false">IF(OR(BC13="自选",BC21=0,BC14=0),"",3.5368*BC17/BC21/BC14*100)</f>
        <v>27172.8543259702</v>
      </c>
      <c r="BD20" s="890" t="n">
        <f aca="false">IF(OR(BD13="自选",BD21=0,BD14=0),"",3.5368*BD17/BD21/BD14*100)</f>
        <v>44928.3977633334</v>
      </c>
      <c r="BE20" s="890" t="n">
        <f aca="false">IF(OR(BE13="自选",BE21=0,BE14=0),"",3.5368*BE17/BE21/BE14*100)</f>
        <v>26624.2357116049</v>
      </c>
      <c r="BF20" s="890" t="n">
        <f aca="false">IF(OR(BF13="自选",BF21=0,BF14=0),"",3.5368*BF17/BF21/BF14*100)</f>
        <v>87278.518852381</v>
      </c>
      <c r="BG20" s="890" t="n">
        <f aca="false">IF(OR(BG13="自选",BG21=0,BG14=0),"",3.5368*BG17/BG21/BG14*100)</f>
        <v>124037.688255556</v>
      </c>
      <c r="BH20" s="890" t="n">
        <f aca="false">IF(OR(BH13="自选",BH21=0,BH14=0),"",3.5368*BH17/BH21/BH14*100)</f>
        <v>76229.4029106383</v>
      </c>
      <c r="BI20" s="890" t="n">
        <f aca="false">IF(OR(BI13="自选",BI21=0,BI14=0),"",3.5368*BI17/BI21/BI14*100)</f>
        <v>119426.06456</v>
      </c>
      <c r="BJ20" s="890" t="n">
        <f aca="false">IF(OR(BJ13="自选",BJ21=0,BJ14=0),"",3.5368*BJ17/BJ21/BJ14*100)</f>
        <v>3061724.76309333</v>
      </c>
      <c r="BK20" s="890" t="n">
        <f aca="false">IF(OR(BK13="自选",BK21=0,BK14=0),"",3.5368*BK17/BK21/BK14*100)</f>
        <v>3061724.76309333</v>
      </c>
      <c r="BL20" s="890" t="n">
        <f aca="false">IF(OR(BL13="自选",BL21=0,BL14=0),"",3.5368*BL17/BL21/BL14*100)</f>
        <v>2594029.58597689</v>
      </c>
      <c r="BM20" s="890" t="n">
        <f aca="false">IF(OR(BM13="自选",BM21=0,BM14=0),"",3.5368*BM17/BM21/BM14*100)</f>
        <v>2594029.58597689</v>
      </c>
      <c r="BN20" s="890" t="n">
        <f aca="false">IF(OR(BN13="自选",BN21=0,BN14=0),"",3.5368*BN17/BN21/BN14*100)</f>
        <v>467288.002361481</v>
      </c>
      <c r="BO20" s="890" t="n">
        <f aca="false">IF(OR(BO13="自选",BO21=0,BO14=0),"",3.5368*BO17/BO21/BO14*100)</f>
        <v>91905.8176829629</v>
      </c>
      <c r="BP20" s="890" t="n">
        <f aca="false">IF(OR(BP13="自选",BP21=0,BP14=0),"",3.5368*BP17/BP21/BP14*100)</f>
        <v>219677.965517241</v>
      </c>
      <c r="BQ20" s="890" t="n">
        <f aca="false">IF(OR(BQ13="自选",BQ21=0,BQ14=0),"",3.5368*BQ17/BQ21/BQ14*100)</f>
        <v>219677.965517241</v>
      </c>
      <c r="BR20" s="890" t="n">
        <f aca="false">IF(OR(BR13="自选",BR21=0,BR14=0),"",3.5368*BR17/BR21/BR14*100)</f>
        <v>219677.965517241</v>
      </c>
      <c r="BS20" s="890" t="n">
        <f aca="false">IF(OR(BS13="自选",BS21=0,BS14=0),"",3.5368*BS17/BS21/BS14*100)</f>
        <v>64394.1517241379</v>
      </c>
      <c r="BT20" s="890" t="n">
        <f aca="false">IF(OR(BT13="自选",BT21=0,BT14=0),"",3.5368*BT17/BT21/BT14*100)</f>
        <v>179431.620689655</v>
      </c>
      <c r="BU20" s="890" t="n">
        <f aca="false">IF(OR(BU13="自选",BU21=0,BU14=0),"",3.5368*BU17/BU21/BU14*100)</f>
        <v>1119939.50933333</v>
      </c>
      <c r="BV20" s="890" t="n">
        <f aca="false">IF(OR(BV13="自选",BV21=0,BV14=0),"",3.5368*BV17/BV21/BV14*100)</f>
        <v>141409.2218</v>
      </c>
      <c r="BW20" s="890" t="n">
        <f aca="false">IF(OR(BW13="自选",BW21=0,BW14=0),"",3.5368*BW17/BW21/BW14*100)</f>
        <v>2031808.0431</v>
      </c>
      <c r="BX20" s="890" t="n">
        <f aca="false">IF(OR(BX13="自选",BX21=0,BX14=0),"",3.5368*BX17/BX21/BX14*100)</f>
        <v>2138745.30852632</v>
      </c>
      <c r="BY20" s="890" t="n">
        <f aca="false">IF(OR(BY13="自选",BY21=0,BY14=0),"",3.5368*BY17/BY21/BY14*100)</f>
        <v>2902582.91871429</v>
      </c>
      <c r="BZ20" s="890" t="n">
        <f aca="false">IF(OR(BZ13="自选",BZ21=0,BZ14=0),"",3.5368*BZ17/BZ21/BZ14*100)</f>
        <v>2930932.71431405</v>
      </c>
      <c r="CA20" s="890" t="n">
        <f aca="false">IF(OR(CA13="自选",CA21=0,CA14=0),"",3.5368*CA17/CA21/CA14*100)</f>
        <v>1517094.62124</v>
      </c>
      <c r="CB20" s="890" t="n">
        <f aca="false">IF(OR(CB13="自选",CB21=0,CB14=0),"",3.5368*CB17/CB21/CB14*100)</f>
        <v>1517094.62124</v>
      </c>
      <c r="CC20" s="890" t="n">
        <f aca="false">IF(OR(CC13="自选",CC21=0,CC14=0),"",3.5368*CC17/CC21/CC14*100)</f>
        <v>3598420.26641667</v>
      </c>
      <c r="CD20" s="890" t="n">
        <f aca="false">IF(OR(CD13="自选",CD21=0,CD14=0),"",3.5368*CD17/CD21/CD14*100)</f>
        <v>4145380.146912</v>
      </c>
      <c r="CE20" s="890" t="n">
        <f aca="false">IF(OR(CE13="自选",CE21=0,CE14=0),"",3.5368*CE17/CE21/CE14*100)</f>
        <v>4222146.44592889</v>
      </c>
      <c r="CF20" s="890" t="n">
        <f aca="false">IF(OR(CF13="自选",CF21=0,CF14=0),"",3.5368*CF17/CF21/CF14*100)</f>
        <v>2461843.56579765</v>
      </c>
      <c r="CG20" s="890" t="n">
        <f aca="false">IF(OR(CG13="自选",CG21=0,CG14=0),"",3.5368*CG17/CG21/CG14*100)</f>
        <v>9465279.88755175</v>
      </c>
      <c r="CH20" s="890" t="n">
        <f aca="false">IF(OR(CH13="自选",CH21=0,CH14=0),"",3.5368*CH17/CH21/CH14*100)</f>
        <v>4021585.28552</v>
      </c>
      <c r="CI20" s="890" t="n">
        <f aca="false">IF(OR(CI13="自选",CI21=0,CI14=0),"",3.5368*CI17/CI21/CI14*100)</f>
        <v>67750.0812908679</v>
      </c>
      <c r="CJ20" s="890" t="n">
        <f aca="false">IF(OR(CJ13="自选",CJ21=0,CJ14=0),"",3.5368*CJ17/CJ21/CJ14*100)</f>
        <v>70406.9472238432</v>
      </c>
      <c r="CK20" s="890" t="n">
        <f aca="false">IF(OR(CK13="自选",CK21=0,CK14=0),"",3.5368*CK17/CK21/CK14*100)</f>
        <v>64120.6126502857</v>
      </c>
      <c r="CL20" s="890" t="n">
        <f aca="false">IF(OR(CL13="自选",CL21=0,CL14=0),"",3.5368*CL17/CL21/CL14*100)</f>
        <v>203673.604033103</v>
      </c>
      <c r="CM20" s="890" t="n">
        <f aca="false">IF(OR(CM13="自选",CM21=0,CM14=0),"",3.5368*CM17/CM21/CM14*100)</f>
        <v>254592.005041379</v>
      </c>
      <c r="CN20" s="890" t="n">
        <f aca="false">IF(OR(CN13="自选",CN21=0,CN14=0),"",3.5368*CN17/CN21/CN14*100)</f>
        <v>145665.913048276</v>
      </c>
      <c r="CO20" s="890" t="n">
        <f aca="false">IF(OR(CO13="自选",CO21=0,CO14=0),"",3.5368*CO17/CO21/CO14*100)</f>
        <v>131336.232462069</v>
      </c>
      <c r="CP20" s="890" t="n">
        <f aca="false">IF(OR(CP13="自选",CP21=0,CP14=0),"",3.5368*CP17/CP21/CP14*100)</f>
        <v>57895.69181</v>
      </c>
      <c r="CQ20" s="890" t="n">
        <f aca="false">IF(OR(CQ13="自选",CQ21=0,CQ14=0),"",3.5368*CQ17/CQ21/CQ14*100)</f>
        <v>811793.846208844</v>
      </c>
      <c r="CR20" s="890" t="n">
        <f aca="false">IF(OR(CR13="自选",CR21=0,CR14=0),"",3.5368*CR17/CR21/CR14*100)</f>
        <v>811793.846208844</v>
      </c>
      <c r="CS20" s="890" t="n">
        <f aca="false">IF(OR(CS13="自选",CS21=0,CS14=0),"",3.5368*CS17/CS21/CS14*100)</f>
        <v>382563.866666667</v>
      </c>
      <c r="CT20" s="890" t="n">
        <f aca="false">IF(OR(CT13="自选",CT21=0,CT14=0),"",3.5368*CT17/CT21/CT14*100)</f>
        <v>382563.866666667</v>
      </c>
      <c r="CU20" s="890" t="n">
        <f aca="false">IF(OR(CU13="自选",CU21=0,CU14=0),"",3.5368*CU17/CU21/CU14*100)</f>
        <v>1738462.93324</v>
      </c>
      <c r="CV20" s="890" t="n">
        <f aca="false">IF(OR(CV13="自选",CV21=0,CV14=0),"",3.5368*CV17/CV21/CV14*100)</f>
        <v>1511262.51382857</v>
      </c>
      <c r="CW20" s="890" t="n">
        <f aca="false">IF(OR(CW13="自选",CW21=0,CW14=0),"",3.5368*CW17/CW21/CW14*100)</f>
        <v>651923.84312</v>
      </c>
      <c r="CX20" s="890" t="n">
        <f aca="false">IF(OR(CX13="自选",CX21=0,CX14=0),"",3.5368*CX17/CX21/CX14*100)</f>
        <v>1303847.03782667</v>
      </c>
      <c r="CY20" s="890" t="n">
        <f aca="false">IF(OR(CY13="自选",CY21=0,CY14=0),"",3.5368*CY17/CY21/CY14*100)</f>
        <v>16451.5430933333</v>
      </c>
      <c r="CZ20" s="890" t="n">
        <f aca="false">IF(OR(CZ13="自选",CZ21=0,CZ14=0),"",3.5368*CZ17/CZ21/CZ14*100)</f>
        <v>2491151.22729524</v>
      </c>
      <c r="DA20" s="890" t="n">
        <f aca="false">IF(OR(DA13="自选",DA21=0,DA14=0),"",3.5368*DA17/DA21/DA14*100)</f>
        <v>3487611.71821333</v>
      </c>
      <c r="DB20" s="890" t="n">
        <f aca="false">IF(OR(DB13="自选",DB21=0,DB14=0),"",3.5368*DB17/DB21/DB14*100)</f>
        <v>4202878.41145334</v>
      </c>
      <c r="DC20" s="890" t="n">
        <f aca="false">IF(OR(DC13="自选",DC21=0,DC14=0),"",3.5368*DC17/DC21/DC14*100)</f>
        <v>431064.452456752</v>
      </c>
      <c r="DD20" s="890" t="n">
        <f aca="false">IF(OR(DD13="自选",DD21=0,DD14=0),"",3.5368*DD17/DD21/DD14*100)</f>
        <v>485487.87084</v>
      </c>
      <c r="DE20" s="890" t="n">
        <f aca="false">IF(OR(DE13="自选",DE21=0,DE14=0),"",3.5368*DE17/DE21/DE14*100)</f>
        <v>647317.16112</v>
      </c>
      <c r="DF20" s="890" t="n">
        <f aca="false">IF(OR(DF13="自选",DF21=0,DF14=0),"",3.5368*DF17/DF21/DF14*100)</f>
        <v>449416.755</v>
      </c>
      <c r="DG20" s="890" t="n">
        <f aca="false">IF(OR(DG13="自选",DG21=0,DG14=0),"",3.5368*DG17/DG21/DG14*100)</f>
        <v>122087.15288</v>
      </c>
      <c r="DH20" s="890" t="n">
        <f aca="false">IF(OR(DH13="自选",DH21=0,DH14=0),"",3.5368*DH17/DH21/DH14*100)</f>
        <v>75577.7613066667</v>
      </c>
      <c r="DI20" s="890" t="n">
        <f aca="false">IF(OR(DI13="自选",DI21=0,DI14=0),"",3.5368*DI17/DI21/DI14*100)</f>
        <v>75577.7613066667</v>
      </c>
      <c r="DJ20" s="890" t="n">
        <f aca="false">IF(OR(DJ13="自选",DJ21=0,DJ14=0),"",3.5368*DJ17/DJ21/DJ14*100)</f>
        <v>160658.34422</v>
      </c>
      <c r="DK20" s="890" t="n">
        <f aca="false">IF(OR(DK13="自选",DK21=0,DK14=0),"",3.5368*DK17/DK21/DK14*100)</f>
        <v>1044963.63636364</v>
      </c>
      <c r="DL20" s="890" t="n">
        <f aca="false">IF(OR(DL13="自选",DL21=0,DL14=0),"",3.5368*DL17/DL21/DL14*100)</f>
        <v>1306204.54545455</v>
      </c>
      <c r="DM20" s="890" t="n">
        <f aca="false">IF(OR(DM13="自选",DM21=0,DM14=0),"",3.5368*DM17/DM21/DM14*100)</f>
        <v>1105250</v>
      </c>
      <c r="DN20" s="890" t="n">
        <f aca="false">IF(OR(DN13="自选",DN21=0,DN14=0),"",3.5368*DN17/DN21/DN14*100)</f>
        <v>845191.176470588</v>
      </c>
      <c r="DO20" s="890" t="n">
        <f aca="false">IF(OR(DO13="自选",DO21=0,DO14=0),"",3.5368*DO17/DO21/DO14*100)</f>
        <v>845191.176470588</v>
      </c>
      <c r="DP20" s="890" t="n">
        <f aca="false">IF(OR(DP13="自选",DP21=0,DP14=0),"",3.5368*DP17/DP21/DP14*100)</f>
        <v>540837.19928</v>
      </c>
      <c r="DQ20" s="890" t="n">
        <f aca="false">IF(OR(DQ13="自选",DQ21=0,DQ14=0),"",3.5368*DQ17/DQ21/DQ14*100)</f>
        <v>540837.19928</v>
      </c>
      <c r="DR20" s="890" t="n">
        <f aca="false">IF(OR(DR13="自选",DR21=0,DR14=0),"",3.5368*DR17/DR21/DR14*100)</f>
        <v>1022267.71210667</v>
      </c>
      <c r="DS20" s="890" t="n">
        <f aca="false">IF(OR(DS13="自选",DS21=0,DS14=0),"",3.5368*DS17/DS21/DS14*100)</f>
        <v>281276.516693333</v>
      </c>
      <c r="DT20" s="890" t="n">
        <f aca="false">IF(OR(DT13="自选",DT21=0,DT14=0),"",3.5368*DT17/DT21/DT14*100)</f>
        <v>421914.77504</v>
      </c>
      <c r="DU20" s="890" t="n">
        <f aca="false">IF(OR(DU13="自选",DU21=0,DU14=0),"",3.5368*DU17/DU21/DU14*100)</f>
        <v>178777.447050847</v>
      </c>
      <c r="DV20" s="890" t="n">
        <f aca="false">IF(OR(DV13="自选",DV21=0,DV14=0),"",3.5368*DV17/DV21/DV14*100)</f>
        <v>9041.03089371429</v>
      </c>
      <c r="DW20" s="890" t="n">
        <f aca="false">IF(OR(DW13="自选",DW21=0,DW14=0),"",3.5368*DW17/DW21/DW14*100)</f>
        <v>9041.03089371429</v>
      </c>
      <c r="DX20" s="890" t="n">
        <f aca="false">IF(OR(DX13="自选",DX21=0,DX14=0),"",3.5368*DX17/DX21/DX14*100)</f>
        <v>3338.70358716174</v>
      </c>
      <c r="DY20" s="890" t="n">
        <f aca="false">IF(OR(DY13="自选",DY21=0,DY14=0),"",3.5368*DY17/DY21/DY14*100)</f>
        <v>5341.92573945878</v>
      </c>
      <c r="DZ20" s="890" t="n">
        <f aca="false">IF(OR(DZ13="自选",DZ21=0,DZ14=0),"",3.5368*DZ17/DZ21/DZ14*100)</f>
        <v>151960.82999322</v>
      </c>
      <c r="EA20" s="890" t="n">
        <f aca="false">IF(OR(EA13="自选",EA21=0,EA14=0),"",3.5368*EA17/EA21/EA14*100)</f>
        <v>700932.003542222</v>
      </c>
      <c r="EB20" s="890" t="n">
        <f aca="false">IF(OR(EB13="自选",EB21=0,EB14=0),"",3.5368*EB17/EB21/EB14*100)</f>
        <v>811522.51785</v>
      </c>
      <c r="EC20" s="890" t="n">
        <f aca="false">IF(OR(EC13="自选",EC21=0,EC14=0),"",3.5368*EC17/EC21/EC14*100)</f>
        <v>811608.59472</v>
      </c>
      <c r="ED20" s="890" t="n">
        <f aca="false">IF(OR(ED13="自选",ED21=0,ED14=0),"",3.5368*ED17/ED21/ED14*100)</f>
        <v>811608.59472</v>
      </c>
      <c r="EE20" s="890" t="n">
        <f aca="false">IF(OR(EE13="自选",EE21=0,EE14=0),"",3.5368*EE17/EE21/EE14*100)</f>
        <v>909811.752577392</v>
      </c>
      <c r="EF20" s="890" t="n">
        <f aca="false">IF(OR(EF13="自选",EF21=0,EF14=0),"",3.5368*EF17/EF21/EF14*100)</f>
        <v>91426.28</v>
      </c>
      <c r="EG20" s="890" t="n">
        <f aca="false">IF(OR(EG13="自选",EG21=0,EG14=0),"",3.5368*EG17/EG21/EG14*100)</f>
        <v>680834</v>
      </c>
      <c r="EH20" s="890" t="n">
        <f aca="false">IF(OR(EH13="自选",EH21=0,EH14=0),"",3.5368*EH17/EH21/EH14*100)</f>
        <v>2283084.4201</v>
      </c>
      <c r="EI20" s="890" t="n">
        <f aca="false">IF(OR(EI13="自选",EI21=0,EI14=0),"",3.5368*EI17/EI21/EI14*100)</f>
        <v>774542.04652</v>
      </c>
      <c r="EJ20" s="890" t="n">
        <f aca="false">IF(OR(EJ13="自选",EJ21=0,EJ14=0),"",3.5368*EJ17/EJ21/EJ14*100)</f>
        <v>500693.882656</v>
      </c>
      <c r="EK20" s="890" t="n">
        <f aca="false">IF(OR(EK13="自选",EK21=0,EK14=0),"",3.5368*EK17/EK21/EK14*100)</f>
        <v>619871.59312</v>
      </c>
      <c r="EL20" s="917" t="n">
        <f aca="false">IF(OR(EL13="自选",EL21=0,EL14=0),"",3.5368*EL17/EL21/EL14*100)</f>
        <v>629408.079168</v>
      </c>
      <c r="EM20" s="917" t="n">
        <f aca="false">IF(OR(EM13="自选",EM21=0,EM14=0),"",3.5368*EM17/EM21/EM14*100)</f>
        <v>629408.079168</v>
      </c>
      <c r="EN20" s="917" t="n">
        <f aca="false">IF(OR(EN13="自选",EN21=0,EN14=0),"",3.5368*EN17/EN21/EN14*100)</f>
        <v>629408.079168</v>
      </c>
      <c r="EO20" s="917" t="n">
        <f aca="false">IF(OR(EO13="自选",EO21=0,EO14=0),"",3.5368*EO17/EO21/EO14*100)</f>
        <v>629408.079168</v>
      </c>
      <c r="EP20" s="917" t="n">
        <f aca="false">IF(OR(EP13="自选",EP21=0,EP14=0),"",3.5368*EP17/EP21/EP14*100)</f>
        <v>629408.079168</v>
      </c>
      <c r="EQ20" s="917" t="n">
        <f aca="false">IF(OR(EQ13="自选",EQ21=0,EQ14=0),"",3.5368*EQ17/EQ21/EQ14*100)</f>
        <v>629408.079168</v>
      </c>
      <c r="ER20" s="917" t="n">
        <f aca="false">IF(OR(ER13="自选",ER21=0,ER14=0),"",3.5368*ER17/ER21/ER14*100)</f>
        <v>629408.079168</v>
      </c>
      <c r="ES20" s="917" t="n">
        <f aca="false">IF(OR(ES13="自选",ES21=0,ES14=0),"",3.5368*ES17/ES21/ES14*100)</f>
        <v>629408.079168</v>
      </c>
      <c r="ET20" s="890" t="n">
        <f aca="false">IF(OR(ET13="自选",ET21=0,ET14=0),"",3.5368*ET17/ET21/ET14*100)</f>
        <v>1217331.8500093</v>
      </c>
      <c r="EU20" s="917" t="n">
        <f aca="false">IF(OR(EU13="自选",EU21=0,EU14=0),"",3.5368*EU17/EU21/EU14*100)</f>
        <v>128714.196512</v>
      </c>
      <c r="EV20" s="917" t="n">
        <f aca="false">IF(OR(EV13="自选",EV21=0,EV14=0),"",3.5368*EV17/EV21/EV14*100)</f>
        <v>128714.196512</v>
      </c>
      <c r="EW20" s="917" t="n">
        <f aca="false">IF(OR(EW13="自选",EW21=0,EW14=0),"",3.5368*EW17/EW21/EW14*100)</f>
        <v>128714.196512</v>
      </c>
      <c r="EX20" s="890" t="n">
        <f aca="false">IF(OR(EX13="自选",EX21=0,EX14=0),"",3.5368*EX17/EX21/EX14*100)</f>
        <v>262902.133333333</v>
      </c>
      <c r="EY20" s="890" t="n">
        <f aca="false">IF(OR(EY13="自选",EY21=0,EY14=0),"",3.5368*EY17/EY21/EY14*100)</f>
        <v>241681.333333333</v>
      </c>
      <c r="EZ20" s="890" t="n">
        <f aca="false">IF(OR(EZ13="自选",EZ21=0,EZ14=0),"",3.5368*EZ17/EZ21/EZ14*100)</f>
        <v>241681.333333333</v>
      </c>
      <c r="FA20" s="890" t="n">
        <f aca="false">IF(OR(FA13="自选",FA21=0,FA14=0),"",3.5368*FA17/FA21/FA14*100)</f>
        <v>193345.066666667</v>
      </c>
      <c r="FB20" s="890" t="n">
        <f aca="false">IF(OR(FB13="自选",FB21=0,FB14=0),"",3.5368*FB17/FB21/FB14*100)</f>
        <v>245399.507692308</v>
      </c>
      <c r="FC20" s="890" t="n">
        <f aca="false">IF(OR(FC13="自选",FC21=0,FC14=0),"",3.5368*FC17/FC21/FC14*100)</f>
        <v>245399.507692308</v>
      </c>
      <c r="FD20" s="890" t="n">
        <f aca="false">IF(OR(FD13="自选",FD21=0,FD14=0),"",3.5368*FD17/FD21/FD14*100)</f>
        <v>1574570.62752</v>
      </c>
      <c r="FE20" s="890" t="n">
        <f aca="false">IF(OR(FE13="自选",FE21=0,FE14=0),"",3.5368*FE17/FE21/FE14*100)</f>
        <v>1573924.80784</v>
      </c>
      <c r="FF20" s="890" t="n">
        <f aca="false">IF(OR(FF13="自选",FF21=0,FF14=0),"",3.5368*FF17/FF21/FF14*100)</f>
        <v>1573924.80784</v>
      </c>
      <c r="FG20" s="890" t="n">
        <f aca="false">IF(OR(FG13="自选",FG21=0,FG14=0),"",3.5368*FG17/FG21/FG14*100)</f>
        <v>39.5399804081633</v>
      </c>
      <c r="FH20" s="890" t="n">
        <f aca="false">IF(OR(FH13="自选",FH21=0,FH14=0),"",3.5368*FH17/FH21/FH14*100)</f>
        <v>39.5399804081633</v>
      </c>
      <c r="FI20" s="890" t="n">
        <f aca="false">IF(OR(FI13="自选",FI21=0,FI14=0),"",3.5368*FI17/FI21/FI14*100)</f>
        <v>199811.233056</v>
      </c>
      <c r="FJ20" s="890" t="n">
        <f aca="false">IF(OR(FJ13="自选",FJ21=0,FJ14=0),"",3.5368*FJ17/FJ21/FJ14*100)</f>
        <v>239773.4796672</v>
      </c>
      <c r="FK20" s="890" t="n">
        <f aca="false">IF(OR(FK13="自选",FK21=0,FK14=0),"",3.5368*FK17/FK21/FK14*100)</f>
        <v>329693.3976424</v>
      </c>
      <c r="FL20" s="890" t="n">
        <f aca="false">IF(OR(FL13="自选",FL21=0,FL14=0),"",3.5368*FL17/FL21/FL14*100)</f>
        <v>139757.866536775</v>
      </c>
      <c r="FM20" s="890" t="n">
        <f aca="false">IF(OR(FM13="自选",FM21=0,FM14=0),"",3.5368*FM17/FM21/FM14*100)</f>
        <v>13335.7008888889</v>
      </c>
      <c r="FN20" s="890" t="n">
        <f aca="false">IF(OR(FN13="自选",FN21=0,FN14=0),"",3.5368*FN17/FN21/FN14*100)</f>
        <v>20003.5513333333</v>
      </c>
      <c r="FO20" s="890"/>
      <c r="FP20" s="901" t="n">
        <f aca="false">IF(FP13&lt;&gt;"",IF(OR(FP13="自选",FP21=0,FP14=0),"",3.5368*FP17/FP21/FP14*100),"")</f>
        <v>268514.868017491</v>
      </c>
      <c r="FQ20" s="901" t="n">
        <f aca="false">IF(FQ13&lt;&gt;"",IF(OR(FQ13="自选",FQ21=0,FQ14=0),"",3.5368*FQ17/FQ21/FQ14*100),"")</f>
        <v>428134.034072546</v>
      </c>
      <c r="FR20" s="901" t="n">
        <f aca="false">IF(FR13&lt;&gt;"",IF(OR(FR13="自选",FR21=0,FR14=0),"",3.5368*FR17/FR21/FR14*100),"")</f>
        <v>485474.168015331</v>
      </c>
      <c r="FS20" s="901" t="n">
        <f aca="false">IF(FS13&lt;&gt;"",IF(OR(FS13="自选",FS21=0,FS14=0),"",3.5368*FS17/FS21/FS14*100),"")</f>
        <v>36086.1045502912</v>
      </c>
      <c r="FT20" s="901" t="n">
        <f aca="false">IF(FT13&lt;&gt;"",IF(OR(FT13="自选",FT21=0,FT14=0),"",3.5368*FT17/FT21/FT14*100),"")</f>
        <v>68790.3893088299</v>
      </c>
      <c r="FU20" s="901" t="n">
        <f aca="false">IF(FU13&lt;&gt;"",IF(OR(FU13="自选",FU21=0,FU14=0),"",3.5368*FU17/FU21/FU14*100),"")</f>
        <v>5362.04357501596</v>
      </c>
      <c r="FV20" s="901" t="n">
        <f aca="false">IF(FV13&lt;&gt;"",IF(OR(FV13="自选",FV21=0,FV14=0),"",3.5368*FV17/FV21/FV14*100),"")</f>
        <v>260250.613825693</v>
      </c>
      <c r="FW20" s="901" t="n">
        <f aca="false">IF(FW13&lt;&gt;"",IF(OR(FW13="自选",FW21=0,FW14=0),"",3.5368*FW17/FW21/FW14*100),"")</f>
        <v>73120.2393544785</v>
      </c>
      <c r="FX20" s="901" t="n">
        <f aca="false">IF(FX13&lt;&gt;"",IF(OR(FX13="自选",FX21=0,FX14=0),"",3.5368*FX17/FX21/FX14*100),"")</f>
        <v>328781.501177309</v>
      </c>
      <c r="FY20" s="901" t="n">
        <f aca="false">IF(FY13&lt;&gt;"",IF(OR(FY13="自选",FY21=0,FY14=0),"",3.5368*FY17/FY21/FY14*100),"")</f>
        <v>157219.385062714</v>
      </c>
      <c r="FZ20" s="901" t="n">
        <f aca="false">IF(FZ13&lt;&gt;"",IF(OR(FZ13="自选",FZ21=0,FZ14=0),"",3.5368*FZ17/FZ21/FZ14*100),"")</f>
        <v>23043.0679913976</v>
      </c>
      <c r="GA20" s="901" t="n">
        <f aca="false">IF(GA13&lt;&gt;"",IF(OR(GA13="自选",GA21=0,GA14=0),"",3.5368*GA17/GA21/GA14*100),"")</f>
        <v>172392.00976801</v>
      </c>
      <c r="GB20" s="901" t="n">
        <f aca="false">IF(GB13&lt;&gt;"",IF(OR(GB13="自选",GB21=0,GB14=0),"",3.5368*GB17/GB21/GB14*100),"")</f>
        <v>73221.13412598</v>
      </c>
      <c r="GC20" s="901" t="n">
        <f aca="false">IF(GC13&lt;&gt;"",IF(OR(GC13="自选",GC21=0,GC14=0),"",3.5368*GC17/GC21/GC14*100),"")</f>
        <v>296145.192216685</v>
      </c>
      <c r="GD20" s="901" t="n">
        <f aca="false">IF(GD13&lt;&gt;"",IF(OR(GD13="自选",GD21=0,GD14=0),"",3.5368*GD17/GD21/GD14*100),"")</f>
        <v>144130.386475666</v>
      </c>
      <c r="GE20" s="901" t="n">
        <f aca="false">IF(GE13&lt;&gt;"",IF(OR(GE13="自选",GE21=0,GE14=0),"",3.5368*GE17/GE21/GE14*100),"")</f>
        <v>53248.4439771429</v>
      </c>
      <c r="GF20" s="901" t="n">
        <f aca="false">IF(GF13&lt;&gt;"",IF(OR(GF13="自选",GF21=0,GF14=0),"",3.5368*GF17/GF21/GF14*100),"")</f>
        <v>54292.5311139496</v>
      </c>
      <c r="GG20" s="901" t="n">
        <f aca="false">IF(GG13&lt;&gt;"",IF(OR(GG13="自选",GG21=0,GG14=0),"",3.5368*GG17/GG21/GG14*100),"")</f>
        <v>68166.4922885431</v>
      </c>
      <c r="GH20" s="901"/>
      <c r="GI20" s="890"/>
      <c r="GJ20" s="890"/>
      <c r="GK20" s="890"/>
      <c r="GL20" s="890"/>
      <c r="GM20" s="890"/>
      <c r="GN20" s="890"/>
      <c r="GO20" s="890"/>
      <c r="GP20" s="890"/>
      <c r="GQ20" s="890"/>
      <c r="GR20" s="890"/>
      <c r="GS20" s="890"/>
      <c r="GT20" s="890"/>
      <c r="GU20" s="890"/>
      <c r="GV20" s="890"/>
      <c r="GW20" s="890"/>
      <c r="GX20" s="890"/>
      <c r="GY20" s="890"/>
      <c r="GZ20" s="890"/>
      <c r="HA20" s="890"/>
      <c r="HB20" s="890"/>
      <c r="HC20" s="890"/>
      <c r="HD20" s="890"/>
      <c r="HE20" s="890"/>
      <c r="HF20" s="890"/>
      <c r="HG20" s="890"/>
      <c r="HH20" s="890"/>
      <c r="HI20" s="890"/>
      <c r="HJ20" s="890"/>
      <c r="HK20" s="890"/>
      <c r="HL20" s="890"/>
      <c r="HM20" s="890"/>
      <c r="HN20" s="890"/>
      <c r="HO20" s="890"/>
      <c r="HP20" s="890"/>
      <c r="HQ20" s="890"/>
      <c r="HR20" s="890"/>
      <c r="HS20" s="890"/>
      <c r="HT20" s="890"/>
      <c r="HU20" s="890"/>
      <c r="HV20" s="890"/>
      <c r="HW20" s="890"/>
      <c r="HX20" s="890"/>
      <c r="HY20" s="890"/>
      <c r="HZ20" s="890"/>
      <c r="IA20" s="890"/>
      <c r="IB20" s="890"/>
      <c r="IC20" s="890"/>
      <c r="ID20" s="890"/>
      <c r="IE20" s="890"/>
      <c r="IF20" s="890"/>
      <c r="IG20" s="890"/>
      <c r="IH20" s="890"/>
      <c r="II20" s="890"/>
      <c r="IJ20" s="890"/>
      <c r="IK20" s="890"/>
      <c r="IL20" s="890"/>
      <c r="IM20" s="890"/>
      <c r="IN20" s="890"/>
      <c r="IO20" s="890"/>
      <c r="IP20" s="890"/>
      <c r="IQ20" s="890"/>
      <c r="IR20" s="890"/>
      <c r="IS20" s="890"/>
      <c r="IT20" s="890"/>
      <c r="IU20" s="890"/>
      <c r="IV20" s="890"/>
      <c r="IW20" s="890"/>
      <c r="IX20" s="890"/>
      <c r="IY20" s="890"/>
      <c r="IZ20" s="890"/>
      <c r="JA20" s="890"/>
      <c r="JB20" s="890"/>
      <c r="JC20" s="890"/>
      <c r="JD20" s="890"/>
      <c r="JE20" s="890"/>
      <c r="JF20" s="890"/>
      <c r="JG20" s="890"/>
      <c r="JH20" s="890"/>
      <c r="JI20" s="890"/>
      <c r="JK20" s="890"/>
      <c r="JM20" s="890"/>
    </row>
    <row r="21" customFormat="false" ht="18.75" hidden="false" customHeight="false" outlineLevel="0" collapsed="false">
      <c r="A21" s="924" t="s">
        <v>1533</v>
      </c>
      <c r="B21" s="924" t="s">
        <v>420</v>
      </c>
      <c r="C21" s="925" t="n">
        <v>0.1</v>
      </c>
      <c r="D21" s="925" t="n">
        <v>0.25</v>
      </c>
      <c r="E21" s="926" t="n">
        <v>0.15</v>
      </c>
      <c r="F21" s="926" t="n">
        <v>0.25</v>
      </c>
      <c r="G21" s="926" t="n">
        <v>0.15</v>
      </c>
      <c r="H21" s="925" t="n">
        <v>0.25</v>
      </c>
      <c r="I21" s="925" t="n">
        <v>0.25</v>
      </c>
      <c r="J21" s="925" t="n">
        <v>0.25</v>
      </c>
      <c r="K21" s="925" t="n">
        <v>0.33</v>
      </c>
      <c r="L21" s="927" t="n">
        <v>0.257</v>
      </c>
      <c r="M21" s="925" t="n">
        <v>0.5</v>
      </c>
      <c r="N21" s="925" t="n">
        <v>0.08</v>
      </c>
      <c r="O21" s="927" t="n">
        <v>0.257</v>
      </c>
      <c r="P21" s="927" t="n">
        <v>0.254</v>
      </c>
      <c r="Q21" s="927" t="n">
        <v>0.257</v>
      </c>
      <c r="R21" s="927" t="n">
        <v>0.25</v>
      </c>
      <c r="S21" s="925" t="n">
        <v>0.25</v>
      </c>
      <c r="T21" s="925" t="n">
        <v>0.25</v>
      </c>
      <c r="U21" s="925" t="n">
        <v>0.25</v>
      </c>
      <c r="V21" s="928" t="n">
        <v>0.25</v>
      </c>
      <c r="W21" s="928" t="n">
        <v>0.35</v>
      </c>
      <c r="X21" s="928" t="n">
        <v>0.25</v>
      </c>
      <c r="Y21" s="927" t="n">
        <v>0.257</v>
      </c>
      <c r="Z21" s="927" t="n">
        <v>0.257</v>
      </c>
      <c r="AA21" s="925" t="n">
        <v>0.49</v>
      </c>
      <c r="AB21" s="929" t="n">
        <v>0.408</v>
      </c>
      <c r="AC21" s="927" t="n">
        <v>0.325</v>
      </c>
      <c r="AD21" s="925" t="n">
        <v>0.325</v>
      </c>
      <c r="AE21" s="927" t="n">
        <v>0.409</v>
      </c>
      <c r="AF21" s="925" t="n">
        <v>0.066</v>
      </c>
      <c r="AG21" s="925" t="n">
        <v>0.066</v>
      </c>
      <c r="AH21" s="925" t="n">
        <v>0.066</v>
      </c>
      <c r="AI21" s="925" t="n">
        <v>0.066</v>
      </c>
      <c r="AJ21" s="925" t="n">
        <v>0.066</v>
      </c>
      <c r="AK21" s="925" t="n">
        <v>0.042</v>
      </c>
      <c r="AL21" s="925" t="n">
        <v>0.042</v>
      </c>
      <c r="AM21" s="925" t="n">
        <v>0.042</v>
      </c>
      <c r="AN21" s="925" t="n">
        <v>0.042</v>
      </c>
      <c r="AO21" s="925" t="n">
        <v>0.042</v>
      </c>
      <c r="AP21" s="925" t="n">
        <v>0.042</v>
      </c>
      <c r="AQ21" s="927" t="n">
        <v>0.257</v>
      </c>
      <c r="AR21" s="927" t="n">
        <v>0.257</v>
      </c>
      <c r="AS21" s="927" t="n">
        <v>0.257</v>
      </c>
      <c r="AT21" s="927" t="n">
        <v>0.257</v>
      </c>
      <c r="AU21" s="925" t="n">
        <v>0.2</v>
      </c>
      <c r="AV21" s="925" t="n">
        <v>0.25</v>
      </c>
      <c r="AW21" s="925" t="n">
        <v>0.25</v>
      </c>
      <c r="AX21" s="925" t="n">
        <v>0.05</v>
      </c>
      <c r="AY21" s="925" t="n">
        <v>0.3</v>
      </c>
      <c r="AZ21" s="925" t="n">
        <v>0.3</v>
      </c>
      <c r="BA21" s="925" t="n">
        <v>0.3</v>
      </c>
      <c r="BB21" s="925" t="n">
        <v>0.3</v>
      </c>
      <c r="BC21" s="925" t="n">
        <v>0.25</v>
      </c>
      <c r="BD21" s="925" t="n">
        <v>0.25</v>
      </c>
      <c r="BE21" s="925" t="n">
        <v>0.25</v>
      </c>
      <c r="BF21" s="925" t="n">
        <v>0.08</v>
      </c>
      <c r="BG21" s="925" t="n">
        <v>0.08</v>
      </c>
      <c r="BH21" s="925" t="n">
        <v>0.05</v>
      </c>
      <c r="BI21" s="925" t="n">
        <v>0.1</v>
      </c>
      <c r="BJ21" s="925" t="n">
        <v>0.15</v>
      </c>
      <c r="BK21" s="925" t="n">
        <v>0.15</v>
      </c>
      <c r="BL21" s="925" t="n">
        <v>0.25</v>
      </c>
      <c r="BM21" s="925" t="n">
        <v>0.25</v>
      </c>
      <c r="BN21" s="925" t="n">
        <v>0.1</v>
      </c>
      <c r="BO21" s="925" t="n">
        <v>0.05</v>
      </c>
      <c r="BP21" s="925" t="n">
        <v>0.08</v>
      </c>
      <c r="BQ21" s="925" t="n">
        <v>0.08</v>
      </c>
      <c r="BR21" s="925" t="n">
        <v>0.08</v>
      </c>
      <c r="BS21" s="925" t="n">
        <v>0.05</v>
      </c>
      <c r="BT21" s="925" t="n">
        <v>0.08</v>
      </c>
      <c r="BU21" s="925" t="n">
        <v>0.15</v>
      </c>
      <c r="BV21" s="925" t="n">
        <v>0.1</v>
      </c>
      <c r="BW21" s="927" t="n">
        <v>0.288</v>
      </c>
      <c r="BX21" s="927" t="n">
        <v>0.288</v>
      </c>
      <c r="BY21" s="925" t="n">
        <v>0.288</v>
      </c>
      <c r="BZ21" s="925" t="n">
        <v>0.363</v>
      </c>
      <c r="CA21" s="925" t="n">
        <v>0.2</v>
      </c>
      <c r="CB21" s="925" t="n">
        <v>0.2</v>
      </c>
      <c r="CC21" s="927" t="n">
        <v>0.288</v>
      </c>
      <c r="CD21" s="925" t="n">
        <v>0.25</v>
      </c>
      <c r="CE21" s="925" t="n">
        <v>0.3</v>
      </c>
      <c r="CF21" s="925" t="n">
        <v>0.25</v>
      </c>
      <c r="CG21" s="925" t="n">
        <v>0.257</v>
      </c>
      <c r="CH21" s="925" t="n">
        <v>0.2</v>
      </c>
      <c r="CI21" s="925" t="n">
        <v>0.25</v>
      </c>
      <c r="CJ21" s="925" t="n">
        <v>0.25</v>
      </c>
      <c r="CK21" s="925" t="n">
        <v>0.25</v>
      </c>
      <c r="CL21" s="925" t="n">
        <v>0.1</v>
      </c>
      <c r="CM21" s="925" t="n">
        <v>0.08</v>
      </c>
      <c r="CN21" s="925" t="n">
        <v>0.08</v>
      </c>
      <c r="CO21" s="925" t="n">
        <v>0.08</v>
      </c>
      <c r="CP21" s="925" t="n">
        <v>0.05</v>
      </c>
      <c r="CQ21" s="925" t="n">
        <v>0.15</v>
      </c>
      <c r="CR21" s="925" t="n">
        <v>0.15</v>
      </c>
      <c r="CS21" s="925" t="n">
        <v>0.15</v>
      </c>
      <c r="CT21" s="925" t="n">
        <v>0.15</v>
      </c>
      <c r="CU21" s="925" t="n">
        <v>0.3</v>
      </c>
      <c r="CV21" s="925" t="n">
        <v>0.35</v>
      </c>
      <c r="CW21" s="925" t="n">
        <v>0.2</v>
      </c>
      <c r="CX21" s="925" t="n">
        <v>0.3</v>
      </c>
      <c r="CY21" s="925" t="n">
        <v>0.05</v>
      </c>
      <c r="CZ21" s="925" t="n">
        <v>0.35</v>
      </c>
      <c r="DA21" s="925" t="n">
        <v>0.25</v>
      </c>
      <c r="DB21" s="925" t="n">
        <v>0.6</v>
      </c>
      <c r="DC21" s="925" t="n">
        <v>0.15</v>
      </c>
      <c r="DD21" s="925" t="n">
        <v>0.2</v>
      </c>
      <c r="DE21" s="930" t="n">
        <v>0.15</v>
      </c>
      <c r="DF21" s="930" t="n">
        <v>0.2</v>
      </c>
      <c r="DG21" s="930" t="n">
        <v>0.05</v>
      </c>
      <c r="DH21" s="925" t="n">
        <v>0.05</v>
      </c>
      <c r="DI21" s="925" t="n">
        <v>0.05</v>
      </c>
      <c r="DJ21" s="925" t="n">
        <v>0.08</v>
      </c>
      <c r="DK21" s="925" t="n">
        <v>0.25</v>
      </c>
      <c r="DL21" s="925" t="n">
        <v>0.2</v>
      </c>
      <c r="DM21" s="925" t="n">
        <v>0.2</v>
      </c>
      <c r="DN21" s="925" t="n">
        <v>0.2</v>
      </c>
      <c r="DO21" s="925" t="n">
        <v>0.2</v>
      </c>
      <c r="DP21" s="925" t="n">
        <v>0.1</v>
      </c>
      <c r="DQ21" s="925" t="n">
        <v>0.1</v>
      </c>
      <c r="DR21" s="925" t="n">
        <v>0.15</v>
      </c>
      <c r="DS21" s="925" t="n">
        <v>0.15</v>
      </c>
      <c r="DT21" s="925" t="n">
        <v>0.1</v>
      </c>
      <c r="DU21" s="925" t="n">
        <v>0.1</v>
      </c>
      <c r="DV21" s="925" t="n">
        <v>0.1</v>
      </c>
      <c r="DW21" s="925" t="n">
        <v>0.1</v>
      </c>
      <c r="DX21" s="925" t="n">
        <v>0.04</v>
      </c>
      <c r="DY21" s="927" t="n">
        <v>0.025</v>
      </c>
      <c r="DZ21" s="925" t="n">
        <v>0.1</v>
      </c>
      <c r="EA21" s="925" t="n">
        <v>0.1</v>
      </c>
      <c r="EB21" s="928" t="n">
        <v>0.08</v>
      </c>
      <c r="EC21" s="925" t="n">
        <v>0.25</v>
      </c>
      <c r="ED21" s="925" t="n">
        <v>0.25</v>
      </c>
      <c r="EE21" s="925" t="n">
        <v>0.25</v>
      </c>
      <c r="EF21" s="925" t="n">
        <v>0.1</v>
      </c>
      <c r="EG21" s="925" t="n">
        <v>0.25</v>
      </c>
      <c r="EH21" s="928" t="n">
        <v>0.2</v>
      </c>
      <c r="EI21" s="930" t="n">
        <v>0.1</v>
      </c>
      <c r="EJ21" s="925" t="n">
        <v>0.25</v>
      </c>
      <c r="EK21" s="925" t="n">
        <v>0.3</v>
      </c>
      <c r="EL21" s="930" t="n">
        <v>0.25</v>
      </c>
      <c r="EM21" s="930" t="n">
        <v>0.25</v>
      </c>
      <c r="EN21" s="930" t="n">
        <v>0.25</v>
      </c>
      <c r="EO21" s="930" t="n">
        <v>0.25</v>
      </c>
      <c r="EP21" s="930" t="n">
        <v>0.25</v>
      </c>
      <c r="EQ21" s="930" t="n">
        <v>0.25</v>
      </c>
      <c r="ER21" s="930" t="n">
        <v>0.25</v>
      </c>
      <c r="ES21" s="930" t="n">
        <v>0.25</v>
      </c>
      <c r="ET21" s="925" t="n">
        <v>0.215</v>
      </c>
      <c r="EU21" s="930" t="n">
        <v>0.25</v>
      </c>
      <c r="EV21" s="930" t="n">
        <v>0.25</v>
      </c>
      <c r="EW21" s="930" t="n">
        <v>0.25</v>
      </c>
      <c r="EX21" s="930" t="n">
        <v>0.066</v>
      </c>
      <c r="EY21" s="925" t="n">
        <v>0.2</v>
      </c>
      <c r="EZ21" s="925" t="n">
        <v>0.2</v>
      </c>
      <c r="FA21" s="925" t="n">
        <v>0.25</v>
      </c>
      <c r="FB21" s="925" t="n">
        <v>0.2</v>
      </c>
      <c r="FC21" s="925" t="n">
        <v>0.2</v>
      </c>
      <c r="FD21" s="925" t="n">
        <v>0.15</v>
      </c>
      <c r="FE21" s="925" t="n">
        <v>0.15</v>
      </c>
      <c r="FF21" s="925" t="n">
        <v>0.15</v>
      </c>
      <c r="FG21" s="925" t="n">
        <v>0.05</v>
      </c>
      <c r="FH21" s="925" t="n">
        <v>0.05</v>
      </c>
      <c r="FI21" s="925" t="n">
        <v>0.3</v>
      </c>
      <c r="FJ21" s="925" t="n">
        <v>0.25</v>
      </c>
      <c r="FK21" s="925" t="n">
        <v>0.25</v>
      </c>
      <c r="FL21" s="925" t="n">
        <v>0.08</v>
      </c>
      <c r="FM21" s="925" t="n">
        <v>0.15</v>
      </c>
      <c r="FN21" s="925" t="n">
        <v>0.1</v>
      </c>
      <c r="FO21" s="925"/>
      <c r="FP21" s="931" t="n">
        <f aca="false">'机泵选型(基础设计)'!B43</f>
        <v>0.257</v>
      </c>
      <c r="FQ21" s="931" t="n">
        <f aca="false">'机泵选型(基础设计)'!C43</f>
        <v>0.257</v>
      </c>
      <c r="FR21" s="931" t="n">
        <f aca="false">'机泵选型(基础设计)'!D43</f>
        <v>0.325</v>
      </c>
      <c r="FS21" s="931" t="n">
        <f aca="false">'机泵选型(基础设计)'!E43</f>
        <v>0.08</v>
      </c>
      <c r="FT21" s="931" t="n">
        <f aca="false">'机泵选型(基础设计)'!F43</f>
        <v>0.1</v>
      </c>
      <c r="FU21" s="931" t="n">
        <f aca="false">'机泵选型(基础设计)'!G43</f>
        <v>0.025</v>
      </c>
      <c r="FV21" s="931" t="n">
        <f aca="false">'机泵选型(基础设计)'!H43</f>
        <v>0.25</v>
      </c>
      <c r="FW21" s="931" t="n">
        <f aca="false">'机泵选型(基础设计)'!I43</f>
        <v>0.08</v>
      </c>
      <c r="FX21" s="931" t="n">
        <f aca="false">'机泵选型(基础设计)'!J43</f>
        <v>0.25</v>
      </c>
      <c r="FY21" s="931" t="n">
        <f aca="false">'机泵选型(基础设计)'!K43</f>
        <v>0.15</v>
      </c>
      <c r="FZ21" s="931" t="n">
        <f aca="false">'机泵选型(基础设计)'!L43</f>
        <v>0.08</v>
      </c>
      <c r="GA21" s="931" t="n">
        <f aca="false">'机泵选型(基础设计)'!M43</f>
        <v>0.2</v>
      </c>
      <c r="GB21" s="931" t="n">
        <f aca="false">'机泵选型(基础设计)'!N43</f>
        <v>0.1</v>
      </c>
      <c r="GC21" s="931" t="n">
        <f aca="false">'机泵选型(基础设计)'!O43</f>
        <v>0.25</v>
      </c>
      <c r="GD21" s="931" t="n">
        <f aca="false">'机泵选型(基础设计)'!P43</f>
        <v>0.2</v>
      </c>
      <c r="GE21" s="931" t="n">
        <f aca="false">'机泵选型(基础设计)'!Q43</f>
        <v>0.1</v>
      </c>
      <c r="GF21" s="931" t="n">
        <f aca="false">'机泵选型(基础设计)'!R43</f>
        <v>0.1</v>
      </c>
      <c r="GG21" s="931" t="n">
        <f aca="false">'机泵选型(基础设计)'!S43</f>
        <v>0.08</v>
      </c>
      <c r="GH21" s="931"/>
      <c r="GI21" s="907"/>
      <c r="GJ21" s="907"/>
      <c r="GK21" s="907"/>
      <c r="GL21" s="907"/>
      <c r="GM21" s="907"/>
      <c r="GN21" s="907"/>
      <c r="GO21" s="907"/>
      <c r="GP21" s="907"/>
      <c r="GQ21" s="907"/>
      <c r="GR21" s="907"/>
      <c r="GS21" s="907"/>
      <c r="GT21" s="907"/>
      <c r="GU21" s="907"/>
      <c r="GV21" s="907"/>
      <c r="GW21" s="907"/>
      <c r="GX21" s="907"/>
      <c r="GY21" s="907"/>
      <c r="GZ21" s="907"/>
      <c r="HA21" s="907"/>
      <c r="HB21" s="907"/>
      <c r="HC21" s="907"/>
      <c r="HD21" s="907"/>
      <c r="HE21" s="907"/>
      <c r="HF21" s="907"/>
      <c r="HG21" s="907"/>
      <c r="HH21" s="907"/>
      <c r="HI21" s="907"/>
      <c r="HJ21" s="907"/>
      <c r="HK21" s="932"/>
      <c r="HL21" s="907"/>
      <c r="HM21" s="907"/>
      <c r="HN21" s="907"/>
      <c r="HO21" s="907"/>
      <c r="HP21" s="907"/>
      <c r="HQ21" s="932"/>
      <c r="HR21" s="907"/>
      <c r="HS21" s="932"/>
      <c r="HT21" s="907"/>
      <c r="HU21" s="907"/>
      <c r="HV21" s="907"/>
      <c r="HW21" s="907"/>
      <c r="HX21" s="907"/>
      <c r="HY21" s="932"/>
      <c r="HZ21" s="932"/>
      <c r="IA21" s="907"/>
      <c r="IB21" s="907"/>
      <c r="IC21" s="907"/>
      <c r="ID21" s="907"/>
      <c r="IE21" s="907"/>
      <c r="IF21" s="907"/>
      <c r="IG21" s="907"/>
      <c r="IH21" s="907"/>
      <c r="II21" s="907"/>
      <c r="IJ21" s="907"/>
      <c r="IK21" s="907"/>
      <c r="IL21" s="907"/>
      <c r="IM21" s="907"/>
      <c r="IN21" s="907"/>
      <c r="IO21" s="907"/>
      <c r="IP21" s="933"/>
      <c r="IQ21" s="933"/>
      <c r="IR21" s="907"/>
      <c r="IS21" s="907"/>
      <c r="IT21" s="907"/>
      <c r="IU21" s="907"/>
      <c r="IV21" s="907"/>
      <c r="IW21" s="907"/>
      <c r="IX21" s="907"/>
      <c r="IY21" s="907"/>
      <c r="IZ21" s="907"/>
      <c r="JA21" s="933"/>
      <c r="JB21" s="933"/>
      <c r="JC21" s="933"/>
      <c r="JD21" s="933"/>
      <c r="JF21" s="907"/>
      <c r="JG21" s="907"/>
      <c r="JH21" s="907"/>
      <c r="JI21" s="907"/>
      <c r="JK21" s="907"/>
      <c r="JM21" s="907"/>
    </row>
    <row r="22" customFormat="false" ht="18.75" hidden="false" customHeight="false" outlineLevel="0" collapsed="false">
      <c r="A22" s="934" t="s">
        <v>1534</v>
      </c>
      <c r="B22" s="934" t="s">
        <v>444</v>
      </c>
      <c r="C22" s="935" t="n">
        <f aca="false">IF(OR(C13="自选",C21=0,C14=0),"",C17/0.785/C21/C21/3600)</f>
        <v>1.17868155826599</v>
      </c>
      <c r="D22" s="935" t="n">
        <f aca="false">IF(OR(D13="自选",D21=0,D14=0),"",D17/0.785/D21/D21/3600)</f>
        <v>1.7578048685014</v>
      </c>
      <c r="E22" s="936" t="n">
        <f aca="false">IF(OR(E13="自选",E21=0,E14=0),"",E17/0.785/E21/E21/3600)</f>
        <v>0.931483753857499</v>
      </c>
      <c r="F22" s="936" t="n">
        <f aca="false">IF(OR(F13="自选",F21=0,F14=0),"",F17/0.785/F21/F21/3600)</f>
        <v>1.94738247564005</v>
      </c>
      <c r="G22" s="936" t="n">
        <f aca="false">IF(OR(G13="自选",G21=0,G14=0),"",G17/0.785/G21/G21/3600)</f>
        <v>0.931894432389192</v>
      </c>
      <c r="H22" s="935" t="n">
        <f aca="false">IF(OR(H13="自选",H21=0,H14=0),"",H17/0.785/H21/H21/3600)</f>
        <v>2.28284449333624</v>
      </c>
      <c r="I22" s="935" t="n">
        <f aca="false">IF(OR(I13="自选",I21=0,I14=0),"",I17/0.785/I21/I21/3600)</f>
        <v>2.42116047509732</v>
      </c>
      <c r="J22" s="935" t="n">
        <f aca="false">IF(OR(J13="自选",J21=0,J14=0),"",J17/0.785/J21/J21/3600)</f>
        <v>2.42140377724279</v>
      </c>
      <c r="K22" s="935" t="n">
        <f aca="false">IF(OR(K13="自选",K21=0,K14=0),"",K17/0.785/K21/K21/3600)</f>
        <v>1.38965963448248</v>
      </c>
      <c r="L22" s="935" t="n">
        <f aca="false">IF(OR(L13="自选",L21=0,L14=0),"",L17/0.785/L21/L21/3600)</f>
        <v>2.26059890270268</v>
      </c>
      <c r="M22" s="935" t="n">
        <f aca="false">IF(OR(M13="自选",M21=0,M14=0),"",M17/0.785/M21/M21/3600)</f>
        <v>0.597945166963307</v>
      </c>
      <c r="N22" s="935" t="n">
        <f aca="false">IF(OR(N13="自选",N21=0,N14=0),"",N17/0.785/N21/N21/3600)</f>
        <v>2.98080811615844</v>
      </c>
      <c r="O22" s="935" t="n">
        <f aca="false">IF(OR(O13="自选",O21=0,O14=0),"",O17/0.785/O21/O21/3600)</f>
        <v>2.30072325064369</v>
      </c>
      <c r="P22" s="935" t="n">
        <f aca="false">IF(OR(P13="自选",P21=0,P14=0),"",P17/0.785/P21/P21/3600)</f>
        <v>2.34863499879349</v>
      </c>
      <c r="Q22" s="935" t="n">
        <f aca="false">IF(OR(Q13="自选",Q21=0,Q14=0),"",Q17/0.785/Q21/Q21/3600)</f>
        <v>2.33958970599787</v>
      </c>
      <c r="R22" s="935" t="n">
        <f aca="false">IF(OR(R13="自选",R21=0,R14=0),"",R17/0.785/R21/R21/3600)</f>
        <v>2.10281432079218</v>
      </c>
      <c r="S22" s="935" t="n">
        <f aca="false">IF(OR(S13="自选",S21=0,S14=0),"",S17/0.785/S21/S21/3600)</f>
        <v>0.31542210902351</v>
      </c>
      <c r="T22" s="935" t="n">
        <f aca="false">IF(OR(T13="自选",T21=0,T14=0),"",T17/0.785/T21/T21/3600)</f>
        <v>0.309904906790874</v>
      </c>
      <c r="U22" s="935" t="n">
        <f aca="false">IF(OR(U13="自选",U21=0,U14=0),"",U17/0.785/U21/U21/3600)</f>
        <v>0.30994696304727</v>
      </c>
      <c r="V22" s="935" t="n">
        <f aca="false">IF(OR(V13="自选",V21=0,V14=0),"",V17/0.785/V21/V21/3600)</f>
        <v>1.78739213357803</v>
      </c>
      <c r="W22" s="935" t="n">
        <f aca="false">IF(OR(W13="自选",W21=0,W14=0),"",W17/0.785/W21/W21/3600)</f>
        <v>1.16471657823277</v>
      </c>
      <c r="X22" s="935" t="n">
        <f aca="false">IF(OR(X13="自选",X21=0,X14=0),"",X17/0.785/X21/X21/3600)</f>
        <v>2.28284449333624</v>
      </c>
      <c r="Y22" s="935" t="n">
        <f aca="false">IF(OR(Y13="自选",Y21=0,Y14=0),"",Y17/0.785/Y21/Y21/3600)</f>
        <v>2.66874351202512</v>
      </c>
      <c r="Z22" s="935" t="n">
        <f aca="false">IF(OR(Z13="自选",Z21=0,Z14=0),"",Z17/0.785/Z21/Z21/3600)</f>
        <v>2.72219394463315</v>
      </c>
      <c r="AA22" s="935" t="n">
        <f aca="false">IF(OR(AA13="自选",AA21=0,AA14=0),"",AA17/0.785/AA21/AA21/3600)</f>
        <v>2.3844429340344</v>
      </c>
      <c r="AB22" s="935" t="n">
        <f aca="false">IF(OR(AB13="自选",AB21=0,AB14=0),"",AB17/0.785/AB21/AB21/3600)</f>
        <v>1.98819449392853</v>
      </c>
      <c r="AC22" s="935" t="n">
        <f aca="false">IF(OR(AC13="自选",AC21=0,AC14=0),"",AC17/0.785/AC21/AC21/3600)</f>
        <v>3.11411390281548</v>
      </c>
      <c r="AD22" s="935" t="n">
        <f aca="false">IF(OR(AD13="自选",AD21=0,AD14=0),"",AD17/0.785/AD21/AD21/3600)</f>
        <v>4.93094718704794</v>
      </c>
      <c r="AE22" s="935" t="n">
        <f aca="false">IF(OR(AE13="自选",AE21=0,AE14=0),"",AE17/0.785/AE21/AE21/3600)</f>
        <v>3.12568516317545</v>
      </c>
      <c r="AF22" s="935" t="n">
        <f aca="false">IF(OR(AF13="自选",AF21=0,AF14=0),"",AF17/0.785/AF21/AF21/3600)</f>
        <v>2.90628667523023</v>
      </c>
      <c r="AG22" s="935" t="n">
        <f aca="false">IF(OR(AG13="自选",AG21=0,AG14=0),"",AG17/0.785/AG21/AG21/3600)</f>
        <v>6.28767471951198</v>
      </c>
      <c r="AH22" s="935" t="n">
        <f aca="false">IF(OR(AH13="自选",AH21=0,AH14=0),"",AH17/0.785/AH21/AH21/3600)</f>
        <v>7.6487192902045</v>
      </c>
      <c r="AI22" s="935" t="n">
        <f aca="false">IF(OR(AI13="自选",AI21=0,AI14=0),"",AI17/0.785/AI21/AI21/3600)</f>
        <v>7.01869029582281</v>
      </c>
      <c r="AJ22" s="935" t="n">
        <f aca="false">IF(OR(AJ13="自选",AJ21=0,AJ14=0),"",AJ17/0.785/AJ21/AJ21/3600)</f>
        <v>5.04146413975314</v>
      </c>
      <c r="AK22" s="935" t="n">
        <f aca="false">IF(OR(AK13="自选",AK21=0,AK14=0),"",AK17/0.785/AK21/AK21/3600)</f>
        <v>0.0885826864902402</v>
      </c>
      <c r="AL22" s="935" t="n">
        <f aca="false">IF(OR(AL13="自选",AL21=0,AL14=0),"",AL17/0.785/AL21/AL21/3600)</f>
        <v>0.0904844278451717</v>
      </c>
      <c r="AM22" s="935" t="n">
        <f aca="false">IF(OR(AM13="自选",AM21=0,AM14=0),"",AM17/0.785/AM21/AM21/3600)</f>
        <v>0.0922909005034592</v>
      </c>
      <c r="AN22" s="935" t="n">
        <f aca="false">IF(OR(AN13="自选",AN21=0,AN14=0),"",AN17/0.785/AN21/AN21/3600)</f>
        <v>0.0930964338301255</v>
      </c>
      <c r="AO22" s="935" t="n">
        <f aca="false">IF(OR(AO13="自选",AO21=0,AO14=0),"",AO17/0.785/AO21/AO21/3600)</f>
        <v>0.0935455810921219</v>
      </c>
      <c r="AP22" s="935" t="n">
        <f aca="false">IF(OR(AP13="自选",AP21=0,AP14=0),"",AP17/0.785/AP21/AP21/3600)</f>
        <v>2.01241147555979</v>
      </c>
      <c r="AQ22" s="935" t="n">
        <f aca="false">IF(OR(AQ13="自选",AQ21=0,AQ14=0),"",AQ17/0.785/AQ21/AQ21/3600)</f>
        <v>3.65326764572033</v>
      </c>
      <c r="AR22" s="935" t="n">
        <f aca="false">IF(OR(AR13="自选",AR21=0,AR14=0),"",AR17/0.785/AR21/AR21/3600)</f>
        <v>3.01235397647179</v>
      </c>
      <c r="AS22" s="935" t="n">
        <f aca="false">IF(OR(AS13="自选",AS21=0,AS14=0),"",AS17/0.785/AS21/AS21/3600)</f>
        <v>3.01191077322535</v>
      </c>
      <c r="AT22" s="935" t="n">
        <f aca="false">IF(OR(AT13="自选",AT21=0,AT14=0),"",AT17/0.785/AT21/AT21/3600)</f>
        <v>2.79887574868926</v>
      </c>
      <c r="AU22" s="935" t="n">
        <f aca="false">IF(OR(AU13="自选",AU21=0,AU14=0),"",AU17/0.785/AU21/AU21/3600)</f>
        <v>11.6473245880093</v>
      </c>
      <c r="AV22" s="935" t="n">
        <f aca="false">IF(OR(AV13="自选",AV21=0,AV14=0),"",AV17/0.785/AV21/AV21/3600)</f>
        <v>16.2402972399151</v>
      </c>
      <c r="AW22" s="935" t="n">
        <f aca="false">IF(OR(AW13="自选",AW21=0,AW14=0),"",AW17/0.785/AW21/AW21/3600)</f>
        <v>17.1701776734831</v>
      </c>
      <c r="AX22" s="935" t="n">
        <f aca="false">IF(OR(AX13="自选",AX21=0,AX14=0),"",AX17/0.785/AX21/AX21/3600)</f>
        <v>0.00389319249713339</v>
      </c>
      <c r="AY22" s="935" t="n">
        <f aca="false">IF(OR(AY13="自选",AY21=0,AY14=0),"",AY17/0.785/AY21/AY21/3600)</f>
        <v>3.12896981956454</v>
      </c>
      <c r="AZ22" s="935" t="n">
        <f aca="false">IF(OR(AZ13="自选",AZ21=0,AZ14=0),"",AZ17/0.785/AZ21/AZ21/3600)</f>
        <v>3.17441584043206</v>
      </c>
      <c r="BA22" s="935" t="n">
        <f aca="false">IF(OR(BA13="自选",BA21=0,BA14=0),"",BA17/0.785/BA21/BA21/3600)</f>
        <v>0.0801971349038738</v>
      </c>
      <c r="BB22" s="935" t="n">
        <f aca="false">IF(OR(BB13="自选",BB21=0,BB14=0),"",BB17/0.785/BB21/BB21/3600)</f>
        <v>0.116849531894447</v>
      </c>
      <c r="BC22" s="935" t="n">
        <f aca="false">IF(OR(BC13="自选",BC21=0,BC14=0),"",BC17/0.785/BC21/BC21/3600)</f>
        <v>0.166331163272954</v>
      </c>
      <c r="BD22" s="935" t="n">
        <f aca="false">IF(OR(BD13="自选",BD21=0,BD14=0),"",BD17/0.785/BD21/BD21/3600)</f>
        <v>0.195182288153044</v>
      </c>
      <c r="BE22" s="935" t="n">
        <f aca="false">IF(OR(BE13="自选",BE21=0,BE14=0),"",BE17/0.785/BE21/BE21/3600)</f>
        <v>0.195034528039757</v>
      </c>
      <c r="BF22" s="935" t="n">
        <f aca="false">IF(OR(BF13="自选",BF21=0,BF14=0),"",BF17/0.785/BF21/BF21/3600)</f>
        <v>0.700488328502957</v>
      </c>
      <c r="BG22" s="935" t="n">
        <f aca="false">IF(OR(BG13="自选",BG21=0,BG14=0),"",BG17/0.785/BG21/BG21/3600)</f>
        <v>0.995168936406474</v>
      </c>
      <c r="BH22" s="935" t="n">
        <f aca="false">IF(OR(BH13="自选",BH21=0,BH14=0),"",BH17/0.785/BH21/BH21/3600)</f>
        <v>1.00467372167098</v>
      </c>
      <c r="BI22" s="935" t="n">
        <f aca="false">IF(OR(BI13="自选",BI21=0,BI14=0),"",BI17/0.785/BI21/BI21/3600)</f>
        <v>0.30004983606632</v>
      </c>
      <c r="BJ22" s="935" t="n">
        <f aca="false">IF(OR(BJ13="自选",BJ21=0,BJ14=0),"",BJ17/0.785/BJ21/BJ21/3600)</f>
        <v>13.0908434701782</v>
      </c>
      <c r="BK22" s="935" t="n">
        <f aca="false">IF(OR(BK13="自选",BK21=0,BK14=0),"",BK17/0.785/BK21/BK21/3600)</f>
        <v>13.1753005248245</v>
      </c>
      <c r="BL22" s="935" t="n">
        <f aca="false">IF(OR(BL13="自选",BL21=0,BL14=0),"",BL17/0.785/BL21/BL21/3600)</f>
        <v>2.83870785236444</v>
      </c>
      <c r="BM22" s="935" t="n">
        <f aca="false">IF(OR(BM13="自选",BM21=0,BM14=0),"",BM17/0.785/BM21/BM21/3600)</f>
        <v>2.8039076555668</v>
      </c>
      <c r="BN22" s="935" t="n">
        <f aca="false">IF(OR(BN13="自选",BN21=0,BN14=0),"",BN17/0.785/BN21/BN21/3600)</f>
        <v>1.3202137395124</v>
      </c>
      <c r="BO22" s="935" t="n">
        <f aca="false">IF(OR(BO13="自选",BO21=0,BO14=0),"",BO17/0.785/BO21/BO21/3600)</f>
        <v>0.525077824039446</v>
      </c>
      <c r="BP22" s="935" t="n">
        <f aca="false">IF(OR(BP13="自选",BP21=0,BP14=0),"",BP17/0.785/BP21/BP21/3600)</f>
        <v>0.837016867404989</v>
      </c>
      <c r="BQ22" s="935" t="n">
        <f aca="false">IF(OR(BQ13="自选",BQ21=0,BQ14=0),"",BQ17/0.785/BQ21/BQ21/3600)</f>
        <v>0.837016867404989</v>
      </c>
      <c r="BR22" s="935" t="n">
        <f aca="false">IF(OR(BR13="自选",BR21=0,BR14=0),"",BR17/0.785/BR21/BR21/3600)</f>
        <v>0.836515943867107</v>
      </c>
      <c r="BS22" s="935" t="n">
        <f aca="false">IF(OR(BS13="自选",BS21=0,BS14=0),"",BS17/0.785/BS21/BS21/3600)</f>
        <v>0.392810777156482</v>
      </c>
      <c r="BT22" s="935" t="n">
        <f aca="false">IF(OR(BT13="自选",BT21=0,BT14=0),"",BT17/0.785/BT21/BT21/3600)</f>
        <v>0.683311334725785</v>
      </c>
      <c r="BU22" s="935" t="n">
        <f aca="false">IF(OR(BU13="自选",BU21=0,BU14=0),"",BU17/0.785/BU21/BU21/3600)</f>
        <v>6.7909098057718</v>
      </c>
      <c r="BV22" s="935" t="n">
        <f aca="false">IF(OR(BV13="自选",BV21=0,BV14=0),"",BV17/0.785/BV21/BV21/3600)</f>
        <v>0.406935032579942</v>
      </c>
      <c r="BW22" s="935" t="n">
        <f aca="false">IF(OR(BW13="自选",BW21=0,BW14=0),"",BW17/0.785/BW21/BW21/3600)</f>
        <v>2.10028283021096</v>
      </c>
      <c r="BX22" s="935" t="n">
        <f aca="false">IF(OR(BX13="自选",BX21=0,BX14=0),"",BX17/0.785/BX21/BX21/3600)</f>
        <v>2.09293417568272</v>
      </c>
      <c r="BY22" s="935" t="n">
        <f aca="false">IF(OR(BY13="自选",BY21=0,BY14=0),"",BY17/0.785/BY21/BY21/3600)</f>
        <v>2.16555823387433</v>
      </c>
      <c r="BZ22" s="935" t="n">
        <f aca="false">IF(OR(BZ13="自选",BZ21=0,BZ14=0),"",BZ17/0.785/BZ21/BZ21/3600)</f>
        <v>1.40435561587027</v>
      </c>
      <c r="CA22" s="935" t="n">
        <f aca="false">IF(OR(CA13="自选",CA21=0,CA14=0),"",CA17/0.785/CA21/CA21/3600)</f>
        <v>12.24075833847</v>
      </c>
      <c r="CB22" s="935" t="n">
        <f aca="false">IF(OR(CB13="自选",CB21=0,CB14=0),"",CB17/0.785/CB21/CB21/3600)</f>
        <v>20.5115409995983</v>
      </c>
      <c r="CC22" s="935" t="n">
        <f aca="false">IF(OR(CC13="自选",CC21=0,CC14=0),"",CC17/0.785/CC21/CC21/3600)</f>
        <v>2.17318784965176</v>
      </c>
      <c r="CD22" s="935" t="n">
        <f aca="false">IF(OR(CD13="自选",CD21=0,CD14=0),"",CD17/0.785/CD21/CD21/3600)</f>
        <v>2.88199666574123</v>
      </c>
      <c r="CE22" s="935" t="n">
        <f aca="false">IF(OR(CE13="自选",CE21=0,CE14=0),"",CE17/0.785/CE21/CE21/3600)</f>
        <v>2.0651141972701</v>
      </c>
      <c r="CF22" s="935" t="n">
        <f aca="false">IF(OR(CF13="自选",CF21=0,CF14=0),"",CF17/0.785/CF21/CF21/3600)</f>
        <v>2.4749410504935</v>
      </c>
      <c r="CG22" s="935" t="n">
        <f aca="false">IF(OR(CG13="自选",CG21=0,CG14=0),"",CG17/0.785/CG21/CG21/3600)</f>
        <v>3.54740539324504</v>
      </c>
      <c r="CH22" s="935" t="n">
        <f aca="false">IF(OR(CH13="自选",CH21=0,CH14=0),"",CH17/0.785/CH21/CH21/3600)</f>
        <v>11.7649075212211</v>
      </c>
      <c r="CI22" s="935" t="n">
        <f aca="false">IF(OR(CI13="自选",CI21=0,CI14=0),"",CI17/0.785/CI21/CI21/3600)</f>
        <v>0.203852963210503</v>
      </c>
      <c r="CJ22" s="935" t="n">
        <f aca="false">IF(OR(CJ13="自选",CJ21=0,CJ14=0),"",CJ17/0.785/CJ21/CJ21/3600)</f>
        <v>0.198300011530738</v>
      </c>
      <c r="CK22" s="935" t="n">
        <f aca="false">IF(OR(CK13="自选",CK21=0,CK14=0),"",CK17/0.785/CK21/CK21/3600)</f>
        <v>0.194847621531885</v>
      </c>
      <c r="CL22" s="935" t="n">
        <f aca="false">IF(OR(CL13="自选",CL21=0,CL14=0),"",CL17/0.785/CL21/CL21/3600)</f>
        <v>0.86425130578615</v>
      </c>
      <c r="CM22" s="935" t="n">
        <f aca="false">IF(OR(CM13="自选",CM21=0,CM14=0),"",CM17/0.785/CM21/CM21/3600)</f>
        <v>1.34987938064987</v>
      </c>
      <c r="CN22" s="935" t="n">
        <f aca="false">IF(OR(CN13="自选",CN21=0,CN14=0),"",CN17/0.785/CN21/CN21/3600)</f>
        <v>0.773028672682661</v>
      </c>
      <c r="CO22" s="935" t="n">
        <f aca="false">IF(OR(CO13="自选",CO21=0,CO14=0),"",CO17/0.785/CO21/CO21/3600)</f>
        <v>0.697095258640855</v>
      </c>
      <c r="CP22" s="935" t="n">
        <f aca="false">IF(OR(CP13="自选",CP21=0,CP14=0),"",CP17/0.785/CP21/CP21/3600)</f>
        <v>0.754427044030837</v>
      </c>
      <c r="CQ22" s="935" t="n">
        <f aca="false">IF(OR(CQ13="自选",CQ21=0,CQ14=0),"",CQ17/0.785/CQ21/CQ21/3600)</f>
        <v>4.47493226565299</v>
      </c>
      <c r="CR22" s="935" t="n">
        <f aca="false">IF(OR(CR13="自选",CR21=0,CR14=0),"",CR17/0.785/CR21/CR21/3600)</f>
        <v>4.83452503700011</v>
      </c>
      <c r="CS22" s="935" t="n">
        <f aca="false">IF(OR(CS13="自选",CS21=0,CS14=0),"",CS17/0.785/CS21/CS21/3600)</f>
        <v>9.27891798380122</v>
      </c>
      <c r="CT22" s="935" t="n">
        <f aca="false">IF(OR(CT13="自选",CT21=0,CT14=0),"",CT17/0.785/CT21/CT21/3600)</f>
        <v>10.2068097821813</v>
      </c>
      <c r="CU22" s="935" t="n">
        <f aca="false">IF(OR(CU13="自选",CU21=0,CU14=0),"",CU17/0.785/CU21/CU21/3600)</f>
        <v>20.7063471000573</v>
      </c>
      <c r="CV22" s="935" t="n">
        <f aca="false">IF(OR(CV13="自选",CV21=0,CV14=0),"",CV17/0.785/CV21/CV21/3600)</f>
        <v>15.7092883862675</v>
      </c>
      <c r="CW22" s="935" t="n">
        <f aca="false">IF(OR(CW13="自选",CW21=0,CW14=0),"",CW17/0.785/CW21/CW21/3600)</f>
        <v>8.47078151855222</v>
      </c>
      <c r="CX22" s="935" t="n">
        <f aca="false">IF(OR(CX13="自选",CX21=0,CX14=0),"",CX17/0.785/CX21/CX21/3600)</f>
        <v>11.2943697412912</v>
      </c>
      <c r="CY22" s="935" t="n">
        <f aca="false">IF(OR(CY13="自选",CY21=0,CY14=0),"",CY17/0.785/CY21/CY21/3600)</f>
        <v>0.0647017991510491</v>
      </c>
      <c r="CZ22" s="935" t="n">
        <f aca="false">IF(OR(CZ13="自选",CZ21=0,CZ14=0),"",CZ17/0.785/CZ21/CZ21/3600)</f>
        <v>1.31612945714356</v>
      </c>
      <c r="DA22" s="935" t="n">
        <f aca="false">IF(OR(DA13="自选",DA21=0,DA14=0),"",DA17/0.785/DA21/DA21/3600)</f>
        <v>2.57339111394479</v>
      </c>
      <c r="DB22" s="935" t="n">
        <f aca="false">IF(OR(DB13="自选",DB21=0,DB14=0),"",DB17/0.785/DB21/DB21/3600)</f>
        <v>20.6126580792732</v>
      </c>
      <c r="DC22" s="935" t="n">
        <f aca="false">IF(OR(DC13="自选",DC21=0,DC14=0),"",DC17/0.785/DC21/DC21/3600)</f>
        <v>1.61263353109625</v>
      </c>
      <c r="DD22" s="935" t="n">
        <f aca="false">IF(OR(DD13="自选",DD21=0,DD14=0),"",DD17/0.785/DD21/DD21/3600)</f>
        <v>0.952528448735396</v>
      </c>
      <c r="DE22" s="935" t="n">
        <f aca="false">IF(OR(DE13="自选",DE21=0,DE14=0),"",DE17/0.785/DE21/DE21/3600)</f>
        <v>1.68971350000513</v>
      </c>
      <c r="DF22" s="935" t="n">
        <f aca="false">IF(OR(DF13="自选",DF21=0,DF14=0),"",DF17/0.785/DF21/DF21/3600)</f>
        <v>0.879858863052291</v>
      </c>
      <c r="DG22" s="935" t="n">
        <f aca="false">IF(OR(DG13="自选",DG21=0,DG14=0),"",DG17/0.785/DG21/DG21/3600)</f>
        <v>0.956064458610657</v>
      </c>
      <c r="DH22" s="935" t="n">
        <f aca="false">IF(OR(DH13="自选",DH21=0,DH14=0),"",DH17/0.785/DH21/DH21/3600)</f>
        <v>0.895275323442254</v>
      </c>
      <c r="DI22" s="935" t="n">
        <f aca="false">IF(OR(DI13="自选",DI21=0,DI14=0),"",DI17/0.785/DI21/DI21/3600)</f>
        <v>0.895515147364336</v>
      </c>
      <c r="DJ22" s="935" t="n">
        <f aca="false">IF(OR(DJ13="自选",DJ21=0,DJ14=0),"",DJ17/0.785/DJ21/DJ21/3600)</f>
        <v>0.631662616997428</v>
      </c>
      <c r="DK22" s="935" t="n">
        <f aca="false">IF(OR(DK13="自选",DK21=0,DK14=0),"",DK17/0.785/DK21/DK21/3600)</f>
        <v>1.42972542123285</v>
      </c>
      <c r="DL22" s="935" t="n">
        <f aca="false">IF(OR(DL13="自选",DL21=0,DL14=0),"",DL17/0.785/DL21/DL21/3600)</f>
        <v>2.23200358992985</v>
      </c>
      <c r="DM22" s="935" t="n">
        <f aca="false">IF(OR(DM13="自选",DM21=0,DM14=0),"",DM17/0.785/DM21/DM21/3600)</f>
        <v>2.17151696696408</v>
      </c>
      <c r="DN22" s="935" t="n">
        <f aca="false">IF(OR(DN13="自选",DN21=0,DN14=0),"",DN17/0.785/DN21/DN21/3600)</f>
        <v>2.08412234999162</v>
      </c>
      <c r="DO22" s="935" t="n">
        <f aca="false">IF(OR(DO13="自选",DO21=0,DO14=0),"",DO17/0.785/DO21/DO21/3600)</f>
        <v>2.08566446446169</v>
      </c>
      <c r="DP22" s="935" t="n">
        <f aca="false">IF(OR(DP13="自选",DP21=0,DP14=0),"",DP17/0.785/DP21/DP21/3600)</f>
        <v>1.85103470281599</v>
      </c>
      <c r="DQ22" s="935" t="n">
        <f aca="false">IF(OR(DQ13="自选",DQ21=0,DQ14=0),"",DQ17/0.785/DQ21/DQ21/3600)</f>
        <v>1.85100592115905</v>
      </c>
      <c r="DR22" s="935" t="n">
        <f aca="false">IF(OR(DR13="自选",DR21=0,DR14=0),"",DR17/0.785/DR21/DR21/3600)</f>
        <v>16.6305598229372</v>
      </c>
      <c r="DS22" s="935" t="n">
        <f aca="false">IF(OR(DS13="自选",DS21=0,DS14=0),"",DS17/0.785/DS21/DS21/3600)</f>
        <v>0.713655791070916</v>
      </c>
      <c r="DT22" s="935" t="n">
        <f aca="false">IF(OR(DT13="自选",DT21=0,DT14=0),"",DT17/0.785/DT21/DT21/3600)</f>
        <v>1.6014612695072</v>
      </c>
      <c r="DU22" s="935" t="n">
        <f aca="false">IF(OR(DU13="自选",DU21=0,DU14=0),"",DU17/0.785/DU21/DU21/3600)</f>
        <v>1.43513875590497</v>
      </c>
      <c r="DV22" s="935" t="n">
        <f aca="false">IF(OR(DV13="自选",DV21=0,DV14=0),"",DV17/0.785/DV21/DV21/3600)</f>
        <v>0.19922879606705</v>
      </c>
      <c r="DW22" s="935" t="n">
        <f aca="false">IF(OR(DW13="自选",DW21=0,DW14=0),"",DW17/0.785/DW21/DW21/3600)</f>
        <v>0.199253873642236</v>
      </c>
      <c r="DX22" s="935" t="n">
        <f aca="false">IF(OR(DX13="自选",DX21=0,DX14=0),"",DX17/0.785/DX21/DX21/3600)</f>
        <v>0.183720616392689</v>
      </c>
      <c r="DY22" s="935" t="n">
        <f aca="false">IF(OR(DY13="自选",DY21=0,DY14=0),"",DY17/0.785/DY21/DY21/3600)</f>
        <v>0.470324777965284</v>
      </c>
      <c r="DZ22" s="935" t="n">
        <f aca="false">IF(OR(DZ13="自选",DZ21=0,DZ14=0),"",DZ17/0.785/DZ21/DZ21/3600)</f>
        <v>1.21993430280442</v>
      </c>
      <c r="EA22" s="935" t="n">
        <f aca="false">IF(OR(EA13="自选",EA21=0,EA14=0),"",EA17/0.785/EA21/EA21/3600)</f>
        <v>1.37833762627741</v>
      </c>
      <c r="EB22" s="935" t="n">
        <f aca="false">IF(OR(EB13="自选",EB21=0,EB14=0),"",EB17/0.785/EB21/EB21/3600)</f>
        <v>26.3613227934486</v>
      </c>
      <c r="EC22" s="935" t="n">
        <f aca="false">IF(OR(EC13="自选",EC21=0,EC14=0),"",EC17/0.785/EC21/EC21/3600)</f>
        <v>8.5475248631132</v>
      </c>
      <c r="ED22" s="935" t="n">
        <f aca="false">IF(OR(ED13="自选",ED21=0,ED14=0),"",ED17/0.785/ED21/ED21/3600)</f>
        <v>12.9922377919321</v>
      </c>
      <c r="EE22" s="935" t="n">
        <f aca="false">IF(OR(EE13="自选",EE21=0,EE14=0),"",EE17/0.785/EE21/EE21/3600)</f>
        <v>2.25687090740297</v>
      </c>
      <c r="EF22" s="935" t="n">
        <f aca="false">IF(OR(EF13="自选",EF21=0,EF14=0),"",EF17/0.785/EF21/EF21/3600)</f>
        <v>10.163560588189</v>
      </c>
      <c r="EG22" s="935" t="n">
        <f aca="false">IF(OR(EG13="自选",EG21=0,EG14=0),"",EG17/0.785/EG21/EG21/3600)</f>
        <v>30.2744357946056</v>
      </c>
      <c r="EH22" s="935" t="n">
        <f aca="false">IF(OR(EH13="自选",EH21=0,EH14=0),"",EH17/0.785/EH21/EH21/3600)</f>
        <v>29.6652891517541</v>
      </c>
      <c r="EI22" s="935" t="n">
        <f aca="false">IF(OR(EI13="自选",EI21=0,EI14=0),"",EI17/0.785/EI21/EI21/3600)</f>
        <v>28.1792639773531</v>
      </c>
      <c r="EJ22" s="935" t="n">
        <f aca="false">IF(OR(EJ13="自选",EJ21=0,EJ14=0),"",EJ17/0.785/EJ21/EJ21/3600)</f>
        <v>10.5462003203337</v>
      </c>
      <c r="EK22" s="935" t="n">
        <f aca="false">IF(OR(EK13="自选",EK21=0,EK14=0),"",EK17/0.785/EK21/EK21/3600)</f>
        <v>10.8803839038502</v>
      </c>
      <c r="EL22" s="937" t="n">
        <f aca="false">IF(OR(EL13="自选",EL21=0,EL14=0),"",EL17/0.785/EL21/EL21/3600)</f>
        <v>13.2573293105375</v>
      </c>
      <c r="EM22" s="937" t="n">
        <f aca="false">IF(OR(EM13="自选",EM21=0,EM14=0),"",EM17/0.785/EM21/EM21/3600)</f>
        <v>8.68583644483491</v>
      </c>
      <c r="EN22" s="937" t="n">
        <f aca="false">IF(OR(EN13="自选",EN21=0,EN14=0),"",EN17/0.785/EN21/EN21/3600)</f>
        <v>7.19683591143464</v>
      </c>
      <c r="EO22" s="937" t="n">
        <f aca="false">IF(OR(EO13="自选",EO21=0,EO14=0),"",EO17/0.785/EO21/EO21/3600)</f>
        <v>7.19683591143464</v>
      </c>
      <c r="EP22" s="937" t="n">
        <f aca="false">IF(OR(EP13="自选",EP21=0,EP14=0),"",EP17/0.785/EP21/EP21/3600)</f>
        <v>4.84402417115793</v>
      </c>
      <c r="EQ22" s="937" t="n">
        <f aca="false">IF(OR(EQ13="自选",EQ21=0,EQ14=0),"",EQ17/0.785/EQ21/EQ21/3600)</f>
        <v>4.06272995000342</v>
      </c>
      <c r="ER22" s="937" t="n">
        <f aca="false">IF(OR(ER13="自选",ER21=0,ER14=0),"",ER17/0.785/ER21/ER21/3600)</f>
        <v>4.06272995000342</v>
      </c>
      <c r="ES22" s="937" t="n">
        <f aca="false">IF(OR(ES13="自选",ES21=0,ES14=0),"",ES17/0.785/ES21/ES21/3600)</f>
        <v>2.73792670543709</v>
      </c>
      <c r="ET22" s="935" t="n">
        <f aca="false">IF(OR(ET13="自选",ET21=0,ET14=0),"",ET17/0.785/ET21/ET21/3600)</f>
        <v>6.15743786832997</v>
      </c>
      <c r="EU22" s="937" t="n">
        <f aca="false">IF(OR(EU13="自选",EU21=0,EU14=0),"",EU17/0.785/EU21/EU21/3600)</f>
        <v>0.559907074063818</v>
      </c>
      <c r="EV22" s="937" t="n">
        <f aca="false">IF(OR(EV13="自选",EV21=0,EV14=0),"",EV17/0.785/EV21/EV21/3600)</f>
        <v>0.459923667980993</v>
      </c>
      <c r="EW22" s="937" t="n">
        <f aca="false">IF(OR(EW13="自选",EW21=0,EW14=0),"",EW17/0.785/EW21/EW21/3600)</f>
        <v>2.71112899020375</v>
      </c>
      <c r="EX22" s="935" t="n">
        <f aca="false">IF(OR(EX13="自选",EX21=0,EX14=0),"",EX17/0.785/EX21/EX21/3600)</f>
        <v>4.33191262139845</v>
      </c>
      <c r="EY22" s="935" t="n">
        <f aca="false">IF(OR(EY13="自选",EY21=0,EY14=0),"",EY17/0.785/EY21/EY21/3600)</f>
        <v>1.58037596632632</v>
      </c>
      <c r="EZ22" s="935" t="n">
        <f aca="false">IF(OR(EZ13="自选",EZ21=0,EZ14=0),"",EZ17/0.785/EZ21/EZ21/3600)</f>
        <v>1.58037596632632</v>
      </c>
      <c r="FA22" s="935" t="n">
        <f aca="false">IF(OR(FA13="自选",FA21=0,FA14=0),"",FA17/0.785/FA21/FA21/3600)</f>
        <v>1.01144061844884</v>
      </c>
      <c r="FB22" s="935" t="n">
        <f aca="false">IF(OR(FB13="自选",FB21=0,FB14=0),"",FB17/0.785/FB21/FB21/3600)</f>
        <v>1.58125285686111</v>
      </c>
      <c r="FC22" s="935" t="n">
        <f aca="false">IF(OR(FC13="自选",FC21=0,FC14=0),"",FC17/0.785/FC21/FC21/3600)</f>
        <v>1.58125285686111</v>
      </c>
      <c r="FD22" s="935" t="n">
        <f aca="false">IF(OR(FD13="自选",FD21=0,FD14=0),"",FD17/0.785/FD21/FD21/3600)</f>
        <v>11.4156435582633</v>
      </c>
      <c r="FE22" s="935" t="n">
        <f aca="false">IF(OR(FE13="自选",FE21=0,FE14=0),"",FE17/0.785/FE21/FE21/3600)</f>
        <v>11.4109613629137</v>
      </c>
      <c r="FF22" s="935" t="n">
        <f aca="false">IF(OR(FF13="自选",FF21=0,FF14=0),"",FF17/0.785/FF21/FF21/3600)</f>
        <v>11.7956005099782</v>
      </c>
      <c r="FG22" s="935" t="n">
        <f aca="false">IF(OR(FG13="自选",FG21=0,FG14=0),"",FG17/0.785/FG21/FG21/3600)</f>
        <v>0.000393809512872082</v>
      </c>
      <c r="FH22" s="935" t="n">
        <f aca="false">IF(OR(FH13="自选",FH21=0,FH14=0),"",FH17/0.785/FH21/FH21/3600)</f>
        <v>0.000394161854211618</v>
      </c>
      <c r="FI22" s="935" t="n">
        <f aca="false">IF(OR(FI13="自选",FI21=0,FI14=0),"",FI17/0.785/FI21/FI21/3600)</f>
        <v>0.700337196195228</v>
      </c>
      <c r="FJ22" s="935" t="n">
        <f aca="false">IF(OR(FJ13="自选",FJ21=0,FJ14=0),"",FJ17/0.785/FJ21/FJ21/3600)</f>
        <v>1.008495197979</v>
      </c>
      <c r="FK22" s="935" t="n">
        <f aca="false">IF(OR(FK13="自选",FK21=0,FK14=0),"",FK17/0.785/FK21/FK21/3600)</f>
        <v>1.09376306522141</v>
      </c>
      <c r="FL22" s="935" t="n">
        <f aca="false">IF(OR(FL13="自选",FL21=0,FL14=0),"",FL17/0.785/FL21/FL21/3600)</f>
        <v>1.08332441301644</v>
      </c>
      <c r="FM22" s="935" t="n">
        <f aca="false">IF(OR(FM13="自选",FM21=0,FM14=0),"",FM17/0.785/FM21/FM21/3600)</f>
        <v>0.670471173197117</v>
      </c>
      <c r="FN22" s="935" t="n">
        <f aca="false">IF(OR(FN13="自选",FN21=0,FN14=0),"",FN17/0.785/FN21/FN21/3600)</f>
        <v>1.50856013969351</v>
      </c>
      <c r="FO22" s="935"/>
      <c r="FP22" s="938" t="n">
        <f aca="false">IF(FP13&lt;&gt;"",IF(OR(FP13="自选",FP21=0,FP14=0),"",FP17/0.785/FP21/FP21/3600),"")</f>
        <v>1.09979391684459</v>
      </c>
      <c r="FQ22" s="938" t="n">
        <f aca="false">IF(FQ13&lt;&gt;"",IF(OR(FQ13="自选",FQ21=0,FQ14=0),"",FQ17/0.785/FQ21/FQ21/3600),"")</f>
        <v>1.75356846994576</v>
      </c>
      <c r="FR22" s="938" t="n">
        <f aca="false">IF(FR13&lt;&gt;"",IF(OR(FR13="自选",FR21=0,FR14=0),"",FR17/0.785/FR21/FR21/3600),"")</f>
        <v>1.57238489637009</v>
      </c>
      <c r="FS22" s="938" t="n">
        <f aca="false">IF(FS13&lt;&gt;"",IF(OR(FS13="自选",FS21=0,FS14=0),"",FS17/0.785/FS21/FS21/3600),"")</f>
        <v>0.474816841146103</v>
      </c>
      <c r="FT22" s="938" t="n">
        <f aca="false">IF(FT13&lt;&gt;"",IF(OR(FT13="自选",FT21=0,FT14=0),"",FT17/0.785/FT21/FT21/3600),"")</f>
        <v>0.724108867052886</v>
      </c>
      <c r="FU22" s="938" t="n">
        <f aca="false">IF(FU13&lt;&gt;"",IF(OR(FU13="自选",FU21=0,FU14=0),"",FU17/0.785/FU21/FU21/3600),"")</f>
        <v>0.22577010173685</v>
      </c>
      <c r="FV22" s="938" t="n">
        <f aca="false">IF(FV13&lt;&gt;"",IF(OR(FV13="自选",FV21=0,FV14=0),"",FV17/0.785/FV21/FV21/3600),"")</f>
        <v>1.09579131050478</v>
      </c>
      <c r="FW22" s="938" t="n">
        <f aca="false">IF(FW13&lt;&gt;"",IF(OR(FW13="自选",FW21=0,FW14=0),"",FW17/0.785/FW21/FW21/3600),"")</f>
        <v>0.96210775606868</v>
      </c>
      <c r="FX22" s="938" t="n">
        <f aca="false">IF(FX13&lt;&gt;"",IF(OR(FX13="自选",FX21=0,FX14=0),"",FX17/0.785/FX21/FX21/3600),"")</f>
        <v>1.38434221825164</v>
      </c>
      <c r="FY22" s="938" t="n">
        <f aca="false">IF(FY13&lt;&gt;"",IF(OR(FY13="自选",FY21=0,FY14=0),"",FY17/0.785/FY21/FY21/3600),"")</f>
        <v>1.10329317743712</v>
      </c>
      <c r="FZ22" s="938" t="n">
        <f aca="false">IF(FZ13&lt;&gt;"",IF(OR(FZ13="自选",FZ21=0,FZ14=0),"",FZ17/0.785/FZ21/FZ21/3600),"")</f>
        <v>0.303198056158766</v>
      </c>
      <c r="GA22" s="938" t="n">
        <f aca="false">IF(GA13&lt;&gt;"",IF(OR(GA13="自选",GA21=0,GA14=0),"",GA17/0.785/GA21/GA21/3600),"")</f>
        <v>0.907325748090079</v>
      </c>
      <c r="GB22" s="938" t="n">
        <f aca="false">IF(GB13&lt;&gt;"",IF(OR(GB13="自选",GB21=0,GB14=0),"",GB17/0.785/GB21/GB21/3600),"")</f>
        <v>0.770748254356589</v>
      </c>
      <c r="GC22" s="938" t="n">
        <f aca="false">IF(GC13&lt;&gt;"",IF(OR(GC13="自选",GC21=0,GC14=0),"",GC17/0.785/GC21/GC21/3600),"")</f>
        <v>1.2469262742879</v>
      </c>
      <c r="GD22" s="938" t="n">
        <f aca="false">IF(GD13&lt;&gt;"",IF(OR(GD13="自选",GD21=0,GD14=0),"",GD17/0.785/GD21/GD21/3600),"")</f>
        <v>0.758580463836632</v>
      </c>
      <c r="GE22" s="938" t="n">
        <f aca="false">IF(GE13&lt;&gt;"",IF(OR(GE13="自选",GE21=0,GE14=0),"",GE17/0.785/GE21/GE21/3600),"")</f>
        <v>0.560509554140128</v>
      </c>
      <c r="GF22" s="938" t="n">
        <f aca="false">IF(GF13&lt;&gt;"",IF(OR(GF13="自选",GF21=0,GF14=0),"",GF17/0.785/GF21/GF21/3600),"")</f>
        <v>0.57149993755464</v>
      </c>
      <c r="GG22" s="938" t="n">
        <f aca="false">IF(GG13&lt;&gt;"",IF(OR(GG13="自选",GG21=0,GG14=0),"",GG17/0.785/GG21/GG21/3600),"")</f>
        <v>0.896029093355195</v>
      </c>
      <c r="GH22" s="938"/>
      <c r="GI22" s="939"/>
      <c r="GJ22" s="939"/>
      <c r="GK22" s="939"/>
      <c r="GL22" s="939"/>
      <c r="GM22" s="939"/>
      <c r="GN22" s="939"/>
      <c r="GO22" s="939"/>
      <c r="GP22" s="939"/>
      <c r="GQ22" s="939"/>
      <c r="GR22" s="939"/>
      <c r="GS22" s="939"/>
      <c r="GT22" s="939"/>
      <c r="GU22" s="939"/>
      <c r="GV22" s="939"/>
      <c r="GW22" s="939"/>
      <c r="GX22" s="939"/>
      <c r="GY22" s="939"/>
      <c r="GZ22" s="939"/>
      <c r="HA22" s="939"/>
      <c r="HB22" s="939"/>
      <c r="HC22" s="939"/>
      <c r="HD22" s="939"/>
      <c r="HE22" s="939"/>
      <c r="HF22" s="939"/>
      <c r="HG22" s="939"/>
      <c r="HH22" s="939"/>
      <c r="HI22" s="939"/>
      <c r="HJ22" s="939"/>
      <c r="HK22" s="939"/>
      <c r="HL22" s="939"/>
      <c r="HM22" s="939"/>
      <c r="HN22" s="939"/>
      <c r="HO22" s="939"/>
      <c r="HP22" s="939"/>
      <c r="HQ22" s="939"/>
      <c r="HR22" s="939"/>
      <c r="HS22" s="939"/>
      <c r="HT22" s="939"/>
      <c r="HU22" s="939"/>
      <c r="HV22" s="939"/>
      <c r="HW22" s="939"/>
      <c r="HX22" s="939"/>
      <c r="HY22" s="939"/>
      <c r="HZ22" s="939"/>
      <c r="IA22" s="939"/>
      <c r="IB22" s="939"/>
      <c r="IC22" s="939"/>
      <c r="ID22" s="939"/>
      <c r="IE22" s="939"/>
      <c r="IF22" s="939"/>
      <c r="IG22" s="939"/>
      <c r="IH22" s="939"/>
      <c r="II22" s="939"/>
      <c r="IJ22" s="939"/>
      <c r="IK22" s="939"/>
      <c r="IL22" s="939"/>
      <c r="IM22" s="939"/>
      <c r="IN22" s="939"/>
      <c r="IO22" s="939"/>
      <c r="IP22" s="939"/>
      <c r="IQ22" s="939"/>
      <c r="IR22" s="939"/>
      <c r="IS22" s="939"/>
      <c r="IT22" s="939"/>
      <c r="IU22" s="939"/>
      <c r="IV22" s="939"/>
      <c r="IW22" s="939"/>
      <c r="IX22" s="939"/>
      <c r="IY22" s="939"/>
      <c r="IZ22" s="939"/>
      <c r="JA22" s="939"/>
      <c r="JB22" s="939"/>
      <c r="JC22" s="939"/>
      <c r="JD22" s="939"/>
      <c r="JE22" s="939"/>
      <c r="JF22" s="939"/>
      <c r="JG22" s="939"/>
      <c r="JH22" s="939"/>
      <c r="JI22" s="939"/>
      <c r="JK22" s="939"/>
      <c r="JM22" s="939"/>
    </row>
    <row r="23" customFormat="false" ht="18.75" hidden="false" customHeight="false" outlineLevel="0" collapsed="false">
      <c r="A23" s="940" t="s">
        <v>1535</v>
      </c>
      <c r="B23" s="940" t="s">
        <v>444</v>
      </c>
      <c r="C23" s="941" t="str">
        <f aca="false">GETVELOC(C9,C5,C6,C4,C8,C21,C15)</f>
        <v>0.5～2</v>
      </c>
      <c r="D23" s="941" t="str">
        <f aca="false">GETVELOC(D9,D5,D6,D4,D8,D21,D15)</f>
        <v>0.5～2</v>
      </c>
      <c r="E23" s="942" t="str">
        <f aca="false">GETVELOC(E9,E5,E6,E4,E8,E21,E15)</f>
        <v>0.5～2</v>
      </c>
      <c r="F23" s="942" t="str">
        <f aca="false">GETVELOC(F9,F5,F6,F4,F8,F21,F15)</f>
        <v>0.5～3</v>
      </c>
      <c r="G23" s="942" t="str">
        <f aca="false">GETVELOC(G9,G5,G6,G4,G8,G21,G15)</f>
        <v>0.5～3</v>
      </c>
      <c r="H23" s="941" t="str">
        <f aca="false">GETVELOC(H9,H5,H6,H4,H8,H21,H15)</f>
        <v>0.5～3</v>
      </c>
      <c r="I23" s="941" t="str">
        <f aca="false">GETVELOC(I9,I5,I6,I4,I8,I21,I15)</f>
        <v>0.5～3</v>
      </c>
      <c r="J23" s="941" t="str">
        <f aca="false">GETVELOC(J9,J5,J6,J4,J8,J21,J15)</f>
        <v>0.5～3</v>
      </c>
      <c r="K23" s="941" t="str">
        <f aca="false">GETVELOC(K9,K5,K6,K4,K8,K21,K15)</f>
        <v>0.5～3</v>
      </c>
      <c r="L23" s="941" t="str">
        <f aca="false">GETVELOC(L9,L5,L6,L4,L8,L21,L15)</f>
        <v>2～3.5</v>
      </c>
      <c r="M23" s="941" t="str">
        <f aca="false">GETVELOC(M9,M5,M6,M4,M8,M21,M15)</f>
        <v>2～3.5</v>
      </c>
      <c r="N23" s="941" t="str">
        <f aca="false">GETVELOC(N9,N5,N6,N4,N8,N21,N15)</f>
        <v>8～12</v>
      </c>
      <c r="O23" s="941" t="str">
        <f aca="false">GETVELOC(O9,O5,O6,O4,O8,O21,O15)</f>
        <v>2～3.5</v>
      </c>
      <c r="P23" s="941" t="str">
        <f aca="false">GETVELOC(P9,P5,P6,P4,P8,P21,P15)</f>
        <v>2～3</v>
      </c>
      <c r="Q23" s="941" t="str">
        <f aca="false">GETVELOC(Q9,Q5,Q6,Q4,Q8,Q21,Q15)</f>
        <v>2～3.5</v>
      </c>
      <c r="R23" s="941" t="str">
        <f aca="false">GETVELOC(R9,R5,R6,R4,R8,R21,R15)</f>
        <v>2～3</v>
      </c>
      <c r="S23" s="941" t="str">
        <f aca="false">GETVELOC(S9,S5,S6,S4,S8,S21,S15)</f>
        <v>2～3</v>
      </c>
      <c r="T23" s="941" t="str">
        <f aca="false">GETVELOC(T9,T5,T6,T4,T8,T21,T15)</f>
        <v>2～3</v>
      </c>
      <c r="U23" s="941" t="str">
        <f aca="false">GETVELOC(U9,U5,U6,U4,U8,U21,U15)</f>
        <v>0.5～3</v>
      </c>
      <c r="V23" s="941" t="str">
        <f aca="false">GETVELOC(V9,V5,V6,V4,V8,V21,V15)</f>
        <v>2～3</v>
      </c>
      <c r="W23" s="941" t="e">
        <f aca="false">#NAME?</f>
        <v>#NAME?</v>
      </c>
      <c r="X23" s="941" t="e">
        <f aca="false">#NAME?</f>
        <v>#NAME?</v>
      </c>
      <c r="Y23" s="941" t="str">
        <f aca="false">GETVELOC(Y9,Y5,Y6,Y4,Y8,Y21,Y15)</f>
        <v>2～3.5</v>
      </c>
      <c r="Z23" s="941" t="str">
        <f aca="false">GETVELOC(Z9,Z5,Z6,Z4,Z8,Z21,Z15)</f>
        <v>2～3.5</v>
      </c>
      <c r="AA23" s="941" t="str">
        <f aca="false">GETVELOC(AA9,AA5,AA6,AA4,AA8,AA21,AA15)</f>
        <v>2～3.5</v>
      </c>
      <c r="AB23" s="941" t="str">
        <f aca="false">GETVELOC(AB9,AB5,AB6,AB4,AB8,AB21,AB15)</f>
        <v>2～3.5</v>
      </c>
      <c r="AC23" s="941" t="str">
        <f aca="false">GETVELOC(AC9,AC5,AC6,AC4,AC8,AC21,AC15)</f>
        <v>2～3.5</v>
      </c>
      <c r="AD23" s="941" t="str">
        <f aca="false">GETVELOC(AD9,AD5,AD6,AD4,AD8,AD21,AD15)</f>
        <v>2～3.5</v>
      </c>
      <c r="AE23" s="941" t="str">
        <f aca="false">GETVELOC(AE9,AE5,AE6,AE4,AE8,AE21,AE15)</f>
        <v>2～3.5</v>
      </c>
      <c r="AF23" s="941" t="str">
        <f aca="false">GETVELOC(AF9,AF5,AF6,AF4,AF8,AF21,AF15)</f>
        <v>8～12</v>
      </c>
      <c r="AG23" s="941" t="str">
        <f aca="false">GETVELOC(AG9,AG5,AG6,AG4,AG8,AG21,AG15)</f>
        <v>8～12</v>
      </c>
      <c r="AH23" s="941" t="str">
        <f aca="false">GETVELOC(AH9,AH5,AH6,AH4,AH8,AH21,AH15)</f>
        <v>8～12</v>
      </c>
      <c r="AI23" s="941" t="str">
        <f aca="false">GETVELOC(AI9,AI5,AI6,AI4,AI8,AI21,AI15)</f>
        <v>8～12</v>
      </c>
      <c r="AJ23" s="941" t="str">
        <f aca="false">GETVELOC(AJ9,AJ5,AJ6,AJ4,AJ8,AJ21,AJ15)</f>
        <v>8～12</v>
      </c>
      <c r="AK23" s="941" t="str">
        <f aca="false">GETVELOC(AK9,AK5,AK6,AK4,AK8,AK21,AK15)</f>
        <v>8～12</v>
      </c>
      <c r="AL23" s="941" t="str">
        <f aca="false">GETVELOC(AL9,AL5,AL6,AL4,AL8,AL21,AL15)</f>
        <v>8～12</v>
      </c>
      <c r="AM23" s="941" t="str">
        <f aca="false">GETVELOC(AM9,AM5,AM6,AM4,AM8,AM21,AM15)</f>
        <v>8～12</v>
      </c>
      <c r="AN23" s="941" t="str">
        <f aca="false">GETVELOC(AN9,AN5,AN6,AN4,AN8,AN21,AN15)</f>
        <v>8～12</v>
      </c>
      <c r="AO23" s="941" t="str">
        <f aca="false">GETVELOC(AO9,AO5,AO6,AO4,AO8,AO21,AO15)</f>
        <v>8～12</v>
      </c>
      <c r="AP23" s="941" t="str">
        <f aca="false">GETVELOC(AP9,AP5,AP6,AP4,AP8,AP21,AP15)</f>
        <v>10～20</v>
      </c>
      <c r="AQ23" s="941" t="str">
        <f aca="false">GETVELOC(AQ9,AQ5,AQ6,AQ4,AQ8,AQ21,AQ15)</f>
        <v>2～3.5</v>
      </c>
      <c r="AR23" s="941" t="str">
        <f aca="false">GETVELOC(AR9,AR5,AR6,AR4,AR8,AR21,AR15)</f>
        <v>2～3.5</v>
      </c>
      <c r="AS23" s="941" t="str">
        <f aca="false">GETVELOC(AS9,AS5,AS6,AS4,AS8,AS21,AS15)</f>
        <v>2～3.5</v>
      </c>
      <c r="AT23" s="941" t="str">
        <f aca="false">GETVELOC(AT9,AT5,AT6,AT4,AT8,AT21,AT15)</f>
        <v>气液两相，自选</v>
      </c>
      <c r="AU23" s="941" t="str">
        <f aca="false">GETVELOC(AU9,AU5,AU6,AU4,AU8,AU21,AU15)</f>
        <v>50～30</v>
      </c>
      <c r="AV23" s="941" t="str">
        <f aca="false">GETVELOC(AV9,AV5,AV6,AV4,AV8,AV21,AV15)</f>
        <v>40～20</v>
      </c>
      <c r="AW23" s="941" t="str">
        <f aca="false">GETVELOC(AW9,AW5,AW6,AW4,AW8,AW21,AW15)</f>
        <v>15～20</v>
      </c>
      <c r="AX23" s="941" t="str">
        <f aca="false">GETVELOC(AX9,AX5,AX6,AX4,AX8,AX21,AX15)</f>
        <v>1.5～3</v>
      </c>
      <c r="AY23" s="941" t="str">
        <f aca="false">GETVELOC(AY9,AY5,AY6,AY4,AY8,AY21,AY15)</f>
        <v>15～20</v>
      </c>
      <c r="AZ23" s="941" t="str">
        <f aca="false">GETVELOC(AZ9,AZ5,AZ6,AZ4,AZ8,AZ21,AZ15)</f>
        <v>15～20</v>
      </c>
      <c r="BA23" s="941" t="str">
        <f aca="false">GETVELOC(BA9,BA5,BA6,BA4,BA8,BA21,BA15)</f>
        <v>气液两相，自选</v>
      </c>
      <c r="BB23" s="941" t="str">
        <f aca="false">GETVELOC(BB9,BB5,BB6,BB4,BB8,BB21,BB15)</f>
        <v>气液两相，自选</v>
      </c>
      <c r="BC23" s="941" t="str">
        <f aca="false">GETVELOC(BC9,BC5,BC6,BC4,BC8,BC21,BC15)</f>
        <v>气液两相，自选</v>
      </c>
      <c r="BD23" s="941" t="str">
        <f aca="false">GETVELOC(BD9,BD5,BD6,BD4,BD8,BD21,BD15)</f>
        <v>气液两相，自选</v>
      </c>
      <c r="BE23" s="941" t="str">
        <f aca="false">GETVELOC(BE9,BE5,BE6,BE4,BE8,BE21,BE15)</f>
        <v>气液两相，自选</v>
      </c>
      <c r="BF23" s="941" t="str">
        <f aca="false">GETVELOC(BF9,BF5,BF6,BF4,BF8,BF21,BF15)</f>
        <v>0.5～3</v>
      </c>
      <c r="BG23" s="941" t="str">
        <f aca="false">GETVELOC(BG9,BG5,BG6,BG4,BG8,BG21,BG15)</f>
        <v>0.5～3</v>
      </c>
      <c r="BH23" s="941" t="str">
        <f aca="false">GETVELOC(BH9,BH5,BH6,BH4,BH8,BH21,BH15)</f>
        <v>气液两相，自选</v>
      </c>
      <c r="BI23" s="941" t="str">
        <f aca="false">GETVELOC(BI9,BI5,BI6,BI4,BI8,BI21,BI15)</f>
        <v>气液两相，自选</v>
      </c>
      <c r="BJ23" s="941" t="str">
        <f aca="false">GETVELOC(BJ9,BJ5,BJ6,BJ4,BJ8,BJ21,BJ15)</f>
        <v>15～20</v>
      </c>
      <c r="BK23" s="941" t="str">
        <f aca="false">GETVELOC(BK9,BK5,BK6,BK4,BK8,BK21,BK15)</f>
        <v>15～20</v>
      </c>
      <c r="BL23" s="941" t="str">
        <f aca="false">GETVELOC(BL9,BL5,BL6,BL4,BL8,BL21,BL15)</f>
        <v>2～3</v>
      </c>
      <c r="BM23" s="941" t="str">
        <f aca="false">GETVELOC(BM9,BM5,BM6,BM4,BM8,BM21,BM15)</f>
        <v>气液两相，自选</v>
      </c>
      <c r="BN23" s="941" t="str">
        <f aca="false">GETVELOC(BN9,BN5,BN6,BN4,BN8,BN21,BN15)</f>
        <v>1.5～3</v>
      </c>
      <c r="BO23" s="941" t="str">
        <f aca="false">GETVELOC(BO9,BO5,BO6,BO4,BO8,BO21,BO15)</f>
        <v>1.5～3</v>
      </c>
      <c r="BP23" s="941" t="str">
        <f aca="false">GETVELOC(BP9,BP5,BP6,BP4,BP8,BP21,BP15)</f>
        <v>1.5～3</v>
      </c>
      <c r="BQ23" s="941" t="str">
        <f aca="false">GETVELOC(BQ9,BQ5,BQ6,BQ4,BQ8,BQ21,BQ15)</f>
        <v>1.5～3</v>
      </c>
      <c r="BR23" s="941" t="str">
        <f aca="false">GETVELOC(BR9,BR5,BR6,BR4,BR8,BR21,BR15)</f>
        <v>1.5～3</v>
      </c>
      <c r="BS23" s="941" t="str">
        <f aca="false">GETVELOC(BS9,BS5,BS6,BS4,BS8,BS21,BS15)</f>
        <v>1.5～3</v>
      </c>
      <c r="BT23" s="941" t="str">
        <f aca="false">GETVELOC(BT9,BT5,BT6,BT4,BT8,BT21,BT15)</f>
        <v>1.5～3</v>
      </c>
      <c r="BU23" s="941" t="str">
        <f aca="false">GETVELOC(BU9,BU5,BU6,BU4,BU8,BU21,BU15)</f>
        <v>15～20</v>
      </c>
      <c r="BV23" s="941" t="str">
        <f aca="false">GETVELOC(BV9,BV5,BV6,BV4,BV8,BV21,BV15)</f>
        <v>气液两相，自选</v>
      </c>
      <c r="BW23" s="941" t="str">
        <f aca="false">GETVELOC(BW9,BW5,BW6,BW4,BW8,BW21,BW15)</f>
        <v>0.5～3</v>
      </c>
      <c r="BX23" s="941" t="str">
        <f aca="false">GETVELOC(BX9,BX5,BX6,BX4,BX8,BX21,BX15)</f>
        <v>气液两相，自选</v>
      </c>
      <c r="BY23" s="941" t="str">
        <f aca="false">GETVELOC(BY9,BY5,BY6,BY4,BY8,BY21,BY15)</f>
        <v>气液两相，自选</v>
      </c>
      <c r="BZ23" s="941" t="str">
        <f aca="false">GETVELOC(BZ9,BZ5,BZ6,BZ4,BZ8,BZ21,BZ15)</f>
        <v>气液两相，自选</v>
      </c>
      <c r="CA23" s="941" t="str">
        <f aca="false">GETVELOC(CA9,CA5,CA6,CA4,CA8,CA21,CA15)</f>
        <v>15～20</v>
      </c>
      <c r="CB23" s="941" t="str">
        <f aca="false">GETVELOC(CB9,CB5,CB6,CB4,CB8,CB21,CB15)</f>
        <v>15～20</v>
      </c>
      <c r="CC23" s="941" t="str">
        <f aca="false">GETVELOC(CC9,CC5,CC6,CC4,CC8,CC21,CC15)</f>
        <v>0.5～3</v>
      </c>
      <c r="CD23" s="941" t="str">
        <f aca="false">GETVELOC(CD9,CD5,CD6,CD4,CD8,CD21,CD15)</f>
        <v>0.5～3</v>
      </c>
      <c r="CE23" s="941" t="str">
        <f aca="false">GETVELOC(CE9,CE5,CE6,CE4,CE8,CE21,CE15)</f>
        <v>0.5～3</v>
      </c>
      <c r="CF23" s="941" t="str">
        <f aca="false">GETVELOC(CF9,CF5,CF6,CF4,CF8,CF21,CF15)</f>
        <v>2～3</v>
      </c>
      <c r="CG23" s="941" t="str">
        <f aca="false">GETVELOC(CG9,CG5,CG6,CG4,CG8,CG21,CG15)</f>
        <v>2～3.5</v>
      </c>
      <c r="CH23" s="941" t="str">
        <f aca="false">GETVELOC(CH9,CH5,CH6,CH4,CH8,CH21,CH15)</f>
        <v>15～20</v>
      </c>
      <c r="CI23" s="941" t="str">
        <f aca="false">GETVELOC(CI9,CI5,CI6,CI4,CI8,CI21,CI15)</f>
        <v>气液两相，自选</v>
      </c>
      <c r="CJ23" s="941" t="str">
        <f aca="false">GETVELOC(CJ9,CJ5,CJ6,CJ4,CJ8,CJ21,CJ15)</f>
        <v>气液两相，自选</v>
      </c>
      <c r="CK23" s="941" t="str">
        <f aca="false">GETVELOC(CK9,CK5,CK6,CK4,CK8,CK21,CK15)</f>
        <v>气液两相，自选</v>
      </c>
      <c r="CL23" s="941" t="str">
        <f aca="false">GETVELOC(CL9,CL5,CL6,CL4,CL8,CL21,CL15)</f>
        <v>0.5～3</v>
      </c>
      <c r="CM23" s="941" t="str">
        <f aca="false">GETVELOC(CM9,CM5,CM6,CM4,CM8,CM21,CM15)</f>
        <v>2～3</v>
      </c>
      <c r="CN23" s="941" t="str">
        <f aca="false">GETVELOC(CN9,CN5,CN6,CN4,CN8,CN21,CN15)</f>
        <v>0.5～3</v>
      </c>
      <c r="CO23" s="941" t="str">
        <f aca="false">GETVELOC(CO9,CO5,CO6,CO4,CO8,CO21,CO15)</f>
        <v>0.5～3</v>
      </c>
      <c r="CP23" s="941" t="str">
        <f aca="false">GETVELOC(CP9,CP5,CP6,CP4,CP8,CP21,CP15)</f>
        <v>0.5～3</v>
      </c>
      <c r="CQ23" s="941" t="str">
        <f aca="false">GETVELOC(CQ9,CQ5,CQ6,CQ4,CQ8,CQ21,CQ15)</f>
        <v>15～20</v>
      </c>
      <c r="CR23" s="941" t="str">
        <f aca="false">GETVELOC(CR9,CR5,CR6,CR4,CR8,CR21,CR15)</f>
        <v>15～20</v>
      </c>
      <c r="CS23" s="941" t="str">
        <f aca="false">GETVELOC(CS9,CS5,CS6,CS4,CS8,CS21,CS15)</f>
        <v>50～30</v>
      </c>
      <c r="CT23" s="941" t="str">
        <f aca="false">GETVELOC(CT9,CT5,CT6,CT4,CT8,CT21,CT15)</f>
        <v>50～30</v>
      </c>
      <c r="CU23" s="941" t="str">
        <f aca="false">GETVELOC(CU9,CU5,CU6,CU4,CU8,CU21,CU15)</f>
        <v>40～20</v>
      </c>
      <c r="CV23" s="941" t="str">
        <f aca="false">GETVELOC(CV9,CV5,CV6,CV4,CV8,CV21,CV15)</f>
        <v>20～40</v>
      </c>
      <c r="CW23" s="941" t="str">
        <f aca="false">GETVELOC(CW9,CW5,CW6,CW4,CW8,CW21,CW15)</f>
        <v>20～40</v>
      </c>
      <c r="CX23" s="941" t="str">
        <f aca="false">GETVELOC(CX9,CX5,CX6,CX4,CX8,CX21,CX15)</f>
        <v>20～40</v>
      </c>
      <c r="CY23" s="941" t="str">
        <f aca="false">GETVELOC(CY9,CY5,CY6,CY4,CY8,CY21,CY15)</f>
        <v>1.5～3</v>
      </c>
      <c r="CZ23" s="941" t="str">
        <f aca="false">GETVELOC(CZ9,CZ5,CZ6,CZ4,CZ8,CZ21,CZ15)</f>
        <v>0.5～3</v>
      </c>
      <c r="DA23" s="941" t="str">
        <f aca="false">GETVELOC(DA9,DA5,DA6,DA4,DA8,DA21,DA15)</f>
        <v>2～3</v>
      </c>
      <c r="DB23" s="941" t="str">
        <f aca="false">GETVELOC(DB9,DB5,DB6,DB4,DB8,DB21,DB15)</f>
        <v>15～20</v>
      </c>
      <c r="DC23" s="941" t="str">
        <f aca="false">GETVELOC(DC9,DC5,DC6,DC4,DC8,DC21,DC15)</f>
        <v>0.5～3</v>
      </c>
      <c r="DD23" s="941" t="str">
        <f aca="false">GETVELOC(DD9,DD5,DD6,DD4,DD8,DD21,DD15)</f>
        <v>0.5～3</v>
      </c>
      <c r="DE23" s="941" t="str">
        <f aca="false">GETVELOC(DE9,DE5,DE6,DE4,DE8,DE21,DE15)</f>
        <v>2～3</v>
      </c>
      <c r="DF23" s="941" t="str">
        <f aca="false">GETVELOC(DF9,DF5,DF6,DF4,DF8,DF21,DF15)</f>
        <v>2～3</v>
      </c>
      <c r="DG23" s="941" t="str">
        <f aca="false">GETVELOC(DG9,DG5,DG6,DG4,DG8,DG21,DG15)</f>
        <v>2～3</v>
      </c>
      <c r="DH23" s="941" t="str">
        <f aca="false">GETVELOC(DH9,DH5,DH6,DH4,DH8,DH21,DH15)</f>
        <v>2～3</v>
      </c>
      <c r="DI23" s="941" t="str">
        <f aca="false">GETVELOC(DI9,DI5,DI6,DI4,DI8,DI21,DI15)</f>
        <v>0.5～3</v>
      </c>
      <c r="DJ23" s="941" t="str">
        <f aca="false">GETVELOC(DJ9,DJ5,DJ6,DJ4,DJ8,DJ21,DJ15)</f>
        <v>0.5～2</v>
      </c>
      <c r="DK23" s="941" t="str">
        <f aca="false">GETVELOC(DK9,DK5,DK6,DK4,DK8,DK21,DK15)</f>
        <v>0.5～2</v>
      </c>
      <c r="DL23" s="941" t="str">
        <f aca="false">GETVELOC(DL9,DL5,DL6,DL4,DL8,DL21,DL15)</f>
        <v>0.5～3</v>
      </c>
      <c r="DM23" s="941" t="str">
        <f aca="false">GETVELOC(DM9,DM5,DM6,DM4,DM8,DM21,DM15)</f>
        <v>0.5～3</v>
      </c>
      <c r="DN23" s="941" t="str">
        <f aca="false">GETVELOC(DN9,DN5,DN6,DN4,DN8,DN21,DN15)</f>
        <v>0.5～2</v>
      </c>
      <c r="DO23" s="941" t="str">
        <f aca="false">GETVELOC(DO9,DO5,DO6,DO4,DO8,DO21,DO15)</f>
        <v>0.5～3</v>
      </c>
      <c r="DP23" s="941" t="str">
        <f aca="false">GETVELOC(DP9,DP5,DP6,DP4,DP8,DP21,DP15)</f>
        <v>0.5～3</v>
      </c>
      <c r="DQ23" s="941" t="str">
        <f aca="false">GETVELOC(DQ9,DQ5,DQ6,DQ4,DQ8,DQ21,DQ15)</f>
        <v>0.5～3</v>
      </c>
      <c r="DR23" s="941" t="str">
        <f aca="false">GETVELOC(DR9,DR5,DR6,DR4,DR8,DR21,DR15)</f>
        <v>15～20</v>
      </c>
      <c r="DS23" s="941" t="str">
        <f aca="false">GETVELOC(DS9,DS5,DS6,DS4,DS8,DS21,DS15)</f>
        <v>0.5～3</v>
      </c>
      <c r="DT23" s="941" t="str">
        <f aca="false">GETVELOC(DT9,DT5,DT6,DT4,DT8,DT21,DT15)</f>
        <v>2～3</v>
      </c>
      <c r="DU23" s="941" t="str">
        <f aca="false">GETVELOC(DU9,DU5,DU6,DU4,DU8,DU21,DU15)</f>
        <v>2～3</v>
      </c>
      <c r="DV23" s="941" t="str">
        <f aca="false">GETVELOC(DV9,DV5,DV6,DV4,DV8,DV21,DV15)</f>
        <v>0.5～3</v>
      </c>
      <c r="DW23" s="941" t="str">
        <f aca="false">GETVELOC(DW9,DW5,DW6,DW4,DW8,DW21,DW15)</f>
        <v>0.5～3</v>
      </c>
      <c r="DX23" s="941" t="str">
        <f aca="false">GETVELOC(DX9,DX5,DX6,DX4,DX8,DX21,DX15)</f>
        <v>0.5～2</v>
      </c>
      <c r="DY23" s="941" t="str">
        <f aca="false">GETVELOC(DY9,DY5,DY6,DY4,DY8,DY21,DY15)</f>
        <v>2～3.5</v>
      </c>
      <c r="DZ23" s="941" t="str">
        <f aca="false">GETVELOC(DZ9,DZ5,DZ6,DZ4,DZ8,DZ21,DZ15)</f>
        <v>0.5～3</v>
      </c>
      <c r="EA23" s="941" t="str">
        <f aca="false">GETVELOC(EA9,EA5,EA6,EA4,EA8,EA21,EA15)</f>
        <v>1.5～3</v>
      </c>
      <c r="EB23" s="941" t="str">
        <f aca="false">GETVELOC(EB9,EB5,EB6,EB4,EB8,EB21,EB15)</f>
        <v>20～40</v>
      </c>
      <c r="EC23" s="941" t="str">
        <f aca="false">GETVELOC(EC9,EC5,EC6,EC4,EC8,EC21,EC15)</f>
        <v>15～20</v>
      </c>
      <c r="ED23" s="941" t="str">
        <f aca="false">GETVELOC(ED9,ED5,ED6,ED4,ED8,ED21,ED15)</f>
        <v>15～20</v>
      </c>
      <c r="EE23" s="941" t="str">
        <f aca="false">GETVELOC(EE9,EE5,EE6,EE4,EE8,EE21,EE15)</f>
        <v>2～3</v>
      </c>
      <c r="EF23" s="941" t="str">
        <f aca="false">GETVELOC(EF9,EF5,EF6,EF4,EF8,EF21,EF15)</f>
        <v>50～30</v>
      </c>
      <c r="EG23" s="941" t="str">
        <f aca="false">GETVELOC(EG9,EG5,EG6,EG4,EG8,EG21,EG15)</f>
        <v>40～20</v>
      </c>
      <c r="EH23" s="941" t="str">
        <f aca="false">GETVELOC(EH9,EH5,EH6,EH4,EH8,EH21,EH15)</f>
        <v>20～40</v>
      </c>
      <c r="EI23" s="941" t="str">
        <f aca="false">GETVELOC(EI9,EI5,EI6,EI4,EI8,EI21,EI15)</f>
        <v>20～40</v>
      </c>
      <c r="EJ23" s="941" t="str">
        <f aca="false">GETVELOC(EJ9,EJ5,EJ6,EJ4,EJ8,EJ21,EJ15)</f>
        <v>15～20</v>
      </c>
      <c r="EK23" s="941" t="str">
        <f aca="false">GETVELOC(EK9,EK5,EK6,EK4,EK8,EK21,EK15)</f>
        <v>15～20</v>
      </c>
      <c r="EL23" s="943" t="str">
        <f aca="false">GETVELOC(EL9,EL5,EL6,EL4,EL8,EL21,EL15)</f>
        <v>15～20</v>
      </c>
      <c r="EM23" s="943" t="str">
        <f aca="false">GETVELOC(EM9,EM5,EM6,EM4,EM8,EM21,EM15)</f>
        <v>15～20</v>
      </c>
      <c r="EN23" s="943" t="str">
        <f aca="false">GETVELOC(EN9,EN5,EN6,EN4,EN8,EN21,EN15)</f>
        <v>15～20</v>
      </c>
      <c r="EO23" s="943" t="str">
        <f aca="false">GETVELOC(EO9,EO5,EO6,EO4,EO8,EO21,EO15)</f>
        <v>15～20</v>
      </c>
      <c r="EP23" s="943" t="e">
        <f aca="false">GETVELOC(EP9,EP5,EP6,EP4,EP8,EP21,EP15)</f>
        <v>#VALUE!</v>
      </c>
      <c r="EQ23" s="943" t="e">
        <f aca="false">GETVELOC(EQ9,EQ5,EQ6,EQ4,EQ8,EQ21,EQ15)</f>
        <v>#VALUE!</v>
      </c>
      <c r="ER23" s="943" t="e">
        <f aca="false">GETVELOC(ER9,ER5,ER6,ER4,ER8,ER21,ER15)</f>
        <v>#VALUE!</v>
      </c>
      <c r="ES23" s="943" t="e">
        <f aca="false">GETVELOC(ES9,ES5,ES6,ES4,ES8,ES21,ES15)</f>
        <v>#VALUE!</v>
      </c>
      <c r="ET23" s="941" t="str">
        <f aca="false">GETVELOC(ET9,ET5,ET6,ET4,ET8,ET21,ET15)</f>
        <v>8～12</v>
      </c>
      <c r="EU23" s="943" t="e">
        <f aca="false">GETVELOC(EU9,EU5,EU6,EU4,EU8,EU21,EU15)</f>
        <v>#VALUE!</v>
      </c>
      <c r="EV23" s="943" t="e">
        <f aca="false">GETVELOC(EV9,EV5,EV6,EV4,EV8,EV21,EV15)</f>
        <v>#VALUE!</v>
      </c>
      <c r="EW23" s="943" t="e">
        <f aca="false">GETVELOC(EW9,EW5,EW6,EW4,EW8,EW21,EW15)</f>
        <v>#VALUE!</v>
      </c>
      <c r="EX23" s="941" t="str">
        <f aca="false">GETVELOC(EX9,EX5,EX6,EX4,EX8,EX21,EX15)</f>
        <v>8～12</v>
      </c>
      <c r="EY23" s="941" t="str">
        <f aca="false">GETVELOC(EY9,EY5,EY6,EY4,EY8,EY21,EY15)</f>
        <v>0.5～3</v>
      </c>
      <c r="EZ23" s="941" t="str">
        <f aca="false">GETVELOC(EZ9,EZ5,EZ6,EZ4,EZ8,EZ21,EZ15)</f>
        <v>0.5～2</v>
      </c>
      <c r="FA23" s="941" t="str">
        <f aca="false">GETVELOC(FA9,FA5,FA6,FA4,FA8,FA21,FA15)</f>
        <v>0.5～2</v>
      </c>
      <c r="FB23" s="941" t="str">
        <f aca="false">GETVELOC(FB9,FB5,FB6,FB4,FB8,FB21,FB15)</f>
        <v>2～3</v>
      </c>
      <c r="FC23" s="941" t="str">
        <f aca="false">GETVELOC(FC9,FC5,FC6,FC4,FC8,FC21,FC15)</f>
        <v>2～3</v>
      </c>
      <c r="FD23" s="941" t="str">
        <f aca="false">GETVELOC(FD9,FD5,FD6,FD4,FD8,FD21,FD15)</f>
        <v>15～20</v>
      </c>
      <c r="FE23" s="941" t="str">
        <f aca="false">GETVELOC(FE9,FE5,FE6,FE4,FE8,FE21,FE15)</f>
        <v>15～20</v>
      </c>
      <c r="FF23" s="941" t="str">
        <f aca="false">GETVELOC(FF9,FF5,FF6,FF4,FF8,FF21,FF15)</f>
        <v>15～20</v>
      </c>
      <c r="FG23" s="941" t="str">
        <f aca="false">GETVELOC(FG9,FG5,FG6,FG4,FG8,FG21,FG15)</f>
        <v>2～3</v>
      </c>
      <c r="FH23" s="941" t="str">
        <f aca="false">GETVELOC(FH9,FH5,FH6,FH4,FH8,FH21,FH15)</f>
        <v>气液两相，自选</v>
      </c>
      <c r="FI23" s="941" t="str">
        <f aca="false">GETVELOC(FI9,FI5,FI6,FI4,FI8,FI21,FI15)</f>
        <v>2～3</v>
      </c>
      <c r="FJ23" s="941" t="str">
        <f aca="false">GETVELOC(FJ9,FJ5,FJ6,FJ4,FJ8,FJ21,FJ15)</f>
        <v>气液两相，自选</v>
      </c>
      <c r="FK23" s="941" t="str">
        <f aca="false">GETVELOC(FK9,FK5,FK6,FK4,FK8,FK21,FK15)</f>
        <v>0.5～3</v>
      </c>
      <c r="FL23" s="941" t="str">
        <f aca="false">GETVELOC(FL9,FL5,FL6,FL4,FL8,FL21,FL15)</f>
        <v>0.5～3</v>
      </c>
      <c r="FM23" s="941" t="str">
        <f aca="false">GETVELOC(FM9,FM5,FM6,FM4,FM8,FM21,FM15)</f>
        <v>0.5～3</v>
      </c>
      <c r="FN23" s="941"/>
      <c r="FO23" s="941"/>
      <c r="FP23" s="944" t="e">
        <f aca="false">IF(FP21&lt;&gt;"",GETVELOC(FP9,FP5,FP6,FP4,FP8,FP21,FP15),"")</f>
        <v>#VALUE!</v>
      </c>
      <c r="FQ23" s="944" t="e">
        <f aca="false">IF(FQ21&lt;&gt;"",GETVELOC(FQ9,FQ5,FQ6,FQ4,FQ8,FQ21,FQ15),"")</f>
        <v>#VALUE!</v>
      </c>
      <c r="FR23" s="944" t="e">
        <f aca="false">IF(FR21&lt;&gt;"",GETVELOC(FR9,FR5,FR6,FR4,FR8,FR21,FR15),"")</f>
        <v>#VALUE!</v>
      </c>
      <c r="FS23" s="944" t="e">
        <f aca="false">IF(FS21&lt;&gt;"",GETVELOC(FS9,FS5,FS6,FS4,FS8,FS21,FS15),"")</f>
        <v>#VALUE!</v>
      </c>
      <c r="FT23" s="944" t="str">
        <f aca="false">IF(FT21&lt;&gt;"",GETVELOC(FT9,FT5,FT6,FT4,FT8,FT21,FT15),"")</f>
        <v>0.5～3</v>
      </c>
      <c r="FU23" s="944" t="str">
        <f aca="false">IF(FU21&lt;&gt;"",GETVELOC(FU9,FU5,FU6,FU4,FU8,FU21,FU15),"")</f>
        <v>2～3</v>
      </c>
      <c r="FV23" s="944" t="e">
        <f aca="false">IF(FV21&lt;&gt;"",GETVELOC(FV9,FV5,FV6,FV4,FV8,FV21,FV15),"")</f>
        <v>#VALUE!</v>
      </c>
      <c r="FW23" s="944" t="e">
        <f aca="false">IF(FW21&lt;&gt;"",GETVELOC(FW9,FW5,FW6,FW4,FW8,FW21,FW15),"")</f>
        <v>#VALUE!</v>
      </c>
      <c r="FX23" s="944" t="e">
        <f aca="false">IF(FX21&lt;&gt;"",GETVELOC(FX9,FX5,FX6,FX4,FX8,FX21,FX15),"")</f>
        <v>#VALUE!</v>
      </c>
      <c r="FY23" s="944" t="e">
        <f aca="false">IF(FY21&lt;&gt;"",GETVELOC(FY9,FY5,FY6,FY4,FY8,FY21,FY15),"")</f>
        <v>#VALUE!</v>
      </c>
      <c r="FZ23" s="944" t="e">
        <f aca="false">IF(FZ21&lt;&gt;"",GETVELOC(FZ9,FZ5,FZ6,FZ4,FZ8,FZ21,FZ15),"")</f>
        <v>#VALUE!</v>
      </c>
      <c r="GA23" s="944" t="e">
        <f aca="false">IF(GA21&lt;&gt;"",GETVELOC(GA9,GA5,GA6,GA4,GA8,GA21,GA15),"")</f>
        <v>#VALUE!</v>
      </c>
      <c r="GB23" s="944" t="e">
        <f aca="false">IF(GB21&lt;&gt;"",GETVELOC(GB9,GB5,GB6,GB4,GB8,GB21,GB15),"")</f>
        <v>#VALUE!</v>
      </c>
      <c r="GC23" s="944" t="e">
        <f aca="false">IF(GC21&lt;&gt;"",GETVELOC(GC9,GC5,GC6,GC4,GC8,GC21,GC15),"")</f>
        <v>#VALUE!</v>
      </c>
      <c r="GD23" s="944" t="e">
        <f aca="false">IF(GD21&lt;&gt;"",GETVELOC(GD9,GD5,GD6,GD4,GD8,GD21,GD15),"")</f>
        <v>#VALUE!</v>
      </c>
      <c r="GE23" s="944" t="e">
        <f aca="false">IF(GE21&lt;&gt;"",GETVELOC(GE9,GE5,GE6,GE4,GE8,GE21,GE15),"")</f>
        <v>#VALUE!</v>
      </c>
      <c r="GF23" s="944" t="str">
        <f aca="false">IF(GF21&lt;&gt;"",GETVELOC(GF9,GF5,GF6,GF4,GF8,GF21,GF15),"")</f>
        <v>0.5～3</v>
      </c>
      <c r="GG23" s="944" t="str">
        <f aca="false">IF(GG21&lt;&gt;"",GETVELOC(GG9,GG5,GG6,GG4,GG8,GG21,GG15),"")</f>
        <v>0.5～3</v>
      </c>
      <c r="GH23" s="944"/>
      <c r="GI23" s="945"/>
      <c r="GJ23" s="945"/>
      <c r="GK23" s="945"/>
      <c r="GL23" s="945"/>
      <c r="GM23" s="945"/>
      <c r="GN23" s="945"/>
      <c r="GO23" s="945"/>
      <c r="GP23" s="945"/>
      <c r="GQ23" s="945"/>
      <c r="GR23" s="945"/>
      <c r="GS23" s="945"/>
      <c r="GT23" s="945"/>
      <c r="GU23" s="945"/>
      <c r="GV23" s="945"/>
      <c r="GW23" s="945"/>
      <c r="GX23" s="945"/>
      <c r="GY23" s="945"/>
      <c r="GZ23" s="945"/>
      <c r="HA23" s="945"/>
      <c r="HB23" s="945"/>
      <c r="HC23" s="945"/>
      <c r="HD23" s="945"/>
      <c r="HE23" s="945"/>
      <c r="HF23" s="945"/>
      <c r="HG23" s="945"/>
      <c r="HH23" s="945"/>
      <c r="HI23" s="945"/>
      <c r="HJ23" s="945"/>
      <c r="HK23" s="945"/>
      <c r="HL23" s="945"/>
      <c r="HM23" s="945"/>
      <c r="HN23" s="945"/>
      <c r="HO23" s="945"/>
      <c r="HP23" s="945"/>
      <c r="HQ23" s="945"/>
      <c r="HR23" s="945"/>
      <c r="HS23" s="945"/>
      <c r="HT23" s="945"/>
      <c r="HU23" s="945"/>
      <c r="HV23" s="945"/>
      <c r="HW23" s="945"/>
      <c r="HX23" s="945"/>
      <c r="HY23" s="945"/>
      <c r="HZ23" s="945"/>
      <c r="IA23" s="945"/>
      <c r="IB23" s="945"/>
      <c r="IC23" s="945"/>
      <c r="ID23" s="945"/>
      <c r="IE23" s="945"/>
      <c r="IF23" s="945"/>
      <c r="IG23" s="945"/>
      <c r="IH23" s="945"/>
      <c r="II23" s="945"/>
      <c r="IJ23" s="945"/>
      <c r="IK23" s="945"/>
      <c r="IL23" s="945"/>
      <c r="IM23" s="945"/>
      <c r="IN23" s="945"/>
      <c r="IO23" s="945"/>
      <c r="IP23" s="945"/>
      <c r="IQ23" s="945"/>
      <c r="IR23" s="945"/>
      <c r="IS23" s="945"/>
      <c r="IT23" s="945"/>
      <c r="IU23" s="945"/>
      <c r="IV23" s="945"/>
      <c r="IW23" s="945"/>
      <c r="IX23" s="945"/>
      <c r="IY23" s="945"/>
      <c r="IZ23" s="945"/>
      <c r="JA23" s="945"/>
      <c r="JB23" s="945"/>
      <c r="JC23" s="945"/>
      <c r="JD23" s="945"/>
      <c r="JE23" s="945"/>
      <c r="JF23" s="945"/>
      <c r="JG23" s="945"/>
      <c r="JH23" s="945"/>
      <c r="JI23" s="945"/>
      <c r="JK23" s="945"/>
      <c r="JM23" s="945"/>
    </row>
    <row r="24" customFormat="false" ht="18.75" hidden="false" customHeight="false" outlineLevel="0" collapsed="false">
      <c r="A24" s="940" t="s">
        <v>1536</v>
      </c>
      <c r="B24" s="940" t="s">
        <v>444</v>
      </c>
      <c r="C24" s="941" t="n">
        <f aca="false">IF(OR(C13=0,C13="自选"),"",100/SQRT(C13))</f>
        <v>3.36918121073388</v>
      </c>
      <c r="D24" s="941" t="n">
        <f aca="false">IF(OR(D13=0,D13="自选"),"",100/SQRT(D13))</f>
        <v>3.45520554752437</v>
      </c>
      <c r="E24" s="942" t="n">
        <f aca="false">IF(OR(E13=0,E13="自选"),"",100/SQRT(E13))</f>
        <v>3.40546047033049</v>
      </c>
      <c r="F24" s="942" t="n">
        <f aca="false">IF(OR(F13=0,F13="自选"),"",100/SQRT(F13))</f>
        <v>3.44745611265477</v>
      </c>
      <c r="G24" s="942" t="n">
        <f aca="false">IF(OR(G13=0,G13="自选"),"",100/SQRT(G13))</f>
        <v>3.40621109823114</v>
      </c>
      <c r="H24" s="941" t="n">
        <f aca="false">IF(OR(H13=0,H13="自选"),"",100/SQRT(H13))</f>
        <v>3.44128581650307</v>
      </c>
      <c r="I24" s="941" t="n">
        <f aca="false">IF(OR(I13=0,I13="自选"),"",100/SQRT(I13))</f>
        <v>3.54400534357023</v>
      </c>
      <c r="J24" s="941" t="n">
        <f aca="false">IF(OR(J13=0,J13="自选"),"",100/SQRT(J13))</f>
        <v>3.54418340744732</v>
      </c>
      <c r="K24" s="941" t="n">
        <f aca="false">IF(OR(K13=0,K13="自选"),"",100/SQRT(K13))</f>
        <v>3.54413888896183</v>
      </c>
      <c r="L24" s="941" t="n">
        <f aca="false">IF(OR(L13=0,L13="自选"),"",100/SQRT(L13))</f>
        <v>3.52036302728828</v>
      </c>
      <c r="M24" s="941" t="n">
        <f aca="false">IF(OR(M13=0,M13="自选"),"",100/SQRT(M13))</f>
        <v>3.52243717485515</v>
      </c>
      <c r="N24" s="941" t="n">
        <f aca="false">IF(OR(N13=0,N13="自选"),"",100/SQRT(N13))</f>
        <v>33.1496772065898</v>
      </c>
      <c r="O24" s="941" t="n">
        <f aca="false">IF(OR(O13=0,O13="自选"),"",100/SQRT(O13))</f>
        <v>3.5489119018433</v>
      </c>
      <c r="P24" s="941" t="n">
        <f aca="false">IF(OR(P13=0,P13="自选"),"",100/SQRT(P13))</f>
        <v>3.80459225112142</v>
      </c>
      <c r="Q24" s="941" t="n">
        <f aca="false">IF(OR(Q13=0,Q13="自选"),"",100/SQRT(Q13))</f>
        <v>3.57876250681545</v>
      </c>
      <c r="R24" s="941" t="n">
        <f aca="false">IF(OR(R13=0,R13="自选"),"",100/SQRT(R13))</f>
        <v>3.54329335635156</v>
      </c>
      <c r="S24" s="941" t="n">
        <f aca="false">IF(OR(S13=0,S13="自选"),"",100/SQRT(S13))</f>
        <v>3.54329335635156</v>
      </c>
      <c r="T24" s="941" t="n">
        <f aca="false">IF(OR(T13=0,T13="自选"),"",100/SQRT(T13))</f>
        <v>3.51216791059032</v>
      </c>
      <c r="U24" s="941" t="n">
        <f aca="false">IF(OR(U13=0,U13="自选"),"",100/SQRT(U13))</f>
        <v>3.51240621534121</v>
      </c>
      <c r="V24" s="941" t="n">
        <f aca="false">IF(OR(V13=0,V13="自选"),"",100/SQRT(V13))</f>
        <v>3.54329335635156</v>
      </c>
      <c r="W24" s="941" t="n">
        <f aca="false">IF(OR(W13=0,W13="自选"),"",100/SQRT(W13))</f>
        <v>3.44128581650307</v>
      </c>
      <c r="X24" s="941" t="n">
        <f aca="false">IF(OR(X13=0,X13="自选"),"",100/SQRT(X13))</f>
        <v>3.44128581650307</v>
      </c>
      <c r="Y24" s="941" t="n">
        <f aca="false">IF(OR(Y13=0,Y13="自选"),"",100/SQRT(Y13))</f>
        <v>3.82222673717124</v>
      </c>
      <c r="Z24" s="941" t="n">
        <f aca="false">IF(OR(Z13=0,Z13="自选"),"",100/SQRT(Z13))</f>
        <v>3.86031335821392</v>
      </c>
      <c r="AA24" s="941" t="n">
        <f aca="false">IF(OR(AA13=0,AA13="自选"),"",100/SQRT(AA13))</f>
        <v>4.45364715984963</v>
      </c>
      <c r="AB24" s="941" t="n">
        <f aca="false">IF(OR(AB13=0,AB13="自选"),"",100/SQRT(AB13))</f>
        <v>4.4524992102102</v>
      </c>
      <c r="AC24" s="941" t="n">
        <f aca="false">IF(OR(AC13=0,AC13="自选"),"",100/SQRT(AC13))</f>
        <v>4.43879269184066</v>
      </c>
      <c r="AD24" s="941" t="n">
        <f aca="false">IF(OR(AD13=0,AD13="自选"),"",100/SQRT(AD13))</f>
        <v>4.25555033042595</v>
      </c>
      <c r="AE24" s="941" t="n">
        <f aca="false">IF(OR(AE13=0,AE13="自选"),"",100/SQRT(AE13))</f>
        <v>4.26304556319488</v>
      </c>
      <c r="AF24" s="941" t="n">
        <f aca="false">IF(OR(AF13=0,AF13="自选"),"",100/SQRT(AF13))</f>
        <v>33.9031751810405</v>
      </c>
      <c r="AG24" s="941" t="n">
        <f aca="false">IF(OR(AG13=0,AG13="自选"),"",100/SQRT(AG13))</f>
        <v>34.0997169735237</v>
      </c>
      <c r="AH24" s="941" t="n">
        <f aca="false">IF(OR(AH13=0,AH13="自选"),"",100/SQRT(AH13))</f>
        <v>34.0997169735237</v>
      </c>
      <c r="AI24" s="941" t="n">
        <f aca="false">IF(OR(AI13=0,AI13="自选"),"",100/SQRT(AI13))</f>
        <v>34.2997170285018</v>
      </c>
      <c r="AJ24" s="941" t="n">
        <f aca="false">IF(OR(AJ13=0,AJ13="自选"),"",100/SQRT(AJ13))</f>
        <v>34.2997170285018</v>
      </c>
      <c r="AK24" s="941" t="n">
        <f aca="false">IF(OR(AK13=0,AK13="自选"),"",100/SQRT(AK13))</f>
        <v>15.5230105141267</v>
      </c>
      <c r="AL24" s="941" t="n">
        <f aca="false">IF(OR(AL13=0,AL13="自选"),"",100/SQRT(AL13))</f>
        <v>14.6332758571905</v>
      </c>
      <c r="AM24" s="941" t="n">
        <f aca="false">IF(OR(AM13=0,AM13="自选"),"",100/SQRT(AM13))</f>
        <v>13.7881858284933</v>
      </c>
      <c r="AN24" s="941" t="n">
        <f aca="false">IF(OR(AN13=0,AN13="自选"),"",100/SQRT(AN13))</f>
        <v>13.0299381014261</v>
      </c>
      <c r="AO24" s="941" t="n">
        <f aca="false">IF(OR(AO13=0,AO13="自选"),"",100/SQRT(AO13))</f>
        <v>12.5491161027632</v>
      </c>
      <c r="AP24" s="941" t="n">
        <f aca="false">IF(OR(AP13=0,AP13="自选"),"",100/SQRT(AP13))</f>
        <v>28.8675134594813</v>
      </c>
      <c r="AQ24" s="941" t="n">
        <f aca="false">IF(OR(AQ13=0,AQ13="自选"),"",100/SQRT(AQ13))</f>
        <v>4.45294062424435</v>
      </c>
      <c r="AR24" s="941" t="n">
        <f aca="false">IF(OR(AR13=0,AR13="自选"),"",100/SQRT(AR13))</f>
        <v>4.04351595211737</v>
      </c>
      <c r="AS24" s="941" t="n">
        <f aca="false">IF(OR(AS13=0,AS13="自选"),"",100/SQRT(AS13))</f>
        <v>4.04321848287353</v>
      </c>
      <c r="AT24" s="941" t="n">
        <f aca="false">IF(OR(AT13=0,AT13="自选"),"",100/SQRT(AT13))</f>
        <v>3.89760629907567</v>
      </c>
      <c r="AU24" s="941" t="n">
        <f aca="false">IF(OR(AU13=0,AU13="自选"),"",100/SQRT(AU13))</f>
        <v>42.2577127364258</v>
      </c>
      <c r="AV24" s="941" t="n">
        <f aca="false">IF(OR(AV13=0,AV13="自选"),"",100/SQRT(AV13))</f>
        <v>70.7106781186547</v>
      </c>
      <c r="AW24" s="941" t="n">
        <f aca="false">IF(OR(AW13=0,AW13="自选"),"",100/SQRT(AW13))</f>
        <v>72.5476250110012</v>
      </c>
      <c r="AX24" s="941" t="n">
        <f aca="false">IF(OR(AX13=0,AX13="自选"),"",100/SQRT(AX13))</f>
        <v>3.30441768808714</v>
      </c>
      <c r="AY24" s="941" t="n">
        <f aca="false">IF(OR(AY13=0,AY13="自选"),"",100/SQRT(AY13))</f>
        <v>23.9731650742692</v>
      </c>
      <c r="AZ24" s="941" t="n">
        <f aca="false">IF(OR(AZ13=0,AZ13="自选"),"",100/SQRT(AZ13))</f>
        <v>24.0423518417173</v>
      </c>
      <c r="BA24" s="941" t="n">
        <f aca="false">IF(OR(BA13=0,BA13="自选"),"",100/SQRT(BA13))</f>
        <v>3.82141730703778</v>
      </c>
      <c r="BB24" s="941" t="n">
        <f aca="false">IF(OR(BB13=0,BB13="自选"),"",100/SQRT(BB13))</f>
        <v>3.39809909135994</v>
      </c>
      <c r="BC24" s="941" t="n">
        <f aca="false">IF(OR(BC13=0,BC13="自选"),"",100/SQRT(BC13))</f>
        <v>3.37853262462333</v>
      </c>
      <c r="BD24" s="941" t="n">
        <f aca="false">IF(OR(BD13=0,BD13="自选"),"",100/SQRT(BD13))</f>
        <v>3.3626793312164</v>
      </c>
      <c r="BE24" s="941" t="n">
        <f aca="false">IF(OR(BE13=0,BE13="自选"),"",100/SQRT(BE13))</f>
        <v>3.36140625475952</v>
      </c>
      <c r="BF24" s="941" t="n">
        <f aca="false">IF(OR(BF13=0,BF13="自选"),"",100/SQRT(BF13))</f>
        <v>3.19163204196883</v>
      </c>
      <c r="BG24" s="941" t="n">
        <f aca="false">IF(OR(BG13=0,BG13="自选"),"",100/SQRT(BG13))</f>
        <v>3.19107948815858</v>
      </c>
      <c r="BH24" s="941" t="n">
        <f aca="false">IF(OR(BH13=0,BH13="自选"),"",100/SQRT(BH13))</f>
        <v>3.74350713630031</v>
      </c>
      <c r="BI24" s="941" t="n">
        <f aca="false">IF(OR(BI13=0,BI13="自选"),"",100/SQRT(BI13))</f>
        <v>4.09159685822666</v>
      </c>
      <c r="BJ24" s="941" t="n">
        <f aca="false">IF(OR(BJ13=0,BJ13="自选"),"",100/SQRT(BJ13))</f>
        <v>25.3184841770917</v>
      </c>
      <c r="BK24" s="941" t="n">
        <f aca="false">IF(OR(BK13=0,BK13="自选"),"",100/SQRT(BK13))</f>
        <v>25.4000254000381</v>
      </c>
      <c r="BL24" s="941" t="n">
        <f aca="false">IF(OR(BL13=0,BL13="自选"),"",100/SQRT(BL13))</f>
        <v>3.89760629907567</v>
      </c>
      <c r="BM24" s="941" t="n">
        <f aca="false">IF(OR(BM13=0,BM13="自选"),"",100/SQRT(BM13))</f>
        <v>3.87364192131768</v>
      </c>
      <c r="BN24" s="941" t="n">
        <f aca="false">IF(OR(BN13=0,BN13="自选"),"",100/SQRT(BN13))</f>
        <v>3.2339943466853</v>
      </c>
      <c r="BO24" s="941" t="n">
        <f aca="false">IF(OR(BO13=0,BO13="自选"),"",100/SQRT(BO13))</f>
        <v>3.25188206327017</v>
      </c>
      <c r="BP24" s="941" t="n">
        <f aca="false">IF(OR(BP13=0,BP13="自选"),"",100/SQRT(BP13))</f>
        <v>3.24123992846271</v>
      </c>
      <c r="BQ24" s="941" t="n">
        <f aca="false">IF(OR(BQ13=0,BQ13="自选"),"",100/SQRT(BQ13))</f>
        <v>3.24123992846271</v>
      </c>
      <c r="BR24" s="941" t="n">
        <f aca="false">IF(OR(BR13=0,BR13="自选"),"",100/SQRT(BR13))</f>
        <v>3.24026990239386</v>
      </c>
      <c r="BS24" s="941" t="n">
        <f aca="false">IF(OR(BS13=0,BS13="自选"),"",100/SQRT(BS13))</f>
        <v>3.24224490866548</v>
      </c>
      <c r="BT24" s="941" t="n">
        <f aca="false">IF(OR(BT13=0,BT13="自选"),"",100/SQRT(BT13))</f>
        <v>3.24038898149414</v>
      </c>
      <c r="BU24" s="941" t="n">
        <f aca="false">IF(OR(BU13=0,BU13="自选"),"",100/SQRT(BU13))</f>
        <v>30.1511344577764</v>
      </c>
      <c r="BV24" s="941" t="n">
        <f aca="false">IF(OR(BV13=0,BV13="自选"),"",100/SQRT(BV13))</f>
        <v>3.9974105167061</v>
      </c>
      <c r="BW24" s="941" t="n">
        <f aca="false">IF(OR(BW13=0,BW13="自选"),"",100/SQRT(BW13))</f>
        <v>3.85718198018707</v>
      </c>
      <c r="BX24" s="941" t="n">
        <f aca="false">IF(OR(BX13=0,BX13="自选"),"",100/SQRT(BX13))</f>
        <v>3.8504281432826</v>
      </c>
      <c r="BY24" s="941" t="n">
        <f aca="false">IF(OR(BY13=0,BY13="自选"),"",100/SQRT(BY13))</f>
        <v>3.91666269560789</v>
      </c>
      <c r="BZ24" s="941" t="n">
        <f aca="false">IF(OR(BZ13=0,BZ13="自选"),"",100/SQRT(BZ13))</f>
        <v>3.97542828229325</v>
      </c>
      <c r="CA24" s="941" t="n">
        <f aca="false">IF(OR(CA13=0,CA13="自选"),"",100/SQRT(CA13))</f>
        <v>40.160966445125</v>
      </c>
      <c r="CB24" s="941" t="n">
        <f aca="false">IF(OR(CB13=0,CB13="自选"),"",100/SQRT(CB13))</f>
        <v>51.9875244910036</v>
      </c>
      <c r="CC24" s="941" t="n">
        <f aca="false">IF(OR(CC13=0,CC13="自选"),"",100/SQRT(CC13))</f>
        <v>3.97542828229325</v>
      </c>
      <c r="CD24" s="941" t="n">
        <f aca="false">IF(OR(CD13=0,CD13="自选"),"",100/SQRT(CD13))</f>
        <v>3.9740154106258</v>
      </c>
      <c r="CE24" s="941" t="n">
        <f aca="false">IF(OR(CE13=0,CE13="自选"),"",100/SQRT(CE13))</f>
        <v>4.03678939397179</v>
      </c>
      <c r="CF24" s="941" t="n">
        <f aca="false">IF(OR(CF13=0,CF13="自选"),"",100/SQRT(CF13))</f>
        <v>3.84405042953655</v>
      </c>
      <c r="CG24" s="941" t="n">
        <f aca="false">IF(OR(CG13=0,CG13="自选"),"",100/SQRT(CG13))</f>
        <v>4.38794898659838</v>
      </c>
      <c r="CH24" s="941" t="n">
        <f aca="false">IF(OR(CH13=0,CH13="自选"),"",100/SQRT(CH13))</f>
        <v>24.1825416703337</v>
      </c>
      <c r="CI24" s="941" t="n">
        <f aca="false">IF(OR(CI13=0,CI13="自选"),"",100/SQRT(CI13))</f>
        <v>3.76640487505443</v>
      </c>
      <c r="CJ24" s="941" t="n">
        <f aca="false">IF(OR(CJ13=0,CJ13="自选"),"",100/SQRT(CJ13))</f>
        <v>3.714752286149</v>
      </c>
      <c r="CK24" s="941" t="n">
        <f aca="false">IF(OR(CK13=0,CK13="自选"),"",100/SQRT(CK13))</f>
        <v>3.68227350711177</v>
      </c>
      <c r="CL24" s="941" t="n">
        <f aca="false">IF(OR(CL13=0,CL13="自选"),"",100/SQRT(CL13))</f>
        <v>3.82423858265799</v>
      </c>
      <c r="CM24" s="941" t="n">
        <f aca="false">IF(OR(CM13=0,CM13="自选"),"",100/SQRT(CM13))</f>
        <v>3.82351171648759</v>
      </c>
      <c r="CN24" s="941" t="n">
        <f aca="false">IF(OR(CN13=0,CN13="自选"),"",100/SQRT(CN13))</f>
        <v>3.82521771128925</v>
      </c>
      <c r="CO24" s="941" t="n">
        <f aca="false">IF(OR(CO13=0,CO13="自选"),"",100/SQRT(CO13))</f>
        <v>3.82552559278918</v>
      </c>
      <c r="CP24" s="941" t="n">
        <f aca="false">IF(OR(CP13=0,CP13="自选"),"",100/SQRT(CP13))</f>
        <v>3.18986163350201</v>
      </c>
      <c r="CQ24" s="941" t="n">
        <f aca="false">IF(OR(CQ13=0,CQ13="自选"),"",100/SQRT(CQ13))</f>
        <v>28.7479787288035</v>
      </c>
      <c r="CR24" s="941" t="n">
        <f aca="false">IF(OR(CR13=0,CR13="自选"),"",100/SQRT(CR13))</f>
        <v>29.8807152333598</v>
      </c>
      <c r="CS24" s="941" t="n">
        <f aca="false">IF(OR(CS13=0,CS13="自选"),"",100/SQRT(CS13))</f>
        <v>42.6401432711221</v>
      </c>
      <c r="CT24" s="941" t="n">
        <f aca="false">IF(OR(CT13=0,CT13="自选"),"",100/SQRT(CT13))</f>
        <v>44.7213595499958</v>
      </c>
      <c r="CU24" s="941" t="n">
        <f aca="false">IF(OR(CU13=0,CU13="自选"),"",100/SQRT(CU13))</f>
        <v>42.2577127364258</v>
      </c>
      <c r="CV24" s="941" t="n">
        <f aca="false">IF(OR(CV13=0,CV13="自选"),"",100/SQRT(CV13))</f>
        <v>42.6401432711221</v>
      </c>
      <c r="CW24" s="941" t="n">
        <f aca="false">IF(OR(CW13=0,CW13="自选"),"",100/SQRT(CW13))</f>
        <v>36.0374985078224</v>
      </c>
      <c r="CX24" s="941" t="n">
        <f aca="false">IF(OR(CX13=0,CX13="自选"),"",100/SQRT(CX13))</f>
        <v>36.0374985078224</v>
      </c>
      <c r="CY24" s="941" t="n">
        <f aca="false">IF(OR(CY13=0,CY13="自选"),"",100/SQRT(CY13))</f>
        <v>3.30441768808714</v>
      </c>
      <c r="CZ24" s="941" t="n">
        <f aca="false">IF(OR(CZ13=0,CZ13="自选"),"",100/SQRT(CZ13))</f>
        <v>3.9244968725069</v>
      </c>
      <c r="DA24" s="941" t="n">
        <f aca="false">IF(OR(DA13=0,DA13="自选"),"",100/SQRT(DA13))</f>
        <v>3.91976061968893</v>
      </c>
      <c r="DB24" s="941" t="n">
        <f aca="false">IF(OR(DB13=0,DB13="自选"),"",100/SQRT(DB13))</f>
        <v>54.232614454664</v>
      </c>
      <c r="DC24" s="941" t="n">
        <f aca="false">IF(OR(DC13=0,DC13="自选"),"",100/SQRT(DC13))</f>
        <v>3.79228871228678</v>
      </c>
      <c r="DD24" s="941" t="n">
        <f aca="false">IF(OR(DD13=0,DD13="自选"),"",100/SQRT(DD13))</f>
        <v>3.88391251750256</v>
      </c>
      <c r="DE24" s="941" t="n">
        <f aca="false">IF(OR(DE13=0,DE13="自选"),"",100/SQRT(DE13))</f>
        <v>3.87970104485942</v>
      </c>
      <c r="DF24" s="941" t="n">
        <f aca="false">IF(OR(DF13=0,DF13="自选"),"",100/SQRT(DF13))</f>
        <v>3.87973024397469</v>
      </c>
      <c r="DG24" s="941" t="n">
        <f aca="false">IF(OR(DG13=0,DG13="自选"),"",100/SQRT(DG13))</f>
        <v>3.87970104485942</v>
      </c>
      <c r="DH24" s="941" t="n">
        <f aca="false">IF(OR(DH13=0,DH13="自选"),"",100/SQRT(DH13))</f>
        <v>3.75433465255608</v>
      </c>
      <c r="DI24" s="941" t="n">
        <f aca="false">IF(OR(DI13=0,DI13="自选"),"",100/SQRT(DI13))</f>
        <v>3.75483746937002</v>
      </c>
      <c r="DJ24" s="941" t="n">
        <f aca="false">IF(OR(DJ13=0,DJ13="自选"),"",100/SQRT(DJ13))</f>
        <v>3.23717844629696</v>
      </c>
      <c r="DK24" s="941" t="n">
        <f aca="false">IF(OR(DK13=0,DK13="自选"),"",100/SQRT(DK13))</f>
        <v>3.94208263992722</v>
      </c>
      <c r="DL24" s="941" t="n">
        <f aca="false">IF(OR(DL13=0,DL13="自选"),"",100/SQRT(DL13))</f>
        <v>3.94036847793292</v>
      </c>
      <c r="DM24" s="941" t="n">
        <f aca="false">IF(OR(DM13=0,DM13="自选"),"",100/SQRT(DM13))</f>
        <v>3.88661037168236</v>
      </c>
      <c r="DN24" s="941" t="n">
        <f aca="false">IF(OR(DN13=0,DN13="自选"),"",100/SQRT(DN13))</f>
        <v>3.80759718654128</v>
      </c>
      <c r="DO24" s="941" t="n">
        <f aca="false">IF(OR(DO13=0,DO13="自选"),"",100/SQRT(DO13))</f>
        <v>3.80900561271674</v>
      </c>
      <c r="DP24" s="941" t="n">
        <f aca="false">IF(OR(DP13=0,DP13="自选"),"",100/SQRT(DP13))</f>
        <v>3.94324709616335</v>
      </c>
      <c r="DQ24" s="941" t="n">
        <f aca="false">IF(OR(DQ13=0,DQ13="自选"),"",100/SQRT(DQ13))</f>
        <v>3.9432164393566</v>
      </c>
      <c r="DR24" s="941" t="n">
        <f aca="false">IF(OR(DR13=0,DR13="自选"),"",100/SQRT(DR13))</f>
        <v>49.3864798324795</v>
      </c>
      <c r="DS24" s="941" t="n">
        <f aca="false">IF(OR(DS13=0,DS13="自选"),"",100/SQRT(DS13))</f>
        <v>3.90071853952779</v>
      </c>
      <c r="DT24" s="941" t="n">
        <f aca="false">IF(OR(DT13=0,DT13="自选"),"",100/SQRT(DT13))</f>
        <v>3.89553560591474</v>
      </c>
      <c r="DU24" s="941" t="n">
        <f aca="false">IF(OR(DU13=0,DU13="自选"),"",100/SQRT(DU13))</f>
        <v>3.68770272838685</v>
      </c>
      <c r="DV24" s="941" t="n">
        <f aca="false">IF(OR(DV13=0,DV13="自选"),"",100/SQRT(DV13))</f>
        <v>3.54763870147123</v>
      </c>
      <c r="DW24" s="941" t="n">
        <f aca="false">IF(OR(DW13=0,DW13="自选"),"",100/SQRT(DW13))</f>
        <v>3.5478619708444</v>
      </c>
      <c r="DX24" s="941" t="n">
        <f aca="false">IF(OR(DX13=0,DX13="自选"),"",100/SQRT(DX13))</f>
        <v>3.54775033088871</v>
      </c>
      <c r="DY24" s="941" t="n">
        <f aca="false">IF(OR(DY13=0,DY13="自选"),"",100/SQRT(DY13))</f>
        <v>3.54775033088871</v>
      </c>
      <c r="DZ24" s="941" t="n">
        <f aca="false">IF(OR(DZ13=0,DZ13="自选"),"",100/SQRT(DZ13))</f>
        <v>3.68780303173453</v>
      </c>
      <c r="EA24" s="941" t="n">
        <f aca="false">IF(OR(EA13=0,EA13="自选"),"",100/SQRT(EA13))</f>
        <v>3.30441768808714</v>
      </c>
      <c r="EB24" s="941" t="n">
        <f aca="false">IF(OR(EB13=0,EB13="自选"),"",100/SQRT(EB13))</f>
        <v>36.0374985078224</v>
      </c>
      <c r="EC24" s="941" t="n">
        <f aca="false">IF(OR(EC13=0,EC13="自选"),"",100/SQRT(EC13))</f>
        <v>51.2989176042577</v>
      </c>
      <c r="ED24" s="941" t="n">
        <f aca="false">IF(OR(ED13=0,ED13="自选"),"",100/SQRT(ED13))</f>
        <v>63.2455532033676</v>
      </c>
      <c r="EE24" s="941" t="n">
        <f aca="false">IF(OR(EE13=0,EE13="自选"),"",100/SQRT(EE13))</f>
        <v>3.67079393964843</v>
      </c>
      <c r="EF24" s="941" t="n">
        <f aca="false">IF(OR(EF13=0,EF13="自选"),"",100/SQRT(EF13))</f>
        <v>74.535599249993</v>
      </c>
      <c r="EG24" s="941" t="n">
        <f aca="false">IF(OR(EG13=0,EG13="自选"),"",100/SQRT(EG13))</f>
        <v>74.535599249993</v>
      </c>
      <c r="EH24" s="941" t="n">
        <f aca="false">IF(OR(EH13=0,EH13="自选"),"",100/SQRT(EH13))</f>
        <v>36.0374985078224</v>
      </c>
      <c r="EI24" s="941" t="n">
        <f aca="false">IF(OR(EI13=0,EI13="自选"),"",100/SQRT(EI13))</f>
        <v>42.6401432711221</v>
      </c>
      <c r="EJ24" s="941" t="n">
        <f aca="false">IF(OR(EJ13=0,EJ13="自选"),"",100/SQRT(EJ13))</f>
        <v>72.5476250110012</v>
      </c>
      <c r="EK24" s="941" t="n">
        <f aca="false">IF(OR(EK13=0,EK13="自选"),"",100/SQRT(EK13))</f>
        <v>72.5476250110012</v>
      </c>
      <c r="EL24" s="943" t="n">
        <f aca="false">IF(OR(EL13=0,EL13="自选"),"",100/SQRT(EL13))</f>
        <v>72.5476250110012</v>
      </c>
      <c r="EM24" s="943" t="n">
        <f aca="false">IF(OR(EM13=0,EM13="自选"),"",100/SQRT(EM13))</f>
        <v>58.7220219514704</v>
      </c>
      <c r="EN24" s="943" t="n">
        <f aca="false">IF(OR(EN13=0,EN13="自选"),"",100/SQRT(EN13))</f>
        <v>53.4522483824849</v>
      </c>
      <c r="EO24" s="943" t="n">
        <f aca="false">IF(OR(EO13=0,EO13="自选"),"",100/SQRT(EO13))</f>
        <v>53.4522483824849</v>
      </c>
      <c r="EP24" s="943" t="n">
        <f aca="false">IF(OR(EP13=0,EP13="自选"),"",100/SQRT(EP13))</f>
        <v>43.8529009653515</v>
      </c>
      <c r="EQ24" s="943" t="n">
        <f aca="false">IF(OR(EQ13=0,EQ13="自选"),"",100/SQRT(EQ13))</f>
        <v>40.160966445125</v>
      </c>
      <c r="ER24" s="943" t="n">
        <f aca="false">IF(OR(ER13=0,ER13="自选"),"",100/SQRT(ER13))</f>
        <v>40.160966445125</v>
      </c>
      <c r="ES24" s="943" t="n">
        <f aca="false">IF(OR(ES13=0,ES13="自选"),"",100/SQRT(ES13))</f>
        <v>32.9690236697894</v>
      </c>
      <c r="ET24" s="941" t="n">
        <f aca="false">IF(OR(ET13=0,ET13="自选"),"",100/SQRT(ET13))</f>
        <v>32.9690236697894</v>
      </c>
      <c r="EU24" s="943" t="n">
        <f aca="false">IF(OR(EU13=0,EU13="自选"),"",100/SQRT(EU13))</f>
        <v>32.9690236697894</v>
      </c>
      <c r="EV24" s="943" t="n">
        <f aca="false">IF(OR(EV13=0,EV13="自选"),"",100/SQRT(EV13))</f>
        <v>29.8807152333598</v>
      </c>
      <c r="EW24" s="943" t="n">
        <f aca="false">IF(OR(EW13=0,EW13="自选"),"",100/SQRT(EW13))</f>
        <v>72.5476250110012</v>
      </c>
      <c r="EX24" s="941" t="n">
        <f aca="false">IF(OR(EX13=0,EX13="自选"),"",100/SQRT(EX13))</f>
        <v>32.9690236697894</v>
      </c>
      <c r="EY24" s="941" t="n">
        <f aca="false">IF(OR(EY13=0,EY13="自选"),"",100/SQRT(EY13))</f>
        <v>3.14686430378339</v>
      </c>
      <c r="EZ24" s="941" t="n">
        <f aca="false">IF(OR(EZ13=0,EZ13="自选"),"",100/SQRT(EZ13))</f>
        <v>3.14686430378339</v>
      </c>
      <c r="FA24" s="941" t="n">
        <f aca="false">IF(OR(FA13=0,FA13="自选"),"",100/SQRT(FA13))</f>
        <v>3.14686430378339</v>
      </c>
      <c r="FB24" s="941" t="n">
        <f aca="false">IF(OR(FB13=0,FB13="自选"),"",100/SQRT(FB13))</f>
        <v>3.1477372203893</v>
      </c>
      <c r="FC24" s="941" t="n">
        <f aca="false">IF(OR(FC13=0,FC13="自选"),"",100/SQRT(FC13))</f>
        <v>3.1477372203893</v>
      </c>
      <c r="FD24" s="941" t="n">
        <f aca="false">IF(OR(FD13=0,FD13="自选"),"",100/SQRT(FD13))</f>
        <v>32.9690236697894</v>
      </c>
      <c r="FE24" s="941" t="n">
        <f aca="false">IF(OR(FE13=0,FE13="自选"),"",100/SQRT(FE13))</f>
        <v>32.9690236697894</v>
      </c>
      <c r="FF24" s="941" t="n">
        <f aca="false">IF(OR(FF13=0,FF13="自选"),"",100/SQRT(FF13))</f>
        <v>33.5200761576996</v>
      </c>
      <c r="FG24" s="941" t="n">
        <f aca="false">IF(OR(FG13=0,FG13="自选"),"",100/SQRT(FG13))</f>
        <v>3.18715487844703</v>
      </c>
      <c r="FH24" s="941" t="n">
        <f aca="false">IF(OR(FH13=0,FH13="自选"),"",100/SQRT(FH13))</f>
        <v>3.18858033328661</v>
      </c>
      <c r="FI24" s="941" t="n">
        <f aca="false">IF(OR(FI13=0,FI13="自选"),"",100/SQRT(FI13))</f>
        <v>3.09100182235475</v>
      </c>
      <c r="FJ24" s="941" t="n">
        <f aca="false">IF(OR(FJ13=0,FJ13="自选"),"",100/SQRT(FJ13))</f>
        <v>3.09101658862797</v>
      </c>
      <c r="FK24" s="941" t="n">
        <f aca="false">IF(OR(FK13=0,FK13="自选"),"",100/SQRT(FK13))</f>
        <v>3.21901382848498</v>
      </c>
      <c r="FL24" s="941" t="n">
        <f aca="false">IF(OR(FL13=0,FL13="自选"),"",100/SQRT(FL13))</f>
        <v>3.17228614981733</v>
      </c>
      <c r="FM24" s="941" t="n">
        <f aca="false">IF(OR(FM13=0,FM13="自选"),"",100/SQRT(FM13))</f>
        <v>3.54440602504168</v>
      </c>
      <c r="FN24" s="941" t="n">
        <f aca="false">IF(OR(FN13=0,FN13="自选"),"",100/SQRT(FN13))</f>
        <v>3.54440602504168</v>
      </c>
      <c r="FO24" s="941"/>
      <c r="FP24" s="944" t="n">
        <f aca="false">IF(FP13&lt;&gt;"",IF(OR(FP13=0,FP13="自选"),"",100/SQRT(FP13)),"")</f>
        <v>3.16544468916459</v>
      </c>
      <c r="FQ24" s="944" t="n">
        <f aca="false">IF(FQ13&lt;&gt;"",IF(OR(FQ13=0,FQ13="自选"),"",100/SQRT(FQ13)),"")</f>
        <v>3.16544468916459</v>
      </c>
      <c r="FR24" s="944" t="n">
        <f aca="false">IF(FR13&lt;&gt;"",IF(OR(FR13=0,FR13="自选"),"",100/SQRT(FR13)),"")</f>
        <v>3.16544468916459</v>
      </c>
      <c r="FS24" s="944" t="n">
        <f aca="false">IF(FS13&lt;&gt;"",IF(OR(FS13=0,FS13="自选"),"",100/SQRT(FS13)),"")</f>
        <v>3.16544468916459</v>
      </c>
      <c r="FT24" s="944" t="n">
        <f aca="false">IF(FT13&lt;&gt;"",IF(OR(FT13=0,FT13="自选"),"",100/SQRT(FT13)),"")</f>
        <v>3.16544468916459</v>
      </c>
      <c r="FU24" s="944" t="n">
        <f aca="false">IF(FU13&lt;&gt;"",IF(OR(FU13=0,FU13="自选"),"",100/SQRT(FU13)),"")</f>
        <v>3.16544468916459</v>
      </c>
      <c r="FV24" s="944" t="n">
        <f aca="false">IF(FV13&lt;&gt;"",IF(OR(FV13=0,FV13="自选"),"",100/SQRT(FV13)),"")</f>
        <v>3.16544468916459</v>
      </c>
      <c r="FW24" s="944" t="n">
        <f aca="false">IF(FW13&lt;&gt;"",IF(OR(FW13=0,FW13="自选"),"",100/SQRT(FW13)),"")</f>
        <v>3.16544468916459</v>
      </c>
      <c r="FX24" s="944" t="n">
        <f aca="false">IF(FX13&lt;&gt;"",IF(OR(FX13=0,FX13="自选"),"",100/SQRT(FX13)),"")</f>
        <v>3.16544468916459</v>
      </c>
      <c r="FY24" s="944" t="n">
        <f aca="false">IF(FY13&lt;&gt;"",IF(OR(FY13=0,FY13="自选"),"",100/SQRT(FY13)),"")</f>
        <v>3.16544468916459</v>
      </c>
      <c r="FZ24" s="944" t="n">
        <f aca="false">IF(FZ13&lt;&gt;"",IF(OR(FZ13=0,FZ13="自选"),"",100/SQRT(FZ13)),"")</f>
        <v>3.16544468916459</v>
      </c>
      <c r="GA24" s="944" t="n">
        <f aca="false">IF(GA13&lt;&gt;"",IF(OR(GA13=0,GA13="自选"),"",100/SQRT(GA13)),"")</f>
        <v>3.16544468916459</v>
      </c>
      <c r="GB24" s="944" t="n">
        <f aca="false">IF(GB13&lt;&gt;"",IF(OR(GB13=0,GB13="自选"),"",100/SQRT(GB13)),"")</f>
        <v>3.16544468916459</v>
      </c>
      <c r="GC24" s="944" t="n">
        <f aca="false">IF(GC13&lt;&gt;"",IF(OR(GC13=0,GC13="自选"),"",100/SQRT(GC13)),"")</f>
        <v>3.16544468916459</v>
      </c>
      <c r="GD24" s="944" t="n">
        <f aca="false">IF(GD13&lt;&gt;"",IF(OR(GD13=0,GD13="自选"),"",100/SQRT(GD13)),"")</f>
        <v>3.16544468916459</v>
      </c>
      <c r="GE24" s="944" t="n">
        <f aca="false">IF(GE13&lt;&gt;"",IF(OR(GE13=0,GE13="自选"),"",100/SQRT(GE13)),"")</f>
        <v>3.16544468916459</v>
      </c>
      <c r="GF24" s="944" t="n">
        <f aca="false">IF(GF13&lt;&gt;"",IF(OR(GF13=0,GF13="自选"),"",100/SQRT(GF13)),"")</f>
        <v>3.16544468916459</v>
      </c>
      <c r="GG24" s="944" t="n">
        <f aca="false">IF(GG13&lt;&gt;"",IF(OR(GG13=0,GG13="自选"),"",100/SQRT(GG13)),"")</f>
        <v>3.16385998584166</v>
      </c>
      <c r="GH24" s="944"/>
      <c r="GI24" s="945"/>
      <c r="GJ24" s="945"/>
      <c r="GK24" s="945"/>
      <c r="GL24" s="945"/>
      <c r="GM24" s="945"/>
      <c r="GN24" s="945"/>
      <c r="GO24" s="945"/>
      <c r="GP24" s="945"/>
      <c r="GQ24" s="945"/>
      <c r="GR24" s="945"/>
      <c r="GS24" s="945"/>
      <c r="GT24" s="945"/>
      <c r="GU24" s="945"/>
      <c r="GV24" s="945"/>
      <c r="GW24" s="945"/>
      <c r="GX24" s="945"/>
      <c r="GY24" s="945"/>
      <c r="GZ24" s="945"/>
      <c r="HA24" s="945"/>
      <c r="HB24" s="945"/>
      <c r="HC24" s="945"/>
      <c r="HD24" s="945"/>
      <c r="HE24" s="945"/>
      <c r="HF24" s="945"/>
      <c r="HG24" s="945"/>
      <c r="HH24" s="945"/>
      <c r="HI24" s="945"/>
      <c r="HJ24" s="945"/>
      <c r="HK24" s="945"/>
      <c r="HL24" s="945"/>
      <c r="HM24" s="945"/>
      <c r="HN24" s="945"/>
      <c r="HO24" s="945"/>
      <c r="HP24" s="945"/>
      <c r="HQ24" s="945"/>
      <c r="HR24" s="945"/>
      <c r="HS24" s="945"/>
      <c r="HT24" s="945"/>
      <c r="HU24" s="945"/>
      <c r="HV24" s="945"/>
      <c r="HW24" s="945"/>
      <c r="HX24" s="945"/>
      <c r="HY24" s="945"/>
      <c r="HZ24" s="945"/>
      <c r="IA24" s="945"/>
      <c r="IB24" s="945"/>
      <c r="IC24" s="945"/>
      <c r="ID24" s="945"/>
      <c r="IE24" s="945"/>
      <c r="IF24" s="945"/>
      <c r="IG24" s="945"/>
      <c r="IH24" s="945"/>
      <c r="II24" s="945"/>
      <c r="IJ24" s="945"/>
      <c r="IK24" s="945"/>
      <c r="IL24" s="945"/>
      <c r="IM24" s="945"/>
      <c r="IN24" s="945"/>
      <c r="IO24" s="945"/>
      <c r="IP24" s="945"/>
      <c r="IQ24" s="945"/>
      <c r="IR24" s="945"/>
      <c r="IS24" s="945"/>
      <c r="IT24" s="945"/>
      <c r="IU24" s="945"/>
      <c r="IV24" s="945"/>
      <c r="IW24" s="945"/>
      <c r="IX24" s="945"/>
      <c r="IY24" s="945"/>
      <c r="IZ24" s="945"/>
      <c r="JA24" s="945"/>
      <c r="JB24" s="945"/>
      <c r="JC24" s="945"/>
      <c r="JD24" s="945"/>
      <c r="JE24" s="945"/>
      <c r="JF24" s="945"/>
      <c r="JG24" s="945"/>
      <c r="JH24" s="945"/>
      <c r="JI24" s="945"/>
      <c r="JK24" s="945"/>
      <c r="JM24" s="945"/>
    </row>
    <row r="25" customFormat="false" ht="18.75" hidden="false" customHeight="false" outlineLevel="0" collapsed="false">
      <c r="A25" s="946" t="s">
        <v>1537</v>
      </c>
      <c r="B25" s="946" t="s">
        <v>1538</v>
      </c>
      <c r="C25" s="947" t="n">
        <f aca="false">IF(OR(C13="自选",,C21=0,C14=0),"",IF(C18&gt;C19,1/2*C18*100/C21*C13*C22^2/1000,1/2*C19*100/C21*C13*C22^2/1000))</f>
        <v>20.7814141563256</v>
      </c>
      <c r="D25" s="947" t="n">
        <f aca="false">IF(OR(D13="自选",,D21=0,D14=0),"",IF(D18&gt;D19,1/2*D18*100/D21*D13*D22^2/1000,1/2*D19*100/D21*D13*D22^2/1000))</f>
        <v>13.0515104492884</v>
      </c>
      <c r="E25" s="936" t="n">
        <f aca="false">IF(OR(E13="自选",,E21=0,E14=0),"",IF(E18&gt;E19,1/2*E18*100/E21*E13*E22^2/1000,1/2*E19*100/E21*E13*E22^2/1000))</f>
        <v>8.62261533594721</v>
      </c>
      <c r="F25" s="936" t="n">
        <f aca="false">IF(OR(F13="自选",,F21=0,F14=0),"",IF(F18&gt;F19,1/2*F18*100/F21*F13*F22^2/1000,1/2*F19*100/F21*F13*F22^2/1000))</f>
        <v>15.9570194542954</v>
      </c>
      <c r="G25" s="936" t="n">
        <f aca="false">IF(OR(G13="自选",,G21=0,G14=0),"",IF(G18&gt;G19,1/2*G18*100/G21*G13*G22^2/1000,1/2*G19*100/G21*G13*G22^2/1000))</f>
        <v>8.61979966417015</v>
      </c>
      <c r="H25" s="947" t="n">
        <f aca="false">IF(OR(H13="自选",,H21=0,H14=0),"",IF(H18&gt;H19,1/2*H18*100/H21*H13*H22^2/1000,1/2*H19*100/H21*H13*H22^2/1000))</f>
        <v>21.8839382636886</v>
      </c>
      <c r="I25" s="947" t="n">
        <f aca="false">IF(OR(I13="自选",,I21=0,I14=0),"",IF(I18&gt;I19,1/2*I18*100/I21*I13*I22^2/1000,1/2*I19*100/I21*I13*I22^2/1000))</f>
        <v>18.0986421694161</v>
      </c>
      <c r="J25" s="947" t="n">
        <f aca="false">IF(OR(J13="自选",,J21=0,J14=0),"",IF(J18&gt;J19,1/2*J18*100/J21*J13*J22^2/1000,1/2*J19*100/J21*J13*J22^2/1000))</f>
        <v>18.1004608999444</v>
      </c>
      <c r="K25" s="947" t="n">
        <f aca="false">IF(OR(K13="自选",,K21=0,K14=0),"",IF(K18&gt;K19,1/2*K18*100/K21*K13*K22^2/1000,1/2*K19*100/K21*K13*K22^2/1000))</f>
        <v>4.7217272466353</v>
      </c>
      <c r="L25" s="947" t="n">
        <f aca="false">IF(OR(L13="自选",,L21=0,L14=0),"",IF(L18&gt;L19,1/2*L18*100/L21*L13*L22^2/1000,1/2*L19*100/L21*L13*L22^2/1000))</f>
        <v>15.5676805389002</v>
      </c>
      <c r="M25" s="947" t="n">
        <f aca="false">IF(OR(M13="自选",,M21=0,M14=0),"",IF(M18&gt;M19,1/2*M18*100/M21*M13*M22^2/1000,1/2*M19*100/M21*M13*M22^2/1000))</f>
        <v>0.620873136148617</v>
      </c>
      <c r="N25" s="947" t="n">
        <f aca="false">IF(OR(N13="自选",,N21=0,N14=0),"",IF(N18&gt;N19,1/2*N18*100/N21*N13*N22^2/1000,1/2*N19*100/N21*N13*N22^2/1000))</f>
        <v>1.1321650472957</v>
      </c>
      <c r="O25" s="947" t="n">
        <f aca="false">IF(OR(O13="自选",,O21=0,O14=0),"",IF(O18&gt;O19,1/2*O18*100/O21*O13*O22^2/1000,1/2*O19*100/O21*O13*O22^2/1000))</f>
        <v>15.5916891472369</v>
      </c>
      <c r="P25" s="947" t="n">
        <f aca="false">IF(OR(P13="自选",,P21=0,P14=0),"",IF(P18&gt;P19,1/2*P18*100/P21*P13*P22^2/1000,1/2*P19*100/P21*P13*P22^2/1000))</f>
        <v>11.815596990866</v>
      </c>
      <c r="Q25" s="947" t="n">
        <f aca="false">IF(OR(Q13="自选",,Q21=0,Q14=0),"",IF(Q18&gt;Q19,1/2*Q18*100/Q21*Q13*Q22^2/1000,1/2*Q19*100/Q21*Q13*Q22^2/1000))</f>
        <v>15.1723325652483</v>
      </c>
      <c r="R25" s="947" t="n">
        <f aca="false">IF(OR(R13="自选",,R21=0,R14=0),"",IF(R18&gt;R19,1/2*R18*100/R21*R13*R22^2/1000,1/2*R19*100/R21*R13*R22^2/1000))</f>
        <v>15.2218495792545</v>
      </c>
      <c r="S25" s="947" t="n">
        <f aca="false">IF(OR(S13="自选",,S21=0,S14=0),"",IF(S18&gt;S19,1/2*S18*100/S21*S13*S22^2/1000,1/2*S19*100/S21*S13*S22^2/1000))</f>
        <v>0.463954342095687</v>
      </c>
      <c r="T25" s="947" t="n">
        <f aca="false">IF(OR(T13="自选",,T21=0,T14=0),"",IF(T18&gt;T19,1/2*T18*100/T21*T13*T22^2/1000,1/2*T19*100/T21*T13*T22^2/1000))</f>
        <v>0.488720507041144</v>
      </c>
      <c r="U25" s="947" t="n">
        <f aca="false">IF(OR(U13="自选",,U21=0,U14=0),"",IF(U18&gt;U19,1/2*U18*100/U21*U13*U22^2/1000,1/2*U19*100/U21*U13*U22^2/1000))</f>
        <v>0.488786829821132</v>
      </c>
      <c r="V25" s="947" t="n">
        <f aca="false">IF(OR(V13="自选",,V21=0,V14=0),"",IF(V18&gt;V19,1/2*V18*100/V21*V13*V22^2/1000,1/2*V19*100/V21*V13*V22^2/1000))</f>
        <v>11.2875121761973</v>
      </c>
      <c r="W25" s="947" t="n">
        <f aca="false">IF(OR(W13="自选",,W21=0,W14=0),"",IF(W18&gt;W19,1/2*W18*100/W21*W13*W22^2/1000,1/2*W19*100/W21*W13*W22^2/1000))</f>
        <v>4.06897763277365</v>
      </c>
      <c r="X25" s="947" t="n">
        <f aca="false">IF(OR(X13="自选",,X21=0,X14=0),"",IF(X18&gt;X19,1/2*X18*100/X21*X13*X22^2/1000,1/2*X19*100/X21*X13*X22^2/1000))</f>
        <v>21.8839382636886</v>
      </c>
      <c r="Y25" s="947" t="n">
        <f aca="false">IF(OR(Y13="自选",,Y21=0,Y14=0),"",IF(Y18&gt;Y19,1/2*Y18*100/Y21*Y13*Y22^2/1000,1/2*Y19*100/Y21*Y13*Y22^2/1000))</f>
        <v>13.1928346039553</v>
      </c>
      <c r="Z25" s="947" t="n">
        <f aca="false">IF(OR(Z13="自选",,Z21=0,Z14=0),"",IF(Z18&gt;Z19,1/2*Z18*100/Z21*Z13*Z22^2/1000,1/2*Z19*100/Z21*Z13*Z22^2/1000))</f>
        <v>12.7885678838139</v>
      </c>
      <c r="AA25" s="947" t="n">
        <f aca="false">IF(OR(AA13="自选",,AA21=0,AA14=0),"",IF(AA18&gt;AA19,1/2*AA18*100/AA21*AA13*AA22^2/1000,1/2*AA19*100/AA21*AA13*AA22^2/1000))</f>
        <v>3.4584532571298</v>
      </c>
      <c r="AB25" s="947" t="n">
        <f aca="false">IF(OR(AB13="自选",,AB21=0,AB14=0),"",IF(AB18&gt;AB19,1/2*AB18*100/AB21*AB13*AB22^2/1000,1/2*AB19*100/AB21*AB13*AB22^2/1000))</f>
        <v>3.06269689288099</v>
      </c>
      <c r="AC25" s="947" t="n">
        <f aca="false">IF(OR(AC13="自选",,AC21=0,AC14=0),"",IF(AC18&gt;AC19,1/2*AC18*100/AC21*AC13*AC22^2/1000,1/2*AC19*100/AC21*AC13*AC22^2/1000))</f>
        <v>9.1517840262508</v>
      </c>
      <c r="AD25" s="947" t="n">
        <f aca="false">IF(OR(AD13="自选",,AD21=0,AD14=0),"",IF(AD18&gt;AD19,1/2*AD18*100/AD21*AD13*AD22^2/1000,1/2*AD19*100/AD21*AD13*AD22^2/1000))</f>
        <v>23.5608242751283</v>
      </c>
      <c r="AE25" s="947" t="n">
        <f aca="false">IF(OR(AE13="自选",,AE21=0,AE14=0),"",IF(AE18&gt;AE19,1/2*AE18*100/AE21*AE13*AE22^2/1000,1/2*AE19*100/AE21*AE13*AE22^2/1000))</f>
        <v>7.77677605342357</v>
      </c>
      <c r="AF25" s="947" t="n">
        <f aca="false">IF(OR(AF13="自选",,AF21=0,AF14=0),"",IF(AF18&gt;AF19,1/2*AF18*100/AF21*AF13*AF22^2/1000,1/2*AF19*100/AF21*AF13*AF22^2/1000))</f>
        <v>1.30074665529816</v>
      </c>
      <c r="AG25" s="947" t="n">
        <f aca="false">IF(OR(AG13="自选",,AG21=0,AG14=0),"",IF(AG18&gt;AG19,1/2*AG18*100/AG21*AG13*AG22^2/1000,1/2*AG19*100/AG21*AG13*AG22^2/1000))</f>
        <v>5.32910426258699</v>
      </c>
      <c r="AH25" s="947" t="n">
        <f aca="false">IF(OR(AH13="自选",,AH21=0,AH14=0),"",IF(AH18&gt;AH19,1/2*AH18*100/AH21*AH13*AH22^2/1000,1/2*AH19*100/AH21*AH13*AH22^2/1000))</f>
        <v>7.64250523198297</v>
      </c>
      <c r="AI25" s="947" t="n">
        <f aca="false">IF(OR(AI13="自选",,AI21=0,AI14=0),"",IF(AI18&gt;AI19,1/2*AI18*100/AI21*AI13*AI22^2/1000,1/2*AI19*100/AI21*AI13*AI22^2/1000))</f>
        <v>6.4606599021765</v>
      </c>
      <c r="AJ25" s="947" t="n">
        <f aca="false">IF(OR(AJ13="自选",,AJ21=0,AJ14=0),"",IF(AJ18&gt;AJ19,1/2*AJ18*100/AJ21*AJ13*AJ22^2/1000,1/2*AJ19*100/AJ21*AJ13*AJ22^2/1000))</f>
        <v>3.51455212999871</v>
      </c>
      <c r="AK25" s="947" t="n">
        <f aca="false">IF(OR(AK13="自选",,AK21=0,AK14=0),"",IF(AK18&gt;AK19,1/2*AK18*100/AK21*AK13*AK22^2/1000,1/2*AK19*100/AK21*AK13*AK22^2/1000))</f>
        <v>0.0148116234981103</v>
      </c>
      <c r="AL25" s="947" t="n">
        <f aca="false">IF(OR(AL13="自选",,AL21=0,AL14=0),"",IF(AL18&gt;AL19,1/2*AL18*100/AL21*AL13*AL22^2/1000,1/2*AL19*100/AL21*AL13*AL22^2/1000))</f>
        <v>0.0181475097789153</v>
      </c>
      <c r="AM25" s="947" t="n">
        <f aca="false">IF(OR(AM13="自选",,AM21=0,AM14=0),"",IF(AM18&gt;AM19,1/2*AM18*100/AM21*AM13*AM22^2/1000,1/2*AM19*100/AM21*AM13*AM22^2/1000))</f>
        <v>0.0207977022403591</v>
      </c>
      <c r="AN25" s="947" t="n">
        <f aca="false">IF(OR(AN13="自选",,AN21=0,AN14=0),"",IF(AN18&gt;AN19,1/2*AN18*100/AN21*AN13*AN22^2/1000,1/2*AN19*100/AN21*AN13*AN22^2/1000))</f>
        <v>0.023239599322455</v>
      </c>
      <c r="AO25" s="947" t="n">
        <f aca="false">IF(OR(AO13="自选",,AO21=0,AO14=0),"",IF(AO18&gt;AO19,1/2*AO18*100/AO21*AO13*AO22^2/1000,1/2*AO19*100/AO21*AO13*AO22^2/1000))</f>
        <v>0.0249751292537392</v>
      </c>
      <c r="AP25" s="947" t="n">
        <f aca="false">IF(OR(AP13="自选",,AP21=0,AP14=0),"",IF(AP18&gt;AP19,1/2*AP18*100/AP21*AP13*AP22^2/1000,1/2*AP19*100/AP21*AP13*AP22^2/1000))</f>
        <v>1.74520366675126</v>
      </c>
      <c r="AQ25" s="947" t="n">
        <f aca="false">IF(OR(AQ13="自选",,AQ21=0,AQ14=0),"",IF(AQ18&gt;AQ19,1/2*AQ18*100/AQ21*AQ13*AQ22^2/1000,1/2*AQ19*100/AQ21*AQ13*AQ22^2/1000))</f>
        <v>16.0341035050074</v>
      </c>
      <c r="AR25" s="947" t="n">
        <f aca="false">IF(OR(AR13="自选",,AR21=0,AR14=0),"",IF(AR18&gt;AR19,1/2*AR18*100/AR21*AR13*AR22^2/1000,1/2*AR19*100/AR21*AR13*AR22^2/1000))</f>
        <v>15.5888644536279</v>
      </c>
      <c r="AS25" s="947" t="n">
        <f aca="false">IF(OR(AS13="自选",,AS21=0,AS14=0),"",IF(AS18&gt;AS19,1/2*AS18*100/AS21*AS13*AS22^2/1000,1/2*AS19*100/AS21*AS13*AS22^2/1000))</f>
        <v>15.5865708867403</v>
      </c>
      <c r="AT25" s="947" t="n">
        <f aca="false">IF(OR(AT13="自选",,AT21=0,AT14=0),"",IF(AT18&gt;AT19,1/2*AT18*100/AT21*AT13*AT22^2/1000,1/2*AT19*100/AT21*AT13*AT22^2/1000))</f>
        <v>15.0783983079924</v>
      </c>
      <c r="AU25" s="947" t="n">
        <f aca="false">IF(OR(AU13="自选",,AU21=0,AU14=0),"",IF(AU18&gt;AU19,1/2*AU18*100/AU21*AU13*AU22^2/1000,1/2*AU19*100/AU21*AU13*AU22^2/1000))</f>
        <v>3.53887036469712</v>
      </c>
      <c r="AV25" s="947" t="n">
        <f aca="false">IF(OR(AV13="自选",,AV21=0,AV14=0),"",IF(AV18&gt;AV19,1/2*AV18*100/AV21*AV13*AV22^2/1000,1/2*AV19*100/AV21*AV13*AV22^2/1000))</f>
        <v>2.13814551599439</v>
      </c>
      <c r="AW25" s="947" t="n">
        <f aca="false">IF(OR(AW13="自选",,AW21=0,AW14=0),"",IF(AW18&gt;AW19,1/2*AW18*100/AW21*AW13*AW22^2/1000,1/2*AW19*100/AW21*AW13*AW22^2/1000))</f>
        <v>2.26891270822463</v>
      </c>
      <c r="AX25" s="947" t="n">
        <f aca="false">IF(OR(AX13="自选",,AX21=0,AX14=0),"",IF(AX18&gt;AX19,1/2*AX18*100/AX21*AX13*AX22^2/1000,1/2*AX19*100/AX21*AX13*AX22^2/1000))</f>
        <v>0.000897440558799911</v>
      </c>
      <c r="AY25" s="947" t="n">
        <f aca="false">IF(OR(AY13="自选",,AY21=0,AY14=0),"",IF(AY18&gt;AY19,1/2*AY18*100/AY21*AY13*AY22^2/1000,1/2*AY19*100/AY21*AY13*AY22^2/1000))</f>
        <v>0.514551445260872</v>
      </c>
      <c r="AZ25" s="947" t="n">
        <f aca="false">IF(OR(AZ13="自选",,AZ21=0,AZ14=0),"",IF(AZ18&gt;AZ19,1/2*AZ18*100/AZ21*AZ13*AZ22^2/1000,1/2*AZ19*100/AZ21*AZ13*AZ22^2/1000))</f>
        <v>0.525834475307371</v>
      </c>
      <c r="BA25" s="947" t="n">
        <f aca="false">IF(OR(BA13="自选",,BA21=0,BA14=0),"",IF(BA18&gt;BA19,1/2*BA18*100/BA21*BA13*BA22^2/1000,1/2*BA19*100/BA21*BA13*BA22^2/1000))</f>
        <v>0.0207015702680654</v>
      </c>
      <c r="BB25" s="947" t="n">
        <f aca="false">IF(OR(BB13="自选",,BB21=0,BB14=0),"",IF(BB18&gt;BB19,1/2*BB18*100/BB21*BB13*BB22^2/1000,1/2*BB19*100/BB21*BB13*BB22^2/1000))</f>
        <v>0.0496140725670478</v>
      </c>
      <c r="BC25" s="947" t="n">
        <f aca="false">IF(OR(BC13="自选",,BC21=0,BC14=0),"",IF(BC18&gt;BC19,1/2*BC18*100/BC21*BC13*BC22^2/1000,1/2*BC19*100/BC21*BC13*BC22^2/1000))</f>
        <v>0.151418643891257</v>
      </c>
      <c r="BD25" s="947" t="n">
        <f aca="false">IF(OR(BD13="自选",,BD21=0,BD14=0),"",IF(BD18&gt;BD19,1/2*BD18*100/BD21*BD13*BD22^2/1000,1/2*BD19*100/BD21*BD13*BD22^2/1000))</f>
        <v>0.194203266453272</v>
      </c>
      <c r="BE25" s="947" t="n">
        <f aca="false">IF(OR(BE13="自选",,BE21=0,BE14=0),"",IF(BE18&gt;BE19,1/2*BE18*100/BE21*BE13*BE22^2/1000,1/2*BE19*100/BE21*BE13*BE22^2/1000))</f>
        <v>0.211002030274622</v>
      </c>
      <c r="BF25" s="947" t="n">
        <f aca="false">IF(OR(BF13="自选",,BF21=0,BF14=0),"",IF(BF18&gt;BF19,1/2*BF18*100/BF21*BF13*BF22^2/1000,1/2*BF19*100/BF21*BF13*BF22^2/1000))</f>
        <v>7.80245001743553</v>
      </c>
      <c r="BG25" s="947" t="n">
        <f aca="false">IF(OR(BG13="自选",,BG21=0,BG14=0),"",IF(BG18&gt;BG19,1/2*BG18*100/BG21*BG13*BG22^2/1000,1/2*BG19*100/BG21*BG13*BG22^2/1000))</f>
        <v>14.8918890434646</v>
      </c>
      <c r="BH25" s="947" t="n">
        <f aca="false">IF(OR(BH13="自选",,BH21=0,BH14=0),"",IF(BH18&gt;BH19,1/2*BH18*100/BH21*BH13*BH22^2/1000,1/2*BH19*100/BH21*BH13*BH22^2/1000))</f>
        <v>19.0753772191894</v>
      </c>
      <c r="BI25" s="947" t="n">
        <f aca="false">IF(OR(BI13="自选",,BI21=0,BI14=0),"",IF(BI18&gt;BI19,1/2*BI18*100/BI21*BI13*BI22^2/1000,1/2*BI19*100/BI21*BI13*BI22^2/1000))</f>
        <v>0.662758402287613</v>
      </c>
      <c r="BJ25" s="947" t="n">
        <f aca="false">IF(OR(BJ13="自选",,BJ21=0,BJ14=0),"",IF(BJ18&gt;BJ19,1/2*BJ18*100/BJ21*BJ13*BJ22^2/1000,1/2*BJ19*100/BJ21*BJ13*BJ22^2/1000))</f>
        <v>13.070855174946</v>
      </c>
      <c r="BK25" s="947" t="n">
        <f aca="false">IF(OR(BK13="自选",,BK21=0,BK14=0),"",IF(BK18&gt;BK19,1/2*BK18*100/BK21*BK13*BK22^2/1000,1/2*BK19*100/BK21*BK13*BK22^2/1000))</f>
        <v>13.1551832728488</v>
      </c>
      <c r="BL25" s="947" t="n">
        <f aca="false">IF(OR(BL13="自选",,BL21=0,BL14=0),"",IF(BL18&gt;BL19,1/2*BL18*100/BL21*BL13*BL22^2/1000,1/2*BL19*100/BL21*BL13*BL22^2/1000))</f>
        <v>15.9793625904078</v>
      </c>
      <c r="BM25" s="947" t="n">
        <f aca="false">IF(OR(BM13="自选",,BM21=0,BM14=0),"",IF(BM18&gt;BM19,1/2*BM18*100/BM21*BM13*BM22^2/1000,1/2*BM19*100/BM21*BM13*BM22^2/1000))</f>
        <v>15.7834688980069</v>
      </c>
      <c r="BN25" s="947" t="n">
        <f aca="false">IF(OR(BN13="自选",,BN21=0,BN14=0),"",IF(BN18&gt;BN19,1/2*BN18*100/BN21*BN13*BN22^2/1000,1/2*BN19*100/BN21*BN13*BN22^2/1000))</f>
        <v>16.5107358620411</v>
      </c>
      <c r="BO25" s="947" t="n">
        <f aca="false">IF(OR(BO13="自选",,BO21=0,BO14=0),"",IF(BO18&gt;BO19,1/2*BO18*100/BO21*BO13*BO22^2/1000,1/2*BO19*100/BO21*BO13*BO22^2/1000))</f>
        <v>6.70135897575259</v>
      </c>
      <c r="BP25" s="947" t="n">
        <f aca="false">IF(OR(BP13="自选",,BP21=0,BP14=0),"",IF(BP18&gt;BP19,1/2*BP18*100/BP21*BP13*BP22^2/1000,1/2*BP19*100/BP21*BP13*BP22^2/1000))</f>
        <v>9.31880490425075</v>
      </c>
      <c r="BQ25" s="947" t="n">
        <f aca="false">IF(OR(BQ13="自选",,BQ21=0,BQ14=0),"",IF(BQ18&gt;BQ19,1/2*BQ18*100/BQ21*BQ13*BQ22^2/1000,1/2*BQ19*100/BQ21*BQ13*BQ22^2/1000))</f>
        <v>9.31880490425075</v>
      </c>
      <c r="BR25" s="947" t="n">
        <f aca="false">IF(OR(BR13="自选",,BR21=0,BR14=0),"",IF(BR18&gt;BR19,1/2*BR18*100/BR21*BR13*BR22^2/1000,1/2*BR19*100/BR21*BR13*BR22^2/1000))</f>
        <v>9.31322794528701</v>
      </c>
      <c r="BS25" s="947" t="n">
        <f aca="false">IF(OR(BS13="自选",,BS21=0,BS14=0),"",IF(BS18&gt;BS19,1/2*BS18*100/BS21*BS13*BS22^2/1000,1/2*BS19*100/BS21*BS13*BS22^2/1000))</f>
        <v>3.99373927914919</v>
      </c>
      <c r="BT25" s="947" t="n">
        <f aca="false">IF(OR(BT13="自选",,BT21=0,BT14=0),"",IF(BT18&gt;BT19,1/2*BT18*100/BT21*BT13*BT22^2/1000,1/2*BT19*100/BT21*BT13*BT22^2/1000))</f>
        <v>6.41828679761577</v>
      </c>
      <c r="BU25" s="947" t="n">
        <f aca="false">IF(OR(BU13="自选",,BU21=0,BU14=0),"",IF(BU18&gt;BU19,1/2*BU18*100/BU21*BU13*BU22^2/1000,1/2*BU19*100/BU21*BU13*BU22^2/1000))</f>
        <v>2.91323961708038</v>
      </c>
      <c r="BV25" s="947" t="n">
        <f aca="false">IF(OR(BV13="自选",,BV21=0,BV14=0),"",IF(BV18&gt;BV19,1/2*BV18*100/BV21*BV13*BV22^2/1000,1/2*BV19*100/BV21*BV13*BV22^2/1000))</f>
        <v>1.24310040281885</v>
      </c>
      <c r="BW25" s="947" t="n">
        <f aca="false">IF(OR(BW13="自选",,BW21=0,BW14=0),"",IF(BW18&gt;BW19,1/2*BW18*100/BW21*BW13*BW22^2/1000,1/2*BW19*100/BW21*BW13*BW22^2/1000))</f>
        <v>8.06216304621226</v>
      </c>
      <c r="BX25" s="947" t="n">
        <f aca="false">IF(OR(BX13="自选",,BX21=0,BX14=0),"",IF(BX18&gt;BX19,1/2*BX18*100/BX21*BX13*BX22^2/1000,1/2*BX19*100/BX21*BX13*BX22^2/1000))</f>
        <v>7.96829018117227</v>
      </c>
      <c r="BY25" s="947" t="n">
        <f aca="false">IF(OR(BY13="自选",,BY21=0,BY14=0),"",IF(BY18&gt;BY19,1/2*BY18*100/BY21*BY13*BY22^2/1000,1/2*BY19*100/BY21*BY13*BY22^2/1000))</f>
        <v>7.85162136477645</v>
      </c>
      <c r="BZ25" s="947" t="n">
        <f aca="false">IF(OR(BZ13="自选",,BZ21=0,BZ14=0),"",IF(BZ18&gt;BZ19,1/2*BZ18*100/BZ21*BZ13*BZ22^2/1000,1/2*BZ19*100/BZ21*BZ13*BZ22^2/1000))</f>
        <v>2.53891856144968</v>
      </c>
      <c r="CA25" s="947" t="n">
        <f aca="false">IF(OR(CA13="自选",,CA21=0,CA14=0),"",IF(CA18&gt;CA19,1/2*CA18*100/CA21*CA13*CA22^2/1000,1/2*CA19*100/CA21*CA13*CA22^2/1000))</f>
        <v>3.81159107967119</v>
      </c>
      <c r="CB25" s="947" t="n">
        <f aca="false">IF(OR(CB13="自选",,CB21=0,CB14=0),"",IF(CB18&gt;CB19,1/2*CB18*100/CB21*CB13*CB22^2/1000,1/2*CB19*100/CB21*CB13*CB22^2/1000))</f>
        <v>6.3869904578274</v>
      </c>
      <c r="CC25" s="947" t="n">
        <f aca="false">IF(OR(CC13="自选",,CC21=0,CC14=0),"",IF(CC18&gt;CC19,1/2*CC18*100/CC21*CC13*CC22^2/1000,1/2*CC19*100/CC21*CC13*CC22^2/1000))</f>
        <v>7.41559986804986</v>
      </c>
      <c r="CD25" s="947" t="n">
        <f aca="false">IF(OR(CD13="自选",,CD21=0,CD14=0),"",IF(CD18&gt;CD19,1/2*CD18*100/CD21*CD13*CD22^2/1000,1/2*CD19*100/CD21*CD13*CD22^2/1000))</f>
        <v>14.6983144567721</v>
      </c>
      <c r="CE25" s="947" t="n">
        <f aca="false">IF(OR(CE13="自选",,CE21=0,CE14=0),"",IF(CE18&gt;CE19,1/2*CE18*100/CE21*CE13*CE22^2/1000,1/2*CE19*100/CE21*CE13*CE22^2/1000))</f>
        <v>6.07714174316794</v>
      </c>
      <c r="CF25" s="947" t="n">
        <f aca="false">IF(OR(CF13="自选",,CF21=0,CF14=0),"",IF(CF18&gt;CF19,1/2*CF18*100/CF21*CF13*CF22^2/1000,1/2*CF19*100/CF21*CF13*CF22^2/1000))</f>
        <v>12.5921494988445</v>
      </c>
      <c r="CG25" s="947" t="n">
        <f aca="false">IF(OR(CG13="自选",,CG21=0,CG14=0),"",IF(CG18&gt;CG19,1/2*CG18*100/CG21*CG13*CG22^2/1000,1/2*CG19*100/CG21*CG13*CG22^2/1000))</f>
        <v>15.5694766344712</v>
      </c>
      <c r="CH25" s="947" t="n">
        <f aca="false">IF(OR(CH13="自选",,CH21=0,CH14=0),"",IF(CH18&gt;CH19,1/2*CH18*100/CH21*CH13*CH22^2/1000,1/2*CH19*100/CH21*CH13*CH22^2/1000))</f>
        <v>8.30863291695733</v>
      </c>
      <c r="CI25" s="947" t="n">
        <f aca="false">IF(OR(CI13="自选",,CI21=0,CI14=0),"",IF(CI18&gt;CI19,1/2*CI18*100/CI21*CI13*CI22^2/1000,1/2*CI19*100/CI21*CI13*CI22^2/1000))</f>
        <v>0.15811914522327</v>
      </c>
      <c r="CJ25" s="947" t="n">
        <f aca="false">IF(OR(CJ13="自选",,CJ21=0,CJ14=0),"",IF(CJ18&gt;CJ19,1/2*CJ18*100/CJ21*CJ13*CJ22^2/1000,1/2*CJ19*100/CJ21*CJ13*CJ22^2/1000))</f>
        <v>0.152868237247681</v>
      </c>
      <c r="CK25" s="947" t="n">
        <f aca="false">IF(OR(CK13="自选",,CK21=0,CK14=0),"",IF(CK18&gt;CK19,1/2*CK18*100/CK21*CK13*CK22^2/1000,1/2*CK19*100/CK21*CK13*CK22^2/1000))</f>
        <v>0.152471433402236</v>
      </c>
      <c r="CL25" s="947" t="n">
        <f aca="false">IF(OR(CL13="自选",,CL21=0,CL14=0),"",IF(CL18&gt;CL19,1/2*CL18*100/CL21*CL13*CL22^2/1000,1/2*CL19*100/CL21*CL13*CL22^2/1000))</f>
        <v>5.77897157741898</v>
      </c>
      <c r="CM25" s="947" t="n">
        <f aca="false">IF(OR(CM13="自选",,CM21=0,CM14=0),"",IF(CM18&gt;CM19,1/2*CM18*100/CM21*CM13*CM22^2/1000,1/2*CM19*100/CM21*CM13*CM22^2/1000))</f>
        <v>17.0110027431938</v>
      </c>
      <c r="CN25" s="947" t="n">
        <f aca="false">IF(OR(CN13="自选",,CN21=0,CN14=0),"",IF(CN18&gt;CN19,1/2*CN18*100/CN21*CN13*CN22^2/1000,1/2*CN19*100/CN21*CN13*CN22^2/1000))</f>
        <v>6.09454965814696</v>
      </c>
      <c r="CO25" s="947" t="n">
        <f aca="false">IF(OR(CO13="自选",,CO21=0,CO14=0),"",IF(CO18&gt;CO19,1/2*CO18*100/CO21*CO13*CO22^2/1000,1/2*CO19*100/CO21*CO13*CO22^2/1000))</f>
        <v>5.03802717333777</v>
      </c>
      <c r="CP25" s="947" t="n">
        <f aca="false">IF(OR(CP13="自选",,CP21=0,CP14=0),"",IF(CP18&gt;CP19,1/2*CP18*100/CP21*CP13*CP22^2/1000,1/2*CP19*100/CP21*CP13*CP22^2/1000))</f>
        <v>15.4805857457158</v>
      </c>
      <c r="CQ25" s="947" t="n">
        <f aca="false">IF(OR(CQ13="自选",,CQ21=0,CQ14=0),"",IF(CQ18&gt;CQ19,1/2*CQ18*100/CQ21*CQ13*CQ22^2/1000,1/2*CQ19*100/CQ21*CQ13*CQ22^2/1000))</f>
        <v>1.46502727289753</v>
      </c>
      <c r="CR25" s="947" t="n">
        <f aca="false">IF(OR(CR13="自选",,CR21=0,CR14=0),"",IF(CR18&gt;CR19,1/2*CR18*100/CR21*CR13*CR22^2/1000,1/2*CR19*100/CR21*CR13*CR22^2/1000))</f>
        <v>1.58275267875537</v>
      </c>
      <c r="CS25" s="947" t="n">
        <f aca="false">IF(OR(CS13="自选",,CS21=0,CS14=0),"",IF(CS18&gt;CS19,1/2*CS18*100/CS21*CS13*CS22^2/1000,1/2*CS19*100/CS21*CS13*CS22^2/1000))</f>
        <v>3.22941202247352</v>
      </c>
      <c r="CT25" s="947" t="n">
        <f aca="false">IF(OR(CT13="自选",,CT21=0,CT14=0),"",IF(CT18&gt;CT19,1/2*CT18*100/CT21*CT13*CT22^2/1000,1/2*CT19*100/CT21*CT13*CT22^2/1000))</f>
        <v>3.55235322472087</v>
      </c>
      <c r="CU25" s="947" t="n">
        <f aca="false">IF(OR(CU13="自选",,CU21=0,CU14=0),"",IF(CU18&gt;CU19,1/2*CU18*100/CU21*CU13*CU22^2/1000,1/2*CU19*100/CU21*CU13*CU22^2/1000))</f>
        <v>6.42594892342218</v>
      </c>
      <c r="CV25" s="947" t="n">
        <f aca="false">IF(OR(CV13="自选",,CV21=0,CV14=0),"",IF(CV18&gt;CV19,1/2*CV18*100/CV21*CV13*CV22^2/1000,1/2*CV19*100/CV21*CV13*CV22^2/1000))</f>
        <v>3.18422150710897</v>
      </c>
      <c r="CW25" s="947" t="n">
        <f aca="false">IF(OR(CW13="自选",,CW21=0,CW14=0),"",IF(CW18&gt;CW19,1/2*CW18*100/CW21*CW13*CW22^2/1000,1/2*CW19*100/CW21*CW13*CW22^2/1000))</f>
        <v>2.5949331784903</v>
      </c>
      <c r="CX25" s="947" t="n">
        <f aca="false">IF(OR(CX13="自选",,CX21=0,CX14=0),"",IF(CX18&gt;CX19,1/2*CX18*100/CX21*CX13*CX22^2/1000,1/2*CX19*100/CX21*CX13*CX22^2/1000))</f>
        <v>2.75262592818986</v>
      </c>
      <c r="CY25" s="947" t="n">
        <f aca="false">IF(OR(CY13="自选",,CY21=0,CY14=0),"",IF(CY18&gt;CY19,1/2*CY18*100/CY21*CY13*CY22^2/1000,1/2*CY19*100/CY21*CY13*CY22^2/1000))</f>
        <v>0.129768641530176</v>
      </c>
      <c r="CZ25" s="947" t="n">
        <f aca="false">IF(OR(CZ13="自选",,CZ21=0,CZ14=0),"",IF(CZ18&gt;CZ19,1/2*CZ18*100/CZ21*CZ13*CZ22^2/1000,1/2*CZ19*100/CZ21*CZ13*CZ22^2/1000))</f>
        <v>2.43571893396029</v>
      </c>
      <c r="DA25" s="947" t="n">
        <f aca="false">IF(OR(DA13="自选",,DA21=0,DA14=0),"",IF(DA18&gt;DA19,1/2*DA18*100/DA21*DA13*DA22^2/1000,1/2*DA19*100/DA21*DA13*DA22^2/1000))</f>
        <v>12.3833452401515</v>
      </c>
      <c r="DB25" s="947" t="n">
        <f aca="false">IF(OR(DB13="自选",,DB21=0,DB14=0),"",IF(DB18&gt;DB19,1/2*DB18*100/DB21*DB13*DB22^2/1000,1/2*DB19*100/DB21*DB13*DB22^2/1000))</f>
        <v>1.6784876882863</v>
      </c>
      <c r="DC25" s="947" t="n">
        <f aca="false">IF(OR(DC13="自选",,DC21=0,DC14=0),"",IF(DC18&gt;DC19,1/2*DC18*100/DC21*DC13*DC22^2/1000,1/2*DC19*100/DC21*DC13*DC22^2/1000))</f>
        <v>12.0987515635045</v>
      </c>
      <c r="DD25" s="947" t="n">
        <f aca="false">IF(OR(DD13="自选",,DD21=0,DD14=0),"",IF(DD18&gt;DD19,1/2*DD18*100/DD21*DD13*DD22^2/1000,1/2*DD19*100/DD21*DD13*DD22^2/1000))</f>
        <v>2.96134142866196</v>
      </c>
      <c r="DE25" s="947" t="n">
        <f aca="false">IF(OR(DE13="自选",,DE21=0,DE14=0),"",IF(DE18&gt;DE19,1/2*DE18*100/DE21*DE13*DE22^2/1000,1/2*DE19*100/DE21*DE13*DE22^2/1000))</f>
        <v>11.8918552109364</v>
      </c>
      <c r="DF25" s="947" t="n">
        <f aca="false">IF(OR(DF13="自选",,DF21=0,DF14=0),"",IF(DF18&gt;DF19,1/2*DF18*100/DF21*DF13*DF22^2/1000,1/2*DF19*100/DF21*DF13*DF22^2/1000))</f>
        <v>2.56365202010572</v>
      </c>
      <c r="DG25" s="947" t="n">
        <f aca="false">IF(OR(DG13="自选",,DG21=0,DG14=0),"",IF(DG18&gt;DG19,1/2*DG18*100/DG21*DG13*DG22^2/1000,1/2*DG19*100/DG21*DG13*DG22^2/1000))</f>
        <v>14.9152525714218</v>
      </c>
      <c r="DH25" s="947" t="n">
        <f aca="false">IF(OR(DH13="自选",,DH21=0,DH14=0),"",IF(DH18&gt;DH19,1/2*DH18*100/DH21*DH13*DH22^2/1000,1/2*DH19*100/DH21*DH13*DH22^2/1000))</f>
        <v>15.0807938466105</v>
      </c>
      <c r="DI25" s="947" t="n">
        <f aca="false">IF(OR(DI13="自选",,DI21=0,DI14=0),"",IF(DI18&gt;DI19,1/2*DI18*100/DI21*DI13*DI22^2/1000,1/2*DI19*100/DI21*DI13*DI22^2/1000))</f>
        <v>15.0848336487067</v>
      </c>
      <c r="DJ25" s="947" t="n">
        <f aca="false">IF(OR(DJ13="自选",,DJ21=0,DJ14=0),"",IF(DJ18&gt;DJ19,1/2*DJ18*100/DJ21*DJ13*DJ22^2/1000,1/2*DJ19*100/DJ21*DJ13*DJ22^2/1000))</f>
        <v>5.59361465481049</v>
      </c>
      <c r="DK25" s="947" t="n">
        <f aca="false">IF(OR(DK13="自选",,DK21=0,DK14=0),"",IF(DK18&gt;DK19,1/2*DK18*100/DK21*DK13*DK22^2/1000,1/2*DK19*100/DK21*DK13*DK22^2/1000))</f>
        <v>4.58297638634997</v>
      </c>
      <c r="DL25" s="947" t="n">
        <f aca="false">IF(OR(DL13="自选",,DL21=0,DL14=0),"",IF(DL18&gt;DL19,1/2*DL18*100/DL21*DL13*DL22^2/1000,1/2*DL19*100/DL21*DL13*DL22^2/1000))</f>
        <v>13.4838622161848</v>
      </c>
      <c r="DM25" s="947" t="n">
        <f aca="false">IF(OR(DM13="自选",,DM21=0,DM14=0),"",IF(DM18&gt;DM19,1/2*DM18*100/DM21*DM13*DM22^2/1000,1/2*DM19*100/DM21*DM13*DM22^2/1000))</f>
        <v>13.4738203057022</v>
      </c>
      <c r="DN25" s="947" t="n">
        <f aca="false">IF(OR(DN13="自选",,DN21=0,DN14=0),"",IF(DN18&gt;DN19,1/2*DN18*100/DN21*DN13*DN22^2/1000,1/2*DN19*100/DN21*DN13*DN22^2/1000))</f>
        <v>13.4986900697927</v>
      </c>
      <c r="DO25" s="947" t="n">
        <f aca="false">IF(OR(DO13="自选",,DO21=0,DO14=0),"",IF(DO18&gt;DO19,1/2*DO18*100/DO21*DO13*DO22^2/1000,1/2*DO19*100/DO21*DO13*DO22^2/1000))</f>
        <v>13.508678219137</v>
      </c>
      <c r="DP25" s="947" t="n">
        <f aca="false">IF(OR(DP13="自选",,DP21=0,DP14=0),"",IF(DP18&gt;DP19,1/2*DP18*100/DP21*DP13*DP22^2/1000,1/2*DP19*100/DP21*DP13*DP22^2/1000))</f>
        <v>21.3265436347525</v>
      </c>
      <c r="DQ25" s="947" t="n">
        <f aca="false">IF(OR(DQ13="自选",,DQ21=0,DQ14=0),"",IF(DQ18&gt;DQ19,1/2*DQ18*100/DQ21*DQ13*DQ22^2/1000,1/2*DQ19*100/DQ21*DQ13*DQ22^2/1000))</f>
        <v>21.3262120292663</v>
      </c>
      <c r="DR25" s="947" t="n">
        <f aca="false">IF(OR(DR13="自选",,DR21=0,DR14=0),"",IF(DR18&gt;DR19,1/2*DR18*100/DR21*DR13*DR22^2/1000,1/2*DR19*100/DR21*DR13*DR22^2/1000))</f>
        <v>6.60793830057616</v>
      </c>
      <c r="DS25" s="947" t="n">
        <f aca="false">IF(OR(DS13="自选",,DS21=0,DS14=0),"",IF(DS18&gt;DS19,1/2*DS18*100/DS21*DS13*DS22^2/1000,1/2*DS19*100/DS21*DS13*DS22^2/1000))</f>
        <v>2.3978705374834</v>
      </c>
      <c r="DT25" s="947" t="n">
        <f aca="false">IF(OR(DT13="自选",,DT21=0,DT14=0),"",IF(DT18&gt;DT19,1/2*DT18*100/DT21*DT13*DT22^2/1000,1/2*DT19*100/DT21*DT13*DT22^2/1000))</f>
        <v>17.0197255620622</v>
      </c>
      <c r="DU25" s="947" t="n">
        <f aca="false">IF(OR(DU13="自选",,DU21=0,DU14=0),"",IF(DU18&gt;DU19,1/2*DU18*100/DU21*DU13*DU22^2/1000,1/2*DU19*100/DU21*DU13*DU22^2/1000))</f>
        <v>17.4983027459703</v>
      </c>
      <c r="DV25" s="947" t="n">
        <f aca="false">IF(OR(DV13="自选",,DV21=0,DV14=0),"",IF(DV18&gt;DV19,1/2*DV18*100/DV21*DV13*DV22^2/1000,1/2*DV19*100/DV21*DV13*DV22^2/1000))</f>
        <v>0.587381910555801</v>
      </c>
      <c r="DW25" s="947" t="n">
        <f aca="false">IF(OR(DW13="自选",,DW21=0,DW14=0),"",IF(DW18&gt;DW19,1/2*DW18*100/DW21*DW13*DW22^2/1000,1/2*DW19*100/DW21*DW13*DW22^2/1000))</f>
        <v>0.587455846223313</v>
      </c>
      <c r="DX25" s="947" t="n">
        <f aca="false">IF(OR(DX13="自选",,DX21=0,DX14=0),"",IF(DX18&gt;DX19,1/2*DX18*100/DX21*DX13*DX22^2/1000,1/2*DX19*100/DX21*DX13*DX22^2/1000))</f>
        <v>1.46442531128833</v>
      </c>
      <c r="DY25" s="947" t="n">
        <f aca="false">IF(OR(DY13="自选",,DY21=0,DY14=0),"",IF(DY18&gt;DY19,1/2*DY18*100/DY21*DY13*DY22^2/1000,1/2*DY19*100/DY21*DY13*DY22^2/1000))</f>
        <v>14.2432121385358</v>
      </c>
      <c r="DZ25" s="947" t="n">
        <f aca="false">IF(OR(DZ13="自选",,DZ21=0,DZ14=0),"",IF(DZ18&gt;DZ19,1/2*DZ18*100/DZ21*DZ13*DZ22^2/1000,1/2*DZ19*100/DZ21*DZ13*DZ22^2/1000))</f>
        <v>12.976284965402</v>
      </c>
      <c r="EA25" s="947" t="n">
        <f aca="false">IF(OR(EA13="自选",,EA21=0,EA14=0),"",IF(EA18&gt;EA19,1/2*EA18*100/EA21*EA13*EA22^2/1000,1/2*EA19*100/EA21*EA13*EA22^2/1000))</f>
        <v>16.1548597442271</v>
      </c>
      <c r="EB25" s="947" t="n">
        <f aca="false">IF(OR(EB13="自选",,EB21=0,EB14=0),"",IF(EB18&gt;EB19,1/2*EB18*100/EB21*EB13*EB22^2/1000,1/2*EB19*100/EB21*EB13*EB22^2/1000))</f>
        <v>60.6648364817426</v>
      </c>
      <c r="EC25" s="947" t="n">
        <f aca="false">IF(OR(EC13="自选",,EC21=0,EC14=0),"",IF(EC18&gt;EC19,1/2*EC18*100/EC21*EC13*EC22^2/1000,1/2*EC19*100/EC21*EC13*EC22^2/1000))</f>
        <v>1.00720728531958</v>
      </c>
      <c r="ED25" s="947" t="n">
        <f aca="false">IF(OR(ED13="自选",,ED21=0,ED14=0),"",IF(ED18&gt;ED19,1/2*ED18*100/ED21*ED13*ED22^2/1000,1/2*ED19*100/ED21*ED13*ED22^2/1000))</f>
        <v>1.53095507368576</v>
      </c>
      <c r="EE25" s="947" t="n">
        <f aca="false">IF(OR(EE13="自选",,EE21=0,EE14=0),"",IF(EE18&gt;EE19,1/2*EE18*100/EE21*EE13*EE22^2/1000,1/2*EE19*100/EE21*EE13*EE22^2/1000))</f>
        <v>13.4651487642734</v>
      </c>
      <c r="EF25" s="947" t="n">
        <f aca="false">IF(OR(EF13="自选",,EF21=0,EF14=0),"",IF(EF18&gt;EF19,1/2*EF18*100/EF21*EF13*EF22^2/1000,1/2*EF19*100/EF21*EF13*EF22^2/1000))</f>
        <v>2.39156883362397</v>
      </c>
      <c r="EG25" s="947" t="n">
        <f aca="false">IF(OR(EG13="自选",,EG21=0,EG14=0),"",IF(EG18&gt;EG19,1/2*EG18*100/EG21*EG13*EG22^2/1000,1/2*EG19*100/EG21*EG13*EG22^2/1000))</f>
        <v>6.15584962210252</v>
      </c>
      <c r="EH25" s="947" t="n">
        <f aca="false">IF(OR(EH13="自选",,EH21=0,EH14=0),"",IF(EH18&gt;EH19,1/2*EH18*100/EH21*EH13*EH22^2/1000,1/2*EH19*100/EH21*EH13*EH22^2/1000))</f>
        <v>26.042601943768</v>
      </c>
      <c r="EI25" s="947" t="n">
        <f aca="false">IF(OR(EI13="自选",,EI21=0,EI14=0),"",IF(EI18&gt;EI19,1/2*EI18*100/EI21*EI13*EI22^2/1000,1/2*EI19*100/EI21*EI13*EI22^2/1000))</f>
        <v>39.9084414546826</v>
      </c>
      <c r="EJ25" s="947" t="n">
        <f aca="false">IF(OR(EJ13="自选",,EJ21=0,EJ14=0),"",IF(EJ18&gt;EJ19,1/2*EJ18*100/EJ21*EJ13*EJ22^2/1000,1/2*EJ19*100/EJ21*EJ13*EJ22^2/1000))</f>
        <v>0.828254961700083</v>
      </c>
      <c r="EK25" s="947" t="n">
        <f aca="false">IF(OR(EK13="自选",,EK21=0,EK14=0),"",IF(EK18&gt;EK19,1/2*EK18*100/EK21*EK13*EK22^2/1000,1/2*EK19*100/EK21*EK13*EK22^2/1000))</f>
        <v>0.709974081129319</v>
      </c>
      <c r="EL25" s="937" t="n">
        <f aca="false">IF(OR(EL13="自选",,EL21=0,EL14=0),"",IF(EL18&gt;EL19,1/2*EL18*100/EL21*EL13*EL22^2/1000,1/2*EL19*100/EL21*EL13*EL22^2/1000))</f>
        <v>1.26178830453494</v>
      </c>
      <c r="EM25" s="937" t="n">
        <f aca="false">IF(OR(EM13="自选",,EM21=0,EM14=0),"",IF(EM18&gt;EM19,1/2*EM18*100/EM21*EM13*EM22^2/1000,1/2*EM19*100/EM21*EM13*EM22^2/1000))</f>
        <v>0.826688889178063</v>
      </c>
      <c r="EN25" s="937" t="n">
        <f aca="false">IF(OR(EN13="自选",,EN21=0,EN14=0),"",IF(EN18&gt;EN19,1/2*EN18*100/EN21*EN13*EN22^2/1000,1/2*EN19*100/EN21*EN13*EN22^2/1000))</f>
        <v>0.684970793890395</v>
      </c>
      <c r="EO25" s="937" t="n">
        <f aca="false">IF(OR(EO13="自选",,EO21=0,EO14=0),"",IF(EO18&gt;EO19,1/2*EO18*100/EO21*EO13*EO22^2/1000,1/2*EO19*100/EO21*EO13*EO22^2/1000))</f>
        <v>0.684970793890395</v>
      </c>
      <c r="EP25" s="937" t="n">
        <f aca="false">IF(OR(EP13="自选",,EP21=0,EP14=0),"",IF(EP18&gt;EP19,1/2*EP18*100/EP21*EP13*EP22^2/1000,1/2*EP19*100/EP21*EP13*EP22^2/1000))</f>
        <v>0.461038034349304</v>
      </c>
      <c r="EQ25" s="937" t="n">
        <f aca="false">IF(OR(EQ13="自选",,EQ21=0,EQ14=0),"",IF(EQ18&gt;EQ19,1/2*EQ18*100/EQ21*EQ13*EQ22^2/1000,1/2*EQ19*100/EQ21*EQ13*EQ22^2/1000))</f>
        <v>0.386677061067158</v>
      </c>
      <c r="ER25" s="937" t="n">
        <f aca="false">IF(OR(ER13="自选",,ER21=0,ER14=0),"",IF(ER18&gt;ER19,1/2*ER18*100/ER21*ER13*ER22^2/1000,1/2*ER19*100/ER21*ER13*ER22^2/1000))</f>
        <v>0.386677061067158</v>
      </c>
      <c r="ES25" s="937" t="n">
        <f aca="false">IF(OR(ES13="自选",,ES21=0,ES14=0),"",IF(ES18&gt;ES19,1/2*ES18*100/ES21*ES13*ES22^2/1000,1/2*ES19*100/ES21*ES13*ES22^2/1000))</f>
        <v>0.260586715066998</v>
      </c>
      <c r="ET25" s="947" t="n">
        <f aca="false">IF(OR(ET13="自选",,ET21=0,ET14=0),"",IF(ET18&gt;ET19,1/2*ET18*100/ET21*ET13*ET22^2/1000,1/2*ET19*100/ET21*ET13*ET22^2/1000))</f>
        <v>1.37903088683602</v>
      </c>
      <c r="EU25" s="937" t="n">
        <f aca="false">IF(OR(EU13="自选",,EU21=0,EU14=0),"",IF(EU18&gt;EU19,1/2*EU18*100/EU21*EU13*EU22^2/1000,1/2*EU19*100/EU21*EU13*EU22^2/1000))</f>
        <v>0.0140484846988102</v>
      </c>
      <c r="EV25" s="937" t="n">
        <f aca="false">IF(OR(EV13="自选",,EV21=0,EV14=0),"",IF(EV18&gt;EV19,1/2*EV18*100/EV21*EV13*EV22^2/1000,1/2*EV19*100/EV21*EV13*EV22^2/1000))</f>
        <v>0.0115398267168798</v>
      </c>
      <c r="EW25" s="937" t="n">
        <f aca="false">IF(OR(EW13="自选",,EW21=0,EW14=0),"",IF(EW18&gt;EW19,1/2*EW18*100/EW21*EW13*EW22^2/1000,1/2*EW19*100/EW21*EW13*EW22^2/1000))</f>
        <v>0.0680242416995021</v>
      </c>
      <c r="EX25" s="947" t="n">
        <f aca="false">IF(OR(EX13="自选",,EX21=0,EX14=0),"",IF(EX18&gt;EX19,1/2*EX18*100/EX21*EX13*EX22^2/1000,1/2*EX19*100/EX21*EX13*EX22^2/1000))</f>
        <v>2.84135957306607</v>
      </c>
      <c r="EY25" s="947" t="n">
        <f aca="false">IF(OR(EY13="自选",,EY21=0,EY14=0),"",IF(EY18&gt;EY19,1/2*EY18*100/EY21*EY13*EY22^2/1000,1/2*EY19*100/EY21*EY13*EY22^2/1000))</f>
        <v>13.8837215479682</v>
      </c>
      <c r="EZ25" s="947" t="n">
        <f aca="false">IF(OR(EZ13="自选",,EZ21=0,EZ14=0),"",IF(EZ18&gt;EZ19,1/2*EZ18*100/EZ21*EZ13*EZ22^2/1000,1/2*EZ19*100/EZ21*EZ13*EZ22^2/1000))</f>
        <v>13.8837215479682</v>
      </c>
      <c r="FA25" s="947" t="n">
        <f aca="false">IF(OR(FA13="自选",,FA21=0,FA14=0),"",IF(FA18&gt;FA19,1/2*FA18*100/FA21*FA13*FA22^2/1000,1/2*FA19*100/FA21*FA13*FA22^2/1000))</f>
        <v>4.71477999260718</v>
      </c>
      <c r="FB25" s="947" t="n">
        <f aca="false">IF(OR(FB13="自选",,FB21=0,FB14=0),"",IF(FB18&gt;FB19,1/2*FB18*100/FB21*FB13*FB22^2/1000,1/2*FB19*100/FB21*FB13*FB22^2/1000))</f>
        <v>13.8575325989605</v>
      </c>
      <c r="FC25" s="947" t="n">
        <f aca="false">IF(OR(FC13="自选",,FC21=0,FC14=0),"",IF(FC18&gt;FC19,1/2*FC18*100/FC21*FC13*FC22^2/1000,1/2*FC19*100/FC21*FC13*FC22^2/1000))</f>
        <v>13.8575325989605</v>
      </c>
      <c r="FD25" s="947" t="n">
        <f aca="false">IF(OR(FD13="自选",,FD21=0,FD14=0),"",IF(FD18&gt;FD19,1/2*FD18*100/FD21*FD13*FD22^2/1000,1/2*FD19*100/FD21*FD13*FD22^2/1000))</f>
        <v>6.51990716224599</v>
      </c>
      <c r="FE25" s="947" t="n">
        <f aca="false">IF(OR(FE13="自选",,FE21=0,FE14=0),"",IF(FE18&gt;FE19,1/2*FE18*100/FE21*FE13*FE22^2/1000,1/2*FE19*100/FE21*FE13*FE22^2/1000))</f>
        <v>6.51498751977468</v>
      </c>
      <c r="FF25" s="947" t="n">
        <f aca="false">IF(OR(FF13="自选",,FF21=0,FF14=0),"",IF(FF18&gt;FF19,1/2*FF18*100/FF21*FF13*FF22^2/1000,1/2*FF19*100/FF21*FF13*FF22^2/1000))</f>
        <v>6.73459384066596</v>
      </c>
      <c r="FG25" s="947" t="n">
        <f aca="false">IF(OR(FG13="自选",,FG21=0,FG14=0),"",IF(FG18&gt;FG19,1/2*FG18*100/FG21*FG13*FG22^2/1000,1/2*FG19*100/FG21*FG13*FG22^2/1000))</f>
        <v>0.000247120966035097</v>
      </c>
      <c r="FH25" s="947" t="n">
        <f aca="false">IF(OR(FH13="自选",,FH21=0,FH14=0),"",IF(FH18&gt;FH19,1/2*FH18*100/FH21*FH13*FH22^2/1000,1/2*FH19*100/FH21*FH13*FH22^2/1000))</f>
        <v>0.00024734206514356</v>
      </c>
      <c r="FI25" s="947" t="n">
        <f aca="false">IF(OR(FI13="自选",,FI21=0,FI14=0),"",IF(FI18&gt;FI19,1/2*FI18*100/FI21*FI13*FI22^2/1000,1/2*FI19*100/FI21*FI13*FI22^2/1000))</f>
        <v>1.94216182026094</v>
      </c>
      <c r="FJ25" s="947" t="n">
        <f aca="false">IF(OR(FJ13="自选",,FJ21=0,FJ14=0),"",IF(FJ18&gt;FJ19,1/2*FJ18*100/FJ21*FJ13*FJ22^2/1000,1/2*FJ19*100/FJ21*FJ13*FJ22^2/1000))</f>
        <v>4.69382390691397</v>
      </c>
      <c r="FK25" s="947" t="n">
        <f aca="false">IF(OR(FK13="自选",,FK21=0,FK14=0),"",IF(FK18&gt;FK19,1/2*FK18*100/FK21*FK13*FK22^2/1000,1/2*FK19*100/FK21*FK13*FK22^2/1000))</f>
        <v>4.8378584933142</v>
      </c>
      <c r="FL25" s="947" t="n">
        <f aca="false">IF(OR(FL13="自选",,FL21=0,FL14=0),"",IF(FL18&gt;FL19,1/2*FL18*100/FL21*FL13*FL22^2/1000,1/2*FL19*100/FL21*FL13*FL22^2/1000))</f>
        <v>17.5191143866826</v>
      </c>
      <c r="FM25" s="947" t="n">
        <f aca="false">IF(OR(FM13="自选",,FM21=0,FM14=0),"",IF(FM18&gt;FM19,1/2*FM18*100/FM21*FM13*FM22^2/1000,1/2*FM19*100/FM21*FM13*FM22^2/1000))</f>
        <v>4.17512498264011</v>
      </c>
      <c r="FN25" s="947" t="n">
        <f aca="false">IF(OR(FN13="自选",,FN21=0,FN14=0),"",IF(FN18&gt;FN19,1/2*FN18*100/FN21*FN13*FN22^2/1000,1/2*FN19*100/FN21*FN13*FN22^2/1000))</f>
        <v>29.7133196120063</v>
      </c>
      <c r="FO25" s="947"/>
      <c r="FP25" s="948" t="n">
        <f aca="false">IF(FP13&lt;&gt;"",IF(OR(FP13="自选",,FP21=0,FP14=0),"",IF(FP18&gt;FP19,1/2*FP18*100/FP21*FP13*FP22^2/1000,1/2*FP19*100/FP21*FP13*FP22^2/1000)),"")</f>
        <v>5.08481430392927</v>
      </c>
      <c r="FQ25" s="948" t="n">
        <f aca="false">IF(FQ13&lt;&gt;"",IF(OR(FQ13="自选",,FQ21=0,FQ14=0),"",IF(FQ18&gt;FQ19,1/2*FQ18*100/FQ21*FQ13*FQ22^2/1000,1/2*FQ19*100/FQ21*FQ13*FQ22^2/1000)),"")</f>
        <v>11.9972055719104</v>
      </c>
      <c r="FR25" s="948" t="n">
        <f aca="false">IF(FR13&lt;&gt;"",IF(OR(FR13="自选",,FR21=0,FR14=0),"",IF(FR18&gt;FR19,1/2*FR18*100/FR21*FR13*FR22^2/1000,1/2*FR19*100/FR21*FR13*FR22^2/1000)),"")</f>
        <v>7.47598315546232</v>
      </c>
      <c r="FS25" s="948" t="n">
        <f aca="false">IF(FS13&lt;&gt;"",IF(OR(FS13="自选",,FS21=0,FS14=0),"",IF(FS18&gt;FS19,1/2*FS18*100/FS21*FS13*FS22^2/1000,1/2*FS19*100/FS21*FS13*FS22^2/1000)),"")</f>
        <v>4.19767073594538</v>
      </c>
      <c r="FT25" s="948" t="n">
        <f aca="false">IF(FT13&lt;&gt;"",IF(OR(FT13="自选",,FT21=0,FT14=0),"",IF(FT18&gt;FT19,1/2*FT18*100/FT21*FT13*FT22^2/1000,1/2*FT19*100/FT21*FT13*FT22^2/1000)),"")</f>
        <v>7.04407249342716</v>
      </c>
      <c r="FU25" s="948" t="n">
        <f aca="false">IF(FU13&lt;&gt;"",IF(OR(FU13="自选",,FU21=0,FU14=0),"",IF(FU18&gt;FU19,1/2*FU18*100/FU21*FU13*FU22^2/1000,1/2*FU19*100/FU21*FU13*FU22^2/1000)),"")</f>
        <v>4.12022110852059</v>
      </c>
      <c r="FV25" s="948" t="n">
        <f aca="false">IF(FV13&lt;&gt;"",IF(OR(FV13="自选",,FV21=0,FV14=0),"",IF(FV18&gt;FV19,1/2*FV18*100/FV21*FV13*FV22^2/1000,1/2*FV19*100/FV21*FV13*FV22^2/1000)),"")</f>
        <v>5.21523090971209</v>
      </c>
      <c r="FW25" s="948" t="n">
        <f aca="false">IF(FW13&lt;&gt;"",IF(OR(FW13="自选",,FW21=0,FW14=0),"",IF(FW18&gt;FW19,1/2*FW18*100/FW21*FW13*FW22^2/1000,1/2*FW19*100/FW21*FW13*FW22^2/1000)),"")</f>
        <v>15.3933078918693</v>
      </c>
      <c r="FX25" s="948" t="n">
        <f aca="false">IF(FX13&lt;&gt;"",IF(OR(FX13="自选",,FX21=0,FX14=0),"",IF(FX18&gt;FX19,1/2*FX18*100/FX21*FX13*FX22^2/1000,1/2*FX19*100/FX21*FX13*FX22^2/1000)),"")</f>
        <v>8.01793012809636</v>
      </c>
      <c r="FY25" s="948" t="n">
        <f aca="false">IF(FY13&lt;&gt;"",IF(OR(FY13="自选",,FY21=0,FY14=0),"",IF(FY18&gt;FY19,1/2*FY18*100/FY21*FY13*FY22^2/1000,1/2*FY19*100/FY21*FY13*FY22^2/1000)),"")</f>
        <v>9.55146875788454</v>
      </c>
      <c r="FZ25" s="948" t="n">
        <f aca="false">IF(FZ13&lt;&gt;"",IF(OR(FZ13="自选",,FZ21=0,FZ14=0),"",IF(FZ18&gt;FZ19,1/2*FZ18*100/FZ21*FZ13*FZ22^2/1000,1/2*FZ19*100/FZ21*FZ13*FZ22^2/1000)),"")</f>
        <v>1.83897962878813</v>
      </c>
      <c r="GA25" s="948" t="n">
        <f aca="false">IF(GA13&lt;&gt;"",IF(OR(GA13="自选",,GA21=0,GA14=0),"",IF(GA18&gt;GA19,1/2*GA18*100/GA21*GA13*GA22^2/1000,1/2*GA19*100/GA21*GA13*GA22^2/1000)),"")</f>
        <v>4.77391038553466</v>
      </c>
      <c r="GB25" s="948" t="n">
        <f aca="false">IF(GB13&lt;&gt;"",IF(OR(GB13="自选",,GB21=0,GB14=0),"",IF(GB18&gt;GB19,1/2*GB18*100/GB21*GB13*GB22^2/1000,1/2*GB19*100/GB21*GB13*GB22^2/1000)),"")</f>
        <v>7.90139540725039</v>
      </c>
      <c r="GC25" s="948" t="n">
        <f aca="false">IF(GC13&lt;&gt;"",IF(OR(GC13="自选",,GC21=0,GC14=0),"",IF(GC18&gt;GC19,1/2*GC18*100/GC21*GC13*GC22^2/1000,1/2*GC19*100/GC21*GC13*GC22^2/1000)),"")</f>
        <v>6.61487013009716</v>
      </c>
      <c r="GD25" s="948" t="n">
        <f aca="false">IF(GD13&lt;&gt;"",IF(OR(GD13="自选",,GD21=0,GD14=0),"",IF(GD18&gt;GD19,1/2*GD18*100/GD21*GD13*GD22^2/1000,1/2*GD19*100/GD21*GD13*GD22^2/1000)),"")</f>
        <v>3.43394197321436</v>
      </c>
      <c r="GE25" s="948" t="n">
        <f aca="false">IF(GE13&lt;&gt;"",IF(OR(GE13="自选",,GE21=0,GE14=0),"",IF(GE18&gt;GE19,1/2*GE18*100/GE21*GE13*GE22^2/1000,1/2*GE19*100/GE21*GE13*GE22^2/1000)),"")</f>
        <v>4.39721256550557</v>
      </c>
      <c r="GF25" s="948" t="n">
        <f aca="false">IF(GF13&lt;&gt;"",IF(OR(GF13="自选",,GF21=0,GF14=0),"",IF(GF18&gt;GF19,1/2*GF18*100/GF21*GF13*GF22^2/1000,1/2*GF19*100/GF21*GF13*GF22^2/1000)),"")</f>
        <v>4.55716222310561</v>
      </c>
      <c r="GG25" s="948" t="n">
        <f aca="false">IF(GG13&lt;&gt;"",IF(OR(GG13="自选",,GG21=0,GG14=0),"",IF(GG18&gt;GG19,1/2*GG18*100/GG21*GG13*GG22^2/1000,1/2*GG19*100/GG21*GG13*GG22^2/1000)),"")</f>
        <v>13.5156942584283</v>
      </c>
      <c r="GH25" s="948"/>
      <c r="GI25" s="939"/>
      <c r="GJ25" s="939"/>
      <c r="GK25" s="939"/>
      <c r="GL25" s="939"/>
      <c r="GM25" s="939"/>
      <c r="GN25" s="939"/>
      <c r="GO25" s="939"/>
      <c r="GP25" s="939"/>
      <c r="GQ25" s="939"/>
      <c r="GR25" s="939"/>
      <c r="GS25" s="939"/>
      <c r="GT25" s="939"/>
      <c r="GU25" s="939"/>
      <c r="GV25" s="939"/>
      <c r="GW25" s="939"/>
      <c r="GX25" s="939"/>
      <c r="GY25" s="939"/>
      <c r="GZ25" s="939"/>
      <c r="HA25" s="939"/>
      <c r="HB25" s="939"/>
      <c r="HC25" s="939"/>
      <c r="HD25" s="939"/>
      <c r="HE25" s="939"/>
      <c r="HF25" s="939"/>
      <c r="HG25" s="939"/>
      <c r="HH25" s="939"/>
      <c r="HI25" s="939"/>
      <c r="HJ25" s="939"/>
      <c r="HK25" s="939"/>
      <c r="HL25" s="939"/>
      <c r="HM25" s="939"/>
      <c r="HN25" s="939"/>
      <c r="HO25" s="939"/>
      <c r="HP25" s="939"/>
      <c r="HQ25" s="939"/>
      <c r="HR25" s="939"/>
      <c r="HS25" s="939"/>
      <c r="HT25" s="939"/>
      <c r="HU25" s="939"/>
      <c r="HV25" s="939"/>
      <c r="HW25" s="939"/>
      <c r="HX25" s="939"/>
      <c r="HY25" s="939"/>
      <c r="HZ25" s="939"/>
      <c r="IA25" s="939"/>
      <c r="IB25" s="939"/>
      <c r="IC25" s="939"/>
      <c r="ID25" s="939"/>
      <c r="IE25" s="939"/>
      <c r="IF25" s="939"/>
      <c r="IG25" s="939"/>
      <c r="IH25" s="939"/>
      <c r="II25" s="939"/>
      <c r="IJ25" s="939"/>
      <c r="IK25" s="939"/>
      <c r="IL25" s="939"/>
      <c r="IM25" s="939"/>
      <c r="IN25" s="939"/>
      <c r="IO25" s="939"/>
      <c r="IP25" s="939"/>
      <c r="IQ25" s="939"/>
      <c r="IR25" s="939"/>
      <c r="IS25" s="939"/>
      <c r="IT25" s="939"/>
      <c r="IU25" s="939"/>
      <c r="IV25" s="939"/>
      <c r="IW25" s="939"/>
      <c r="IX25" s="939"/>
      <c r="IY25" s="939"/>
      <c r="IZ25" s="939"/>
      <c r="JA25" s="939"/>
      <c r="JB25" s="939"/>
      <c r="JC25" s="939"/>
      <c r="JD25" s="939"/>
      <c r="JE25" s="939"/>
      <c r="JF25" s="939"/>
      <c r="JG25" s="939"/>
      <c r="JH25" s="939"/>
      <c r="JI25" s="939"/>
      <c r="JK25" s="939"/>
      <c r="JM25" s="939"/>
    </row>
    <row r="26" customFormat="false" ht="18.75" hidden="false" customHeight="false" outlineLevel="0" collapsed="false">
      <c r="A26" s="946" t="s">
        <v>1539</v>
      </c>
      <c r="B26" s="946" t="s">
        <v>1538</v>
      </c>
      <c r="C26" s="947" t="str">
        <f aca="false">GETDROP(C9,C5,C6,C8,C17)</f>
        <v>45～50</v>
      </c>
      <c r="D26" s="947" t="e">
        <f aca="false">GETDROP(D9,D5,D6,D8,D17)</f>
        <v>#VALUE!</v>
      </c>
      <c r="E26" s="936" t="str">
        <f aca="false">GETDROP(E9,E5,E6,E8,E17)</f>
        <v>45～50</v>
      </c>
      <c r="F26" s="936" t="e">
        <f aca="false">GETDROP(F9,F5,F6,F8,F17)</f>
        <v>#VALUE!</v>
      </c>
      <c r="G26" s="936" t="str">
        <f aca="false">GETDROP(G9,G5,G6,G8,G17)</f>
        <v>45～50</v>
      </c>
      <c r="H26" s="947" t="e">
        <f aca="false">GETDROP(H9,H5,H6,H8,H17)</f>
        <v>#VALUE!</v>
      </c>
      <c r="I26" s="947" t="e">
        <f aca="false">GETDROP(I9,I5,I6,I8,I17)</f>
        <v>#VALUE!</v>
      </c>
      <c r="J26" s="947" t="str">
        <f aca="false">GETDROP(J9,J5,J6,J8,J17)</f>
        <v>10～11</v>
      </c>
      <c r="K26" s="947" t="str">
        <f aca="false">GETDROP(K9,K5,K6,K8,K17)</f>
        <v>10～11</v>
      </c>
      <c r="L26" s="947" t="e">
        <f aca="false">GETDROP(L9,L5,L6,L8,L17)</f>
        <v>#VALUE!</v>
      </c>
      <c r="M26" s="947" t="e">
        <f aca="false">GETDROP(M9,M5,M6,M8,M17)</f>
        <v>#VALUE!</v>
      </c>
      <c r="N26" s="947" t="e">
        <f aca="false">GETDROP(N9,N5,N6,N8,N17)</f>
        <v>#VALUE!</v>
      </c>
      <c r="O26" s="947" t="e">
        <f aca="false">GETDROP(O9,O5,O6,O8,O17)</f>
        <v>#VALUE!</v>
      </c>
      <c r="P26" s="947" t="e">
        <f aca="false">GETDROP(P9,P5,P6,P8,P17)</f>
        <v>#VALUE!</v>
      </c>
      <c r="Q26" s="947" t="e">
        <f aca="false">GETDROP(Q9,Q5,Q6,Q8,Q17)</f>
        <v>#VALUE!</v>
      </c>
      <c r="R26" s="947" t="e">
        <f aca="false">GETDROP(R9,R5,R6,R8,R17)</f>
        <v>#VALUE!</v>
      </c>
      <c r="S26" s="947" t="str">
        <f aca="false">GETDROP(S9,S5,S6,S8,S17)</f>
        <v>45～50</v>
      </c>
      <c r="T26" s="947" t="str">
        <f aca="false">GETDROP(T9,T5,T6,T8,T17)</f>
        <v>45～50</v>
      </c>
      <c r="U26" s="947" t="str">
        <f aca="false">GETDROP(U9,U5,U6,U8,U17)</f>
        <v>45～50</v>
      </c>
      <c r="V26" s="947" t="e">
        <f aca="false">GETDROP(V9,V5,V6,V8,V17)</f>
        <v>#VALUE!</v>
      </c>
      <c r="W26" s="947" t="e">
        <f aca="false">#NAME?</f>
        <v>#NAME?</v>
      </c>
      <c r="X26" s="947" t="e">
        <f aca="false">#NAME?</f>
        <v>#NAME?</v>
      </c>
      <c r="Y26" s="947" t="e">
        <f aca="false">GETDROP(Y9,Y5,Y6,Y8,Y17)</f>
        <v>#VALUE!</v>
      </c>
      <c r="Z26" s="947" t="e">
        <f aca="false">GETDROP(Z9,Z5,Z6,Z8,Z17)</f>
        <v>#VALUE!</v>
      </c>
      <c r="AA26" s="947" t="str">
        <f aca="false">GETDROP(AA9,AA5,AA6,AA8,AA17)</f>
        <v>20～22</v>
      </c>
      <c r="AB26" s="947" t="str">
        <f aca="false">GETDROP(AB9,AB5,AB6,AB8,AB17)</f>
        <v>20～22</v>
      </c>
      <c r="AC26" s="947" t="e">
        <f aca="false">GETDROP(AC9,AC5,AC6,AC8,AC17)</f>
        <v>#VALUE!</v>
      </c>
      <c r="AD26" s="947" t="e">
        <f aca="false">GETDROP(AD9,AD5,AD6,AD8,AD17)</f>
        <v>#VALUE!</v>
      </c>
      <c r="AE26" s="947" t="e">
        <f aca="false">GETDROP(AE9,AE5,AE6,AE8,AE17)</f>
        <v>#VALUE!</v>
      </c>
      <c r="AF26" s="947" t="e">
        <f aca="false">GETDROP(AF9,AF5,AF6,AF8,AF17)</f>
        <v>#VALUE!</v>
      </c>
      <c r="AG26" s="947" t="e">
        <f aca="false">GETDROP(AG9,AG5,AG6,AG8,AG17)</f>
        <v>#VALUE!</v>
      </c>
      <c r="AH26" s="947" t="e">
        <f aca="false">GETDROP(AH9,AH5,AH6,AH8,AH17)</f>
        <v>#VALUE!</v>
      </c>
      <c r="AI26" s="947" t="e">
        <f aca="false">GETDROP(AI9,AI5,AI6,AI8,AI17)</f>
        <v>#VALUE!</v>
      </c>
      <c r="AJ26" s="947" t="e">
        <f aca="false">GETDROP(AJ9,AJ5,AJ6,AJ8,AJ17)</f>
        <v>#VALUE!</v>
      </c>
      <c r="AK26" s="947" t="e">
        <f aca="false">GETDROP(AK9,AK5,AK6,AK8,AK17)</f>
        <v>#VALUE!</v>
      </c>
      <c r="AL26" s="947" t="e">
        <f aca="false">GETDROP(AL9,AL5,AL6,AL8,AL17)</f>
        <v>#VALUE!</v>
      </c>
      <c r="AM26" s="947" t="e">
        <f aca="false">GETDROP(AM9,AM5,AM6,AM8,AM17)</f>
        <v>#VALUE!</v>
      </c>
      <c r="AN26" s="947" t="e">
        <f aca="false">GETDROP(AN9,AN5,AN6,AN8,AN17)</f>
        <v>#VALUE!</v>
      </c>
      <c r="AO26" s="947" t="e">
        <f aca="false">GETDROP(AO9,AO5,AO6,AO8,AO17)</f>
        <v>#VALUE!</v>
      </c>
      <c r="AP26" s="947" t="e">
        <f aca="false">GETDROP(AP9,AP5,AP6,AP8,AP17)</f>
        <v>#VALUE!</v>
      </c>
      <c r="AQ26" s="947" t="e">
        <f aca="false">GETDROP(AQ9,AQ5,AQ6,AQ8,AQ17)</f>
        <v>#VALUE!</v>
      </c>
      <c r="AR26" s="947" t="e">
        <f aca="false">GETDROP(AR9,AR5,AR6,AR8,AR17)</f>
        <v>#VALUE!</v>
      </c>
      <c r="AS26" s="947" t="e">
        <f aca="false">GETDROP(AS9,AS5,AS6,AS8,AS17)</f>
        <v>#VALUE!</v>
      </c>
      <c r="AT26" s="947" t="str">
        <f aca="false">GETDROP(AT9,AT5,AT6,AT8,AT17)</f>
        <v>气液两相，自选</v>
      </c>
      <c r="AU26" s="947" t="e">
        <f aca="false">GETDROP(AU9,AU5,AU6,AU8,AU17)</f>
        <v>#VALUE!</v>
      </c>
      <c r="AV26" s="947" t="e">
        <f aca="false">GETDROP(AV9,AV5,AV6,AV8,AV17)</f>
        <v>#VALUE!</v>
      </c>
      <c r="AW26" s="947" t="e">
        <f aca="false">GETDROP(AW9,AW5,AW6,AW8,AW17)</f>
        <v>#VALUE!</v>
      </c>
      <c r="AX26" s="947" t="str">
        <f aca="false">GETDROP(AX9,AX5,AX6,AX8,AX17)</f>
        <v>10～11</v>
      </c>
      <c r="AY26" s="947" t="e">
        <f aca="false">GETDROP(AY9,AY5,AY6,AY8,AY17)</f>
        <v>#VALUE!</v>
      </c>
      <c r="AZ26" s="947" t="e">
        <f aca="false">GETDROP(AZ9,AZ5,AZ6,AZ8,AZ17)</f>
        <v>#VALUE!</v>
      </c>
      <c r="BA26" s="947" t="str">
        <f aca="false">GETDROP(BA9,BA5,BA6,BA8,BA17)</f>
        <v>气液两相，自选</v>
      </c>
      <c r="BB26" s="947" t="str">
        <f aca="false">GETDROP(BB9,BB5,BB6,BB8,BB17)</f>
        <v>气液两相，自选</v>
      </c>
      <c r="BC26" s="947" t="str">
        <f aca="false">GETDROP(BC9,BC5,BC6,BC8,BC17)</f>
        <v>气液两相，自选</v>
      </c>
      <c r="BD26" s="947" t="str">
        <f aca="false">GETDROP(BD9,BD5,BD6,BD8,BD17)</f>
        <v>气液两相，自选</v>
      </c>
      <c r="BE26" s="947" t="str">
        <f aca="false">GETDROP(BE9,BE5,BE6,BE8,BE17)</f>
        <v>气液两相，自选</v>
      </c>
      <c r="BF26" s="947" t="str">
        <f aca="false">GETDROP(BF9,BF5,BF6,BF8,BF17)</f>
        <v>10～11</v>
      </c>
      <c r="BG26" s="947" t="str">
        <f aca="false">GETDROP(BG9,BG5,BG6,BG8,BG17)</f>
        <v>10～11</v>
      </c>
      <c r="BH26" s="947" t="str">
        <f aca="false">GETDROP(BH9,BH5,BH6,BH8,BH17)</f>
        <v>气液两相，自选</v>
      </c>
      <c r="BI26" s="947" t="str">
        <f aca="false">GETDROP(BI9,BI5,BI6,BI8,BI17)</f>
        <v>气液两相，自选</v>
      </c>
      <c r="BJ26" s="947" t="e">
        <f aca="false">GETDROP(BJ9,BJ5,BJ6,BJ8,BJ17)</f>
        <v>#VALUE!</v>
      </c>
      <c r="BK26" s="947" t="e">
        <f aca="false">GETDROP(BK9,BK5,BK6,BK8,BK17)</f>
        <v>#VALUE!</v>
      </c>
      <c r="BL26" s="947" t="e">
        <f aca="false">GETDROP(BL9,BL5,BL6,BL8,BL17)</f>
        <v>#VALUE!</v>
      </c>
      <c r="BM26" s="947" t="str">
        <f aca="false">GETDROP(BM9,BM5,BM6,BM8,BM17)</f>
        <v>气液两相，自选</v>
      </c>
      <c r="BN26" s="947" t="str">
        <f aca="false">GETDROP(BN9,BN5,BN6,BN8,BN17)</f>
        <v>10～11</v>
      </c>
      <c r="BO26" s="947" t="str">
        <f aca="false">GETDROP(BO9,BO5,BO6,BO8,BO17)</f>
        <v>10～11</v>
      </c>
      <c r="BP26" s="947" t="str">
        <f aca="false">GETDROP(BP9,BP5,BP6,BP8,BP17)</f>
        <v>10～11</v>
      </c>
      <c r="BQ26" s="947" t="str">
        <f aca="false">GETDROP(BQ9,BQ5,BQ6,BQ8,BQ17)</f>
        <v>10～11</v>
      </c>
      <c r="BR26" s="947" t="str">
        <f aca="false">GETDROP(BR9,BR5,BR6,BR8,BR17)</f>
        <v>45～50</v>
      </c>
      <c r="BS26" s="947" t="str">
        <f aca="false">GETDROP(BS9,BS5,BS6,BS8,BS17)</f>
        <v>45～50</v>
      </c>
      <c r="BT26" s="947" t="str">
        <f aca="false">GETDROP(BT9,BT5,BT6,BT8,BT17)</f>
        <v>45～50</v>
      </c>
      <c r="BU26" s="947" t="e">
        <f aca="false">GETDROP(BU9,BU5,BU6,BU8,BU17)</f>
        <v>#VALUE!</v>
      </c>
      <c r="BV26" s="947" t="str">
        <f aca="false">GETDROP(BV9,BV5,BV6,BV8,BV17)</f>
        <v>气液两相，自选</v>
      </c>
      <c r="BW26" s="947" t="str">
        <f aca="false">GETDROP(BW9,BW5,BW6,BW8,BW17)</f>
        <v>10～11</v>
      </c>
      <c r="BX26" s="947" t="str">
        <f aca="false">GETDROP(BX9,BX5,BX6,BX8,BX17)</f>
        <v>气液两相，自选</v>
      </c>
      <c r="BY26" s="947" t="str">
        <f aca="false">GETDROP(BY9,BY5,BY6,BY8,BY17)</f>
        <v>气液两相，自选</v>
      </c>
      <c r="BZ26" s="947" t="str">
        <f aca="false">GETDROP(BZ9,BZ5,BZ6,BZ8,BZ17)</f>
        <v>气液两相，自选</v>
      </c>
      <c r="CA26" s="947" t="e">
        <f aca="false">GETDROP(CA9,CA5,CA6,CA8,CA17)</f>
        <v>#VALUE!</v>
      </c>
      <c r="CB26" s="947" t="e">
        <f aca="false">GETDROP(CB9,CB5,CB6,CB8,CB17)</f>
        <v>#VALUE!</v>
      </c>
      <c r="CC26" s="947" t="str">
        <f aca="false">GETDROP(CC9,CC5,CC6,CC8,CC17)</f>
        <v>10～11</v>
      </c>
      <c r="CD26" s="947" t="e">
        <f aca="false">GETDROP(CD9,CD5,CD6,CD8,CD17)</f>
        <v>#VALUE!</v>
      </c>
      <c r="CE26" s="947" t="e">
        <f aca="false">GETDROP(CE9,CE5,CE6,CE8,CE17)</f>
        <v>#VALUE!</v>
      </c>
      <c r="CF26" s="947" t="e">
        <f aca="false">GETDROP(CF9,CF5,CF6,CF8,CF17)</f>
        <v>#VALUE!</v>
      </c>
      <c r="CG26" s="947" t="e">
        <f aca="false">GETDROP(CG9,CG5,CG6,CG8,CG17)</f>
        <v>#VALUE!</v>
      </c>
      <c r="CH26" s="947" t="e">
        <f aca="false">GETDROP(CH9,CH5,CH6,CH8,CH17)</f>
        <v>#VALUE!</v>
      </c>
      <c r="CI26" s="947" t="str">
        <f aca="false">GETDROP(CI9,CI5,CI6,CI8,CI17)</f>
        <v>气液两相，自选</v>
      </c>
      <c r="CJ26" s="947" t="str">
        <f aca="false">GETDROP(CJ9,CJ5,CJ6,CJ8,CJ17)</f>
        <v>气液两相，自选</v>
      </c>
      <c r="CK26" s="947" t="str">
        <f aca="false">GETDROP(CK9,CK5,CK6,CK8,CK17)</f>
        <v>气液两相，自选</v>
      </c>
      <c r="CL26" s="947" t="str">
        <f aca="false">GETDROP(CL9,CL5,CL6,CL8,CL17)</f>
        <v>10～11</v>
      </c>
      <c r="CM26" s="947" t="str">
        <f aca="false">GETDROP(CM9,CM5,CM6,CM8,CM17)</f>
        <v>45～50</v>
      </c>
      <c r="CN26" s="947" t="str">
        <f aca="false">GETDROP(CN9,CN5,CN6,CN8,CN17)</f>
        <v>45～50</v>
      </c>
      <c r="CO26" s="947" t="str">
        <f aca="false">GETDROP(CO9,CO5,CO6,CO8,CO17)</f>
        <v>45～50</v>
      </c>
      <c r="CP26" s="947" t="str">
        <f aca="false">GETDROP(CP9,CP5,CP6,CP8,CP17)</f>
        <v>10～11</v>
      </c>
      <c r="CQ26" s="947" t="e">
        <f aca="false">GETDROP(CQ9,CQ5,CQ6,CQ8,CQ17)</f>
        <v>#VALUE!</v>
      </c>
      <c r="CR26" s="947" t="e">
        <f aca="false">GETDROP(CR9,CR5,CR6,CR8,CR17)</f>
        <v>#VALUE!</v>
      </c>
      <c r="CS26" s="947" t="e">
        <f aca="false">GETDROP(CS9,CS5,CS6,CS8,CS17)</f>
        <v>#VALUE!</v>
      </c>
      <c r="CT26" s="947" t="e">
        <f aca="false">GETDROP(CT9,CT5,CT6,CT8,CT17)</f>
        <v>#VALUE!</v>
      </c>
      <c r="CU26" s="947" t="e">
        <f aca="false">GETDROP(CU9,CU5,CU6,CU8,CU17)</f>
        <v>#VALUE!</v>
      </c>
      <c r="CV26" s="947" t="e">
        <f aca="false">GETDROP(CV9,CV5,CV6,CV8,CV17)</f>
        <v>#VALUE!</v>
      </c>
      <c r="CW26" s="947" t="e">
        <f aca="false">GETDROP(CW9,CW5,CW6,CW8,CW17)</f>
        <v>#VALUE!</v>
      </c>
      <c r="CX26" s="947" t="e">
        <f aca="false">GETDROP(CX9,CX5,CX6,CX8,CX17)</f>
        <v>#VALUE!</v>
      </c>
      <c r="CY26" s="947" t="str">
        <f aca="false">GETDROP(CY9,CY5,CY6,CY8,CY17)</f>
        <v>10～11</v>
      </c>
      <c r="CZ26" s="947" t="str">
        <f aca="false">GETDROP(CZ9,CZ5,CZ6,CZ8,CZ17)</f>
        <v>10～11</v>
      </c>
      <c r="DA26" s="947" t="e">
        <f aca="false">GETDROP(DA9,DA5,DA6,DA8,DA17)</f>
        <v>#VALUE!</v>
      </c>
      <c r="DB26" s="947" t="e">
        <f aca="false">GETDROP(DB9,DB5,DB6,DB8,DB17)</f>
        <v>#VALUE!</v>
      </c>
      <c r="DC26" s="947" t="str">
        <f aca="false">GETDROP(DC9,DC5,DC6,DC8,DC17)</f>
        <v>10～11</v>
      </c>
      <c r="DD26" s="947" t="str">
        <f aca="false">GETDROP(DD9,DD5,DD6,DD8,DD17)</f>
        <v>10～11</v>
      </c>
      <c r="DE26" s="947" t="str">
        <f aca="false">GETDROP(DE9,DE5,DE6,DE8,DE17)</f>
        <v>45～50</v>
      </c>
      <c r="DF26" s="947" t="str">
        <f aca="false">GETDROP(DF9,DF5,DF6,DF8,DF17)</f>
        <v>45～50</v>
      </c>
      <c r="DG26" s="947" t="str">
        <f aca="false">GETDROP(DG9,DG5,DG6,DG8,DG17)</f>
        <v>45～50</v>
      </c>
      <c r="DH26" s="947" t="str">
        <f aca="false">GETDROP(DH9,DH5,DH6,DH8,DH17)</f>
        <v>45～50</v>
      </c>
      <c r="DI26" s="947" t="str">
        <f aca="false">GETDROP(DI9,DI5,DI6,DI8,DI17)</f>
        <v>45～50</v>
      </c>
      <c r="DJ26" s="947" t="str">
        <f aca="false">GETDROP(DJ9,DJ5,DJ6,DJ8,DJ17)</f>
        <v>45～50</v>
      </c>
      <c r="DK26" s="947" t="str">
        <f aca="false">GETDROP(DK9,DK5,DK6,DK8,DK17)</f>
        <v>10～11</v>
      </c>
      <c r="DL26" s="947" t="e">
        <f aca="false">GETDROP(DL9,DL5,DL6,DL8,DL17)</f>
        <v>#VALUE!</v>
      </c>
      <c r="DM26" s="947" t="e">
        <f aca="false">GETDROP(DM9,DM5,DM6,DM8,DM17)</f>
        <v>#VALUE!</v>
      </c>
      <c r="DN26" s="947" t="e">
        <f aca="false">GETDROP(DN9,DN5,DN6,DN8,DN17)</f>
        <v>#VALUE!</v>
      </c>
      <c r="DO26" s="947" t="e">
        <f aca="false">GETDROP(DO9,DO5,DO6,DO8,DO17)</f>
        <v>#VALUE!</v>
      </c>
      <c r="DP26" s="947" t="str">
        <f aca="false">GETDROP(DP9,DP5,DP6,DP8,DP17)</f>
        <v>10～11</v>
      </c>
      <c r="DQ26" s="947" t="str">
        <f aca="false">GETDROP(DQ9,DQ5,DQ6,DQ8,DQ17)</f>
        <v>10～11</v>
      </c>
      <c r="DR26" s="947" t="e">
        <f aca="false">GETDROP(DR9,DR5,DR6,DR8,DR17)</f>
        <v>#VALUE!</v>
      </c>
      <c r="DS26" s="947" t="str">
        <f aca="false">GETDROP(DS9,DS5,DS6,DS8,DS17)</f>
        <v>10～11</v>
      </c>
      <c r="DT26" s="947" t="str">
        <f aca="false">GETDROP(DT9,DT5,DT6,DT8,DT17)</f>
        <v>45～50</v>
      </c>
      <c r="DU26" s="947" t="str">
        <f aca="false">GETDROP(DU9,DU5,DU6,DU8,DU17)</f>
        <v>45～50</v>
      </c>
      <c r="DV26" s="947" t="str">
        <f aca="false">GETDROP(DV9,DV5,DV6,DV8,DV17)</f>
        <v>45～50</v>
      </c>
      <c r="DW26" s="947" t="str">
        <f aca="false">GETDROP(DW9,DW5,DW6,DW8,DW17)</f>
        <v>45～50</v>
      </c>
      <c r="DX26" s="947" t="str">
        <f aca="false">GETDROP(DX9,DX5,DX6,DX8,DX17)</f>
        <v>45～50</v>
      </c>
      <c r="DY26" s="947" t="str">
        <f aca="false">GETDROP(DY9,DY5,DY6,DY8,DY17)</f>
        <v>45～50</v>
      </c>
      <c r="DZ26" s="947" t="str">
        <f aca="false">GETDROP(DZ9,DZ5,DZ6,DZ8,DZ17)</f>
        <v>45～50</v>
      </c>
      <c r="EA26" s="947" t="str">
        <f aca="false">GETDROP(EA9,EA5,EA6,EA8,EA17)</f>
        <v>10～11</v>
      </c>
      <c r="EB26" s="947" t="e">
        <f aca="false">GETDROP(EB9,EB5,EB6,EB8,EB17)</f>
        <v>#VALUE!</v>
      </c>
      <c r="EC26" s="947" t="e">
        <f aca="false">GETDROP(EC9,EC5,EC6,EC8,EC17)</f>
        <v>#VALUE!</v>
      </c>
      <c r="ED26" s="947" t="e">
        <f aca="false">GETDROP(ED9,ED5,ED6,ED8,ED17)</f>
        <v>#VALUE!</v>
      </c>
      <c r="EE26" s="947" t="e">
        <f aca="false">GETDROP(EE9,EE5,EE6,EE8,EE17)</f>
        <v>#VALUE!</v>
      </c>
      <c r="EF26" s="947" t="e">
        <f aca="false">GETDROP(EF9,EF5,EF6,EF8,EF17)</f>
        <v>#VALUE!</v>
      </c>
      <c r="EG26" s="947" t="e">
        <f aca="false">GETDROP(EG9,EG5,EG6,EG8,EG17)</f>
        <v>#VALUE!</v>
      </c>
      <c r="EH26" s="947" t="e">
        <f aca="false">GETDROP(EH9,EH5,EH6,EH8,EH17)</f>
        <v>#VALUE!</v>
      </c>
      <c r="EI26" s="947" t="e">
        <f aca="false">GETDROP(EI9,EI5,EI6,EI8,EI17)</f>
        <v>#VALUE!</v>
      </c>
      <c r="EJ26" s="947" t="e">
        <f aca="false">GETDROP(EJ9,EJ5,EJ6,EJ8,EJ17)</f>
        <v>#VALUE!</v>
      </c>
      <c r="EK26" s="947" t="e">
        <f aca="false">GETDROP(EK9,EK5,EK6,EK8,EK17)</f>
        <v>#VALUE!</v>
      </c>
      <c r="EL26" s="937" t="e">
        <f aca="false">GETDROP(EL9,EL5,EL6,EL8,EL17)</f>
        <v>#VALUE!</v>
      </c>
      <c r="EM26" s="937" t="e">
        <f aca="false">GETDROP(EM9,EM5,EM6,EM8,EM17)</f>
        <v>#VALUE!</v>
      </c>
      <c r="EN26" s="937" t="e">
        <f aca="false">GETDROP(EN9,EN5,EN6,EN8,EN17)</f>
        <v>#VALUE!</v>
      </c>
      <c r="EO26" s="937" t="e">
        <f aca="false">GETDROP(EO9,EO5,EO6,EO8,EO17)</f>
        <v>#VALUE!</v>
      </c>
      <c r="EP26" s="937" t="e">
        <f aca="false">GETDROP(EP9,EP5,EP6,EP8,EP17)</f>
        <v>#VALUE!</v>
      </c>
      <c r="EQ26" s="937" t="e">
        <f aca="false">GETDROP(EQ9,EQ5,EQ6,EQ8,EQ17)</f>
        <v>#VALUE!</v>
      </c>
      <c r="ER26" s="937" t="e">
        <f aca="false">GETDROP(ER9,ER5,ER6,ER8,ER17)</f>
        <v>#VALUE!</v>
      </c>
      <c r="ES26" s="937" t="e">
        <f aca="false">GETDROP(ES9,ES5,ES6,ES8,ES17)</f>
        <v>#VALUE!</v>
      </c>
      <c r="ET26" s="947" t="e">
        <f aca="false">GETDROP(ET9,ET5,ET6,ET8,ET17)</f>
        <v>#VALUE!</v>
      </c>
      <c r="EU26" s="937" t="e">
        <f aca="false">GETDROP(EU9,EU5,EU6,EU8,EU17)</f>
        <v>#VALUE!</v>
      </c>
      <c r="EV26" s="937" t="e">
        <f aca="false">GETDROP(EV9,EV5,EV6,EV8,EV17)</f>
        <v>#VALUE!</v>
      </c>
      <c r="EW26" s="937" t="e">
        <f aca="false">GETDROP(EW9,EW5,EW6,EW8,EW17)</f>
        <v>#VALUE!</v>
      </c>
      <c r="EX26" s="947" t="e">
        <f aca="false">GETDROP(EX9,EX5,EX6,EX8,EX17)</f>
        <v>#VALUE!</v>
      </c>
      <c r="EY26" s="947" t="str">
        <f aca="false">GETDROP(EY9,EY5,EY6,EY8,EY17)</f>
        <v>10～11</v>
      </c>
      <c r="EZ26" s="947" t="str">
        <f aca="false">GETDROP(EZ9,EZ5,EZ6,EZ8,EZ17)</f>
        <v>10～11</v>
      </c>
      <c r="FA26" s="947" t="str">
        <f aca="false">GETDROP(FA9,FA5,FA6,FA8,FA17)</f>
        <v>10～11</v>
      </c>
      <c r="FB26" s="947" t="e">
        <f aca="false">GETDROP(FB9,FB5,FB6,FB8,FB17)</f>
        <v>#VALUE!</v>
      </c>
      <c r="FC26" s="947" t="e">
        <f aca="false">GETDROP(FC9,FC5,FC6,FC8,FC17)</f>
        <v>#VALUE!</v>
      </c>
      <c r="FD26" s="947" t="e">
        <f aca="false">GETDROP(FD9,FD5,FD6,FD8,FD17)</f>
        <v>#VALUE!</v>
      </c>
      <c r="FE26" s="947" t="e">
        <f aca="false">GETDROP(FE9,FE5,FE6,FE8,FE17)</f>
        <v>#VALUE!</v>
      </c>
      <c r="FF26" s="947" t="e">
        <f aca="false">GETDROP(FF9,FF5,FF6,FF8,FF17)</f>
        <v>#VALUE!</v>
      </c>
      <c r="FG26" s="947" t="str">
        <f aca="false">GETDROP(FG9,FG5,FG6,FG8,FG17)</f>
        <v>10～11</v>
      </c>
      <c r="FH26" s="947" t="str">
        <f aca="false">GETDROP(FH9,FH5,FH6,FH8,FH17)</f>
        <v>气液两相，自选</v>
      </c>
      <c r="FI26" s="947" t="str">
        <f aca="false">GETDROP(FI9,FI5,FI6,FI8,FI17)</f>
        <v>10～11</v>
      </c>
      <c r="FJ26" s="947" t="str">
        <f aca="false">GETDROP(FJ9,FJ5,FJ6,FJ8,FJ17)</f>
        <v>气液两相，自选</v>
      </c>
      <c r="FK26" s="947" t="str">
        <f aca="false">GETDROP(FK9,FK5,FK6,FK8,FK17)</f>
        <v>10～11</v>
      </c>
      <c r="FL26" s="947" t="str">
        <f aca="false">GETDROP(FL9,FL5,FL6,FL8,FL17)</f>
        <v>45～50</v>
      </c>
      <c r="FM26" s="947"/>
      <c r="FN26" s="947"/>
      <c r="FO26" s="947"/>
      <c r="FP26" s="948" t="e">
        <f aca="false">IF(FP17&lt;&gt;"",GETDROP(FP9,FP5,FP6,FP8,FP17),"")</f>
        <v>#VALUE!</v>
      </c>
      <c r="FQ26" s="948" t="e">
        <f aca="false">IF(FQ17&lt;&gt;"",GETDROP(FQ9,FQ5,FQ6,FQ8,FQ17),"")</f>
        <v>#VALUE!</v>
      </c>
      <c r="FR26" s="948" t="e">
        <f aca="false">IF(FR17&lt;&gt;"",GETDROP(FR9,FR5,FR6,FR8,FR17),"")</f>
        <v>#VALUE!</v>
      </c>
      <c r="FS26" s="948" t="e">
        <f aca="false">IF(FS17&lt;&gt;"",GETDROP(FS9,FS5,FS6,FS8,FS17),"")</f>
        <v>#VALUE!</v>
      </c>
      <c r="FT26" s="948" t="str">
        <f aca="false">IF(FT17&lt;&gt;"",GETDROP(FT9,FT5,FT6,FT8,FT17),"")</f>
        <v>45～50</v>
      </c>
      <c r="FU26" s="948" t="str">
        <f aca="false">IF(FU17&lt;&gt;"",GETDROP(FU9,FU5,FU6,FU8,FU17),"")</f>
        <v>45～50</v>
      </c>
      <c r="FV26" s="948" t="e">
        <f aca="false">IF(FV17&lt;&gt;"",GETDROP(FV9,FV5,FV6,FV8,FV17),"")</f>
        <v>#VALUE!</v>
      </c>
      <c r="FW26" s="948" t="e">
        <f aca="false">IF(FW17&lt;&gt;"",GETDROP(FW9,FW5,FW6,FW8,FW17),"")</f>
        <v>#VALUE!</v>
      </c>
      <c r="FX26" s="948" t="e">
        <f aca="false">IF(FX17&lt;&gt;"",GETDROP(FX9,FX5,FX6,FX8,FX17),"")</f>
        <v>#VALUE!</v>
      </c>
      <c r="FY26" s="948" t="e">
        <f aca="false">IF(FY17&lt;&gt;"",GETDROP(FY9,FY5,FY6,FY8,FY17),"")</f>
        <v>#VALUE!</v>
      </c>
      <c r="FZ26" s="948" t="e">
        <f aca="false">IF(FZ17&lt;&gt;"",GETDROP(FZ9,FZ5,FZ6,FZ8,FZ17),"")</f>
        <v>#VALUE!</v>
      </c>
      <c r="GA26" s="948" t="e">
        <f aca="false">IF(GA17&lt;&gt;"",GETDROP(GA9,GA5,GA6,GA8,GA17),"")</f>
        <v>#VALUE!</v>
      </c>
      <c r="GB26" s="948" t="e">
        <f aca="false">IF(GB17&lt;&gt;"",GETDROP(GB9,GB5,GB6,GB8,GB17),"")</f>
        <v>#VALUE!</v>
      </c>
      <c r="GC26" s="948" t="e">
        <f aca="false">IF(GC17&lt;&gt;"",GETDROP(GC9,GC5,GC6,GC8,GC17),"")</f>
        <v>#VALUE!</v>
      </c>
      <c r="GD26" s="948" t="e">
        <f aca="false">IF(GD17&lt;&gt;"",GETDROP(GD9,GD5,GD6,GD8,GD17),"")</f>
        <v>#VALUE!</v>
      </c>
      <c r="GE26" s="948" t="e">
        <f aca="false">IF(GE17&lt;&gt;"",GETDROP(GE9,GE5,GE6,GE8,GE17),"")</f>
        <v>#VALUE!</v>
      </c>
      <c r="GF26" s="948" t="str">
        <f aca="false">IF(GF17&lt;&gt;"",GETDROP(GF9,GF5,GF6,GF8,GF17),"")</f>
        <v>45～50</v>
      </c>
      <c r="GG26" s="948" t="str">
        <f aca="false">IF(GG17&lt;&gt;"",GETDROP(GG9,GG5,GG6,GG8,GG17),"")</f>
        <v>45～50</v>
      </c>
      <c r="GH26" s="948"/>
      <c r="GI26" s="939"/>
      <c r="GJ26" s="939"/>
      <c r="GK26" s="939"/>
      <c r="GL26" s="939"/>
      <c r="GM26" s="939"/>
      <c r="GN26" s="939"/>
      <c r="GO26" s="939"/>
      <c r="GP26" s="939"/>
      <c r="GQ26" s="939"/>
      <c r="GR26" s="939"/>
      <c r="GS26" s="939"/>
      <c r="GT26" s="939"/>
      <c r="GU26" s="939"/>
      <c r="GV26" s="939"/>
      <c r="GW26" s="939"/>
      <c r="GX26" s="939"/>
      <c r="GY26" s="939"/>
      <c r="GZ26" s="939"/>
      <c r="HA26" s="939"/>
      <c r="HB26" s="939"/>
      <c r="HC26" s="939"/>
      <c r="HD26" s="939"/>
      <c r="HE26" s="939"/>
      <c r="HF26" s="939"/>
      <c r="HG26" s="939"/>
      <c r="HH26" s="939"/>
      <c r="HI26" s="939"/>
      <c r="HJ26" s="939"/>
      <c r="HK26" s="939"/>
      <c r="HL26" s="939"/>
      <c r="HM26" s="939"/>
      <c r="HN26" s="939"/>
      <c r="HO26" s="939"/>
      <c r="HP26" s="939"/>
      <c r="HQ26" s="939"/>
      <c r="HR26" s="939"/>
      <c r="HS26" s="939"/>
      <c r="HT26" s="939"/>
      <c r="HU26" s="939"/>
      <c r="HV26" s="939"/>
      <c r="HW26" s="939"/>
      <c r="HX26" s="939"/>
      <c r="HY26" s="939"/>
      <c r="HZ26" s="939"/>
      <c r="IA26" s="939"/>
      <c r="IB26" s="939"/>
      <c r="IC26" s="939"/>
      <c r="ID26" s="939"/>
      <c r="IE26" s="939"/>
      <c r="IF26" s="939"/>
      <c r="IG26" s="939"/>
      <c r="IH26" s="939"/>
      <c r="II26" s="939"/>
      <c r="IJ26" s="939"/>
      <c r="IK26" s="939"/>
      <c r="IL26" s="939"/>
      <c r="IM26" s="939"/>
      <c r="IN26" s="939"/>
      <c r="IO26" s="939"/>
      <c r="IP26" s="939"/>
      <c r="IQ26" s="939"/>
      <c r="IR26" s="939"/>
      <c r="IS26" s="939"/>
      <c r="IT26" s="939"/>
      <c r="IU26" s="939"/>
      <c r="IV26" s="939"/>
      <c r="IW26" s="939"/>
      <c r="IX26" s="939"/>
      <c r="IY26" s="939"/>
      <c r="IZ26" s="939"/>
      <c r="JA26" s="939"/>
      <c r="JB26" s="939"/>
      <c r="JC26" s="939"/>
      <c r="JD26" s="939"/>
      <c r="JE26" s="939"/>
      <c r="JF26" s="939"/>
      <c r="JG26" s="939"/>
      <c r="JH26" s="939"/>
      <c r="JI26" s="939"/>
      <c r="JK26" s="939"/>
      <c r="JM26" s="939"/>
    </row>
    <row r="27" customFormat="false" ht="18.75" hidden="false" customHeight="false" outlineLevel="0" collapsed="false">
      <c r="A27" s="838" t="s">
        <v>1540</v>
      </c>
      <c r="B27" s="838" t="s">
        <v>1372</v>
      </c>
      <c r="C27" s="838" t="str">
        <f aca="false">CONCATENATE("管径DN",C21*1000)</f>
        <v>管径DN100</v>
      </c>
      <c r="D27" s="838" t="str">
        <f aca="false">CONCATENATE("管径DN",D21*1000)</f>
        <v>管径DN250</v>
      </c>
      <c r="E27" s="949" t="str">
        <f aca="false">CONCATENATE("管径DN",E21*1000)</f>
        <v>管径DN150</v>
      </c>
      <c r="F27" s="949" t="str">
        <f aca="false">CONCATENATE("管径DN",F21*1000)</f>
        <v>管径DN250</v>
      </c>
      <c r="G27" s="949" t="str">
        <f aca="false">CONCATENATE("管径DN",G21*1000)</f>
        <v>管径DN150</v>
      </c>
      <c r="H27" s="838" t="str">
        <f aca="false">CONCATENATE("管径DN",H21*1000)</f>
        <v>管径DN250</v>
      </c>
      <c r="I27" s="838" t="str">
        <f aca="false">CONCATENATE("管径DN",I21*1000)</f>
        <v>管径DN250</v>
      </c>
      <c r="J27" s="838" t="str">
        <f aca="false">CONCATENATE("管径DN",J21*1000)</f>
        <v>管径DN250</v>
      </c>
      <c r="K27" s="838" t="str">
        <f aca="false">CONCATENATE("管径DN",K21*1000)</f>
        <v>管径DN330</v>
      </c>
      <c r="L27" s="838" t="str">
        <f aca="false">CONCATENATE("管径DN",L21*1000)</f>
        <v>管径DN257</v>
      </c>
      <c r="M27" s="838" t="str">
        <f aca="false">CONCATENATE("管径DN",M21*1000)</f>
        <v>管径DN500</v>
      </c>
      <c r="N27" s="838" t="str">
        <f aca="false">CONCATENATE("管径DN",N21*1000)</f>
        <v>管径DN80</v>
      </c>
      <c r="O27" s="838" t="str">
        <f aca="false">CONCATENATE("管径DN",O21*1000)</f>
        <v>管径DN257</v>
      </c>
      <c r="P27" s="838" t="str">
        <f aca="false">CONCATENATE("管径DN",P21*1000)</f>
        <v>管径DN254</v>
      </c>
      <c r="Q27" s="838" t="str">
        <f aca="false">CONCATENATE("管径DN",Q21*1000)</f>
        <v>管径DN257</v>
      </c>
      <c r="R27" s="838" t="str">
        <f aca="false">CONCATENATE("管径DN",R21*1000)</f>
        <v>管径DN250</v>
      </c>
      <c r="S27" s="838" t="str">
        <f aca="false">CONCATENATE("管径DN",S21*1000)</f>
        <v>管径DN250</v>
      </c>
      <c r="T27" s="838" t="str">
        <f aca="false">CONCATENATE("管径DN",T21*1000)</f>
        <v>管径DN250</v>
      </c>
      <c r="U27" s="838" t="str">
        <f aca="false">CONCATENATE("管径DN",U21*1000)</f>
        <v>管径DN250</v>
      </c>
      <c r="V27" s="838" t="str">
        <f aca="false">CONCATENATE("管径DN",V21*1000)</f>
        <v>管径DN250</v>
      </c>
      <c r="W27" s="838" t="str">
        <f aca="false">CONCATENATE("管径DN",W21*1000)</f>
        <v>管径DN350</v>
      </c>
      <c r="X27" s="838" t="str">
        <f aca="false">CONCATENATE("管径DN",X21*1000)</f>
        <v>管径DN250</v>
      </c>
      <c r="Y27" s="838" t="str">
        <f aca="false">CONCATENATE("管径DN",Y21*1000)</f>
        <v>管径DN257</v>
      </c>
      <c r="Z27" s="838" t="str">
        <f aca="false">CONCATENATE("管径DN",Z21*1000)</f>
        <v>管径DN257</v>
      </c>
      <c r="AA27" s="838" t="str">
        <f aca="false">CONCATENATE("管径DN",AA21*1000)</f>
        <v>管径DN490</v>
      </c>
      <c r="AB27" s="838" t="str">
        <f aca="false">CONCATENATE("管径DN",AB21*1000)</f>
        <v>管径DN408</v>
      </c>
      <c r="AC27" s="838" t="str">
        <f aca="false">CONCATENATE("管径DN",AC21*1000)</f>
        <v>管径DN325</v>
      </c>
      <c r="AD27" s="838" t="str">
        <f aca="false">CONCATENATE("管径DN",AD21*1000)</f>
        <v>管径DN325</v>
      </c>
      <c r="AE27" s="838" t="str">
        <f aca="false">CONCATENATE("管径DN",AE21*1000)</f>
        <v>管径DN409</v>
      </c>
      <c r="AF27" s="838" t="str">
        <f aca="false">CONCATENATE("管径DN",AF21*1000)</f>
        <v>管径DN66</v>
      </c>
      <c r="AG27" s="838" t="str">
        <f aca="false">CONCATENATE("管径DN",AG21*1000)</f>
        <v>管径DN66</v>
      </c>
      <c r="AH27" s="838" t="str">
        <f aca="false">CONCATENATE("管径DN",AH21*1000)</f>
        <v>管径DN66</v>
      </c>
      <c r="AI27" s="838" t="str">
        <f aca="false">CONCATENATE("管径DN",AI21*1000)</f>
        <v>管径DN66</v>
      </c>
      <c r="AJ27" s="838" t="str">
        <f aca="false">CONCATENATE("管径DN",AJ21*1000)</f>
        <v>管径DN66</v>
      </c>
      <c r="AK27" s="838" t="str">
        <f aca="false">CONCATENATE("管径DN",AK21*1000)</f>
        <v>管径DN42</v>
      </c>
      <c r="AL27" s="838" t="str">
        <f aca="false">CONCATENATE("管径DN",AL21*1000)</f>
        <v>管径DN42</v>
      </c>
      <c r="AM27" s="838" t="str">
        <f aca="false">CONCATENATE("管径DN",AM21*1000)</f>
        <v>管径DN42</v>
      </c>
      <c r="AN27" s="838" t="str">
        <f aca="false">CONCATENATE("管径DN",AN21*1000)</f>
        <v>管径DN42</v>
      </c>
      <c r="AO27" s="838" t="str">
        <f aca="false">CONCATENATE("管径DN",AO21*1000)</f>
        <v>管径DN42</v>
      </c>
      <c r="AP27" s="838" t="str">
        <f aca="false">CONCATENATE("管径DN",AP21*1000)</f>
        <v>管径DN42</v>
      </c>
      <c r="AQ27" s="838" t="str">
        <f aca="false">CONCATENATE("管径DN",AQ21*1000)</f>
        <v>管径DN257</v>
      </c>
      <c r="AR27" s="838" t="str">
        <f aca="false">CONCATENATE("管径DN",AR21*1000)</f>
        <v>管径DN257</v>
      </c>
      <c r="AS27" s="838" t="str">
        <f aca="false">CONCATENATE("管径DN",AS21*1000)</f>
        <v>管径DN257</v>
      </c>
      <c r="AT27" s="838" t="str">
        <f aca="false">CONCATENATE("管径DN",AT21*1000)</f>
        <v>管径DN257</v>
      </c>
      <c r="AU27" s="838" t="str">
        <f aca="false">CONCATENATE("管径DN",AU21*1000)</f>
        <v>管径DN200</v>
      </c>
      <c r="AV27" s="838" t="str">
        <f aca="false">CONCATENATE("管径DN",AV21*1000)</f>
        <v>管径DN250</v>
      </c>
      <c r="AW27" s="838" t="str">
        <f aca="false">CONCATENATE("管径DN",AW21*1000)</f>
        <v>管径DN250</v>
      </c>
      <c r="AX27" s="838" t="str">
        <f aca="false">CONCATENATE("管径DN",AX21*1000)</f>
        <v>管径DN50</v>
      </c>
      <c r="AY27" s="838" t="str">
        <f aca="false">CONCATENATE("管径DN",AY21*1000)</f>
        <v>管径DN300</v>
      </c>
      <c r="AZ27" s="838" t="str">
        <f aca="false">CONCATENATE("管径DN",AZ21*1000)</f>
        <v>管径DN300</v>
      </c>
      <c r="BA27" s="838" t="str">
        <f aca="false">CONCATENATE("管径DN",BA21*1000)</f>
        <v>管径DN300</v>
      </c>
      <c r="BB27" s="838" t="str">
        <f aca="false">CONCATENATE("管径DN",BB21*1000)</f>
        <v>管径DN300</v>
      </c>
      <c r="BC27" s="838" t="str">
        <f aca="false">CONCATENATE("管径DN",BC21*1000)</f>
        <v>管径DN250</v>
      </c>
      <c r="BD27" s="838" t="str">
        <f aca="false">CONCATENATE("管径DN",BD21*1000)</f>
        <v>管径DN250</v>
      </c>
      <c r="BE27" s="838" t="str">
        <f aca="false">CONCATENATE("管径DN",BE21*1000)</f>
        <v>管径DN250</v>
      </c>
      <c r="BF27" s="838" t="str">
        <f aca="false">CONCATENATE("管径DN",BF21*1000)</f>
        <v>管径DN80</v>
      </c>
      <c r="BG27" s="838" t="str">
        <f aca="false">CONCATENATE("管径DN",BG21*1000)</f>
        <v>管径DN80</v>
      </c>
      <c r="BH27" s="838" t="str">
        <f aca="false">CONCATENATE("管径DN",BH21*1000)</f>
        <v>管径DN50</v>
      </c>
      <c r="BI27" s="838" t="str">
        <f aca="false">CONCATENATE("管径DN",BI21*1000)</f>
        <v>管径DN100</v>
      </c>
      <c r="BJ27" s="838" t="str">
        <f aca="false">CONCATENATE("管径DN",BJ21*1000)</f>
        <v>管径DN150</v>
      </c>
      <c r="BK27" s="838" t="str">
        <f aca="false">CONCATENATE("管径DN",BK21*1000)</f>
        <v>管径DN150</v>
      </c>
      <c r="BL27" s="838" t="str">
        <f aca="false">CONCATENATE("管径DN",BL21*1000)</f>
        <v>管径DN250</v>
      </c>
      <c r="BM27" s="838" t="str">
        <f aca="false">CONCATENATE("管径DN",BM21*1000)</f>
        <v>管径DN250</v>
      </c>
      <c r="BN27" s="838" t="str">
        <f aca="false">CONCATENATE("管径DN",BN21*1000)</f>
        <v>管径DN100</v>
      </c>
      <c r="BO27" s="838" t="str">
        <f aca="false">CONCATENATE("管径DN",BO21*1000)</f>
        <v>管径DN50</v>
      </c>
      <c r="BP27" s="838" t="str">
        <f aca="false">CONCATENATE("管径DN",BP21*1000)</f>
        <v>管径DN80</v>
      </c>
      <c r="BQ27" s="838" t="str">
        <f aca="false">CONCATENATE("管径DN",BQ21*1000)</f>
        <v>管径DN80</v>
      </c>
      <c r="BR27" s="838" t="str">
        <f aca="false">CONCATENATE("管径DN",BR21*1000)</f>
        <v>管径DN80</v>
      </c>
      <c r="BS27" s="838" t="str">
        <f aca="false">CONCATENATE("管径DN",BS21*1000)</f>
        <v>管径DN50</v>
      </c>
      <c r="BT27" s="838" t="str">
        <f aca="false">CONCATENATE("管径DN",BT21*1000)</f>
        <v>管径DN80</v>
      </c>
      <c r="BU27" s="838" t="str">
        <f aca="false">CONCATENATE("管径DN",BU21*1000)</f>
        <v>管径DN150</v>
      </c>
      <c r="BV27" s="838" t="str">
        <f aca="false">CONCATENATE("管径DN",BV21*1000)</f>
        <v>管径DN100</v>
      </c>
      <c r="BW27" s="838" t="str">
        <f aca="false">CONCATENATE("管径DN",BW21*1000)</f>
        <v>管径DN288</v>
      </c>
      <c r="BX27" s="838" t="str">
        <f aca="false">CONCATENATE("管径DN",BX21*1000)</f>
        <v>管径DN288</v>
      </c>
      <c r="BY27" s="838" t="str">
        <f aca="false">CONCATENATE("管径DN",BY21*1000)</f>
        <v>管径DN288</v>
      </c>
      <c r="BZ27" s="838" t="str">
        <f aca="false">CONCATENATE("管径DN",BZ21*1000)</f>
        <v>管径DN363</v>
      </c>
      <c r="CA27" s="838" t="str">
        <f aca="false">CONCATENATE("管径DN",CA21*1000)</f>
        <v>管径DN200</v>
      </c>
      <c r="CB27" s="838" t="str">
        <f aca="false">CONCATENATE("管径DN",CB21*1000)</f>
        <v>管径DN200</v>
      </c>
      <c r="CC27" s="838" t="str">
        <f aca="false">CONCATENATE("管径DN",CC21*1000)</f>
        <v>管径DN288</v>
      </c>
      <c r="CD27" s="838" t="str">
        <f aca="false">CONCATENATE("管径DN",CD21*1000)</f>
        <v>管径DN250</v>
      </c>
      <c r="CE27" s="838" t="str">
        <f aca="false">CONCATENATE("管径DN",CE21*1000)</f>
        <v>管径DN300</v>
      </c>
      <c r="CF27" s="838" t="str">
        <f aca="false">CONCATENATE("管径DN",CF21*1000)</f>
        <v>管径DN250</v>
      </c>
      <c r="CG27" s="838" t="str">
        <f aca="false">CONCATENATE("管径DN",CG21*1000)</f>
        <v>管径DN257</v>
      </c>
      <c r="CH27" s="838" t="str">
        <f aca="false">CONCATENATE("管径DN",CH21*1000)</f>
        <v>管径DN200</v>
      </c>
      <c r="CI27" s="838" t="str">
        <f aca="false">CONCATENATE("管径DN",CI21*1000)</f>
        <v>管径DN250</v>
      </c>
      <c r="CJ27" s="838" t="str">
        <f aca="false">CONCATENATE("管径DN",CJ21*1000)</f>
        <v>管径DN250</v>
      </c>
      <c r="CK27" s="838" t="str">
        <f aca="false">CONCATENATE("管径DN",CK21*1000)</f>
        <v>管径DN250</v>
      </c>
      <c r="CL27" s="838" t="str">
        <f aca="false">CONCATENATE("管径DN",CL21*1000)</f>
        <v>管径DN100</v>
      </c>
      <c r="CM27" s="838" t="str">
        <f aca="false">CONCATENATE("管径DN",CM21*1000)</f>
        <v>管径DN80</v>
      </c>
      <c r="CN27" s="838" t="str">
        <f aca="false">CONCATENATE("管径DN",CN21*1000)</f>
        <v>管径DN80</v>
      </c>
      <c r="CO27" s="838" t="str">
        <f aca="false">CONCATENATE("管径DN",CO21*1000)</f>
        <v>管径DN80</v>
      </c>
      <c r="CP27" s="838" t="str">
        <f aca="false">CONCATENATE("管径DN",CP21*1000)</f>
        <v>管径DN50</v>
      </c>
      <c r="CQ27" s="838" t="str">
        <f aca="false">CONCATENATE("管径DN",CQ21*1000)</f>
        <v>管径DN150</v>
      </c>
      <c r="CR27" s="838" t="str">
        <f aca="false">CONCATENATE("管径DN",CR21*1000)</f>
        <v>管径DN150</v>
      </c>
      <c r="CS27" s="838" t="str">
        <f aca="false">CONCATENATE("管径DN",CS21*1000)</f>
        <v>管径DN150</v>
      </c>
      <c r="CT27" s="838" t="str">
        <f aca="false">CONCATENATE("管径DN",CT21*1000)</f>
        <v>管径DN150</v>
      </c>
      <c r="CU27" s="838" t="str">
        <f aca="false">CONCATENATE("管径DN",CU21*1000)</f>
        <v>管径DN300</v>
      </c>
      <c r="CV27" s="838" t="str">
        <f aca="false">CONCATENATE("管径DN",CV21*1000)</f>
        <v>管径DN350</v>
      </c>
      <c r="CW27" s="838" t="str">
        <f aca="false">CONCATENATE("管径DN",CW21*1000)</f>
        <v>管径DN200</v>
      </c>
      <c r="CX27" s="838" t="str">
        <f aca="false">CONCATENATE("管径DN",CX21*1000)</f>
        <v>管径DN300</v>
      </c>
      <c r="CY27" s="838" t="str">
        <f aca="false">CONCATENATE("管径DN",CY21*1000)</f>
        <v>管径DN50</v>
      </c>
      <c r="CZ27" s="838" t="str">
        <f aca="false">CONCATENATE("管径DN",CZ21*1000)</f>
        <v>管径DN350</v>
      </c>
      <c r="DA27" s="838" t="str">
        <f aca="false">CONCATENATE("管径DN",DA21*1000)</f>
        <v>管径DN250</v>
      </c>
      <c r="DB27" s="838" t="str">
        <f aca="false">CONCATENATE("管径DN",DB21*1000)</f>
        <v>管径DN600</v>
      </c>
      <c r="DC27" s="838" t="str">
        <f aca="false">CONCATENATE("管径DN",DC21*1000)</f>
        <v>管径DN150</v>
      </c>
      <c r="DD27" s="838" t="str">
        <f aca="false">CONCATENATE("管径DN",DD21*1000)</f>
        <v>管径DN200</v>
      </c>
      <c r="DE27" s="838" t="str">
        <f aca="false">CONCATENATE("管径DN",DE21*1000)</f>
        <v>管径DN150</v>
      </c>
      <c r="DF27" s="838" t="str">
        <f aca="false">CONCATENATE("管径DN",DF21*1000)</f>
        <v>管径DN200</v>
      </c>
      <c r="DG27" s="838" t="str">
        <f aca="false">CONCATENATE("管径DN",DG21*1000)</f>
        <v>管径DN50</v>
      </c>
      <c r="DH27" s="838" t="str">
        <f aca="false">CONCATENATE("管径DN",DH21*1000)</f>
        <v>管径DN50</v>
      </c>
      <c r="DI27" s="838" t="str">
        <f aca="false">CONCATENATE("管径DN",DI21*1000)</f>
        <v>管径DN50</v>
      </c>
      <c r="DJ27" s="838" t="str">
        <f aca="false">CONCATENATE("管径DN",DJ21*1000)</f>
        <v>管径DN80</v>
      </c>
      <c r="DK27" s="838" t="str">
        <f aca="false">CONCATENATE("管径DN",DK21*1000)</f>
        <v>管径DN250</v>
      </c>
      <c r="DL27" s="838" t="str">
        <f aca="false">CONCATENATE("管径DN",DL21*1000)</f>
        <v>管径DN200</v>
      </c>
      <c r="DM27" s="838" t="str">
        <f aca="false">CONCATENATE("管径DN",DM21*1000)</f>
        <v>管径DN200</v>
      </c>
      <c r="DN27" s="838" t="str">
        <f aca="false">CONCATENATE("管径DN",DN21*1000)</f>
        <v>管径DN200</v>
      </c>
      <c r="DO27" s="838" t="str">
        <f aca="false">CONCATENATE("管径DN",DO21*1000)</f>
        <v>管径DN200</v>
      </c>
      <c r="DP27" s="838" t="str">
        <f aca="false">CONCATENATE("管径DN",DP21*1000)</f>
        <v>管径DN100</v>
      </c>
      <c r="DQ27" s="838" t="str">
        <f aca="false">CONCATENATE("管径DN",DQ21*1000)</f>
        <v>管径DN100</v>
      </c>
      <c r="DR27" s="838" t="str">
        <f aca="false">CONCATENATE("管径DN",DR21*1000)</f>
        <v>管径DN150</v>
      </c>
      <c r="DS27" s="838" t="str">
        <f aca="false">CONCATENATE("管径DN",DS21*1000)</f>
        <v>管径DN150</v>
      </c>
      <c r="DT27" s="838" t="str">
        <f aca="false">CONCATENATE("管径DN",DT21*1000)</f>
        <v>管径DN100</v>
      </c>
      <c r="DU27" s="838" t="str">
        <f aca="false">CONCATENATE("管径DN",DU21*1000)</f>
        <v>管径DN100</v>
      </c>
      <c r="DV27" s="838" t="str">
        <f aca="false">CONCATENATE("管径DN",DV21*1000)</f>
        <v>管径DN100</v>
      </c>
      <c r="DW27" s="838" t="str">
        <f aca="false">CONCATENATE("管径DN",DW21*1000)</f>
        <v>管径DN100</v>
      </c>
      <c r="DX27" s="838" t="str">
        <f aca="false">CONCATENATE("管径DN",DX21*1000)</f>
        <v>管径DN40</v>
      </c>
      <c r="DY27" s="838" t="str">
        <f aca="false">CONCATENATE("管径DN",DY21*1000)</f>
        <v>管径DN25</v>
      </c>
      <c r="DZ27" s="838" t="str">
        <f aca="false">CONCATENATE("管径DN",DZ21*1000)</f>
        <v>管径DN100</v>
      </c>
      <c r="EA27" s="838" t="str">
        <f aca="false">CONCATENATE("管径DN",EA21*1000)</f>
        <v>管径DN100</v>
      </c>
      <c r="EB27" s="838" t="str">
        <f aca="false">CONCATENATE("管径DN",EB21*1000)</f>
        <v>管径DN80</v>
      </c>
      <c r="EC27" s="838" t="str">
        <f aca="false">CONCATENATE("管径DN",EC21*1000)</f>
        <v>管径DN250</v>
      </c>
      <c r="ED27" s="838" t="str">
        <f aca="false">CONCATENATE("管径DN",ED21*1000)</f>
        <v>管径DN250</v>
      </c>
      <c r="EE27" s="838" t="str">
        <f aca="false">CONCATENATE("管径DN",EE21*1000)</f>
        <v>管径DN250</v>
      </c>
      <c r="EF27" s="838" t="str">
        <f aca="false">CONCATENATE("管径DN",EF21*1000)</f>
        <v>管径DN100</v>
      </c>
      <c r="EG27" s="838" t="str">
        <f aca="false">CONCATENATE("管径DN",EG21*1000)</f>
        <v>管径DN250</v>
      </c>
      <c r="EH27" s="838" t="str">
        <f aca="false">CONCATENATE("管径DN",EH21*1000)</f>
        <v>管径DN200</v>
      </c>
      <c r="EI27" s="838" t="str">
        <f aca="false">CONCATENATE("管径DN",EI21*1000)</f>
        <v>管径DN100</v>
      </c>
      <c r="EJ27" s="838" t="str">
        <f aca="false">CONCATENATE("管径DN",EJ21*1000)</f>
        <v>管径DN250</v>
      </c>
      <c r="EK27" s="838" t="str">
        <f aca="false">CONCATENATE("管径DN",EK21*1000)</f>
        <v>管径DN300</v>
      </c>
      <c r="EL27" s="950" t="str">
        <f aca="false">CONCATENATE("管径DN",EL21*1000)</f>
        <v>管径DN250</v>
      </c>
      <c r="EM27" s="950" t="str">
        <f aca="false">CONCATENATE("管径DN",EM21*1000)</f>
        <v>管径DN250</v>
      </c>
      <c r="EN27" s="950" t="str">
        <f aca="false">CONCATENATE("管径DN",EN21*1000)</f>
        <v>管径DN250</v>
      </c>
      <c r="EO27" s="950" t="str">
        <f aca="false">CONCATENATE("管径DN",EO21*1000)</f>
        <v>管径DN250</v>
      </c>
      <c r="EP27" s="950" t="str">
        <f aca="false">CONCATENATE("管径DN",EP21*1000)</f>
        <v>管径DN250</v>
      </c>
      <c r="EQ27" s="950" t="str">
        <f aca="false">CONCATENATE("管径DN",EQ21*1000)</f>
        <v>管径DN250</v>
      </c>
      <c r="ER27" s="950" t="str">
        <f aca="false">CONCATENATE("管径DN",ER21*1000)</f>
        <v>管径DN250</v>
      </c>
      <c r="ES27" s="950" t="str">
        <f aca="false">CONCATENATE("管径DN",ES21*1000)</f>
        <v>管径DN250</v>
      </c>
      <c r="ET27" s="838" t="str">
        <f aca="false">CONCATENATE("管径DN",ET21*1000)</f>
        <v>管径DN215</v>
      </c>
      <c r="EU27" s="950" t="str">
        <f aca="false">CONCATENATE("管径DN",EU21*1000)</f>
        <v>管径DN250</v>
      </c>
      <c r="EV27" s="950" t="str">
        <f aca="false">CONCATENATE("管径DN",EV21*1000)</f>
        <v>管径DN250</v>
      </c>
      <c r="EW27" s="950" t="str">
        <f aca="false">CONCATENATE("管径DN",EW21*1000)</f>
        <v>管径DN250</v>
      </c>
      <c r="EX27" s="838" t="str">
        <f aca="false">CONCATENATE("管径DN",EX21*1000)</f>
        <v>管径DN66</v>
      </c>
      <c r="EY27" s="838" t="str">
        <f aca="false">CONCATENATE("管径DN",EY21*1000)</f>
        <v>管径DN200</v>
      </c>
      <c r="EZ27" s="838" t="str">
        <f aca="false">CONCATENATE("管径DN",EZ21*1000)</f>
        <v>管径DN200</v>
      </c>
      <c r="FA27" s="838" t="str">
        <f aca="false">CONCATENATE("管径DN",FA21*1000)</f>
        <v>管径DN250</v>
      </c>
      <c r="FB27" s="838" t="str">
        <f aca="false">CONCATENATE("管径DN",FB21*1000)</f>
        <v>管径DN200</v>
      </c>
      <c r="FC27" s="838" t="str">
        <f aca="false">CONCATENATE("管径DN",FC21*1000)</f>
        <v>管径DN200</v>
      </c>
      <c r="FD27" s="838" t="str">
        <f aca="false">CONCATENATE("管径DN",FD21*1000)</f>
        <v>管径DN150</v>
      </c>
      <c r="FE27" s="838" t="str">
        <f aca="false">CONCATENATE("管径DN",FE21*1000)</f>
        <v>管径DN150</v>
      </c>
      <c r="FF27" s="838" t="str">
        <f aca="false">CONCATENATE("管径DN",FF21*1000)</f>
        <v>管径DN150</v>
      </c>
      <c r="FG27" s="838" t="str">
        <f aca="false">CONCATENATE("管径DN",FG21*1000)</f>
        <v>管径DN50</v>
      </c>
      <c r="FH27" s="838" t="str">
        <f aca="false">CONCATENATE("管径DN",FH21*1000)</f>
        <v>管径DN50</v>
      </c>
      <c r="FI27" s="838" t="str">
        <f aca="false">CONCATENATE("管径DN",FI21*1000)</f>
        <v>管径DN300</v>
      </c>
      <c r="FJ27" s="838" t="str">
        <f aca="false">CONCATENATE("管径DN",FJ21*1000)</f>
        <v>管径DN250</v>
      </c>
      <c r="FK27" s="838" t="str">
        <f aca="false">CONCATENATE("管径DN",FK21*1000)</f>
        <v>管径DN250</v>
      </c>
      <c r="FL27" s="838" t="str">
        <f aca="false">CONCATENATE("管径DN",FL21*1000)</f>
        <v>管径DN80</v>
      </c>
      <c r="FM27" s="838" t="str">
        <f aca="false">CONCATENATE("管径DN",FM21*1000)</f>
        <v>管径DN150</v>
      </c>
      <c r="FN27" s="838" t="str">
        <f aca="false">CONCATENATE("管径DN",FN21*1000)</f>
        <v>管径DN100</v>
      </c>
      <c r="FO27" s="838"/>
      <c r="FP27" s="951" t="str">
        <f aca="false">IF(FP21&lt;&gt;"",CONCATENATE("管径DN",FP21*1000),"")</f>
        <v>管径DN257</v>
      </c>
      <c r="FQ27" s="951" t="str">
        <f aca="false">IF(FQ21&lt;&gt;"",CONCATENATE("管径DN",FQ21*1000),"")</f>
        <v>管径DN257</v>
      </c>
      <c r="FR27" s="951" t="str">
        <f aca="false">IF(FR21&lt;&gt;"",CONCATENATE("管径DN",FR21*1000),"")</f>
        <v>管径DN325</v>
      </c>
      <c r="FS27" s="951" t="str">
        <f aca="false">IF(FS21&lt;&gt;"",CONCATENATE("管径DN",FS21*1000),"")</f>
        <v>管径DN80</v>
      </c>
      <c r="FT27" s="951" t="str">
        <f aca="false">IF(FT21&lt;&gt;"",CONCATENATE("管径DN",FT21*1000),"")</f>
        <v>管径DN100</v>
      </c>
      <c r="FU27" s="951" t="str">
        <f aca="false">IF(FU21&lt;&gt;"",CONCATENATE("管径DN",FU21*1000),"")</f>
        <v>管径DN25</v>
      </c>
      <c r="FV27" s="951" t="str">
        <f aca="false">IF(FV21&lt;&gt;"",CONCATENATE("管径DN",FV21*1000),"")</f>
        <v>管径DN250</v>
      </c>
      <c r="FW27" s="951" t="str">
        <f aca="false">IF(FW21&lt;&gt;"",CONCATENATE("管径DN",FW21*1000),"")</f>
        <v>管径DN80</v>
      </c>
      <c r="FX27" s="951" t="str">
        <f aca="false">IF(FX21&lt;&gt;"",CONCATENATE("管径DN",FX21*1000),"")</f>
        <v>管径DN250</v>
      </c>
      <c r="FY27" s="951" t="str">
        <f aca="false">IF(FY21&lt;&gt;"",CONCATENATE("管径DN",FY21*1000),"")</f>
        <v>管径DN150</v>
      </c>
      <c r="FZ27" s="951" t="str">
        <f aca="false">IF(FZ21&lt;&gt;"",CONCATENATE("管径DN",FZ21*1000),"")</f>
        <v>管径DN80</v>
      </c>
      <c r="GA27" s="951" t="str">
        <f aca="false">IF(GA21&lt;&gt;"",CONCATENATE("管径DN",GA21*1000),"")</f>
        <v>管径DN200</v>
      </c>
      <c r="GB27" s="951" t="str">
        <f aca="false">IF(GB21&lt;&gt;"",CONCATENATE("管径DN",GB21*1000),"")</f>
        <v>管径DN100</v>
      </c>
      <c r="GC27" s="951" t="str">
        <f aca="false">IF(GC21&lt;&gt;"",CONCATENATE("管径DN",GC21*1000),"")</f>
        <v>管径DN250</v>
      </c>
      <c r="GD27" s="951" t="str">
        <f aca="false">IF(GD21&lt;&gt;"",CONCATENATE("管径DN",GD21*1000),"")</f>
        <v>管径DN200</v>
      </c>
      <c r="GE27" s="951" t="str">
        <f aca="false">IF(GE21&lt;&gt;"",CONCATENATE("管径DN",GE21*1000),"")</f>
        <v>管径DN100</v>
      </c>
      <c r="GF27" s="951" t="str">
        <f aca="false">IF(GF21&lt;&gt;"",CONCATENATE("管径DN",GF21*1000),"")</f>
        <v>管径DN100</v>
      </c>
      <c r="GG27" s="951" t="str">
        <f aca="false">IF(GG21&lt;&gt;"",CONCATENATE("管径DN",GG21*1000),"")</f>
        <v>管径DN80</v>
      </c>
      <c r="GH27" s="951"/>
      <c r="GI27" s="838"/>
      <c r="GJ27" s="838"/>
      <c r="GK27" s="838"/>
      <c r="GL27" s="838"/>
      <c r="GM27" s="838"/>
      <c r="GN27" s="838"/>
      <c r="GO27" s="838"/>
      <c r="GP27" s="838"/>
      <c r="GQ27" s="838"/>
      <c r="GR27" s="838"/>
      <c r="GS27" s="838"/>
      <c r="GT27" s="838"/>
      <c r="GU27" s="838"/>
      <c r="GV27" s="838"/>
      <c r="GW27" s="838"/>
      <c r="GX27" s="838"/>
      <c r="GY27" s="838"/>
      <c r="GZ27" s="838"/>
      <c r="HA27" s="838"/>
      <c r="HB27" s="838"/>
      <c r="HC27" s="838"/>
      <c r="HD27" s="838"/>
      <c r="HE27" s="838"/>
      <c r="HF27" s="838"/>
      <c r="HG27" s="838"/>
      <c r="HH27" s="838"/>
      <c r="HI27" s="838"/>
      <c r="HJ27" s="838"/>
      <c r="HK27" s="838"/>
      <c r="HL27" s="838"/>
      <c r="HM27" s="838"/>
      <c r="HN27" s="838"/>
      <c r="HO27" s="838"/>
      <c r="HP27" s="838"/>
      <c r="HQ27" s="838"/>
      <c r="HR27" s="838"/>
      <c r="HS27" s="838"/>
      <c r="HT27" s="838"/>
      <c r="HU27" s="838"/>
      <c r="HV27" s="838"/>
      <c r="HW27" s="838"/>
      <c r="HX27" s="838"/>
      <c r="HY27" s="838"/>
      <c r="HZ27" s="838"/>
      <c r="IA27" s="838"/>
      <c r="IB27" s="838"/>
      <c r="IC27" s="838"/>
      <c r="ID27" s="838"/>
      <c r="IE27" s="838"/>
      <c r="IF27" s="838"/>
      <c r="IG27" s="838"/>
      <c r="IH27" s="838"/>
      <c r="II27" s="838"/>
      <c r="IJ27" s="838"/>
      <c r="IK27" s="838"/>
      <c r="IL27" s="838"/>
      <c r="IM27" s="838"/>
      <c r="IN27" s="838"/>
      <c r="IO27" s="838"/>
      <c r="IP27" s="838"/>
      <c r="IQ27" s="838"/>
      <c r="IR27" s="838"/>
      <c r="IS27" s="838"/>
      <c r="IT27" s="838"/>
      <c r="IU27" s="838"/>
      <c r="IV27" s="838"/>
      <c r="IW27" s="838"/>
      <c r="IX27" s="838"/>
      <c r="IY27" s="838"/>
      <c r="IZ27" s="838"/>
      <c r="JA27" s="838"/>
      <c r="JB27" s="838"/>
      <c r="JC27" s="838"/>
      <c r="JD27" s="838"/>
      <c r="JF27" s="838"/>
      <c r="JG27" s="838"/>
      <c r="JH27" s="838"/>
      <c r="JI27" s="838"/>
      <c r="JK27" s="838"/>
      <c r="JM27" s="838"/>
    </row>
    <row r="28" customFormat="false" ht="18.75" hidden="false" customHeight="false" outlineLevel="0" collapsed="false">
      <c r="A28" s="952" t="s">
        <v>1541</v>
      </c>
      <c r="B28" s="952"/>
      <c r="C28" s="953" t="str">
        <f aca="true">IF(C26="气液两相，自选","",IF(CELL("type", C26) = "v",IF(AND(C25&lt;C26,C22&lt;C24),"核算通过","请再次核对"),IF(C25&lt;VALUE(LEFT(C26,LEN(C26)-SEARCH("～",C26,1))),"核算通过","请再次核对")))</f>
        <v>核算通过</v>
      </c>
      <c r="D28" s="953" t="e">
        <f aca="true">IF(D26="气液两相，自选","",IF(CELL("type", D26) = "v",IF(AND(D25&lt;D26,D22&lt;D24),"核算通过","请再次核对"),IF(D25&lt;VALUE(LEFT(D26,LEN(D26)-SEARCH("～",D26,1))),"核算通过","请再次核对")))</f>
        <v>#VALUE!</v>
      </c>
      <c r="E28" s="954" t="str">
        <f aca="true">IF(E26="气液两相，自选","",IF(CELL("type", E26) = "v",IF(AND(E25&lt;E26,E22&lt;E24),"核算通过","请再次核对"),IF(E25&lt;VALUE(LEFT(E26,LEN(E26)-SEARCH("～",E26,1))),"核算通过","请再次核对")))</f>
        <v>核算通过</v>
      </c>
      <c r="F28" s="954" t="e">
        <f aca="true">IF(F26="气液两相，自选","",IF(CELL("type", F26) = "v",IF(AND(F25&lt;F26,F22&lt;F24),"核算通过","请再次核对"),IF(F25&lt;VALUE(LEFT(F26,LEN(F26)-SEARCH("～",F26,1))),"核算通过","请再次核对")))</f>
        <v>#VALUE!</v>
      </c>
      <c r="G28" s="954" t="str">
        <f aca="true">IF(G26="气液两相，自选","",IF(CELL("type", G26) = "v",IF(AND(G25&lt;G26,G22&lt;G24),"核算通过","请再次核对"),IF(G25&lt;VALUE(LEFT(G26,LEN(G26)-SEARCH("～",G26,1))),"核算通过","请再次核对")))</f>
        <v>核算通过</v>
      </c>
      <c r="H28" s="953" t="e">
        <f aca="true">IF(H26="气液两相，自选","",IF(CELL("type", H26) = "v",IF(AND(H25&lt;H26,H22&lt;H24),"核算通过","请再次核对"),IF(H25&lt;VALUE(LEFT(H26,LEN(H26)-SEARCH("～",H26,1))),"核算通过","请再次核对")))</f>
        <v>#VALUE!</v>
      </c>
      <c r="I28" s="953" t="e">
        <f aca="true">IF(I26="气液两相，自选","",IF(CELL("type", I26) = "v",IF(AND(I25&lt;I26,I22&lt;I24),"核算通过","请再次核对"),IF(I25&lt;VALUE(LEFT(I26,LEN(I26)-SEARCH("～",I26,1))),"核算通过","请再次核对")))</f>
        <v>#VALUE!</v>
      </c>
      <c r="J28" s="953" t="str">
        <f aca="true">IF(J26="气液两相，自选","",IF(CELL("type", J26) = "v",IF(AND(J25&lt;J26,J22&lt;J24),"核算通过","请再次核对"),IF(J25&lt;VALUE(LEFT(J26,LEN(J26)-SEARCH("～",J26,1))),"核算通过","请再次核对")))</f>
        <v>请再次核对</v>
      </c>
      <c r="K28" s="953" t="str">
        <f aca="true">IF(K26="气液两相，自选","",IF(CELL("type", K26) = "v",IF(AND(K25&lt;K26,K22&lt;K24),"核算通过","请再次核对"),IF(K25&lt;VALUE(LEFT(K26,LEN(K26)-SEARCH("～",K26,1))),"核算通过","请再次核对")))</f>
        <v>核算通过</v>
      </c>
      <c r="L28" s="953" t="e">
        <f aca="true">IF(L26="气液两相，自选","",IF(CELL("type", L26) = "v",IF(AND(L25&lt;L26,L22&lt;L24),"核算通过","请再次核对"),IF(L25&lt;VALUE(LEFT(L26,LEN(L26)-SEARCH("～",L26,1))),"核算通过","请再次核对")))</f>
        <v>#VALUE!</v>
      </c>
      <c r="M28" s="953" t="e">
        <f aca="true">IF(M26="气液两相，自选","",IF(CELL("type", M26) = "v",IF(AND(M25&lt;M26,M22&lt;M24),"核算通过","请再次核对"),IF(M25&lt;VALUE(LEFT(M26,LEN(M26)-SEARCH("～",M26,1))),"核算通过","请再次核对")))</f>
        <v>#VALUE!</v>
      </c>
      <c r="N28" s="953" t="e">
        <f aca="true">IF(N26="气液两相，自选","",IF(CELL("type", N26) = "v",IF(AND(N25&lt;N26,N22&lt;N24),"核算通过","请再次核对"),IF(N25&lt;VALUE(LEFT(N26,LEN(N26)-SEARCH("～",N26,1))),"核算通过","请再次核对")))</f>
        <v>#VALUE!</v>
      </c>
      <c r="O28" s="953" t="e">
        <f aca="true">IF(O26="气液两相，自选","",IF(CELL("type", O26) = "v",IF(AND(O25&lt;O26,O22&lt;O24),"核算通过","请再次核对"),IF(O25&lt;VALUE(LEFT(O26,LEN(O26)-SEARCH("～",O26,1))),"核算通过","请再次核对")))</f>
        <v>#VALUE!</v>
      </c>
      <c r="P28" s="953" t="e">
        <f aca="true">IF(P26="气液两相，自选","",IF(CELL("type", P26) = "v",IF(AND(P25&lt;P26,P22&lt;P24),"核算通过","请再次核对"),IF(P25&lt;VALUE(LEFT(P26,LEN(P26)-SEARCH("～",P26,1))),"核算通过","请再次核对")))</f>
        <v>#VALUE!</v>
      </c>
      <c r="Q28" s="953" t="e">
        <f aca="true">IF(Q26="气液两相，自选","",IF(CELL("type", Q26) = "v",IF(AND(Q25&lt;Q26,Q22&lt;Q24),"核算通过","请再次核对"),IF(Q25&lt;VALUE(LEFT(Q26,LEN(Q26)-SEARCH("～",Q26,1))),"核算通过","请再次核对")))</f>
        <v>#VALUE!</v>
      </c>
      <c r="R28" s="953" t="e">
        <f aca="true">IF(R26="气液两相，自选","",IF(CELL("type", R26) = "v",IF(AND(R25&lt;R26,R22&lt;R24),"核算通过","请再次核对"),IF(R25&lt;VALUE(LEFT(R26,LEN(R26)-SEARCH("～",R26,1))),"核算通过","请再次核对")))</f>
        <v>#VALUE!</v>
      </c>
      <c r="S28" s="953" t="str">
        <f aca="true">IF(S26="气液两相，自选","",IF(CELL("type", S26) = "v",IF(AND(S25&lt;S26,S22&lt;S24),"核算通过","请再次核对"),IF(S25&lt;VALUE(LEFT(S26,LEN(S26)-SEARCH("～",S26,1))),"核算通过","请再次核对")))</f>
        <v>核算通过</v>
      </c>
      <c r="T28" s="953" t="str">
        <f aca="true">IF(T26="气液两相，自选","",IF(CELL("type", T26) = "v",IF(AND(T25&lt;T26,T22&lt;T24),"核算通过","请再次核对"),IF(T25&lt;VALUE(LEFT(T26,LEN(T26)-SEARCH("～",T26,1))),"核算通过","请再次核对")))</f>
        <v>核算通过</v>
      </c>
      <c r="U28" s="953" t="str">
        <f aca="true">IF(U26="气液两相，自选","",IF(CELL("type", U26) = "v",IF(AND(U25&lt;U26,U22&lt;U24),"核算通过","请再次核对"),IF(U25&lt;VALUE(LEFT(U26,LEN(U26)-SEARCH("～",U26,1))),"核算通过","请再次核对")))</f>
        <v>核算通过</v>
      </c>
      <c r="V28" s="953" t="e">
        <f aca="true">IF(V26="气液两相，自选","",IF(CELL("type", V26) = "v",IF(AND(V25&lt;V26,V22&lt;V24),"核算通过","请再次核对"),IF(V25&lt;VALUE(LEFT(V26,LEN(V26)-SEARCH("～",V26,1))),"核算通过","请再次核对")))</f>
        <v>#VALUE!</v>
      </c>
      <c r="W28" s="953" t="e">
        <f aca="false">#NAME?</f>
        <v>#NAME?</v>
      </c>
      <c r="X28" s="953" t="e">
        <f aca="false">#NAME?</f>
        <v>#NAME?</v>
      </c>
      <c r="Y28" s="953" t="e">
        <f aca="true">IF(Y26="气液两相，自选","",IF(CELL("type", Y26) = "v",IF(AND(Y25&lt;Y26,Y22&lt;Y24),"核算通过","请再次核对"),IF(Y25&lt;VALUE(LEFT(Y26,LEN(Y26)-SEARCH("～",Y26,1))),"核算通过","请再次核对")))</f>
        <v>#VALUE!</v>
      </c>
      <c r="Z28" s="953" t="e">
        <f aca="true">IF(Z26="气液两相，自选","",IF(CELL("type", Z26) = "v",IF(AND(Z25&lt;Z26,Z22&lt;Z24),"核算通过","请再次核对"),IF(Z25&lt;VALUE(LEFT(Z26,LEN(Z26)-SEARCH("～",Z26,1))),"核算通过","请再次核对")))</f>
        <v>#VALUE!</v>
      </c>
      <c r="AA28" s="953" t="str">
        <f aca="true">IF(AA26="气液两相，自选","",IF(CELL("type", AA26) = "v",IF(AND(AA25&lt;AA26,AA22&lt;AA24),"核算通过","请再次核对"),IF(AA25&lt;VALUE(LEFT(AA26,LEN(AA26)-SEARCH("～",AA26,1))),"核算通过","请再次核对")))</f>
        <v>核算通过</v>
      </c>
      <c r="AB28" s="953" t="str">
        <f aca="true">IF(AB26="气液两相，自选","",IF(CELL("type", AB26) = "v",IF(AND(AB25&lt;AB26,AB22&lt;AB24),"核算通过","请再次核对"),IF(AB25&lt;VALUE(LEFT(AB26,LEN(AB26)-SEARCH("～",AB26,1))),"核算通过","请再次核对")))</f>
        <v>核算通过</v>
      </c>
      <c r="AC28" s="953" t="e">
        <f aca="true">IF(AC26="气液两相，自选","",IF(CELL("type", AC26) = "v",IF(AND(AC25&lt;AC26,AC22&lt;AC24),"核算通过","请再次核对"),IF(AC25&lt;VALUE(LEFT(AC26,LEN(AC26)-SEARCH("～",AC26,1))),"核算通过","请再次核对")))</f>
        <v>#VALUE!</v>
      </c>
      <c r="AD28" s="953" t="e">
        <f aca="true">IF(AD26="气液两相，自选","",IF(CELL("type", AD26) = "v",IF(AND(AD25&lt;AD26,AD22&lt;AD24),"核算通过","请再次核对"),IF(AD25&lt;VALUE(LEFT(AD26,LEN(AD26)-SEARCH("～",AD26,1))),"核算通过","请再次核对")))</f>
        <v>#VALUE!</v>
      </c>
      <c r="AE28" s="953" t="e">
        <f aca="true">IF(AE26="气液两相，自选","",IF(CELL("type", AE26) = "v",IF(AND(AE25&lt;AE26,AE22&lt;AE24),"核算通过","请再次核对"),IF(AE25&lt;VALUE(LEFT(AE26,LEN(AE26)-SEARCH("～",AE26,1))),"核算通过","请再次核对")))</f>
        <v>#VALUE!</v>
      </c>
      <c r="AF28" s="953" t="e">
        <f aca="true">IF(AF26="气液两相，自选","",IF(CELL("type", AF26) = "v",IF(AND(AF25&lt;AF26,AF22&lt;AF24),"核算通过","请再次核对"),IF(AF25&lt;VALUE(LEFT(AF26,LEN(AF26)-SEARCH("～",AF26,1))),"核算通过","请再次核对")))</f>
        <v>#VALUE!</v>
      </c>
      <c r="AG28" s="953" t="e">
        <f aca="true">IF(AG26="气液两相，自选","",IF(CELL("type", AG26) = "v",IF(AND(AG25&lt;AG26,AG22&lt;AG24),"核算通过","请再次核对"),IF(AG25&lt;VALUE(LEFT(AG26,LEN(AG26)-SEARCH("～",AG26,1))),"核算通过","请再次核对")))</f>
        <v>#VALUE!</v>
      </c>
      <c r="AH28" s="953" t="e">
        <f aca="true">IF(AH26="气液两相，自选","",IF(CELL("type", AH26) = "v",IF(AND(AH25&lt;AH26,AH22&lt;AH24),"核算通过","请再次核对"),IF(AH25&lt;VALUE(LEFT(AH26,LEN(AH26)-SEARCH("～",AH26,1))),"核算通过","请再次核对")))</f>
        <v>#VALUE!</v>
      </c>
      <c r="AI28" s="953" t="e">
        <f aca="true">IF(AI26="气液两相，自选","",IF(CELL("type", AI26) = "v",IF(AND(AI25&lt;AI26,AI22&lt;AI24),"核算通过","请再次核对"),IF(AI25&lt;VALUE(LEFT(AI26,LEN(AI26)-SEARCH("～",AI26,1))),"核算通过","请再次核对")))</f>
        <v>#VALUE!</v>
      </c>
      <c r="AJ28" s="953" t="e">
        <f aca="true">IF(AJ26="气液两相，自选","",IF(CELL("type", AJ26) = "v",IF(AND(AJ25&lt;AJ26,AJ22&lt;AJ24),"核算通过","请再次核对"),IF(AJ25&lt;VALUE(LEFT(AJ26,LEN(AJ26)-SEARCH("～",AJ26,1))),"核算通过","请再次核对")))</f>
        <v>#VALUE!</v>
      </c>
      <c r="AK28" s="953" t="e">
        <f aca="true">IF(AK26="气液两相，自选","",IF(CELL("type", AK26) = "v",IF(AND(AK25&lt;AK26,AK22&lt;AK24),"核算通过","请再次核对"),IF(AK25&lt;VALUE(LEFT(AK26,LEN(AK26)-SEARCH("～",AK26,1))),"核算通过","请再次核对")))</f>
        <v>#VALUE!</v>
      </c>
      <c r="AL28" s="953" t="e">
        <f aca="true">IF(AL26="气液两相，自选","",IF(CELL("type", AL26) = "v",IF(AND(AL25&lt;AL26,AL22&lt;AL24),"核算通过","请再次核对"),IF(AL25&lt;VALUE(LEFT(AL26,LEN(AL26)-SEARCH("～",AL26,1))),"核算通过","请再次核对")))</f>
        <v>#VALUE!</v>
      </c>
      <c r="AM28" s="953" t="e">
        <f aca="true">IF(AM26="气液两相，自选","",IF(CELL("type", AM26) = "v",IF(AND(AM25&lt;AM26,AM22&lt;AM24),"核算通过","请再次核对"),IF(AM25&lt;VALUE(LEFT(AM26,LEN(AM26)-SEARCH("～",AM26,1))),"核算通过","请再次核对")))</f>
        <v>#VALUE!</v>
      </c>
      <c r="AN28" s="953" t="e">
        <f aca="true">IF(AN26="气液两相，自选","",IF(CELL("type", AN26) = "v",IF(AND(AN25&lt;AN26,AN22&lt;AN24),"核算通过","请再次核对"),IF(AN25&lt;VALUE(LEFT(AN26,LEN(AN26)-SEARCH("～",AN26,1))),"核算通过","请再次核对")))</f>
        <v>#VALUE!</v>
      </c>
      <c r="AO28" s="953" t="e">
        <f aca="true">IF(AO26="气液两相，自选","",IF(CELL("type", AO26) = "v",IF(AND(AO25&lt;AO26,AO22&lt;AO24),"核算通过","请再次核对"),IF(AO25&lt;VALUE(LEFT(AO26,LEN(AO26)-SEARCH("～",AO26,1))),"核算通过","请再次核对")))</f>
        <v>#VALUE!</v>
      </c>
      <c r="AP28" s="953" t="e">
        <f aca="true">IF(AP26="气液两相，自选","",IF(CELL("type", AP26) = "v",IF(AND(AP25&lt;AP26,AP22&lt;AP24),"核算通过","请再次核对"),IF(AP25&lt;VALUE(LEFT(AP26,LEN(AP26)-SEARCH("～",AP26,1))),"核算通过","请再次核对")))</f>
        <v>#VALUE!</v>
      </c>
      <c r="AQ28" s="953" t="e">
        <f aca="true">IF(AQ26="气液两相，自选","",IF(CELL("type", AQ26) = "v",IF(AND(AQ25&lt;AQ26,AQ22&lt;AQ24),"核算通过","请再次核对"),IF(AQ25&lt;VALUE(LEFT(AQ26,LEN(AQ26)-SEARCH("～",AQ26,1))),"核算通过","请再次核对")))</f>
        <v>#VALUE!</v>
      </c>
      <c r="AR28" s="953" t="e">
        <f aca="true">IF(AR26="气液两相，自选","",IF(CELL("type", AR26) = "v",IF(AND(AR25&lt;AR26,AR22&lt;AR24),"核算通过","请再次核对"),IF(AR25&lt;VALUE(LEFT(AR26,LEN(AR26)-SEARCH("～",AR26,1))),"核算通过","请再次核对")))</f>
        <v>#VALUE!</v>
      </c>
      <c r="AS28" s="953" t="e">
        <f aca="true">IF(AS26="气液两相，自选","",IF(CELL("type", AS26) = "v",IF(AND(AS25&lt;AS26,AS22&lt;AS24),"核算通过","请再次核对"),IF(AS25&lt;VALUE(LEFT(AS26,LEN(AS26)-SEARCH("～",AS26,1))),"核算通过","请再次核对")))</f>
        <v>#VALUE!</v>
      </c>
      <c r="AT28" s="953" t="str">
        <f aca="true">IF(AT26="气液两相，自选","",IF(CELL("type", AT26) = "v",IF(AND(AT25&lt;AT26,AT22&lt;AT24),"核算通过","请再次核对"),IF(AT25&lt;VALUE(LEFT(AT26,LEN(AT26)-SEARCH("～",AT26,1))),"核算通过","请再次核对")))</f>
        <v/>
      </c>
      <c r="AU28" s="953" t="e">
        <f aca="true">IF(AU26="气液两相，自选","",IF(CELL("type", AU26) = "v",IF(AND(AU25&lt;AU26,AU22&lt;AU24),"核算通过","请再次核对"),IF(AU25&lt;VALUE(LEFT(AU26,LEN(AU26)-SEARCH("～",AU26,1))),"核算通过","请再次核对")))</f>
        <v>#VALUE!</v>
      </c>
      <c r="AV28" s="953" t="e">
        <f aca="true">IF(AV26="气液两相，自选","",IF(CELL("type", AV26) = "v",IF(AND(AV25&lt;AV26,AV22&lt;AV24),"核算通过","请再次核对"),IF(AV25&lt;VALUE(LEFT(AV26,LEN(AV26)-SEARCH("～",AV26,1))),"核算通过","请再次核对")))</f>
        <v>#VALUE!</v>
      </c>
      <c r="AW28" s="953" t="e">
        <f aca="true">IF(AW26="气液两相，自选","",IF(CELL("type", AW26) = "v",IF(AND(AW25&lt;AW26,AW22&lt;AW24),"核算通过","请再次核对"),IF(AW25&lt;VALUE(LEFT(AW26,LEN(AW26)-SEARCH("～",AW26,1))),"核算通过","请再次核对")))</f>
        <v>#VALUE!</v>
      </c>
      <c r="AX28" s="953" t="str">
        <f aca="true">IF(AX26="气液两相，自选","",IF(CELL("type", AX26) = "v",IF(AND(AX25&lt;AX26,AX22&lt;AX24),"核算通过","请再次核对"),IF(AX25&lt;VALUE(LEFT(AX26,LEN(AX26)-SEARCH("～",AX26,1))),"核算通过","请再次核对")))</f>
        <v>核算通过</v>
      </c>
      <c r="AY28" s="953" t="e">
        <f aca="true">IF(AY26="气液两相，自选","",IF(CELL("type", AY26) = "v",IF(AND(AY25&lt;AY26,AY22&lt;AY24),"核算通过","请再次核对"),IF(AY25&lt;VALUE(LEFT(AY26,LEN(AY26)-SEARCH("～",AY26,1))),"核算通过","请再次核对")))</f>
        <v>#VALUE!</v>
      </c>
      <c r="AZ28" s="953" t="e">
        <f aca="true">IF(AZ26="气液两相，自选","",IF(CELL("type", AZ26) = "v",IF(AND(AZ25&lt;AZ26,AZ22&lt;AZ24),"核算通过","请再次核对"),IF(AZ25&lt;VALUE(LEFT(AZ26,LEN(AZ26)-SEARCH("～",AZ26,1))),"核算通过","请再次核对")))</f>
        <v>#VALUE!</v>
      </c>
      <c r="BA28" s="953" t="str">
        <f aca="true">IF(BA26="气液两相，自选","",IF(CELL("type", BA26) = "v",IF(AND(BA25&lt;BA26,BA22&lt;BA24),"核算通过","请再次核对"),IF(BA25&lt;VALUE(LEFT(BA26,LEN(BA26)-SEARCH("～",BA26,1))),"核算通过","请再次核对")))</f>
        <v/>
      </c>
      <c r="BB28" s="953" t="str">
        <f aca="true">IF(BB26="气液两相，自选","",IF(CELL("type", BB26) = "v",IF(AND(BB25&lt;BB26,BB22&lt;BB24),"核算通过","请再次核对"),IF(BB25&lt;VALUE(LEFT(BB26,LEN(BB26)-SEARCH("～",BB26,1))),"核算通过","请再次核对")))</f>
        <v/>
      </c>
      <c r="BC28" s="953" t="str">
        <f aca="true">IF(BC26="气液两相，自选","",IF(CELL("type", BC26) = "v",IF(AND(BC25&lt;BC26,BC22&lt;BC24),"核算通过","请再次核对"),IF(BC25&lt;VALUE(LEFT(BC26,LEN(BC26)-SEARCH("～",BC26,1))),"核算通过","请再次核对")))</f>
        <v/>
      </c>
      <c r="BD28" s="953" t="str">
        <f aca="true">IF(BD26="气液两相，自选","",IF(CELL("type", BD26) = "v",IF(AND(BD25&lt;BD26,BD22&lt;BD24),"核算通过","请再次核对"),IF(BD25&lt;VALUE(LEFT(BD26,LEN(BD26)-SEARCH("～",BD26,1))),"核算通过","请再次核对")))</f>
        <v/>
      </c>
      <c r="BE28" s="953" t="str">
        <f aca="true">IF(BE26="气液两相，自选","",IF(CELL("type", BE26) = "v",IF(AND(BE25&lt;BE26,BE22&lt;BE24),"核算通过","请再次核对"),IF(BE25&lt;VALUE(LEFT(BE26,LEN(BE26)-SEARCH("～",BE26,1))),"核算通过","请再次核对")))</f>
        <v/>
      </c>
      <c r="BF28" s="953" t="str">
        <f aca="true">IF(BF26="气液两相，自选","",IF(CELL("type", BF26) = "v",IF(AND(BF25&lt;BF26,BF22&lt;BF24),"核算通过","请再次核对"),IF(BF25&lt;VALUE(LEFT(BF26,LEN(BF26)-SEARCH("～",BF26,1))),"核算通过","请再次核对")))</f>
        <v>核算通过</v>
      </c>
      <c r="BG28" s="953" t="str">
        <f aca="true">IF(BG26="气液两相，自选","",IF(CELL("type", BG26) = "v",IF(AND(BG25&lt;BG26,BG22&lt;BG24),"核算通过","请再次核对"),IF(BG25&lt;VALUE(LEFT(BG26,LEN(BG26)-SEARCH("～",BG26,1))),"核算通过","请再次核对")))</f>
        <v>请再次核对</v>
      </c>
      <c r="BH28" s="953" t="str">
        <f aca="true">IF(BH26="气液两相，自选","",IF(CELL("type", BH26) = "v",IF(AND(BH25&lt;BH26,BH22&lt;BH24),"核算通过","请再次核对"),IF(BH25&lt;VALUE(LEFT(BH26,LEN(BH26)-SEARCH("～",BH26,1))),"核算通过","请再次核对")))</f>
        <v/>
      </c>
      <c r="BI28" s="953" t="str">
        <f aca="true">IF(BI26="气液两相，自选","",IF(CELL("type", BI26) = "v",IF(AND(BI25&lt;BI26,BI22&lt;BI24),"核算通过","请再次核对"),IF(BI25&lt;VALUE(LEFT(BI26,LEN(BI26)-SEARCH("～",BI26,1))),"核算通过","请再次核对")))</f>
        <v/>
      </c>
      <c r="BJ28" s="953" t="e">
        <f aca="true">IF(BJ26="气液两相，自选","",IF(CELL("type", BJ26) = "v",IF(AND(BJ25&lt;BJ26,BJ22&lt;BJ24),"核算通过","请再次核对"),IF(BJ25&lt;VALUE(LEFT(BJ26,LEN(BJ26)-SEARCH("～",BJ26,1))),"核算通过","请再次核对")))</f>
        <v>#VALUE!</v>
      </c>
      <c r="BK28" s="953" t="e">
        <f aca="true">IF(BK26="气液两相，自选","",IF(CELL("type", BK26) = "v",IF(AND(BK25&lt;BK26,BK22&lt;BK24),"核算通过","请再次核对"),IF(BK25&lt;VALUE(LEFT(BK26,LEN(BK26)-SEARCH("～",BK26,1))),"核算通过","请再次核对")))</f>
        <v>#VALUE!</v>
      </c>
      <c r="BL28" s="953" t="e">
        <f aca="true">IF(BL26="气液两相，自选","",IF(CELL("type", BL26) = "v",IF(AND(BL25&lt;BL26,BL22&lt;BL24),"核算通过","请再次核对"),IF(BL25&lt;VALUE(LEFT(BL26,LEN(BL26)-SEARCH("～",BL26,1))),"核算通过","请再次核对")))</f>
        <v>#VALUE!</v>
      </c>
      <c r="BM28" s="953" t="str">
        <f aca="true">IF(BM26="气液两相，自选","",IF(CELL("type", BM26) = "v",IF(AND(BM25&lt;BM26,BM22&lt;BM24),"核算通过","请再次核对"),IF(BM25&lt;VALUE(LEFT(BM26,LEN(BM26)-SEARCH("～",BM26,1))),"核算通过","请再次核对")))</f>
        <v/>
      </c>
      <c r="BN28" s="953" t="str">
        <f aca="true">IF(BN26="气液两相，自选","",IF(CELL("type", BN26) = "v",IF(AND(BN25&lt;BN26,BN22&lt;BN24),"核算通过","请再次核对"),IF(BN25&lt;VALUE(LEFT(BN26,LEN(BN26)-SEARCH("～",BN26,1))),"核算通过","请再次核对")))</f>
        <v>请再次核对</v>
      </c>
      <c r="BO28" s="953" t="str">
        <f aca="true">IF(BO26="气液两相，自选","",IF(CELL("type", BO26) = "v",IF(AND(BO25&lt;BO26,BO22&lt;BO24),"核算通过","请再次核对"),IF(BO25&lt;VALUE(LEFT(BO26,LEN(BO26)-SEARCH("～",BO26,1))),"核算通过","请再次核对")))</f>
        <v>核算通过</v>
      </c>
      <c r="BP28" s="953" t="str">
        <f aca="true">IF(BP26="气液两相，自选","",IF(CELL("type", BP26) = "v",IF(AND(BP25&lt;BP26,BP22&lt;BP24),"核算通过","请再次核对"),IF(BP25&lt;VALUE(LEFT(BP26,LEN(BP26)-SEARCH("～",BP26,1))),"核算通过","请再次核对")))</f>
        <v>核算通过</v>
      </c>
      <c r="BQ28" s="953" t="str">
        <f aca="true">IF(BQ26="气液两相，自选","",IF(CELL("type", BQ26) = "v",IF(AND(BQ25&lt;BQ26,BQ22&lt;BQ24),"核算通过","请再次核对"),IF(BQ25&lt;VALUE(LEFT(BQ26,LEN(BQ26)-SEARCH("～",BQ26,1))),"核算通过","请再次核对")))</f>
        <v>核算通过</v>
      </c>
      <c r="BR28" s="953" t="str">
        <f aca="true">IF(BR26="气液两相，自选","",IF(CELL("type", BR26) = "v",IF(AND(BR25&lt;BR26,BR22&lt;BR24),"核算通过","请再次核对"),IF(BR25&lt;VALUE(LEFT(BR26,LEN(BR26)-SEARCH("～",BR26,1))),"核算通过","请再次核对")))</f>
        <v>核算通过</v>
      </c>
      <c r="BS28" s="953" t="str">
        <f aca="true">IF(BS26="气液两相，自选","",IF(CELL("type", BS26) = "v",IF(AND(BS25&lt;BS26,BS22&lt;BS24),"核算通过","请再次核对"),IF(BS25&lt;VALUE(LEFT(BS26,LEN(BS26)-SEARCH("～",BS26,1))),"核算通过","请再次核对")))</f>
        <v>核算通过</v>
      </c>
      <c r="BT28" s="953" t="str">
        <f aca="true">IF(BT26="气液两相，自选","",IF(CELL("type", BT26) = "v",IF(AND(BT25&lt;BT26,BT22&lt;BT24),"核算通过","请再次核对"),IF(BT25&lt;VALUE(LEFT(BT26,LEN(BT26)-SEARCH("～",BT26,1))),"核算通过","请再次核对")))</f>
        <v>核算通过</v>
      </c>
      <c r="BU28" s="953" t="e">
        <f aca="true">IF(BU26="气液两相，自选","",IF(CELL("type", BU26) = "v",IF(AND(BU25&lt;BU26,BU22&lt;BU24),"核算通过","请再次核对"),IF(BU25&lt;VALUE(LEFT(BU26,LEN(BU26)-SEARCH("～",BU26,1))),"核算通过","请再次核对")))</f>
        <v>#VALUE!</v>
      </c>
      <c r="BV28" s="953" t="str">
        <f aca="true">IF(BV26="气液两相，自选","",IF(CELL("type", BV26) = "v",IF(AND(BV25&lt;BV26,BV22&lt;BV24),"核算通过","请再次核对"),IF(BV25&lt;VALUE(LEFT(BV26,LEN(BV26)-SEARCH("～",BV26,1))),"核算通过","请再次核对")))</f>
        <v/>
      </c>
      <c r="BW28" s="953" t="str">
        <f aca="true">IF(BW26="气液两相，自选","",IF(CELL("type", BW26) = "v",IF(AND(BW25&lt;BW26,BW22&lt;BW24),"核算通过","请再次核对"),IF(BW25&lt;VALUE(LEFT(BW26,LEN(BW26)-SEARCH("～",BW26,1))),"核算通过","请再次核对")))</f>
        <v>核算通过</v>
      </c>
      <c r="BX28" s="953" t="str">
        <f aca="true">IF(BX26="气液两相，自选","",IF(CELL("type", BX26) = "v",IF(AND(BX25&lt;BX26,BX22&lt;BX24),"核算通过","请再次核对"),IF(BX25&lt;VALUE(LEFT(BX26,LEN(BX26)-SEARCH("～",BX26,1))),"核算通过","请再次核对")))</f>
        <v/>
      </c>
      <c r="BY28" s="953" t="str">
        <f aca="true">IF(BY26="气液两相，自选","",IF(CELL("type", BY26) = "v",IF(AND(BY25&lt;BY26,BY22&lt;BY24),"核算通过","请再次核对"),IF(BY25&lt;VALUE(LEFT(BY26,LEN(BY26)-SEARCH("～",BY26,1))),"核算通过","请再次核对")))</f>
        <v/>
      </c>
      <c r="BZ28" s="953" t="str">
        <f aca="true">IF(BZ26="气液两相，自选","",IF(CELL("type", BZ26) = "v",IF(AND(BZ25&lt;BZ26,BZ22&lt;BZ24),"核算通过","请再次核对"),IF(BZ25&lt;VALUE(LEFT(BZ26,LEN(BZ26)-SEARCH("～",BZ26,1))),"核算通过","请再次核对")))</f>
        <v/>
      </c>
      <c r="CA28" s="953" t="e">
        <f aca="true">IF(CA26="气液两相，自选","",IF(CELL("type", CA26) = "v",IF(AND(CA25&lt;CA26,CA22&lt;CA24),"核算通过","请再次核对"),IF(CA25&lt;VALUE(LEFT(CA26,LEN(CA26)-SEARCH("～",CA26,1))),"核算通过","请再次核对")))</f>
        <v>#VALUE!</v>
      </c>
      <c r="CB28" s="953" t="e">
        <f aca="true">IF(CB26="气液两相，自选","",IF(CELL("type", CB26) = "v",IF(AND(CB25&lt;CB26,CB22&lt;CB24),"核算通过","请再次核对"),IF(CB25&lt;VALUE(LEFT(CB26,LEN(CB26)-SEARCH("～",CB26,1))),"核算通过","请再次核对")))</f>
        <v>#VALUE!</v>
      </c>
      <c r="CC28" s="953" t="str">
        <f aca="true">IF(CC26="气液两相，自选","",IF(CELL("type", CC26) = "v",IF(AND(CC25&lt;CC26,CC22&lt;CC24),"核算通过","请再次核对"),IF(CC25&lt;VALUE(LEFT(CC26,LEN(CC26)-SEARCH("～",CC26,1))),"核算通过","请再次核对")))</f>
        <v>核算通过</v>
      </c>
      <c r="CD28" s="953" t="e">
        <f aca="true">IF(CD26="气液两相，自选","",IF(CELL("type", CD26) = "v",IF(AND(CD25&lt;CD26,CD22&lt;CD24),"核算通过","请再次核对"),IF(CD25&lt;VALUE(LEFT(CD26,LEN(CD26)-SEARCH("～",CD26,1))),"核算通过","请再次核对")))</f>
        <v>#VALUE!</v>
      </c>
      <c r="CE28" s="953" t="e">
        <f aca="true">IF(CE26="气液两相，自选","",IF(CELL("type", CE26) = "v",IF(AND(CE25&lt;CE26,CE22&lt;CE24),"核算通过","请再次核对"),IF(CE25&lt;VALUE(LEFT(CE26,LEN(CE26)-SEARCH("～",CE26,1))),"核算通过","请再次核对")))</f>
        <v>#VALUE!</v>
      </c>
      <c r="CF28" s="953" t="e">
        <f aca="true">IF(CF26="气液两相，自选","",IF(CELL("type", CF26) = "v",IF(AND(CF25&lt;CF26,CF22&lt;CF24),"核算通过","请再次核对"),IF(CF25&lt;VALUE(LEFT(CF26,LEN(CF26)-SEARCH("～",CF26,1))),"核算通过","请再次核对")))</f>
        <v>#VALUE!</v>
      </c>
      <c r="CG28" s="953" t="e">
        <f aca="true">IF(CG26="气液两相，自选","",IF(CELL("type", CG26) = "v",IF(AND(CG25&lt;CG26,CG22&lt;CG24),"核算通过","请再次核对"),IF(CG25&lt;VALUE(LEFT(CG26,LEN(CG26)-SEARCH("～",CG26,1))),"核算通过","请再次核对")))</f>
        <v>#VALUE!</v>
      </c>
      <c r="CH28" s="953" t="e">
        <f aca="true">IF(CH26="气液两相，自选","",IF(CELL("type", CH26) = "v",IF(AND(CH25&lt;CH26,CH22&lt;CH24),"核算通过","请再次核对"),IF(CH25&lt;VALUE(LEFT(CH26,LEN(CH26)-SEARCH("～",CH26,1))),"核算通过","请再次核对")))</f>
        <v>#VALUE!</v>
      </c>
      <c r="CI28" s="953" t="str">
        <f aca="true">IF(CI26="气液两相，自选","",IF(CELL("type", CI26) = "v",IF(AND(CI25&lt;CI26,CI22&lt;CI24),"核算通过","请再次核对"),IF(CI25&lt;VALUE(LEFT(CI26,LEN(CI26)-SEARCH("～",CI26,1))),"核算通过","请再次核对")))</f>
        <v/>
      </c>
      <c r="CJ28" s="953" t="str">
        <f aca="true">IF(CJ26="气液两相，自选","",IF(CELL("type", CJ26) = "v",IF(AND(CJ25&lt;CJ26,CJ22&lt;CJ24),"核算通过","请再次核对"),IF(CJ25&lt;VALUE(LEFT(CJ26,LEN(CJ26)-SEARCH("～",CJ26,1))),"核算通过","请再次核对")))</f>
        <v/>
      </c>
      <c r="CK28" s="953" t="str">
        <f aca="true">IF(CK26="气液两相，自选","",IF(CELL("type", CK26) = "v",IF(AND(CK25&lt;CK26,CK22&lt;CK24),"核算通过","请再次核对"),IF(CK25&lt;VALUE(LEFT(CK26,LEN(CK26)-SEARCH("～",CK26,1))),"核算通过","请再次核对")))</f>
        <v/>
      </c>
      <c r="CL28" s="953" t="str">
        <f aca="true">IF(CL26="气液两相，自选","",IF(CELL("type", CL26) = "v",IF(AND(CL25&lt;CL26,CL22&lt;CL24),"核算通过","请再次核对"),IF(CL25&lt;VALUE(LEFT(CL26,LEN(CL26)-SEARCH("～",CL26,1))),"核算通过","请再次核对")))</f>
        <v>核算通过</v>
      </c>
      <c r="CM28" s="953" t="str">
        <f aca="true">IF(CM26="气液两相，自选","",IF(CELL("type", CM26) = "v",IF(AND(CM25&lt;CM26,CM22&lt;CM24),"核算通过","请再次核对"),IF(CM25&lt;VALUE(LEFT(CM26,LEN(CM26)-SEARCH("～",CM26,1))),"核算通过","请再次核对")))</f>
        <v>核算通过</v>
      </c>
      <c r="CN28" s="953" t="str">
        <f aca="true">IF(CN26="气液两相，自选","",IF(CELL("type", CN26) = "v",IF(AND(CN25&lt;CN26,CN22&lt;CN24),"核算通过","请再次核对"),IF(CN25&lt;VALUE(LEFT(CN26,LEN(CN26)-SEARCH("～",CN26,1))),"核算通过","请再次核对")))</f>
        <v>核算通过</v>
      </c>
      <c r="CO28" s="953" t="str">
        <f aca="true">IF(CO26="气液两相，自选","",IF(CELL("type", CO26) = "v",IF(AND(CO25&lt;CO26,CO22&lt;CO24),"核算通过","请再次核对"),IF(CO25&lt;VALUE(LEFT(CO26,LEN(CO26)-SEARCH("～",CO26,1))),"核算通过","请再次核对")))</f>
        <v>核算通过</v>
      </c>
      <c r="CP28" s="953" t="str">
        <f aca="true">IF(CP26="气液两相，自选","",IF(CELL("type", CP26) = "v",IF(AND(CP25&lt;CP26,CP22&lt;CP24),"核算通过","请再次核对"),IF(CP25&lt;VALUE(LEFT(CP26,LEN(CP26)-SEARCH("～",CP26,1))),"核算通过","请再次核对")))</f>
        <v>请再次核对</v>
      </c>
      <c r="CQ28" s="953" t="e">
        <f aca="true">IF(CQ26="气液两相，自选","",IF(CELL("type", CQ26) = "v",IF(AND(CQ25&lt;CQ26,CQ22&lt;CQ24),"核算通过","请再次核对"),IF(CQ25&lt;VALUE(LEFT(CQ26,LEN(CQ26)-SEARCH("～",CQ26,1))),"核算通过","请再次核对")))</f>
        <v>#VALUE!</v>
      </c>
      <c r="CR28" s="953" t="e">
        <f aca="true">IF(CR26="气液两相，自选","",IF(CELL("type", CR26) = "v",IF(AND(CR25&lt;CR26,CR22&lt;CR24),"核算通过","请再次核对"),IF(CR25&lt;VALUE(LEFT(CR26,LEN(CR26)-SEARCH("～",CR26,1))),"核算通过","请再次核对")))</f>
        <v>#VALUE!</v>
      </c>
      <c r="CS28" s="953" t="e">
        <f aca="true">IF(CS26="气液两相，自选","",IF(CELL("type", CS26) = "v",IF(AND(CS25&lt;CS26,CS22&lt;CS24),"核算通过","请再次核对"),IF(CS25&lt;VALUE(LEFT(CS26,LEN(CS26)-SEARCH("～",CS26,1))),"核算通过","请再次核对")))</f>
        <v>#VALUE!</v>
      </c>
      <c r="CT28" s="953" t="e">
        <f aca="true">IF(CT26="气液两相，自选","",IF(CELL("type", CT26) = "v",IF(AND(CT25&lt;CT26,CT22&lt;CT24),"核算通过","请再次核对"),IF(CT25&lt;VALUE(LEFT(CT26,LEN(CT26)-SEARCH("～",CT26,1))),"核算通过","请再次核对")))</f>
        <v>#VALUE!</v>
      </c>
      <c r="CU28" s="953" t="e">
        <f aca="true">IF(CU26="气液两相，自选","",IF(CELL("type", CU26) = "v",IF(AND(CU25&lt;CU26,CU22&lt;CU24),"核算通过","请再次核对"),IF(CU25&lt;VALUE(LEFT(CU26,LEN(CU26)-SEARCH("～",CU26,1))),"核算通过","请再次核对")))</f>
        <v>#VALUE!</v>
      </c>
      <c r="CV28" s="953" t="e">
        <f aca="true">IF(CV26="气液两相，自选","",IF(CELL("type", CV26) = "v",IF(AND(CV25&lt;CV26,CV22&lt;CV24),"核算通过","请再次核对"),IF(CV25&lt;VALUE(LEFT(CV26,LEN(CV26)-SEARCH("～",CV26,1))),"核算通过","请再次核对")))</f>
        <v>#VALUE!</v>
      </c>
      <c r="CW28" s="953" t="e">
        <f aca="true">IF(CW26="气液两相，自选","",IF(CELL("type", CW26) = "v",IF(AND(CW25&lt;CW26,CW22&lt;CW24),"核算通过","请再次核对"),IF(CW25&lt;VALUE(LEFT(CW26,LEN(CW26)-SEARCH("～",CW26,1))),"核算通过","请再次核对")))</f>
        <v>#VALUE!</v>
      </c>
      <c r="CX28" s="953" t="e">
        <f aca="true">IF(CX26="气液两相，自选","",IF(CELL("type", CX26) = "v",IF(AND(CX25&lt;CX26,CX22&lt;CX24),"核算通过","请再次核对"),IF(CX25&lt;VALUE(LEFT(CX26,LEN(CX26)-SEARCH("～",CX26,1))),"核算通过","请再次核对")))</f>
        <v>#VALUE!</v>
      </c>
      <c r="CY28" s="953" t="str">
        <f aca="true">IF(CY26="气液两相，自选","",IF(CELL("type", CY26) = "v",IF(AND(CY25&lt;CY26,CY22&lt;CY24),"核算通过","请再次核对"),IF(CY25&lt;VALUE(LEFT(CY26,LEN(CY26)-SEARCH("～",CY26,1))),"核算通过","请再次核对")))</f>
        <v>核算通过</v>
      </c>
      <c r="CZ28" s="953" t="str">
        <f aca="true">IF(CZ26="气液两相，自选","",IF(CELL("type", CZ26) = "v",IF(AND(CZ25&lt;CZ26,CZ22&lt;CZ24),"核算通过","请再次核对"),IF(CZ25&lt;VALUE(LEFT(CZ26,LEN(CZ26)-SEARCH("～",CZ26,1))),"核算通过","请再次核对")))</f>
        <v>核算通过</v>
      </c>
      <c r="DA28" s="953" t="e">
        <f aca="true">IF(DA26="气液两相，自选","",IF(CELL("type", DA26) = "v",IF(AND(DA25&lt;DA26,DA22&lt;DA24),"核算通过","请再次核对"),IF(DA25&lt;VALUE(LEFT(DA26,LEN(DA26)-SEARCH("～",DA26,1))),"核算通过","请再次核对")))</f>
        <v>#VALUE!</v>
      </c>
      <c r="DB28" s="953" t="e">
        <f aca="true">IF(DB26="气液两相，自选","",IF(CELL("type", DB26) = "v",IF(AND(DB25&lt;DB26,DB22&lt;DB24),"核算通过","请再次核对"),IF(DB25&lt;VALUE(LEFT(DB26,LEN(DB26)-SEARCH("～",DB26,1))),"核算通过","请再次核对")))</f>
        <v>#VALUE!</v>
      </c>
      <c r="DC28" s="953" t="str">
        <f aca="true">IF(DC26="气液两相，自选","",IF(CELL("type", DC26) = "v",IF(AND(DC25&lt;DC26,DC22&lt;DC24),"核算通过","请再次核对"),IF(DC25&lt;VALUE(LEFT(DC26,LEN(DC26)-SEARCH("～",DC26,1))),"核算通过","请再次核对")))</f>
        <v>请再次核对</v>
      </c>
      <c r="DD28" s="953" t="str">
        <f aca="true">IF(DD26="气液两相，自选","",IF(CELL("type", DD26) = "v",IF(AND(DD25&lt;DD26,DD22&lt;DD24),"核算通过","请再次核对"),IF(DD25&lt;VALUE(LEFT(DD26,LEN(DD26)-SEARCH("～",DD26,1))),"核算通过","请再次核对")))</f>
        <v>核算通过</v>
      </c>
      <c r="DE28" s="953" t="str">
        <f aca="true">IF(DE26="气液两相，自选","",IF(CELL("type", DE26) = "v",IF(AND(DE25&lt;DE26,DE22&lt;DE24),"核算通过","请再次核对"),IF(DE25&lt;VALUE(LEFT(DE26,LEN(DE26)-SEARCH("～",DE26,1))),"核算通过","请再次核对")))</f>
        <v>核算通过</v>
      </c>
      <c r="DF28" s="953" t="str">
        <f aca="true">IF(DF26="气液两相，自选","",IF(CELL("type", DF26) = "v",IF(AND(DF25&lt;DF26,DF22&lt;DF24),"核算通过","请再次核对"),IF(DF25&lt;VALUE(LEFT(DF26,LEN(DF26)-SEARCH("～",DF26,1))),"核算通过","请再次核对")))</f>
        <v>核算通过</v>
      </c>
      <c r="DG28" s="953" t="str">
        <f aca="true">IF(DG26="气液两相，自选","",IF(CELL("type", DG26) = "v",IF(AND(DG25&lt;DG26,DG22&lt;DG24),"核算通过","请再次核对"),IF(DG25&lt;VALUE(LEFT(DG26,LEN(DG26)-SEARCH("～",DG26,1))),"核算通过","请再次核对")))</f>
        <v>核算通过</v>
      </c>
      <c r="DH28" s="953" t="str">
        <f aca="true">IF(DH26="气液两相，自选","",IF(CELL("type", DH26) = "v",IF(AND(DH25&lt;DH26,DH22&lt;DH24),"核算通过","请再次核对"),IF(DH25&lt;VALUE(LEFT(DH26,LEN(DH26)-SEARCH("～",DH26,1))),"核算通过","请再次核对")))</f>
        <v>核算通过</v>
      </c>
      <c r="DI28" s="953" t="str">
        <f aca="true">IF(DI26="气液两相，自选","",IF(CELL("type", DI26) = "v",IF(AND(DI25&lt;DI26,DI22&lt;DI24),"核算通过","请再次核对"),IF(DI25&lt;VALUE(LEFT(DI26,LEN(DI26)-SEARCH("～",DI26,1))),"核算通过","请再次核对")))</f>
        <v>核算通过</v>
      </c>
      <c r="DJ28" s="953" t="str">
        <f aca="true">IF(DJ26="气液两相，自选","",IF(CELL("type", DJ26) = "v",IF(AND(DJ25&lt;DJ26,DJ22&lt;DJ24),"核算通过","请再次核对"),IF(DJ25&lt;VALUE(LEFT(DJ26,LEN(DJ26)-SEARCH("～",DJ26,1))),"核算通过","请再次核对")))</f>
        <v>核算通过</v>
      </c>
      <c r="DK28" s="953" t="str">
        <f aca="true">IF(DK26="气液两相，自选","",IF(CELL("type", DK26) = "v",IF(AND(DK25&lt;DK26,DK22&lt;DK24),"核算通过","请再次核对"),IF(DK25&lt;VALUE(LEFT(DK26,LEN(DK26)-SEARCH("～",DK26,1))),"核算通过","请再次核对")))</f>
        <v>核算通过</v>
      </c>
      <c r="DL28" s="953" t="e">
        <f aca="true">IF(DL26="气液两相，自选","",IF(CELL("type", DL26) = "v",IF(AND(DL25&lt;DL26,DL22&lt;DL24),"核算通过","请再次核对"),IF(DL25&lt;VALUE(LEFT(DL26,LEN(DL26)-SEARCH("～",DL26,1))),"核算通过","请再次核对")))</f>
        <v>#VALUE!</v>
      </c>
      <c r="DM28" s="953" t="e">
        <f aca="true">IF(DM26="气液两相，自选","",IF(CELL("type", DM26) = "v",IF(AND(DM25&lt;DM26,DM22&lt;DM24),"核算通过","请再次核对"),IF(DM25&lt;VALUE(LEFT(DM26,LEN(DM26)-SEARCH("～",DM26,1))),"核算通过","请再次核对")))</f>
        <v>#VALUE!</v>
      </c>
      <c r="DN28" s="953" t="e">
        <f aca="true">IF(DN26="气液两相，自选","",IF(CELL("type", DN26) = "v",IF(AND(DN25&lt;DN26,DN22&lt;DN24),"核算通过","请再次核对"),IF(DN25&lt;VALUE(LEFT(DN26,LEN(DN26)-SEARCH("～",DN26,1))),"核算通过","请再次核对")))</f>
        <v>#VALUE!</v>
      </c>
      <c r="DO28" s="953" t="e">
        <f aca="true">IF(DO26="气液两相，自选","",IF(CELL("type", DO26) = "v",IF(AND(DO25&lt;DO26,DO22&lt;DO24),"核算通过","请再次核对"),IF(DO25&lt;VALUE(LEFT(DO26,LEN(DO26)-SEARCH("～",DO26,1))),"核算通过","请再次核对")))</f>
        <v>#VALUE!</v>
      </c>
      <c r="DP28" s="953" t="str">
        <f aca="true">IF(DP26="气液两相，自选","",IF(CELL("type", DP26) = "v",IF(AND(DP25&lt;DP26,DP22&lt;DP24),"核算通过","请再次核对"),IF(DP25&lt;VALUE(LEFT(DP26,LEN(DP26)-SEARCH("～",DP26,1))),"核算通过","请再次核对")))</f>
        <v>请再次核对</v>
      </c>
      <c r="DQ28" s="953" t="str">
        <f aca="true">IF(DQ26="气液两相，自选","",IF(CELL("type", DQ26) = "v",IF(AND(DQ25&lt;DQ26,DQ22&lt;DQ24),"核算通过","请再次核对"),IF(DQ25&lt;VALUE(LEFT(DQ26,LEN(DQ26)-SEARCH("～",DQ26,1))),"核算通过","请再次核对")))</f>
        <v>请再次核对</v>
      </c>
      <c r="DR28" s="953" t="e">
        <f aca="true">IF(DR26="气液两相，自选","",IF(CELL("type", DR26) = "v",IF(AND(DR25&lt;DR26,DR22&lt;DR24),"核算通过","请再次核对"),IF(DR25&lt;VALUE(LEFT(DR26,LEN(DR26)-SEARCH("～",DR26,1))),"核算通过","请再次核对")))</f>
        <v>#VALUE!</v>
      </c>
      <c r="DS28" s="953" t="str">
        <f aca="true">IF(DS26="气液两相，自选","",IF(CELL("type", DS26) = "v",IF(AND(DS25&lt;DS26,DS22&lt;DS24),"核算通过","请再次核对"),IF(DS25&lt;VALUE(LEFT(DS26,LEN(DS26)-SEARCH("～",DS26,1))),"核算通过","请再次核对")))</f>
        <v>核算通过</v>
      </c>
      <c r="DT28" s="953" t="str">
        <f aca="true">IF(DT26="气液两相，自选","",IF(CELL("type", DT26) = "v",IF(AND(DT25&lt;DT26,DT22&lt;DT24),"核算通过","请再次核对"),IF(DT25&lt;VALUE(LEFT(DT26,LEN(DT26)-SEARCH("～",DT26,1))),"核算通过","请再次核对")))</f>
        <v>核算通过</v>
      </c>
      <c r="DU28" s="953" t="str">
        <f aca="true">IF(DU26="气液两相，自选","",IF(CELL("type", DU26) = "v",IF(AND(DU25&lt;DU26,DU22&lt;DU24),"核算通过","请再次核对"),IF(DU25&lt;VALUE(LEFT(DU26,LEN(DU26)-SEARCH("～",DU26,1))),"核算通过","请再次核对")))</f>
        <v>核算通过</v>
      </c>
      <c r="DV28" s="953" t="str">
        <f aca="true">IF(DV26="气液两相，自选","",IF(CELL("type", DV26) = "v",IF(AND(DV25&lt;DV26,DV22&lt;DV24),"核算通过","请再次核对"),IF(DV25&lt;VALUE(LEFT(DV26,LEN(DV26)-SEARCH("～",DV26,1))),"核算通过","请再次核对")))</f>
        <v>核算通过</v>
      </c>
      <c r="DW28" s="953" t="str">
        <f aca="true">IF(DW26="气液两相，自选","",IF(CELL("type", DW26) = "v",IF(AND(DW25&lt;DW26,DW22&lt;DW24),"核算通过","请再次核对"),IF(DW25&lt;VALUE(LEFT(DW26,LEN(DW26)-SEARCH("～",DW26,1))),"核算通过","请再次核对")))</f>
        <v>核算通过</v>
      </c>
      <c r="DX28" s="953" t="str">
        <f aca="true">IF(DX26="气液两相，自选","",IF(CELL("type", DX26) = "v",IF(AND(DX25&lt;DX26,DX22&lt;DX24),"核算通过","请再次核对"),IF(DX25&lt;VALUE(LEFT(DX26,LEN(DX26)-SEARCH("～",DX26,1))),"核算通过","请再次核对")))</f>
        <v>核算通过</v>
      </c>
      <c r="DY28" s="953" t="str">
        <f aca="true">IF(DY26="气液两相，自选","",IF(CELL("type", DY26) = "v",IF(AND(DY25&lt;DY26,DY22&lt;DY24),"核算通过","请再次核对"),IF(DY25&lt;VALUE(LEFT(DY26,LEN(DY26)-SEARCH("～",DY26,1))),"核算通过","请再次核对")))</f>
        <v>核算通过</v>
      </c>
      <c r="DZ28" s="953" t="str">
        <f aca="true">IF(DZ26="气液两相，自选","",IF(CELL("type", DZ26) = "v",IF(AND(DZ25&lt;DZ26,DZ22&lt;DZ24),"核算通过","请再次核对"),IF(DZ25&lt;VALUE(LEFT(DZ26,LEN(DZ26)-SEARCH("～",DZ26,1))),"核算通过","请再次核对")))</f>
        <v>核算通过</v>
      </c>
      <c r="EA28" s="953" t="str">
        <f aca="true">IF(EA26="气液两相，自选","",IF(CELL("type", EA26) = "v",IF(AND(EA25&lt;EA26,EA22&lt;EA24),"核算通过","请再次核对"),IF(EA25&lt;VALUE(LEFT(EA26,LEN(EA26)-SEARCH("～",EA26,1))),"核算通过","请再次核对")))</f>
        <v>请再次核对</v>
      </c>
      <c r="EB28" s="953" t="e">
        <f aca="true">IF(EB26="气液两相，自选","",IF(CELL("type", EB26) = "v",IF(AND(EB25&lt;EB26,EB22&lt;EB24),"核算通过","请再次核对"),IF(EB25&lt;VALUE(LEFT(EB26,LEN(EB26)-SEARCH("～",EB26,1))),"核算通过","请再次核对")))</f>
        <v>#VALUE!</v>
      </c>
      <c r="EC28" s="953" t="e">
        <f aca="true">IF(EC26="气液两相，自选","",IF(CELL("type", EC26) = "v",IF(AND(EC25&lt;EC26,EC22&lt;EC24),"核算通过","请再次核对"),IF(EC25&lt;VALUE(LEFT(EC26,LEN(EC26)-SEARCH("～",EC26,1))),"核算通过","请再次核对")))</f>
        <v>#VALUE!</v>
      </c>
      <c r="ED28" s="953" t="e">
        <f aca="true">IF(ED26="气液两相，自选","",IF(CELL("type", ED26) = "v",IF(AND(ED25&lt;ED26,ED22&lt;ED24),"核算通过","请再次核对"),IF(ED25&lt;VALUE(LEFT(ED26,LEN(ED26)-SEARCH("～",ED26,1))),"核算通过","请再次核对")))</f>
        <v>#VALUE!</v>
      </c>
      <c r="EE28" s="953" t="e">
        <f aca="true">IF(EE26="气液两相，自选","",IF(CELL("type", EE26) = "v",IF(AND(EE25&lt;EE26,EE22&lt;EE24),"核算通过","请再次核对"),IF(EE25&lt;VALUE(LEFT(EE26,LEN(EE26)-SEARCH("～",EE26,1))),"核算通过","请再次核对")))</f>
        <v>#VALUE!</v>
      </c>
      <c r="EF28" s="953" t="e">
        <f aca="true">IF(EF26="气液两相，自选","",IF(CELL("type", EF26) = "v",IF(AND(EF25&lt;EF26,EF22&lt;EF24),"核算通过","请再次核对"),IF(EF25&lt;VALUE(LEFT(EF26,LEN(EF26)-SEARCH("～",EF26,1))),"核算通过","请再次核对")))</f>
        <v>#VALUE!</v>
      </c>
      <c r="EG28" s="953" t="e">
        <f aca="true">IF(EG26="气液两相，自选","",IF(CELL("type", EG26) = "v",IF(AND(EG25&lt;EG26,EG22&lt;EG24),"核算通过","请再次核对"),IF(EG25&lt;VALUE(LEFT(EG26,LEN(EG26)-SEARCH("～",EG26,1))),"核算通过","请再次核对")))</f>
        <v>#VALUE!</v>
      </c>
      <c r="EH28" s="953" t="e">
        <f aca="true">IF(EH26="气液两相，自选","",IF(CELL("type", EH26) = "v",IF(AND(EH25&lt;EH26,EH22&lt;EH24),"核算通过","请再次核对"),IF(EH25&lt;VALUE(LEFT(EH26,LEN(EH26)-SEARCH("～",EH26,1))),"核算通过","请再次核对")))</f>
        <v>#VALUE!</v>
      </c>
      <c r="EI28" s="953" t="e">
        <f aca="true">IF(EI26="气液两相，自选","",IF(CELL("type", EI26) = "v",IF(AND(EI25&lt;EI26,EI22&lt;EI24),"核算通过","请再次核对"),IF(EI25&lt;VALUE(LEFT(EI26,LEN(EI26)-SEARCH("～",EI26,1))),"核算通过","请再次核对")))</f>
        <v>#VALUE!</v>
      </c>
      <c r="EJ28" s="953" t="e">
        <f aca="true">IF(EJ26="气液两相，自选","",IF(CELL("type", EJ26) = "v",IF(AND(EJ25&lt;EJ26,EJ22&lt;EJ24),"核算通过","请再次核对"),IF(EJ25&lt;VALUE(LEFT(EJ26,LEN(EJ26)-SEARCH("～",EJ26,1))),"核算通过","请再次核对")))</f>
        <v>#VALUE!</v>
      </c>
      <c r="EK28" s="953" t="e">
        <f aca="true">IF(EK26="气液两相，自选","",IF(CELL("type", EK26) = "v",IF(AND(EK25&lt;EK26,EK22&lt;EK24),"核算通过","请再次核对"),IF(EK25&lt;VALUE(LEFT(EK26,LEN(EK26)-SEARCH("～",EK26,1))),"核算通过","请再次核对")))</f>
        <v>#VALUE!</v>
      </c>
      <c r="EL28" s="955" t="e">
        <f aca="true">IF(EL26="气液两相，自选","",IF(CELL("type", EL26) = "v",IF(AND(EL25&lt;EL26,EL22&lt;EL24),"核算通过","请再次核对"),IF(EL25&lt;VALUE(LEFT(EL26,LEN(EL26)-SEARCH("～",EL26,1))),"核算通过","请再次核对")))</f>
        <v>#VALUE!</v>
      </c>
      <c r="EM28" s="955" t="e">
        <f aca="true">IF(EM26="气液两相，自选","",IF(CELL("type", EM26) = "v",IF(AND(EM25&lt;EM26,EM22&lt;EM24),"核算通过","请再次核对"),IF(EM25&lt;VALUE(LEFT(EM26,LEN(EM26)-SEARCH("～",EM26,1))),"核算通过","请再次核对")))</f>
        <v>#VALUE!</v>
      </c>
      <c r="EN28" s="955" t="e">
        <f aca="true">IF(EN26="气液两相，自选","",IF(CELL("type", EN26) = "v",IF(AND(EN25&lt;EN26,EN22&lt;EN24),"核算通过","请再次核对"),IF(EN25&lt;VALUE(LEFT(EN26,LEN(EN26)-SEARCH("～",EN26,1))),"核算通过","请再次核对")))</f>
        <v>#VALUE!</v>
      </c>
      <c r="EO28" s="955" t="e">
        <f aca="true">IF(EO26="气液两相，自选","",IF(CELL("type", EO26) = "v",IF(AND(EO25&lt;EO26,EO22&lt;EO24),"核算通过","请再次核对"),IF(EO25&lt;VALUE(LEFT(EO26,LEN(EO26)-SEARCH("～",EO26,1))),"核算通过","请再次核对")))</f>
        <v>#VALUE!</v>
      </c>
      <c r="EP28" s="955" t="e">
        <f aca="true">IF(EP26="气液两相，自选","",IF(CELL("type", EP26) = "v",IF(AND(EP25&lt;EP26,EP22&lt;EP24),"核算通过","请再次核对"),IF(EP25&lt;VALUE(LEFT(EP26,LEN(EP26)-SEARCH("～",EP26,1))),"核算通过","请再次核对")))</f>
        <v>#VALUE!</v>
      </c>
      <c r="EQ28" s="955" t="e">
        <f aca="true">IF(EQ26="气液两相，自选","",IF(CELL("type", EQ26) = "v",IF(AND(EQ25&lt;EQ26,EQ22&lt;EQ24),"核算通过","请再次核对"),IF(EQ25&lt;VALUE(LEFT(EQ26,LEN(EQ26)-SEARCH("～",EQ26,1))),"核算通过","请再次核对")))</f>
        <v>#VALUE!</v>
      </c>
      <c r="ER28" s="955" t="e">
        <f aca="true">IF(ER26="气液两相，自选","",IF(CELL("type", ER26) = "v",IF(AND(ER25&lt;ER26,ER22&lt;ER24),"核算通过","请再次核对"),IF(ER25&lt;VALUE(LEFT(ER26,LEN(ER26)-SEARCH("～",ER26,1))),"核算通过","请再次核对")))</f>
        <v>#VALUE!</v>
      </c>
      <c r="ES28" s="955" t="e">
        <f aca="true">IF(ES26="气液两相，自选","",IF(CELL("type", ES26) = "v",IF(AND(ES25&lt;ES26,ES22&lt;ES24),"核算通过","请再次核对"),IF(ES25&lt;VALUE(LEFT(ES26,LEN(ES26)-SEARCH("～",ES26,1))),"核算通过","请再次核对")))</f>
        <v>#VALUE!</v>
      </c>
      <c r="ET28" s="953" t="e">
        <f aca="true">IF(ET26="气液两相，自选","",IF(CELL("type", ET26) = "v",IF(AND(ET25&lt;ET26,ET22&lt;ET24),"核算通过","请再次核对"),IF(ET25&lt;VALUE(LEFT(ET26,LEN(ET26)-SEARCH("～",ET26,1))),"核算通过","请再次核对")))</f>
        <v>#VALUE!</v>
      </c>
      <c r="EU28" s="955" t="e">
        <f aca="true">IF(EU26="气液两相，自选","",IF(CELL("type", EU26) = "v",IF(AND(EU25&lt;EU26,EU22&lt;EU24),"核算通过","请再次核对"),IF(EU25&lt;VALUE(LEFT(EU26,LEN(EU26)-SEARCH("～",EU26,1))),"核算通过","请再次核对")))</f>
        <v>#VALUE!</v>
      </c>
      <c r="EV28" s="955" t="e">
        <f aca="true">IF(EV26="气液两相，自选","",IF(CELL("type", EV26) = "v",IF(AND(EV25&lt;EV26,EV22&lt;EV24),"核算通过","请再次核对"),IF(EV25&lt;VALUE(LEFT(EV26,LEN(EV26)-SEARCH("～",EV26,1))),"核算通过","请再次核对")))</f>
        <v>#VALUE!</v>
      </c>
      <c r="EW28" s="955" t="e">
        <f aca="true">IF(EW26="气液两相，自选","",IF(CELL("type", EW26) = "v",IF(AND(EW25&lt;EW26,EW22&lt;EW24),"核算通过","请再次核对"),IF(EW25&lt;VALUE(LEFT(EW26,LEN(EW26)-SEARCH("～",EW26,1))),"核算通过","请再次核对")))</f>
        <v>#VALUE!</v>
      </c>
      <c r="EX28" s="953" t="e">
        <f aca="true">IF(EX26="气液两相，自选","",IF(CELL("type", EX26) = "v",IF(AND(EX25&lt;EX26,EX22&lt;EX24),"核算通过","请再次核对"),IF(EX25&lt;VALUE(LEFT(EX26,LEN(EX26)-SEARCH("～",EX26,1))),"核算通过","请再次核对")))</f>
        <v>#VALUE!</v>
      </c>
      <c r="EY28" s="953" t="str">
        <f aca="true">IF(EY26="气液两相，自选","",IF(CELL("type", EY26) = "v",IF(AND(EY25&lt;EY26,EY22&lt;EY24),"核算通过","请再次核对"),IF(EY25&lt;VALUE(LEFT(EY26,LEN(EY26)-SEARCH("～",EY26,1))),"核算通过","请再次核对")))</f>
        <v>请再次核对</v>
      </c>
      <c r="EZ28" s="953" t="str">
        <f aca="true">IF(EZ26="气液两相，自选","",IF(CELL("type", EZ26) = "v",IF(AND(EZ25&lt;EZ26,EZ22&lt;EZ24),"核算通过","请再次核对"),IF(EZ25&lt;VALUE(LEFT(EZ26,LEN(EZ26)-SEARCH("～",EZ26,1))),"核算通过","请再次核对")))</f>
        <v>请再次核对</v>
      </c>
      <c r="FA28" s="953" t="str">
        <f aca="true">IF(FA26="气液两相，自选","",IF(CELL("type", FA26) = "v",IF(AND(FA25&lt;FA26,FA22&lt;FA24),"核算通过","请再次核对"),IF(FA25&lt;VALUE(LEFT(FA26,LEN(FA26)-SEARCH("～",FA26,1))),"核算通过","请再次核对")))</f>
        <v>核算通过</v>
      </c>
      <c r="FB28" s="953" t="e">
        <f aca="true">IF(FB26="气液两相，自选","",IF(CELL("type", FB26) = "v",IF(AND(FB25&lt;FB26,FB22&lt;FB24),"核算通过","请再次核对"),IF(FB25&lt;VALUE(LEFT(FB26,LEN(FB26)-SEARCH("～",FB26,1))),"核算通过","请再次核对")))</f>
        <v>#VALUE!</v>
      </c>
      <c r="FC28" s="953" t="e">
        <f aca="true">IF(FC26="气液两相，自选","",IF(CELL("type", FC26) = "v",IF(AND(FC25&lt;FC26,FC22&lt;FC24),"核算通过","请再次核对"),IF(FC25&lt;VALUE(LEFT(FC26,LEN(FC26)-SEARCH("～",FC26,1))),"核算通过","请再次核对")))</f>
        <v>#VALUE!</v>
      </c>
      <c r="FD28" s="953" t="e">
        <f aca="true">IF(FD26="气液两相，自选","",IF(CELL("type", FD26) = "v",IF(AND(FD25&lt;FD26,FD22&lt;FD24),"核算通过","请再次核对"),IF(FD25&lt;VALUE(LEFT(FD26,LEN(FD26)-SEARCH("～",FD26,1))),"核算通过","请再次核对")))</f>
        <v>#VALUE!</v>
      </c>
      <c r="FE28" s="953" t="e">
        <f aca="true">IF(FE26="气液两相，自选","",IF(CELL("type", FE26) = "v",IF(AND(FE25&lt;FE26,FE22&lt;FE24),"核算通过","请再次核对"),IF(FE25&lt;VALUE(LEFT(FE26,LEN(FE26)-SEARCH("～",FE26,1))),"核算通过","请再次核对")))</f>
        <v>#VALUE!</v>
      </c>
      <c r="FF28" s="953" t="e">
        <f aca="true">IF(FF26="气液两相，自选","",IF(CELL("type", FF26) = "v",IF(AND(FF25&lt;FF26,FF22&lt;FF24),"核算通过","请再次核对"),IF(FF25&lt;VALUE(LEFT(FF26,LEN(FF26)-SEARCH("～",FF26,1))),"核算通过","请再次核对")))</f>
        <v>#VALUE!</v>
      </c>
      <c r="FG28" s="953" t="str">
        <f aca="true">IF(FG26="气液两相，自选","",IF(CELL("type", FG26) = "v",IF(AND(FG25&lt;FG26,FG22&lt;FG24),"核算通过","请再次核对"),IF(FG25&lt;VALUE(LEFT(FG26,LEN(FG26)-SEARCH("～",FG26,1))),"核算通过","请再次核对")))</f>
        <v>核算通过</v>
      </c>
      <c r="FH28" s="953" t="str">
        <f aca="true">IF(FH26="气液两相，自选","",IF(CELL("type", FH26) = "v",IF(AND(FH25&lt;FH26,FH22&lt;FH24),"核算通过","请再次核对"),IF(FH25&lt;VALUE(LEFT(FH26,LEN(FH26)-SEARCH("～",FH26,1))),"核算通过","请再次核对")))</f>
        <v/>
      </c>
      <c r="FI28" s="953" t="str">
        <f aca="true">IF(FI26="气液两相，自选","",IF(CELL("type", FI26) = "v",IF(AND(FI25&lt;FI26,FI22&lt;FI24),"核算通过","请再次核对"),IF(FI25&lt;VALUE(LEFT(FI26,LEN(FI26)-SEARCH("～",FI26,1))),"核算通过","请再次核对")))</f>
        <v>核算通过</v>
      </c>
      <c r="FJ28" s="953" t="str">
        <f aca="true">IF(FJ26="气液两相，自选","",IF(CELL("type", FJ26) = "v",IF(AND(FJ25&lt;FJ26,FJ22&lt;FJ24),"核算通过","请再次核对"),IF(FJ25&lt;VALUE(LEFT(FJ26,LEN(FJ26)-SEARCH("～",FJ26,1))),"核算通过","请再次核对")))</f>
        <v/>
      </c>
      <c r="FK28" s="953" t="str">
        <f aca="true">IF(FK26="气液两相，自选","",IF(CELL("type", FK26) = "v",IF(AND(FK25&lt;FK26,FK22&lt;FK24),"核算通过","请再次核对"),IF(FK25&lt;VALUE(LEFT(FK26,LEN(FK26)-SEARCH("～",FK26,1))),"核算通过","请再次核对")))</f>
        <v>核算通过</v>
      </c>
      <c r="FL28" s="953" t="str">
        <f aca="true">IF(FL26="气液两相，自选","",IF(CELL("type", FL26) = "v",IF(AND(FL25&lt;FL26,FL22&lt;FL24),"核算通过","请再次核对"),IF(FL25&lt;VALUE(LEFT(FL26,LEN(FL26)-SEARCH("～",FL26,1))),"核算通过","请再次核对")))</f>
        <v>核算通过</v>
      </c>
      <c r="FM28" s="953"/>
      <c r="FN28" s="953"/>
      <c r="FO28" s="953"/>
      <c r="FP28" s="956" t="e">
        <f aca="true">IF(FP21&lt;&gt;"",IF(FP26="气液两相，自选","",IF(OR(CELL("type",FP26)="v",CELL("type",FP23)="v"),IF(AND(FP25&lt;FP26,FP22&lt;FP23,FP22&lt;FP24),"核算通过","请再次核对"),IF(AND(FP25&lt;VALUE(LEFT(FP26,LEN(FP26)-SEARCH("～",FP26,1))),FP22&lt;VALUE(RIGHT(FP23,LEN(FP23)-SEARCH("～",FP23,1))),FP22&lt;FP24),"核算通过","请再次核对"))),"")</f>
        <v>#VALUE!</v>
      </c>
      <c r="FQ28" s="956" t="e">
        <f aca="true">IF(FQ21&lt;&gt;"",IF(FQ26="气液两相，自选","",IF(OR(CELL("type",FQ26)="v",CELL("type",FQ23)="v"),IF(AND(FQ25&lt;FQ26,FQ22&lt;FQ23,FQ22&lt;FQ24),"核算通过","请再次核对"),IF(AND(FQ25&lt;VALUE(LEFT(FQ26,LEN(FQ26)-SEARCH("～",FQ26,1))),FQ22&lt;VALUE(RIGHT(FQ23,LEN(FQ23)-SEARCH("～",FQ23,1))),FQ22&lt;FQ24),"核算通过","请再次核对"))),"")</f>
        <v>#VALUE!</v>
      </c>
      <c r="FR28" s="956" t="e">
        <f aca="true">IF(FR21&lt;&gt;"",IF(FR26="气液两相，自选","",IF(OR(CELL("type",FR26)="v",CELL("type",FR23)="v"),IF(AND(FR25&lt;FR26,FR22&lt;FR23,FR22&lt;FR24),"核算通过","请再次核对"),IF(AND(FR25&lt;VALUE(LEFT(FR26,LEN(FR26)-SEARCH("～",FR26,1))),FR22&lt;VALUE(RIGHT(FR23,LEN(FR23)-SEARCH("～",FR23,1))),FR22&lt;FR24),"核算通过","请再次核对"))),"")</f>
        <v>#VALUE!</v>
      </c>
      <c r="FS28" s="956" t="e">
        <f aca="true">IF(FS21&lt;&gt;"",IF(FS26="气液两相，自选","",IF(OR(CELL("type",FS26)="v",CELL("type",FS23)="v"),IF(AND(FS25&lt;FS26,FS22&lt;FS23,FS22&lt;FS24),"核算通过","请再次核对"),IF(AND(FS25&lt;VALUE(LEFT(FS26,LEN(FS26)-SEARCH("～",FS26,1))),FS22&lt;VALUE(RIGHT(FS23,LEN(FS23)-SEARCH("～",FS23,1))),FS22&lt;FS24),"核算通过","请再次核对"))),"")</f>
        <v>#VALUE!</v>
      </c>
      <c r="FT28" s="956" t="str">
        <f aca="true">IF(FT21&lt;&gt;"",IF(FT26="气液两相，自选","",IF(OR(CELL("type",FT26)="v",CELL("type",FT23)="v"),IF(AND(FT25&lt;FT26,FT22&lt;FT23,FT22&lt;FT24),"核算通过","请再次核对"),IF(AND(FT25&lt;VALUE(LEFT(FT26,LEN(FT26)-SEARCH("～",FT26,1))),FT22&lt;VALUE(RIGHT(FT23,LEN(FT23)-SEARCH("～",FT23,1))),FT22&lt;FT24),"核算通过","请再次核对"))),"")</f>
        <v>核算通过</v>
      </c>
      <c r="FU28" s="956" t="str">
        <f aca="true">IF(FU21&lt;&gt;"",IF(FU26="气液两相，自选","",IF(OR(CELL("type",FU26)="v",CELL("type",FU23)="v"),IF(AND(FU25&lt;FU26,FU22&lt;FU23,FU22&lt;FU24),"核算通过","请再次核对"),IF(AND(FU25&lt;VALUE(LEFT(FU26,LEN(FU26)-SEARCH("～",FU26,1))),FU22&lt;VALUE(RIGHT(FU23,LEN(FU23)-SEARCH("～",FU23,1))),FU22&lt;FU24),"核算通过","请再次核对"))),"")</f>
        <v>核算通过</v>
      </c>
      <c r="FV28" s="956" t="e">
        <f aca="true">IF(FV21&lt;&gt;"",IF(FV26="气液两相，自选","",IF(OR(CELL("type",FV26)="v",CELL("type",FV23)="v"),IF(AND(FV25&lt;FV26,FV22&lt;FV23,FV22&lt;FV24),"核算通过","请再次核对"),IF(AND(FV25&lt;VALUE(LEFT(FV26,LEN(FV26)-SEARCH("～",FV26,1))),FV22&lt;VALUE(RIGHT(FV23,LEN(FV23)-SEARCH("～",FV23,1))),FV22&lt;FV24),"核算通过","请再次核对"))),"")</f>
        <v>#VALUE!</v>
      </c>
      <c r="FW28" s="956" t="e">
        <f aca="true">IF(FW21&lt;&gt;"",IF(FW26="气液两相，自选","",IF(OR(CELL("type",FW26)="v",CELL("type",FW23)="v"),IF(AND(FW25&lt;FW26,FW22&lt;FW23,FW22&lt;FW24),"核算通过","请再次核对"),IF(AND(FW25&lt;VALUE(LEFT(FW26,LEN(FW26)-SEARCH("～",FW26,1))),FW22&lt;VALUE(RIGHT(FW23,LEN(FW23)-SEARCH("～",FW23,1))),FW22&lt;FW24),"核算通过","请再次核对"))),"")</f>
        <v>#VALUE!</v>
      </c>
      <c r="FX28" s="956" t="e">
        <f aca="true">IF(FX21&lt;&gt;"",IF(FX26="气液两相，自选","",IF(OR(CELL("type",FX26)="v",CELL("type",FX23)="v"),IF(AND(FX25&lt;FX26,FX22&lt;FX23,FX22&lt;FX24),"核算通过","请再次核对"),IF(AND(FX25&lt;VALUE(LEFT(FX26,LEN(FX26)-SEARCH("～",FX26,1))),FX22&lt;VALUE(RIGHT(FX23,LEN(FX23)-SEARCH("～",FX23,1))),FX22&lt;FX24),"核算通过","请再次核对"))),"")</f>
        <v>#VALUE!</v>
      </c>
      <c r="FY28" s="956" t="e">
        <f aca="true">IF(FY21&lt;&gt;"",IF(FY26="气液两相，自选","",IF(OR(CELL("type",FY26)="v",CELL("type",FY23)="v"),IF(AND(FY25&lt;FY26,FY22&lt;FY23,FY22&lt;FY24),"核算通过","请再次核对"),IF(AND(FY25&lt;VALUE(LEFT(FY26,LEN(FY26)-SEARCH("～",FY26,1))),FY22&lt;VALUE(RIGHT(FY23,LEN(FY23)-SEARCH("～",FY23,1))),FY22&lt;FY24),"核算通过","请再次核对"))),"")</f>
        <v>#VALUE!</v>
      </c>
      <c r="FZ28" s="956" t="e">
        <f aca="true">IF(FZ21&lt;&gt;"",IF(FZ26="气液两相，自选","",IF(OR(CELL("type",FZ26)="v",CELL("type",FZ23)="v"),IF(AND(FZ25&lt;FZ26,FZ22&lt;FZ23,FZ22&lt;FZ24),"核算通过","请再次核对"),IF(AND(FZ25&lt;VALUE(LEFT(FZ26,LEN(FZ26)-SEARCH("～",FZ26,1))),FZ22&lt;VALUE(RIGHT(FZ23,LEN(FZ23)-SEARCH("～",FZ23,1))),FZ22&lt;FZ24),"核算通过","请再次核对"))),"")</f>
        <v>#VALUE!</v>
      </c>
      <c r="GA28" s="956" t="e">
        <f aca="true">IF(GA21&lt;&gt;"",IF(GA26="气液两相，自选","",IF(OR(CELL("type",GA26)="v",CELL("type",GA23)="v"),IF(AND(GA25&lt;GA26,GA22&lt;GA23,GA22&lt;GA24),"核算通过","请再次核对"),IF(AND(GA25&lt;VALUE(LEFT(GA26,LEN(GA26)-SEARCH("～",GA26,1))),GA22&lt;VALUE(RIGHT(GA23,LEN(GA23)-SEARCH("～",GA23,1))),GA22&lt;GA24),"核算通过","请再次核对"))),"")</f>
        <v>#VALUE!</v>
      </c>
      <c r="GB28" s="956" t="e">
        <f aca="true">IF(GB21&lt;&gt;"",IF(GB26="气液两相，自选","",IF(OR(CELL("type",GB26)="v",CELL("type",GB23)="v"),IF(AND(GB25&lt;GB26,GB22&lt;GB23,GB22&lt;GB24),"核算通过","请再次核对"),IF(AND(GB25&lt;VALUE(LEFT(GB26,LEN(GB26)-SEARCH("～",GB26,1))),GB22&lt;VALUE(RIGHT(GB23,LEN(GB23)-SEARCH("～",GB23,1))),GB22&lt;GB24),"核算通过","请再次核对"))),"")</f>
        <v>#VALUE!</v>
      </c>
      <c r="GC28" s="956" t="e">
        <f aca="true">IF(GC21&lt;&gt;"",IF(GC26="气液两相，自选","",IF(OR(CELL("type",GC26)="v",CELL("type",GC23)="v"),IF(AND(GC25&lt;GC26,GC22&lt;GC23,GC22&lt;GC24),"核算通过","请再次核对"),IF(AND(GC25&lt;VALUE(LEFT(GC26,LEN(GC26)-SEARCH("～",GC26,1))),GC22&lt;VALUE(RIGHT(GC23,LEN(GC23)-SEARCH("～",GC23,1))),GC22&lt;GC24),"核算通过","请再次核对"))),"")</f>
        <v>#VALUE!</v>
      </c>
      <c r="GD28" s="956" t="e">
        <f aca="true">IF(GD21&lt;&gt;"",IF(GD26="气液两相，自选","",IF(OR(CELL("type",GD26)="v",CELL("type",GD23)="v"),IF(AND(GD25&lt;GD26,GD22&lt;GD23,GD22&lt;GD24),"核算通过","请再次核对"),IF(AND(GD25&lt;VALUE(LEFT(GD26,LEN(GD26)-SEARCH("～",GD26,1))),GD22&lt;VALUE(RIGHT(GD23,LEN(GD23)-SEARCH("～",GD23,1))),GD22&lt;GD24),"核算通过","请再次核对"))),"")</f>
        <v>#VALUE!</v>
      </c>
      <c r="GE28" s="956" t="e">
        <f aca="true">IF(GE21&lt;&gt;"",IF(GE26="气液两相，自选","",IF(OR(CELL("type",GE26)="v",CELL("type",GE23)="v"),IF(AND(GE25&lt;GE26,GE22&lt;GE23,GE22&lt;GE24),"核算通过","请再次核对"),IF(AND(GE25&lt;VALUE(LEFT(GE26,LEN(GE26)-SEARCH("～",GE26,1))),GE22&lt;VALUE(RIGHT(GE23,LEN(GE23)-SEARCH("～",GE23,1))),GE22&lt;GE24),"核算通过","请再次核对"))),"")</f>
        <v>#VALUE!</v>
      </c>
      <c r="GF28" s="956" t="str">
        <f aca="true">IF(GF21&lt;&gt;"",IF(GF26="气液两相，自选","",IF(OR(CELL("type",GF26)="v",CELL("type",GF23)="v"),IF(AND(GF25&lt;GF26,GF22&lt;GF23,GF22&lt;GF24),"核算通过","请再次核对"),IF(AND(GF25&lt;VALUE(LEFT(GF26,LEN(GF26)-SEARCH("～",GF26,1))),GF22&lt;VALUE(RIGHT(GF23,LEN(GF23)-SEARCH("～",GF23,1))),GF22&lt;GF24),"核算通过","请再次核对"))),"")</f>
        <v>核算通过</v>
      </c>
      <c r="GG28" s="956" t="str">
        <f aca="true">IF(GG21&lt;&gt;"",IF(GG26="气液两相，自选","",IF(OR(CELL("type",GG26)="v",CELL("type",GG23)="v"),IF(AND(GG25&lt;GG26,GG22&lt;GG23,GG22&lt;GG24),"核算通过","请再次核对"),IF(AND(GG25&lt;VALUE(LEFT(GG26,LEN(GG26)-SEARCH("～",GG26,1))),GG22&lt;VALUE(RIGHT(GG23,LEN(GG23)-SEARCH("～",GG23,1))),GG22&lt;GG24),"核算通过","请再次核对"))),"")</f>
        <v>核算通过</v>
      </c>
      <c r="GH28" s="956"/>
      <c r="GI28" s="953"/>
      <c r="GJ28" s="953"/>
      <c r="GK28" s="953"/>
      <c r="GL28" s="953"/>
      <c r="GM28" s="953"/>
      <c r="GN28" s="953"/>
      <c r="GO28" s="953"/>
      <c r="GP28" s="953"/>
      <c r="GQ28" s="953"/>
      <c r="GR28" s="953"/>
      <c r="GS28" s="953"/>
      <c r="GT28" s="953"/>
      <c r="GU28" s="953"/>
      <c r="GV28" s="953"/>
      <c r="GW28" s="953"/>
      <c r="GX28" s="953"/>
      <c r="GY28" s="953"/>
      <c r="GZ28" s="953"/>
      <c r="HA28" s="953"/>
      <c r="HB28" s="953"/>
      <c r="HC28" s="953"/>
      <c r="HD28" s="953"/>
      <c r="HE28" s="953"/>
      <c r="HF28" s="953"/>
      <c r="HG28" s="953"/>
      <c r="HH28" s="953"/>
      <c r="HI28" s="953"/>
      <c r="HJ28" s="953"/>
      <c r="HK28" s="953"/>
      <c r="HL28" s="953"/>
      <c r="HM28" s="953"/>
      <c r="HN28" s="953"/>
      <c r="HO28" s="953"/>
      <c r="HP28" s="953"/>
      <c r="HQ28" s="953"/>
      <c r="HR28" s="953"/>
      <c r="HS28" s="953"/>
      <c r="HT28" s="953"/>
      <c r="HU28" s="953"/>
      <c r="HV28" s="953"/>
      <c r="HW28" s="953"/>
      <c r="HX28" s="953"/>
      <c r="HY28" s="953"/>
      <c r="HZ28" s="953"/>
      <c r="IA28" s="953"/>
      <c r="IB28" s="953"/>
      <c r="IC28" s="953"/>
      <c r="ID28" s="953"/>
      <c r="IE28" s="953"/>
      <c r="IF28" s="953"/>
      <c r="IG28" s="953"/>
      <c r="IH28" s="953"/>
      <c r="II28" s="953"/>
      <c r="IJ28" s="953"/>
      <c r="IK28" s="953"/>
      <c r="IL28" s="953"/>
      <c r="IM28" s="953"/>
      <c r="IN28" s="953"/>
      <c r="IO28" s="953"/>
      <c r="IP28" s="953"/>
      <c r="IQ28" s="953"/>
      <c r="IR28" s="953"/>
      <c r="IS28" s="953"/>
      <c r="IT28" s="953"/>
      <c r="IU28" s="953"/>
      <c r="IV28" s="953"/>
      <c r="IW28" s="953"/>
      <c r="IX28" s="953"/>
      <c r="IY28" s="953"/>
      <c r="IZ28" s="953"/>
      <c r="JA28" s="953"/>
      <c r="JB28" s="953"/>
      <c r="JC28" s="953"/>
      <c r="JD28" s="953"/>
      <c r="JE28" s="953"/>
      <c r="JF28" s="953"/>
      <c r="JG28" s="953"/>
      <c r="JH28" s="953"/>
      <c r="JI28" s="953"/>
      <c r="JK28" s="953"/>
      <c r="JM28" s="953"/>
    </row>
    <row r="29" s="961" customFormat="true" ht="18.75" hidden="false" customHeight="false" outlineLevel="0" collapsed="false">
      <c r="A29" s="957" t="s">
        <v>277</v>
      </c>
      <c r="B29" s="957"/>
      <c r="C29" s="958"/>
      <c r="D29" s="958"/>
      <c r="E29" s="959"/>
      <c r="F29" s="959"/>
      <c r="G29" s="959"/>
      <c r="H29" s="958"/>
      <c r="I29" s="958"/>
      <c r="J29" s="958"/>
      <c r="K29" s="958"/>
      <c r="L29" s="958"/>
      <c r="M29" s="958"/>
      <c r="N29" s="958"/>
      <c r="O29" s="958"/>
      <c r="P29" s="958"/>
      <c r="Q29" s="958"/>
      <c r="R29" s="958"/>
      <c r="S29" s="958"/>
      <c r="T29" s="958"/>
      <c r="U29" s="958"/>
      <c r="V29" s="958"/>
      <c r="W29" s="958"/>
      <c r="X29" s="958"/>
      <c r="Y29" s="958"/>
      <c r="Z29" s="958"/>
      <c r="AA29" s="958"/>
      <c r="AB29" s="958"/>
      <c r="AC29" s="958"/>
      <c r="AD29" s="958"/>
      <c r="AE29" s="958"/>
      <c r="AF29" s="958"/>
      <c r="AG29" s="958"/>
      <c r="AH29" s="958"/>
      <c r="AI29" s="958"/>
      <c r="AJ29" s="958"/>
      <c r="AK29" s="958"/>
      <c r="AL29" s="958"/>
      <c r="AM29" s="958"/>
      <c r="AN29" s="958"/>
      <c r="AO29" s="958"/>
      <c r="AP29" s="958"/>
      <c r="AQ29" s="958"/>
      <c r="AR29" s="958"/>
      <c r="AS29" s="958"/>
      <c r="AT29" s="958"/>
      <c r="AU29" s="958"/>
      <c r="AV29" s="958"/>
      <c r="AW29" s="958"/>
      <c r="AX29" s="958"/>
      <c r="AY29" s="958"/>
      <c r="AZ29" s="958"/>
      <c r="BA29" s="958"/>
      <c r="BB29" s="958"/>
      <c r="BC29" s="958"/>
      <c r="BD29" s="958"/>
      <c r="BE29" s="958"/>
      <c r="BF29" s="958"/>
      <c r="BG29" s="958"/>
      <c r="BH29" s="958"/>
      <c r="BI29" s="958"/>
      <c r="BJ29" s="958"/>
      <c r="BK29" s="958"/>
      <c r="BL29" s="958"/>
      <c r="BM29" s="958"/>
      <c r="BN29" s="958"/>
      <c r="BO29" s="958"/>
      <c r="BP29" s="958"/>
      <c r="BQ29" s="958"/>
      <c r="BR29" s="958"/>
      <c r="BS29" s="958"/>
      <c r="BT29" s="958"/>
      <c r="BU29" s="958"/>
      <c r="BV29" s="958"/>
      <c r="BW29" s="958"/>
      <c r="BX29" s="958"/>
      <c r="BY29" s="958"/>
      <c r="BZ29" s="958"/>
      <c r="CA29" s="958"/>
      <c r="CB29" s="958"/>
      <c r="CC29" s="960" t="s">
        <v>1542</v>
      </c>
      <c r="CD29" s="958"/>
      <c r="CE29" s="958"/>
      <c r="CF29" s="958"/>
      <c r="CG29" s="958"/>
      <c r="CH29" s="958"/>
      <c r="CI29" s="958"/>
      <c r="CJ29" s="958"/>
      <c r="CK29" s="958"/>
      <c r="CL29" s="958"/>
      <c r="CM29" s="958"/>
      <c r="CN29" s="958"/>
      <c r="CO29" s="958"/>
      <c r="CP29" s="958"/>
      <c r="CQ29" s="958"/>
      <c r="CR29" s="958"/>
      <c r="CS29" s="958"/>
      <c r="CT29" s="958"/>
      <c r="CU29" s="958"/>
      <c r="CV29" s="958"/>
      <c r="CW29" s="958"/>
      <c r="CX29" s="958"/>
      <c r="CY29" s="958"/>
      <c r="CZ29" s="958"/>
      <c r="DA29" s="958"/>
      <c r="DB29" s="958"/>
      <c r="DC29" s="958"/>
      <c r="DD29" s="958"/>
      <c r="DE29" s="958"/>
      <c r="DF29" s="958"/>
      <c r="DG29" s="958"/>
      <c r="DH29" s="958"/>
      <c r="DI29" s="958"/>
      <c r="DJ29" s="958"/>
      <c r="DK29" s="958"/>
      <c r="DL29" s="958"/>
      <c r="DM29" s="958"/>
      <c r="DN29" s="958"/>
      <c r="DO29" s="958"/>
      <c r="DP29" s="958"/>
      <c r="DQ29" s="958"/>
      <c r="DR29" s="958"/>
      <c r="DS29" s="958"/>
      <c r="DT29" s="958"/>
      <c r="DU29" s="958"/>
      <c r="DV29" s="958"/>
      <c r="DW29" s="958"/>
      <c r="DX29" s="958"/>
      <c r="DY29" s="958"/>
      <c r="DZ29" s="958"/>
      <c r="EA29" s="958"/>
      <c r="EB29" s="958"/>
      <c r="EC29" s="958"/>
      <c r="ED29" s="958"/>
      <c r="EE29" s="958"/>
      <c r="EF29" s="958"/>
      <c r="EG29" s="958"/>
      <c r="EH29" s="958"/>
      <c r="EI29" s="958"/>
      <c r="EJ29" s="958"/>
      <c r="EK29" s="958"/>
      <c r="EL29" s="958" t="s">
        <v>1543</v>
      </c>
      <c r="EM29" s="958" t="s">
        <v>1543</v>
      </c>
      <c r="EN29" s="958" t="s">
        <v>1543</v>
      </c>
      <c r="EO29" s="958" t="s">
        <v>1543</v>
      </c>
      <c r="EP29" s="958" t="s">
        <v>1543</v>
      </c>
      <c r="EQ29" s="958" t="s">
        <v>1543</v>
      </c>
      <c r="ER29" s="958" t="s">
        <v>1543</v>
      </c>
      <c r="ES29" s="958" t="s">
        <v>1543</v>
      </c>
      <c r="ET29" s="958"/>
      <c r="EU29" s="958" t="s">
        <v>1543</v>
      </c>
      <c r="EV29" s="958" t="s">
        <v>1543</v>
      </c>
      <c r="EW29" s="958" t="s">
        <v>1543</v>
      </c>
      <c r="EX29" s="958"/>
      <c r="EY29" s="958"/>
      <c r="EZ29" s="958"/>
      <c r="FA29" s="958"/>
      <c r="FB29" s="958"/>
      <c r="FC29" s="958"/>
      <c r="FD29" s="958"/>
      <c r="FE29" s="958"/>
      <c r="FF29" s="958"/>
      <c r="FG29" s="958"/>
      <c r="FH29" s="958"/>
      <c r="FI29" s="958"/>
      <c r="FJ29" s="958"/>
      <c r="FK29" s="958"/>
      <c r="FL29" s="958"/>
      <c r="FM29" s="958"/>
      <c r="FN29" s="958"/>
      <c r="FO29" s="958"/>
      <c r="FP29" s="958"/>
      <c r="FQ29" s="958"/>
      <c r="FR29" s="958"/>
      <c r="FS29" s="958"/>
      <c r="FT29" s="958"/>
      <c r="FU29" s="958"/>
      <c r="FV29" s="958"/>
      <c r="FW29" s="958"/>
      <c r="FX29" s="958"/>
      <c r="FY29" s="958"/>
      <c r="FZ29" s="958"/>
      <c r="GA29" s="958"/>
      <c r="GB29" s="958"/>
      <c r="GC29" s="958"/>
      <c r="GD29" s="958"/>
      <c r="GE29" s="958"/>
      <c r="GF29" s="958"/>
      <c r="GG29" s="958"/>
      <c r="GH29" s="958"/>
      <c r="GI29" s="958"/>
      <c r="GJ29" s="958"/>
      <c r="GK29" s="958"/>
      <c r="GL29" s="958"/>
      <c r="GM29" s="958"/>
      <c r="GN29" s="958"/>
      <c r="GO29" s="958"/>
      <c r="GP29" s="958"/>
      <c r="GQ29" s="958"/>
      <c r="GR29" s="958"/>
      <c r="GS29" s="958"/>
      <c r="GT29" s="958"/>
      <c r="GU29" s="958"/>
      <c r="GV29" s="958"/>
      <c r="GW29" s="958"/>
      <c r="GX29" s="958"/>
      <c r="GY29" s="958"/>
      <c r="GZ29" s="958"/>
      <c r="HA29" s="958"/>
      <c r="HB29" s="958"/>
      <c r="HC29" s="958"/>
      <c r="HD29" s="958"/>
      <c r="HE29" s="958"/>
      <c r="HF29" s="958"/>
      <c r="HG29" s="958"/>
      <c r="HH29" s="958"/>
      <c r="HI29" s="958"/>
      <c r="HJ29" s="958"/>
      <c r="HK29" s="958"/>
      <c r="HL29" s="958"/>
      <c r="HM29" s="958"/>
      <c r="HN29" s="958"/>
      <c r="HO29" s="958"/>
      <c r="HP29" s="958"/>
      <c r="HQ29" s="958"/>
      <c r="HR29" s="958"/>
      <c r="HS29" s="958"/>
      <c r="HT29" s="958"/>
      <c r="HU29" s="958"/>
      <c r="HV29" s="958"/>
      <c r="HW29" s="958"/>
      <c r="HX29" s="958"/>
      <c r="HY29" s="958"/>
      <c r="HZ29" s="958"/>
      <c r="IA29" s="958"/>
      <c r="IB29" s="958"/>
      <c r="IC29" s="958"/>
      <c r="ID29" s="958"/>
      <c r="IE29" s="958"/>
      <c r="IF29" s="958"/>
      <c r="IG29" s="958"/>
      <c r="IH29" s="958"/>
      <c r="II29" s="958"/>
      <c r="IJ29" s="958"/>
      <c r="IK29" s="958"/>
      <c r="IL29" s="958"/>
      <c r="IM29" s="958"/>
      <c r="IN29" s="958"/>
      <c r="IO29" s="958"/>
      <c r="IP29" s="958"/>
      <c r="IQ29" s="958"/>
      <c r="IR29" s="958"/>
      <c r="IS29" s="958"/>
      <c r="IT29" s="958"/>
      <c r="IU29" s="958"/>
      <c r="IV29" s="958"/>
      <c r="IW29" s="958"/>
      <c r="IX29" s="958"/>
      <c r="IY29" s="958"/>
      <c r="IZ29" s="958"/>
      <c r="JA29" s="958"/>
      <c r="JB29" s="958"/>
      <c r="JC29" s="958"/>
      <c r="JD29" s="958"/>
      <c r="JE29" s="958"/>
      <c r="JF29" s="958"/>
      <c r="JG29" s="958"/>
      <c r="JH29" s="958"/>
      <c r="JI29" s="958"/>
      <c r="JJ29" s="958"/>
      <c r="JK29" s="958"/>
      <c r="JL29" s="958"/>
      <c r="JM29" s="958"/>
      <c r="JN29" s="958"/>
      <c r="JO29" s="958"/>
    </row>
    <row r="30" customFormat="false" ht="18.75" hidden="false" customHeight="false" outlineLevel="0" collapsed="false">
      <c r="E30" s="962" t="n">
        <v>250</v>
      </c>
      <c r="F30" s="837"/>
      <c r="G30" s="962" t="n">
        <v>250</v>
      </c>
      <c r="L30" s="963" t="s">
        <v>1544</v>
      </c>
      <c r="M30" s="963" t="s">
        <v>1544</v>
      </c>
      <c r="O30" s="964" t="s">
        <v>1545</v>
      </c>
      <c r="P30" s="964" t="s">
        <v>1546</v>
      </c>
      <c r="Q30" s="836" t="s">
        <v>1545</v>
      </c>
      <c r="S30" s="965" t="s">
        <v>1547</v>
      </c>
      <c r="T30" s="965" t="s">
        <v>1547</v>
      </c>
      <c r="U30" s="965" t="s">
        <v>1547</v>
      </c>
      <c r="V30" s="965" t="s">
        <v>1547</v>
      </c>
      <c r="W30" s="965"/>
      <c r="X30" s="965"/>
      <c r="Y30" s="963" t="s">
        <v>1544</v>
      </c>
      <c r="Z30" s="963" t="s">
        <v>1544</v>
      </c>
      <c r="AA30" s="966"/>
      <c r="AB30" s="966"/>
      <c r="AC30" s="837"/>
      <c r="AD30" s="836" t="n">
        <v>400</v>
      </c>
      <c r="AE30" s="963" t="s">
        <v>1548</v>
      </c>
      <c r="AR30" s="963" t="s">
        <v>1549</v>
      </c>
      <c r="AS30" s="967" t="s">
        <v>1549</v>
      </c>
      <c r="AT30" s="963" t="s">
        <v>1549</v>
      </c>
      <c r="AY30" s="968" t="n">
        <v>300</v>
      </c>
      <c r="AZ30" s="968" t="n">
        <v>300</v>
      </c>
      <c r="BJ30" s="836" t="n">
        <v>300</v>
      </c>
      <c r="BK30" s="836" t="n">
        <v>300</v>
      </c>
      <c r="BP30" s="836" t="n">
        <v>50</v>
      </c>
      <c r="BW30" s="836" t="s">
        <v>1550</v>
      </c>
      <c r="BX30" s="836" t="s">
        <v>1550</v>
      </c>
      <c r="CC30" s="963" t="s">
        <v>1544</v>
      </c>
      <c r="CF30" s="964" t="s">
        <v>1546</v>
      </c>
      <c r="CH30" s="836" t="n">
        <v>350</v>
      </c>
      <c r="CI30" s="836" t="n">
        <v>350</v>
      </c>
      <c r="CL30" s="836" t="n">
        <v>150</v>
      </c>
      <c r="DA30" s="964" t="s">
        <v>1546</v>
      </c>
      <c r="DB30" s="836" t="s">
        <v>1551</v>
      </c>
      <c r="DE30" s="836" t="s">
        <v>1552</v>
      </c>
      <c r="EE30" s="964" t="s">
        <v>1546</v>
      </c>
      <c r="EI30" s="836" t="n">
        <v>100</v>
      </c>
      <c r="EJ30" s="964" t="s">
        <v>1553</v>
      </c>
      <c r="EK30" s="964" t="s">
        <v>1553</v>
      </c>
      <c r="ET30" s="964" t="s">
        <v>1554</v>
      </c>
      <c r="FE30" s="836" t="n">
        <v>200</v>
      </c>
      <c r="FF30" s="836" t="n">
        <v>200</v>
      </c>
      <c r="FJ30" s="963" t="s">
        <v>1555</v>
      </c>
      <c r="FK30" s="963" t="s">
        <v>1555</v>
      </c>
      <c r="FL30" s="837"/>
      <c r="FM30" s="837"/>
      <c r="FN30" s="837"/>
      <c r="FO30" s="837"/>
    </row>
    <row r="31" customFormat="false" ht="18.75" hidden="false" customHeight="false" outlineLevel="0" collapsed="false">
      <c r="A31" s="952" t="s">
        <v>1556</v>
      </c>
      <c r="B31" s="952"/>
      <c r="C31" s="953"/>
      <c r="D31" s="953"/>
      <c r="E31" s="953"/>
      <c r="F31" s="953"/>
      <c r="G31" s="953"/>
      <c r="H31" s="953"/>
      <c r="I31" s="953"/>
      <c r="J31" s="953"/>
      <c r="K31" s="953"/>
      <c r="L31" s="953"/>
      <c r="M31" s="953"/>
      <c r="N31" s="953"/>
      <c r="O31" s="953"/>
      <c r="P31" s="953"/>
      <c r="Q31" s="953"/>
      <c r="R31" s="953"/>
      <c r="S31" s="953"/>
      <c r="T31" s="953"/>
      <c r="U31" s="953"/>
      <c r="V31" s="953"/>
      <c r="W31" s="953"/>
      <c r="X31" s="953"/>
      <c r="Y31" s="953"/>
      <c r="Z31" s="953"/>
      <c r="AA31" s="953"/>
      <c r="AB31" s="953"/>
      <c r="AC31" s="953"/>
      <c r="AD31" s="953"/>
      <c r="AE31" s="953"/>
      <c r="AF31" s="953"/>
      <c r="AG31" s="953"/>
      <c r="AH31" s="953"/>
      <c r="AI31" s="953"/>
      <c r="AJ31" s="953"/>
      <c r="AK31" s="953"/>
      <c r="AL31" s="953"/>
      <c r="AM31" s="953"/>
      <c r="AN31" s="953"/>
      <c r="AO31" s="953"/>
      <c r="AP31" s="953"/>
      <c r="AQ31" s="953"/>
      <c r="AR31" s="836" t="s">
        <v>1557</v>
      </c>
      <c r="AS31" s="953"/>
      <c r="AT31" s="953" t="s">
        <v>1557</v>
      </c>
      <c r="AU31" s="953"/>
      <c r="AV31" s="953"/>
      <c r="AW31" s="953"/>
      <c r="AX31" s="953"/>
      <c r="AY31" s="953"/>
      <c r="AZ31" s="953"/>
      <c r="BA31" s="953"/>
      <c r="BB31" s="953"/>
      <c r="BC31" s="953"/>
      <c r="BD31" s="953"/>
      <c r="BE31" s="953"/>
      <c r="BF31" s="953"/>
      <c r="BG31" s="953"/>
      <c r="BH31" s="953"/>
      <c r="BI31" s="953"/>
      <c r="BJ31" s="953"/>
      <c r="BK31" s="953"/>
      <c r="BL31" s="953"/>
      <c r="BM31" s="953"/>
      <c r="BN31" s="953"/>
      <c r="BO31" s="953"/>
      <c r="BP31" s="953"/>
      <c r="BQ31" s="953"/>
      <c r="BR31" s="953"/>
      <c r="BS31" s="953"/>
      <c r="BT31" s="953"/>
      <c r="BU31" s="953"/>
      <c r="BV31" s="953"/>
      <c r="BW31" s="953"/>
      <c r="BX31" s="969" t="s">
        <v>1558</v>
      </c>
      <c r="BY31" s="969" t="s">
        <v>1558</v>
      </c>
      <c r="BZ31" s="969" t="s">
        <v>1559</v>
      </c>
      <c r="CA31" s="953"/>
      <c r="CB31" s="953"/>
      <c r="CC31" s="953"/>
      <c r="CD31" s="953"/>
      <c r="CE31" s="953"/>
      <c r="CF31" s="953"/>
      <c r="CG31" s="953"/>
      <c r="CH31" s="953"/>
      <c r="CI31" s="953"/>
      <c r="CJ31" s="953"/>
      <c r="CK31" s="953"/>
      <c r="CL31" s="953"/>
      <c r="CM31" s="953"/>
      <c r="CN31" s="953"/>
      <c r="CO31" s="953"/>
      <c r="CP31" s="953"/>
      <c r="CQ31" s="953"/>
      <c r="CR31" s="953"/>
      <c r="CS31" s="953"/>
      <c r="CT31" s="953"/>
      <c r="CU31" s="953"/>
      <c r="CV31" s="953"/>
      <c r="CW31" s="953"/>
      <c r="CX31" s="953"/>
      <c r="CY31" s="953"/>
      <c r="CZ31" s="953"/>
      <c r="DA31" s="953"/>
      <c r="DB31" s="953"/>
      <c r="DC31" s="953"/>
      <c r="DD31" s="953"/>
      <c r="DE31" s="953"/>
      <c r="DF31" s="953"/>
      <c r="DG31" s="953"/>
      <c r="DH31" s="953"/>
      <c r="DI31" s="953"/>
      <c r="DJ31" s="953"/>
      <c r="DK31" s="953"/>
      <c r="DL31" s="953"/>
      <c r="DM31" s="953"/>
      <c r="DN31" s="953"/>
      <c r="DO31" s="953"/>
      <c r="DP31" s="953"/>
      <c r="DQ31" s="953"/>
      <c r="DR31" s="953"/>
      <c r="DS31" s="953"/>
      <c r="DT31" s="953"/>
      <c r="DU31" s="953"/>
      <c r="DV31" s="953"/>
      <c r="DW31" s="953"/>
      <c r="DX31" s="953"/>
      <c r="DY31" s="953"/>
      <c r="DZ31" s="953"/>
      <c r="EA31" s="953"/>
      <c r="EB31" s="953"/>
      <c r="EC31" s="953"/>
      <c r="ED31" s="953"/>
      <c r="EE31" s="953"/>
      <c r="EF31" s="953"/>
      <c r="EG31" s="953"/>
      <c r="EH31" s="953"/>
      <c r="EI31" s="953"/>
      <c r="EJ31" s="953"/>
      <c r="EK31" s="953"/>
      <c r="EL31" s="953"/>
      <c r="EM31" s="953"/>
      <c r="EN31" s="953"/>
      <c r="EO31" s="953"/>
      <c r="EP31" s="953"/>
      <c r="EQ31" s="953"/>
      <c r="ER31" s="953"/>
      <c r="ES31" s="953"/>
      <c r="ET31" s="953"/>
      <c r="EU31" s="953"/>
      <c r="EV31" s="953"/>
      <c r="EW31" s="953"/>
      <c r="EX31" s="953"/>
      <c r="EY31" s="953"/>
      <c r="EZ31" s="953"/>
      <c r="FA31" s="953"/>
      <c r="FB31" s="953"/>
      <c r="FC31" s="953"/>
      <c r="FD31" s="953"/>
      <c r="FE31" s="953"/>
      <c r="FF31" s="953"/>
      <c r="FG31" s="953"/>
      <c r="FH31" s="953"/>
      <c r="FI31" s="953"/>
      <c r="FJ31" s="953"/>
      <c r="FK31" s="953"/>
      <c r="FL31" s="953"/>
      <c r="FM31" s="953"/>
      <c r="FN31" s="953"/>
      <c r="FO31" s="953"/>
      <c r="FP31" s="953"/>
      <c r="FQ31" s="953"/>
      <c r="FR31" s="953"/>
      <c r="FS31" s="953"/>
      <c r="FT31" s="953"/>
      <c r="FU31" s="953"/>
      <c r="FV31" s="953"/>
      <c r="FW31" s="953"/>
      <c r="FX31" s="953"/>
      <c r="FY31" s="953"/>
      <c r="FZ31" s="953"/>
      <c r="GA31" s="953"/>
      <c r="GB31" s="953"/>
      <c r="GC31" s="953"/>
      <c r="GD31" s="953"/>
      <c r="GE31" s="953"/>
      <c r="GF31" s="953"/>
      <c r="GG31" s="953"/>
      <c r="GH31" s="953"/>
      <c r="GI31" s="953"/>
      <c r="GJ31" s="953"/>
      <c r="GK31" s="953"/>
      <c r="GL31" s="953"/>
      <c r="GM31" s="953"/>
      <c r="GN31" s="953"/>
      <c r="GO31" s="953"/>
      <c r="GP31" s="953"/>
      <c r="GQ31" s="953"/>
      <c r="GR31" s="953"/>
      <c r="GS31" s="953"/>
      <c r="GT31" s="953"/>
      <c r="GU31" s="953"/>
      <c r="GV31" s="953"/>
      <c r="GW31" s="953"/>
      <c r="GX31" s="953"/>
      <c r="GY31" s="953"/>
      <c r="GZ31" s="953"/>
      <c r="HA31" s="953"/>
      <c r="HB31" s="953"/>
      <c r="HC31" s="953"/>
      <c r="HD31" s="953"/>
      <c r="HE31" s="953"/>
      <c r="HF31" s="953"/>
      <c r="HG31" s="953"/>
      <c r="HH31" s="953"/>
      <c r="HI31" s="953"/>
      <c r="HJ31" s="953"/>
      <c r="HK31" s="953"/>
      <c r="HL31" s="953"/>
      <c r="HM31" s="953"/>
      <c r="HN31" s="953"/>
      <c r="HO31" s="953"/>
      <c r="HP31" s="953"/>
      <c r="HQ31" s="953"/>
      <c r="HR31" s="953"/>
      <c r="HS31" s="953"/>
      <c r="HT31" s="953"/>
      <c r="HU31" s="953"/>
      <c r="HV31" s="953"/>
      <c r="HW31" s="953"/>
      <c r="HX31" s="953"/>
      <c r="HY31" s="953"/>
      <c r="HZ31" s="953"/>
      <c r="IA31" s="953"/>
      <c r="IB31" s="953"/>
      <c r="IC31" s="953"/>
      <c r="ID31" s="953"/>
      <c r="IE31" s="953"/>
      <c r="IF31" s="953"/>
      <c r="IG31" s="953"/>
      <c r="IH31" s="953"/>
      <c r="II31" s="953"/>
      <c r="IJ31" s="953"/>
      <c r="IK31" s="953"/>
      <c r="IL31" s="953"/>
      <c r="IM31" s="953"/>
      <c r="IN31" s="953"/>
      <c r="IP31" s="953"/>
      <c r="IQ31" s="953"/>
      <c r="IR31" s="953"/>
      <c r="IS31" s="953"/>
      <c r="IT31" s="953"/>
      <c r="IU31" s="953"/>
      <c r="IV31" s="953"/>
      <c r="IW31" s="953"/>
      <c r="IX31" s="953"/>
      <c r="IY31" s="953"/>
      <c r="IZ31" s="953"/>
      <c r="JA31" s="953"/>
      <c r="JB31" s="953"/>
      <c r="JC31" s="953"/>
      <c r="JD31" s="953"/>
      <c r="JM31" s="953"/>
    </row>
    <row r="32" s="837" customFormat="true" ht="18.75" hidden="false" customHeight="false" outlineLevel="0" collapsed="false">
      <c r="A32" s="859" t="s">
        <v>1501</v>
      </c>
      <c r="B32" s="859"/>
      <c r="C32" s="844"/>
      <c r="D32" s="844"/>
      <c r="E32" s="844"/>
      <c r="F32" s="844"/>
      <c r="G32" s="844"/>
      <c r="H32" s="844"/>
      <c r="I32" s="844"/>
      <c r="J32" s="844"/>
      <c r="K32" s="844"/>
      <c r="L32" s="844"/>
      <c r="M32" s="844"/>
      <c r="N32" s="844"/>
      <c r="O32" s="844"/>
      <c r="P32" s="844"/>
      <c r="Q32" s="844"/>
      <c r="R32" s="844"/>
      <c r="S32" s="844"/>
      <c r="T32" s="844"/>
      <c r="U32" s="844"/>
      <c r="V32" s="844"/>
      <c r="W32" s="844"/>
      <c r="X32" s="844"/>
      <c r="Y32" s="844"/>
      <c r="Z32" s="844"/>
      <c r="AA32" s="844"/>
      <c r="AB32" s="844"/>
      <c r="AC32" s="844"/>
      <c r="AD32" s="844"/>
      <c r="AE32" s="844"/>
      <c r="AF32" s="844"/>
      <c r="AG32" s="844"/>
      <c r="AH32" s="844"/>
      <c r="AI32" s="844"/>
      <c r="AJ32" s="844"/>
      <c r="AK32" s="844"/>
      <c r="AL32" s="844"/>
      <c r="AM32" s="844"/>
      <c r="AN32" s="844"/>
      <c r="AO32" s="844"/>
      <c r="AP32" s="844"/>
      <c r="AQ32" s="844"/>
      <c r="AR32" s="844"/>
      <c r="AS32" s="844"/>
      <c r="AT32" s="844"/>
      <c r="AU32" s="844"/>
      <c r="AV32" s="844"/>
      <c r="AW32" s="844"/>
      <c r="AX32" s="844"/>
      <c r="AY32" s="844"/>
      <c r="AZ32" s="844"/>
      <c r="BA32" s="844"/>
      <c r="BB32" s="844"/>
      <c r="BC32" s="844"/>
      <c r="BD32" s="844"/>
      <c r="BE32" s="844"/>
      <c r="BF32" s="844"/>
      <c r="BG32" s="844"/>
      <c r="BH32" s="844"/>
      <c r="BI32" s="844"/>
      <c r="BJ32" s="844"/>
      <c r="BK32" s="844"/>
      <c r="BL32" s="844"/>
      <c r="BM32" s="844"/>
      <c r="BN32" s="844"/>
      <c r="BO32" s="844"/>
      <c r="BP32" s="844"/>
      <c r="BQ32" s="844"/>
      <c r="BR32" s="844"/>
      <c r="BS32" s="844"/>
      <c r="BT32" s="844"/>
      <c r="BU32" s="844"/>
      <c r="BV32" s="844"/>
      <c r="BW32" s="844"/>
      <c r="BX32" s="844"/>
      <c r="BY32" s="844"/>
      <c r="BZ32" s="844"/>
      <c r="CA32" s="844"/>
      <c r="CB32" s="844"/>
      <c r="CC32" s="844"/>
      <c r="CD32" s="844"/>
      <c r="CE32" s="844"/>
      <c r="CF32" s="844"/>
      <c r="CG32" s="844"/>
      <c r="CH32" s="844"/>
      <c r="CI32" s="844"/>
      <c r="CJ32" s="844"/>
      <c r="CK32" s="844"/>
      <c r="CL32" s="844"/>
      <c r="CM32" s="844"/>
      <c r="CN32" s="844"/>
      <c r="CO32" s="844"/>
      <c r="CP32" s="844"/>
      <c r="CQ32" s="844"/>
      <c r="CR32" s="844"/>
      <c r="CS32" s="844"/>
      <c r="CT32" s="844"/>
      <c r="CU32" s="844"/>
      <c r="CV32" s="844"/>
      <c r="CW32" s="844"/>
      <c r="CX32" s="844"/>
      <c r="CY32" s="844"/>
      <c r="CZ32" s="844"/>
      <c r="DA32" s="844"/>
      <c r="DB32" s="844"/>
      <c r="DC32" s="844"/>
      <c r="DD32" s="844"/>
      <c r="DE32" s="844"/>
      <c r="DF32" s="844"/>
      <c r="DG32" s="844"/>
      <c r="DH32" s="844"/>
      <c r="DI32" s="844"/>
      <c r="DJ32" s="844"/>
      <c r="DK32" s="844"/>
      <c r="DL32" s="844"/>
      <c r="DM32" s="844"/>
      <c r="DN32" s="844"/>
      <c r="DO32" s="844"/>
      <c r="DP32" s="844"/>
      <c r="DQ32" s="844"/>
      <c r="DR32" s="844"/>
      <c r="DS32" s="844"/>
      <c r="DT32" s="844"/>
      <c r="DU32" s="844"/>
      <c r="DV32" s="844"/>
      <c r="DW32" s="844"/>
      <c r="DX32" s="844"/>
      <c r="DY32" s="844"/>
      <c r="DZ32" s="844"/>
      <c r="EA32" s="844"/>
      <c r="EB32" s="844"/>
      <c r="EC32" s="844"/>
      <c r="ED32" s="844"/>
      <c r="EE32" s="844"/>
      <c r="EF32" s="844"/>
      <c r="EG32" s="844"/>
      <c r="EH32" s="844"/>
      <c r="EI32" s="844"/>
      <c r="EJ32" s="844"/>
      <c r="EK32" s="844"/>
      <c r="EL32" s="844"/>
      <c r="EM32" s="844"/>
      <c r="EN32" s="844"/>
      <c r="EO32" s="844"/>
      <c r="EP32" s="844"/>
      <c r="EQ32" s="844"/>
      <c r="ER32" s="844"/>
      <c r="ES32" s="844"/>
      <c r="ET32" s="844"/>
      <c r="EU32" s="844"/>
      <c r="EV32" s="844"/>
      <c r="EW32" s="844"/>
      <c r="EX32" s="844"/>
      <c r="EY32" s="844"/>
      <c r="EZ32" s="844"/>
      <c r="FA32" s="844"/>
      <c r="FB32" s="844"/>
      <c r="FC32" s="844"/>
      <c r="FD32" s="844"/>
      <c r="FE32" s="844"/>
      <c r="FF32" s="844"/>
      <c r="FG32" s="844"/>
      <c r="FH32" s="844"/>
      <c r="FI32" s="844"/>
      <c r="FJ32" s="844"/>
      <c r="FK32" s="844"/>
      <c r="FL32" s="844"/>
      <c r="FM32" s="844"/>
      <c r="FN32" s="844"/>
      <c r="FO32" s="844"/>
      <c r="FP32" s="844"/>
      <c r="FQ32" s="844"/>
      <c r="FR32" s="844"/>
      <c r="FS32" s="844"/>
      <c r="FT32" s="844"/>
      <c r="FU32" s="844"/>
      <c r="FV32" s="844"/>
      <c r="FW32" s="844"/>
      <c r="FX32" s="844"/>
      <c r="FY32" s="844"/>
      <c r="FZ32" s="844"/>
      <c r="GA32" s="844"/>
      <c r="GB32" s="844"/>
      <c r="GC32" s="844"/>
      <c r="GD32" s="844"/>
      <c r="GE32" s="844"/>
      <c r="GF32" s="844"/>
      <c r="GG32" s="844"/>
      <c r="GH32" s="844"/>
      <c r="GI32" s="844"/>
      <c r="GJ32" s="844"/>
      <c r="GK32" s="844"/>
      <c r="GL32" s="844"/>
      <c r="GM32" s="844"/>
      <c r="GN32" s="844"/>
      <c r="GO32" s="844"/>
      <c r="GP32" s="844"/>
      <c r="GQ32" s="844"/>
      <c r="GR32" s="844"/>
      <c r="GS32" s="844"/>
      <c r="GT32" s="844"/>
      <c r="GU32" s="844"/>
      <c r="GV32" s="844"/>
      <c r="GW32" s="844"/>
      <c r="GX32" s="844"/>
      <c r="GY32" s="844"/>
      <c r="GZ32" s="844"/>
      <c r="HA32" s="844"/>
      <c r="HB32" s="844"/>
      <c r="HC32" s="844"/>
      <c r="HD32" s="844"/>
      <c r="HE32" s="844"/>
      <c r="HF32" s="844"/>
      <c r="HG32" s="844"/>
      <c r="HH32" s="844"/>
      <c r="HI32" s="844"/>
      <c r="HJ32" s="844"/>
      <c r="HK32" s="844"/>
      <c r="HL32" s="844"/>
      <c r="HM32" s="844"/>
      <c r="HN32" s="844"/>
      <c r="HO32" s="844"/>
      <c r="HP32" s="844"/>
      <c r="HQ32" s="844"/>
      <c r="HR32" s="844"/>
      <c r="HS32" s="844"/>
      <c r="HT32" s="844"/>
      <c r="HU32" s="844"/>
      <c r="HV32" s="844"/>
      <c r="HW32" s="844"/>
      <c r="HX32" s="844"/>
      <c r="HY32" s="844"/>
      <c r="HZ32" s="844"/>
      <c r="IA32" s="844"/>
      <c r="IB32" s="844"/>
      <c r="IC32" s="844"/>
      <c r="ID32" s="844"/>
      <c r="IE32" s="844"/>
      <c r="IF32" s="844"/>
      <c r="IG32" s="844"/>
      <c r="IH32" s="844"/>
      <c r="II32" s="844"/>
      <c r="IJ32" s="844"/>
      <c r="IK32" s="844"/>
      <c r="IL32" s="844"/>
      <c r="IM32" s="844"/>
      <c r="IN32" s="844"/>
      <c r="IO32" s="844"/>
      <c r="IP32" s="844"/>
      <c r="IQ32" s="844"/>
      <c r="IR32" s="844"/>
      <c r="IS32" s="844"/>
      <c r="IT32" s="844"/>
      <c r="IU32" s="844"/>
      <c r="IV32" s="844"/>
      <c r="IW32" s="844"/>
      <c r="IX32" s="844"/>
      <c r="IY32" s="844"/>
      <c r="IZ32" s="844"/>
      <c r="JA32" s="844"/>
      <c r="JB32" s="844"/>
      <c r="JC32" s="844"/>
      <c r="JD32" s="844"/>
      <c r="JE32" s="844"/>
      <c r="JF32" s="844"/>
      <c r="JG32" s="844"/>
      <c r="JH32" s="844"/>
      <c r="JI32" s="844"/>
      <c r="JK32" s="844"/>
      <c r="JM32" s="844"/>
    </row>
    <row r="33" customFormat="false" ht="18.75" hidden="false" customHeight="false" outlineLevel="0" collapsed="false">
      <c r="A33" s="859" t="s">
        <v>1507</v>
      </c>
      <c r="B33" s="859"/>
      <c r="C33" s="844"/>
      <c r="D33" s="844"/>
      <c r="E33" s="844"/>
      <c r="F33" s="844"/>
      <c r="G33" s="844"/>
      <c r="H33" s="844"/>
      <c r="I33" s="844"/>
      <c r="J33" s="844"/>
      <c r="K33" s="844"/>
      <c r="L33" s="844"/>
      <c r="M33" s="844"/>
      <c r="N33" s="844"/>
      <c r="O33" s="844"/>
      <c r="P33" s="844"/>
      <c r="Q33" s="844"/>
      <c r="R33" s="844"/>
      <c r="S33" s="844"/>
      <c r="T33" s="844"/>
      <c r="U33" s="844"/>
      <c r="V33" s="844"/>
      <c r="W33" s="844"/>
      <c r="X33" s="844"/>
      <c r="Y33" s="844"/>
      <c r="Z33" s="844"/>
      <c r="AA33" s="844"/>
      <c r="AB33" s="844"/>
      <c r="AC33" s="844"/>
      <c r="AD33" s="844"/>
      <c r="AE33" s="844"/>
      <c r="AF33" s="844"/>
      <c r="AG33" s="844"/>
      <c r="AH33" s="844"/>
      <c r="AI33" s="844"/>
      <c r="AJ33" s="844"/>
      <c r="AK33" s="844"/>
      <c r="AL33" s="844"/>
      <c r="AM33" s="844"/>
      <c r="AN33" s="844"/>
      <c r="AO33" s="844"/>
      <c r="AP33" s="844"/>
      <c r="AQ33" s="844"/>
      <c r="AR33" s="844"/>
      <c r="AS33" s="844"/>
      <c r="AT33" s="844"/>
      <c r="AU33" s="844"/>
      <c r="AV33" s="844"/>
      <c r="AW33" s="844"/>
      <c r="AX33" s="844"/>
      <c r="AY33" s="844"/>
      <c r="AZ33" s="844"/>
      <c r="BA33" s="844"/>
      <c r="BB33" s="844"/>
      <c r="BC33" s="844"/>
      <c r="BD33" s="844"/>
      <c r="BE33" s="844"/>
      <c r="BF33" s="844"/>
      <c r="BG33" s="844"/>
      <c r="BH33" s="844"/>
      <c r="BI33" s="844"/>
      <c r="BJ33" s="844"/>
      <c r="BK33" s="844"/>
      <c r="BL33" s="844"/>
      <c r="BM33" s="844"/>
      <c r="BN33" s="844"/>
      <c r="BO33" s="844"/>
      <c r="BP33" s="844"/>
      <c r="BQ33" s="844"/>
      <c r="BR33" s="844"/>
      <c r="BS33" s="844"/>
      <c r="BT33" s="844"/>
      <c r="BU33" s="844"/>
      <c r="BV33" s="844"/>
      <c r="BW33" s="844"/>
      <c r="BX33" s="844"/>
      <c r="BY33" s="844"/>
      <c r="BZ33" s="844"/>
      <c r="CA33" s="844"/>
      <c r="CB33" s="844"/>
      <c r="CC33" s="844"/>
      <c r="CD33" s="844"/>
      <c r="CE33" s="844"/>
      <c r="CF33" s="844"/>
      <c r="CG33" s="844"/>
      <c r="CH33" s="844"/>
      <c r="CI33" s="844"/>
      <c r="CJ33" s="844"/>
      <c r="CK33" s="844"/>
      <c r="CL33" s="844"/>
      <c r="CM33" s="844"/>
      <c r="CN33" s="844"/>
      <c r="CO33" s="844"/>
      <c r="CP33" s="844"/>
      <c r="CQ33" s="844"/>
      <c r="CR33" s="844"/>
      <c r="CS33" s="844"/>
      <c r="CT33" s="844"/>
      <c r="CU33" s="844"/>
      <c r="CV33" s="844"/>
      <c r="CW33" s="844"/>
      <c r="CX33" s="844"/>
      <c r="CY33" s="844"/>
      <c r="CZ33" s="844"/>
      <c r="DA33" s="844"/>
      <c r="DB33" s="844"/>
      <c r="DC33" s="844"/>
      <c r="DD33" s="844"/>
      <c r="DE33" s="844"/>
      <c r="DF33" s="844"/>
      <c r="DG33" s="844"/>
      <c r="DH33" s="844"/>
      <c r="DI33" s="844"/>
      <c r="DJ33" s="844"/>
      <c r="DK33" s="844"/>
      <c r="DL33" s="844"/>
      <c r="DM33" s="844"/>
      <c r="DN33" s="844"/>
      <c r="DO33" s="844"/>
      <c r="DP33" s="844"/>
      <c r="DQ33" s="844"/>
      <c r="DR33" s="844"/>
      <c r="DS33" s="844"/>
      <c r="DT33" s="844"/>
      <c r="DU33" s="844"/>
      <c r="DV33" s="844"/>
      <c r="DW33" s="844"/>
      <c r="DX33" s="844"/>
      <c r="DY33" s="844"/>
      <c r="DZ33" s="844"/>
      <c r="EA33" s="844"/>
      <c r="EB33" s="844"/>
      <c r="EC33" s="844"/>
      <c r="ED33" s="844"/>
      <c r="EE33" s="844"/>
      <c r="EF33" s="844"/>
      <c r="EG33" s="844"/>
      <c r="EH33" s="844"/>
      <c r="EI33" s="844"/>
      <c r="EJ33" s="844"/>
      <c r="EK33" s="844"/>
      <c r="EL33" s="844"/>
      <c r="EM33" s="844"/>
      <c r="EN33" s="844"/>
      <c r="EO33" s="844"/>
      <c r="EP33" s="844"/>
      <c r="EQ33" s="844"/>
      <c r="ER33" s="844"/>
      <c r="ES33" s="844"/>
      <c r="ET33" s="844"/>
      <c r="EU33" s="844"/>
      <c r="EV33" s="844"/>
      <c r="EW33" s="844"/>
      <c r="EX33" s="844"/>
      <c r="EY33" s="844"/>
      <c r="EZ33" s="844"/>
      <c r="FA33" s="844"/>
      <c r="FB33" s="844"/>
      <c r="FC33" s="844"/>
      <c r="FD33" s="844"/>
      <c r="FE33" s="844"/>
      <c r="FF33" s="844"/>
      <c r="FG33" s="844"/>
      <c r="FH33" s="844"/>
      <c r="FI33" s="844"/>
      <c r="FJ33" s="844"/>
      <c r="FK33" s="844"/>
      <c r="FL33" s="844"/>
      <c r="FM33" s="844"/>
      <c r="FN33" s="844"/>
      <c r="FO33" s="844"/>
      <c r="FP33" s="844"/>
      <c r="FQ33" s="844"/>
      <c r="FR33" s="844"/>
      <c r="FS33" s="844"/>
      <c r="FT33" s="844"/>
      <c r="FU33" s="844"/>
      <c r="FV33" s="844"/>
      <c r="FW33" s="844"/>
      <c r="FX33" s="844"/>
      <c r="FY33" s="844"/>
      <c r="FZ33" s="844"/>
      <c r="GA33" s="844"/>
      <c r="GB33" s="844"/>
      <c r="GC33" s="844"/>
      <c r="GD33" s="844"/>
      <c r="GE33" s="844"/>
      <c r="GF33" s="844"/>
      <c r="GG33" s="844"/>
      <c r="GH33" s="844"/>
      <c r="GI33" s="844"/>
      <c r="GJ33" s="844"/>
      <c r="GK33" s="844"/>
      <c r="GL33" s="844"/>
      <c r="GM33" s="844"/>
      <c r="GN33" s="844"/>
      <c r="GO33" s="844"/>
      <c r="GP33" s="844"/>
      <c r="GQ33" s="844"/>
      <c r="GR33" s="844"/>
      <c r="GS33" s="844"/>
      <c r="GT33" s="844"/>
      <c r="GU33" s="844"/>
      <c r="GV33" s="844"/>
      <c r="GW33" s="844"/>
      <c r="GX33" s="844"/>
      <c r="GY33" s="844"/>
      <c r="GZ33" s="844"/>
      <c r="HA33" s="844"/>
      <c r="HB33" s="844"/>
      <c r="HC33" s="844"/>
      <c r="HD33" s="844"/>
      <c r="HE33" s="844"/>
      <c r="HF33" s="844"/>
      <c r="HG33" s="844"/>
      <c r="HH33" s="844"/>
      <c r="HI33" s="844"/>
      <c r="HJ33" s="844"/>
      <c r="HK33" s="844"/>
      <c r="HL33" s="844"/>
      <c r="HM33" s="844"/>
      <c r="HN33" s="844"/>
      <c r="HO33" s="844"/>
      <c r="HP33" s="844"/>
      <c r="HQ33" s="844"/>
      <c r="HR33" s="844"/>
      <c r="HS33" s="844"/>
      <c r="HT33" s="844"/>
      <c r="HU33" s="844"/>
      <c r="HV33" s="844"/>
      <c r="HW33" s="844"/>
      <c r="HX33" s="844"/>
      <c r="HY33" s="844"/>
      <c r="HZ33" s="844"/>
      <c r="IA33" s="844"/>
      <c r="IB33" s="844"/>
      <c r="IC33" s="844"/>
      <c r="ID33" s="844"/>
      <c r="IE33" s="844"/>
      <c r="IF33" s="844"/>
      <c r="IG33" s="844"/>
      <c r="IH33" s="844"/>
      <c r="II33" s="844"/>
      <c r="IJ33" s="844"/>
      <c r="IK33" s="844"/>
      <c r="IL33" s="844"/>
      <c r="IM33" s="844"/>
      <c r="IN33" s="844"/>
      <c r="IO33" s="844"/>
      <c r="IP33" s="844"/>
      <c r="IQ33" s="844"/>
      <c r="IR33" s="844"/>
      <c r="IS33" s="844"/>
      <c r="IT33" s="844"/>
      <c r="IU33" s="844"/>
      <c r="IV33" s="844"/>
      <c r="IW33" s="844"/>
      <c r="IX33" s="844"/>
      <c r="IY33" s="844"/>
      <c r="IZ33" s="844"/>
      <c r="JA33" s="844"/>
      <c r="JB33" s="844"/>
      <c r="JC33" s="844"/>
      <c r="JD33" s="844"/>
      <c r="JE33" s="844"/>
      <c r="JF33" s="844"/>
      <c r="JG33" s="844"/>
      <c r="JH33" s="844"/>
      <c r="JI33" s="844"/>
      <c r="JK33" s="844"/>
      <c r="JM33" s="844"/>
    </row>
    <row r="34" customFormat="false" ht="18.75" hidden="false" customHeight="false" outlineLevel="0" collapsed="false">
      <c r="A34" s="895" t="s">
        <v>1560</v>
      </c>
      <c r="B34" s="895"/>
      <c r="C34" s="920"/>
      <c r="D34" s="920"/>
      <c r="E34" s="920"/>
      <c r="F34" s="920"/>
      <c r="G34" s="920"/>
      <c r="H34" s="920"/>
      <c r="I34" s="920"/>
      <c r="J34" s="920"/>
      <c r="K34" s="920"/>
      <c r="L34" s="920"/>
      <c r="M34" s="920"/>
      <c r="N34" s="920"/>
      <c r="O34" s="920"/>
      <c r="P34" s="920"/>
      <c r="Q34" s="920"/>
      <c r="R34" s="920"/>
      <c r="S34" s="920"/>
      <c r="T34" s="920"/>
      <c r="U34" s="920"/>
      <c r="V34" s="920"/>
      <c r="W34" s="920"/>
      <c r="X34" s="920"/>
      <c r="Y34" s="920"/>
      <c r="Z34" s="920"/>
      <c r="AA34" s="920"/>
      <c r="AB34" s="920"/>
      <c r="AC34" s="920"/>
      <c r="AD34" s="920"/>
      <c r="AE34" s="920"/>
      <c r="AF34" s="920"/>
      <c r="AG34" s="920"/>
      <c r="AH34" s="920"/>
      <c r="AI34" s="920"/>
      <c r="AJ34" s="920"/>
      <c r="AK34" s="920"/>
      <c r="AL34" s="920"/>
      <c r="AM34" s="920"/>
      <c r="AN34" s="920"/>
      <c r="AO34" s="920"/>
      <c r="AP34" s="920"/>
      <c r="AQ34" s="920"/>
      <c r="AR34" s="920"/>
      <c r="AS34" s="920"/>
      <c r="AT34" s="920"/>
      <c r="AU34" s="920"/>
      <c r="AV34" s="920"/>
      <c r="AW34" s="920"/>
      <c r="AX34" s="920"/>
      <c r="AY34" s="920"/>
      <c r="AZ34" s="920"/>
      <c r="BA34" s="920"/>
      <c r="BB34" s="920"/>
      <c r="BC34" s="920"/>
      <c r="BD34" s="920"/>
      <c r="BE34" s="920"/>
      <c r="BF34" s="920"/>
      <c r="BG34" s="920"/>
      <c r="BH34" s="920"/>
      <c r="BI34" s="920"/>
      <c r="BJ34" s="920"/>
      <c r="BK34" s="920"/>
      <c r="BL34" s="920"/>
      <c r="BM34" s="920"/>
      <c r="BN34" s="920"/>
      <c r="BO34" s="920"/>
      <c r="BP34" s="920"/>
      <c r="BQ34" s="920"/>
      <c r="BR34" s="920"/>
      <c r="BS34" s="920"/>
      <c r="BT34" s="920"/>
      <c r="BU34" s="920"/>
      <c r="BV34" s="920"/>
      <c r="BW34" s="920"/>
      <c r="BX34" s="920"/>
      <c r="BY34" s="920"/>
      <c r="BZ34" s="920"/>
      <c r="CA34" s="920"/>
      <c r="CB34" s="920"/>
      <c r="CC34" s="920"/>
      <c r="CD34" s="920"/>
      <c r="CE34" s="920"/>
      <c r="CF34" s="920"/>
      <c r="CG34" s="920"/>
      <c r="CH34" s="920"/>
      <c r="CI34" s="920"/>
      <c r="CJ34" s="920"/>
      <c r="CK34" s="920"/>
      <c r="CL34" s="920"/>
      <c r="CM34" s="920"/>
      <c r="CN34" s="920"/>
      <c r="CO34" s="920"/>
      <c r="CP34" s="920"/>
      <c r="CQ34" s="920"/>
      <c r="CR34" s="920"/>
      <c r="CS34" s="920"/>
      <c r="CT34" s="920"/>
      <c r="CU34" s="920"/>
      <c r="CV34" s="920"/>
      <c r="CW34" s="920"/>
      <c r="CX34" s="920"/>
      <c r="CY34" s="920"/>
      <c r="CZ34" s="920"/>
      <c r="DA34" s="920"/>
      <c r="DB34" s="920"/>
      <c r="DC34" s="920"/>
      <c r="DD34" s="920"/>
      <c r="DE34" s="920"/>
      <c r="DF34" s="920"/>
      <c r="DG34" s="920"/>
      <c r="DH34" s="920"/>
      <c r="DI34" s="920"/>
      <c r="DJ34" s="920"/>
      <c r="DK34" s="920"/>
      <c r="DL34" s="920"/>
      <c r="DM34" s="920"/>
      <c r="DN34" s="920"/>
      <c r="DO34" s="920"/>
      <c r="DP34" s="920"/>
      <c r="DQ34" s="920"/>
      <c r="DR34" s="920"/>
      <c r="DS34" s="920"/>
      <c r="DT34" s="920"/>
      <c r="DU34" s="920"/>
      <c r="DV34" s="920"/>
      <c r="DW34" s="920"/>
      <c r="DX34" s="920"/>
      <c r="DY34" s="920"/>
      <c r="DZ34" s="920"/>
      <c r="EA34" s="920"/>
      <c r="EB34" s="920"/>
      <c r="EC34" s="920"/>
      <c r="ED34" s="920"/>
      <c r="EE34" s="920"/>
      <c r="EF34" s="920"/>
      <c r="EG34" s="920"/>
      <c r="EH34" s="920"/>
      <c r="EI34" s="920"/>
      <c r="EJ34" s="920"/>
      <c r="EK34" s="920"/>
      <c r="EL34" s="920"/>
      <c r="EM34" s="920"/>
      <c r="EN34" s="920"/>
      <c r="EO34" s="920"/>
      <c r="EP34" s="920"/>
      <c r="EQ34" s="920"/>
      <c r="ER34" s="920"/>
      <c r="ES34" s="920"/>
      <c r="ET34" s="920"/>
      <c r="EU34" s="920"/>
      <c r="EV34" s="920"/>
      <c r="EW34" s="920"/>
      <c r="EX34" s="920"/>
      <c r="EY34" s="920"/>
      <c r="EZ34" s="920"/>
      <c r="FA34" s="920"/>
      <c r="FB34" s="920"/>
      <c r="FC34" s="920"/>
      <c r="FD34" s="920"/>
      <c r="FE34" s="920"/>
      <c r="FF34" s="920"/>
      <c r="FG34" s="920"/>
      <c r="FH34" s="920"/>
      <c r="FI34" s="920"/>
      <c r="FJ34" s="920"/>
      <c r="FK34" s="920"/>
      <c r="FL34" s="920"/>
      <c r="FM34" s="920"/>
      <c r="FN34" s="920"/>
      <c r="FO34" s="920"/>
      <c r="FP34" s="920" t="str">
        <f aca="false">IF(FP36&lt;&gt;"",64/FP36,"")</f>
        <v/>
      </c>
      <c r="FQ34" s="920" t="str">
        <f aca="false">IF(FQ36&lt;&gt;"",64/FQ36,"")</f>
        <v/>
      </c>
      <c r="FR34" s="920"/>
      <c r="FS34" s="920"/>
      <c r="FT34" s="920"/>
      <c r="FU34" s="920"/>
      <c r="FV34" s="920"/>
      <c r="FW34" s="920"/>
      <c r="FX34" s="920"/>
      <c r="FY34" s="920"/>
      <c r="FZ34" s="920"/>
      <c r="GA34" s="920"/>
      <c r="GB34" s="920"/>
      <c r="GC34" s="920"/>
      <c r="GD34" s="920"/>
      <c r="GE34" s="920"/>
      <c r="GF34" s="920"/>
      <c r="GG34" s="920"/>
      <c r="GH34" s="920"/>
      <c r="GI34" s="920"/>
      <c r="GJ34" s="920"/>
      <c r="GK34" s="920"/>
      <c r="GL34" s="920"/>
      <c r="GM34" s="920"/>
      <c r="GN34" s="920"/>
      <c r="GO34" s="920"/>
      <c r="GP34" s="920"/>
      <c r="GQ34" s="920"/>
      <c r="GR34" s="920"/>
      <c r="GS34" s="920"/>
      <c r="GT34" s="920"/>
      <c r="GU34" s="920"/>
      <c r="GV34" s="920"/>
      <c r="GW34" s="920"/>
      <c r="GX34" s="920"/>
      <c r="GY34" s="920"/>
      <c r="GZ34" s="920"/>
      <c r="HA34" s="920"/>
      <c r="HB34" s="920"/>
      <c r="HC34" s="920"/>
      <c r="HD34" s="920"/>
      <c r="HE34" s="920"/>
      <c r="HF34" s="920"/>
      <c r="HG34" s="920"/>
      <c r="HH34" s="920"/>
      <c r="HI34" s="920"/>
      <c r="HJ34" s="920"/>
      <c r="HK34" s="920"/>
      <c r="HL34" s="920"/>
      <c r="HM34" s="920"/>
      <c r="HN34" s="920"/>
      <c r="HO34" s="920"/>
      <c r="HP34" s="920"/>
      <c r="HQ34" s="920"/>
      <c r="HR34" s="920"/>
      <c r="HS34" s="920"/>
      <c r="HT34" s="920"/>
      <c r="HU34" s="920"/>
      <c r="HV34" s="920"/>
      <c r="HW34" s="920"/>
      <c r="HX34" s="920"/>
      <c r="HY34" s="920"/>
      <c r="HZ34" s="920"/>
      <c r="IA34" s="920"/>
      <c r="IB34" s="920"/>
      <c r="IC34" s="920"/>
      <c r="ID34" s="920"/>
      <c r="IE34" s="920"/>
      <c r="IF34" s="920"/>
      <c r="IG34" s="920"/>
      <c r="IH34" s="920"/>
      <c r="II34" s="920"/>
      <c r="IJ34" s="920"/>
      <c r="IK34" s="920"/>
      <c r="IL34" s="920"/>
      <c r="IM34" s="920"/>
      <c r="IN34" s="920"/>
      <c r="IP34" s="920"/>
      <c r="IQ34" s="920"/>
      <c r="IR34" s="920"/>
      <c r="IS34" s="920"/>
      <c r="IT34" s="920"/>
      <c r="IU34" s="920"/>
      <c r="IV34" s="920"/>
      <c r="IW34" s="920"/>
      <c r="IX34" s="920"/>
      <c r="IY34" s="920"/>
      <c r="IZ34" s="920"/>
      <c r="JA34" s="920"/>
      <c r="JB34" s="920"/>
      <c r="JC34" s="920"/>
      <c r="JD34" s="920"/>
      <c r="JM34" s="920"/>
    </row>
    <row r="35" customFormat="false" ht="18.75" hidden="false" customHeight="false" outlineLevel="0" collapsed="false">
      <c r="A35" s="895" t="s">
        <v>1561</v>
      </c>
      <c r="B35" s="895"/>
      <c r="C35" s="920"/>
      <c r="D35" s="920"/>
      <c r="E35" s="920"/>
      <c r="F35" s="920"/>
      <c r="G35" s="920"/>
      <c r="H35" s="920"/>
      <c r="I35" s="920"/>
      <c r="J35" s="920"/>
      <c r="K35" s="920"/>
      <c r="L35" s="920"/>
      <c r="M35" s="920"/>
      <c r="N35" s="920"/>
      <c r="O35" s="920"/>
      <c r="P35" s="920"/>
      <c r="Q35" s="920"/>
      <c r="R35" s="920"/>
      <c r="S35" s="920"/>
      <c r="T35" s="920"/>
      <c r="U35" s="920"/>
      <c r="V35" s="920"/>
      <c r="W35" s="920"/>
      <c r="X35" s="920"/>
      <c r="Y35" s="920"/>
      <c r="Z35" s="920"/>
      <c r="AA35" s="920"/>
      <c r="AB35" s="920"/>
      <c r="AC35" s="920"/>
      <c r="AD35" s="920"/>
      <c r="AE35" s="920"/>
      <c r="AF35" s="920"/>
      <c r="AG35" s="920"/>
      <c r="AH35" s="920"/>
      <c r="AI35" s="920"/>
      <c r="AJ35" s="920"/>
      <c r="AK35" s="920"/>
      <c r="AL35" s="920"/>
      <c r="AM35" s="920"/>
      <c r="AN35" s="920"/>
      <c r="AO35" s="920"/>
      <c r="AP35" s="920"/>
      <c r="AQ35" s="920"/>
      <c r="AR35" s="920"/>
      <c r="AS35" s="920"/>
      <c r="AT35" s="920"/>
      <c r="AU35" s="920"/>
      <c r="AV35" s="920"/>
      <c r="AW35" s="920"/>
      <c r="AX35" s="920"/>
      <c r="AY35" s="920"/>
      <c r="AZ35" s="920"/>
      <c r="BA35" s="920"/>
      <c r="BB35" s="920"/>
      <c r="BC35" s="920"/>
      <c r="BD35" s="920"/>
      <c r="BE35" s="920"/>
      <c r="BF35" s="920"/>
      <c r="BG35" s="920"/>
      <c r="BH35" s="920"/>
      <c r="BI35" s="920"/>
      <c r="BJ35" s="920"/>
      <c r="BK35" s="920"/>
      <c r="BL35" s="920"/>
      <c r="BM35" s="920"/>
      <c r="BN35" s="920"/>
      <c r="BO35" s="920"/>
      <c r="BP35" s="920"/>
      <c r="BQ35" s="920"/>
      <c r="BR35" s="920"/>
      <c r="BS35" s="920"/>
      <c r="BT35" s="920"/>
      <c r="BU35" s="920"/>
      <c r="BV35" s="920"/>
      <c r="BW35" s="920"/>
      <c r="BX35" s="920"/>
      <c r="BY35" s="920"/>
      <c r="BZ35" s="920"/>
      <c r="CA35" s="920"/>
      <c r="CB35" s="920"/>
      <c r="CC35" s="920"/>
      <c r="CD35" s="920"/>
      <c r="CE35" s="920"/>
      <c r="CF35" s="920"/>
      <c r="CG35" s="920"/>
      <c r="CH35" s="920"/>
      <c r="CI35" s="920"/>
      <c r="CJ35" s="920"/>
      <c r="CK35" s="920"/>
      <c r="CL35" s="920"/>
      <c r="CM35" s="920"/>
      <c r="CN35" s="920"/>
      <c r="CO35" s="920"/>
      <c r="CP35" s="920"/>
      <c r="CQ35" s="920"/>
      <c r="CR35" s="920"/>
      <c r="CS35" s="920"/>
      <c r="CT35" s="920"/>
      <c r="CU35" s="920"/>
      <c r="CV35" s="920"/>
      <c r="CW35" s="920"/>
      <c r="CX35" s="920"/>
      <c r="CY35" s="920"/>
      <c r="CZ35" s="920"/>
      <c r="DA35" s="920"/>
      <c r="DB35" s="920"/>
      <c r="DC35" s="920"/>
      <c r="DD35" s="920"/>
      <c r="DE35" s="920"/>
      <c r="DF35" s="920"/>
      <c r="DG35" s="920"/>
      <c r="DH35" s="920"/>
      <c r="DI35" s="920"/>
      <c r="DJ35" s="920"/>
      <c r="DK35" s="920"/>
      <c r="DL35" s="920"/>
      <c r="DM35" s="920"/>
      <c r="DN35" s="920"/>
      <c r="DO35" s="920"/>
      <c r="DP35" s="920"/>
      <c r="DQ35" s="920"/>
      <c r="DR35" s="920"/>
      <c r="DS35" s="920"/>
      <c r="DT35" s="920"/>
      <c r="DU35" s="920"/>
      <c r="DV35" s="920"/>
      <c r="DW35" s="920"/>
      <c r="DX35" s="920"/>
      <c r="DY35" s="920"/>
      <c r="DZ35" s="920"/>
      <c r="EA35" s="920"/>
      <c r="EB35" s="920"/>
      <c r="EC35" s="920"/>
      <c r="ED35" s="920"/>
      <c r="EE35" s="920"/>
      <c r="EF35" s="920"/>
      <c r="EG35" s="920"/>
      <c r="EH35" s="920"/>
      <c r="EI35" s="920"/>
      <c r="EJ35" s="920"/>
      <c r="EK35" s="920"/>
      <c r="EL35" s="920"/>
      <c r="EM35" s="920"/>
      <c r="EN35" s="920"/>
      <c r="EO35" s="920"/>
      <c r="EP35" s="920"/>
      <c r="EQ35" s="920"/>
      <c r="ER35" s="920"/>
      <c r="ES35" s="920"/>
      <c r="ET35" s="920"/>
      <c r="EU35" s="920"/>
      <c r="EV35" s="920"/>
      <c r="EW35" s="920"/>
      <c r="EX35" s="920"/>
      <c r="EY35" s="920"/>
      <c r="EZ35" s="920"/>
      <c r="FA35" s="920"/>
      <c r="FB35" s="920"/>
      <c r="FC35" s="920"/>
      <c r="FD35" s="920"/>
      <c r="FE35" s="920"/>
      <c r="FF35" s="920"/>
      <c r="FG35" s="920"/>
      <c r="FH35" s="920"/>
      <c r="FI35" s="920"/>
      <c r="FJ35" s="920"/>
      <c r="FK35" s="920"/>
      <c r="FL35" s="920"/>
      <c r="FM35" s="920"/>
      <c r="FN35" s="920"/>
      <c r="FO35" s="920"/>
      <c r="FP35" s="920" t="str">
        <f aca="false">IF(FP36&lt;&gt;"",0.16*POWER(FP36,-0.16),"")</f>
        <v/>
      </c>
      <c r="FQ35" s="920" t="str">
        <f aca="false">IF(FQ36&lt;&gt;"",0.16*POWER(FQ36,-0.16),"")</f>
        <v/>
      </c>
      <c r="FR35" s="920"/>
      <c r="FS35" s="920"/>
      <c r="FT35" s="920"/>
      <c r="FU35" s="920"/>
      <c r="FV35" s="920"/>
      <c r="FW35" s="920"/>
      <c r="FX35" s="920"/>
      <c r="FY35" s="920"/>
      <c r="FZ35" s="920"/>
      <c r="GA35" s="920"/>
      <c r="GB35" s="920"/>
      <c r="GC35" s="920"/>
      <c r="GD35" s="920"/>
      <c r="GE35" s="920"/>
      <c r="GF35" s="920"/>
      <c r="GG35" s="920"/>
      <c r="GH35" s="920"/>
      <c r="GI35" s="920"/>
      <c r="GJ35" s="920"/>
      <c r="GK35" s="920"/>
      <c r="GL35" s="920"/>
      <c r="GM35" s="920"/>
      <c r="GN35" s="920"/>
      <c r="GO35" s="920"/>
      <c r="GP35" s="920"/>
      <c r="GQ35" s="920"/>
      <c r="GR35" s="920"/>
      <c r="GS35" s="920"/>
      <c r="GT35" s="920"/>
      <c r="GU35" s="920"/>
      <c r="GV35" s="920"/>
      <c r="GW35" s="920"/>
      <c r="GX35" s="920"/>
      <c r="GY35" s="920"/>
      <c r="GZ35" s="920"/>
      <c r="HA35" s="920"/>
      <c r="HB35" s="920"/>
      <c r="HC35" s="920"/>
      <c r="HD35" s="920"/>
      <c r="HE35" s="920"/>
      <c r="HF35" s="920"/>
      <c r="HG35" s="920"/>
      <c r="HH35" s="920"/>
      <c r="HI35" s="920"/>
      <c r="HJ35" s="920"/>
      <c r="HK35" s="920"/>
      <c r="HL35" s="920"/>
      <c r="HM35" s="920"/>
      <c r="HN35" s="920"/>
      <c r="HO35" s="920"/>
      <c r="HP35" s="920"/>
      <c r="HQ35" s="920"/>
      <c r="HR35" s="920"/>
      <c r="HS35" s="920"/>
      <c r="HT35" s="920"/>
      <c r="HU35" s="920"/>
      <c r="HV35" s="920"/>
      <c r="HW35" s="920"/>
      <c r="HX35" s="920"/>
      <c r="HY35" s="920"/>
      <c r="HZ35" s="920"/>
      <c r="IA35" s="920"/>
      <c r="IB35" s="920"/>
      <c r="IC35" s="920"/>
      <c r="ID35" s="920"/>
      <c r="IE35" s="920"/>
      <c r="IF35" s="920"/>
      <c r="IG35" s="920"/>
      <c r="IH35" s="920"/>
      <c r="II35" s="920"/>
      <c r="IJ35" s="920"/>
      <c r="IK35" s="920"/>
      <c r="IL35" s="920"/>
      <c r="IM35" s="920"/>
      <c r="IN35" s="920"/>
      <c r="IP35" s="920"/>
      <c r="IQ35" s="920"/>
      <c r="IR35" s="920"/>
      <c r="IS35" s="920"/>
      <c r="IT35" s="920"/>
      <c r="IU35" s="920"/>
      <c r="IV35" s="920"/>
      <c r="IW35" s="920"/>
      <c r="IX35" s="920"/>
      <c r="IY35" s="920"/>
      <c r="IZ35" s="920"/>
      <c r="JA35" s="920"/>
      <c r="JB35" s="920"/>
      <c r="JC35" s="920"/>
      <c r="JD35" s="920"/>
      <c r="JM35" s="920"/>
    </row>
    <row r="36" customFormat="false" ht="18.75" hidden="false" customHeight="false" outlineLevel="0" collapsed="false">
      <c r="A36" s="895" t="s">
        <v>1562</v>
      </c>
      <c r="B36" s="895"/>
      <c r="C36" s="890"/>
      <c r="D36" s="890"/>
      <c r="E36" s="890"/>
      <c r="F36" s="890"/>
      <c r="G36" s="890"/>
      <c r="H36" s="890"/>
      <c r="I36" s="890"/>
      <c r="J36" s="890"/>
      <c r="K36" s="890"/>
      <c r="L36" s="890"/>
      <c r="M36" s="890"/>
      <c r="N36" s="890"/>
      <c r="O36" s="890"/>
      <c r="P36" s="890"/>
      <c r="Q36" s="890"/>
      <c r="R36" s="890"/>
      <c r="S36" s="890"/>
      <c r="T36" s="890"/>
      <c r="U36" s="890"/>
      <c r="V36" s="890"/>
      <c r="W36" s="890"/>
      <c r="X36" s="890"/>
      <c r="Y36" s="890"/>
      <c r="Z36" s="890"/>
      <c r="AA36" s="890"/>
      <c r="AB36" s="890"/>
      <c r="AC36" s="890"/>
      <c r="AD36" s="890"/>
      <c r="AE36" s="890"/>
      <c r="AF36" s="890"/>
      <c r="AG36" s="890"/>
      <c r="AH36" s="890"/>
      <c r="AI36" s="890"/>
      <c r="AJ36" s="890"/>
      <c r="AK36" s="890"/>
      <c r="AL36" s="890"/>
      <c r="AM36" s="890"/>
      <c r="AN36" s="890"/>
      <c r="AO36" s="890"/>
      <c r="AP36" s="890"/>
      <c r="AQ36" s="890"/>
      <c r="AR36" s="890"/>
      <c r="AS36" s="890"/>
      <c r="AT36" s="890"/>
      <c r="AU36" s="890"/>
      <c r="AV36" s="890"/>
      <c r="AW36" s="890"/>
      <c r="AX36" s="890"/>
      <c r="AY36" s="890"/>
      <c r="AZ36" s="890"/>
      <c r="BA36" s="890"/>
      <c r="BB36" s="890"/>
      <c r="BC36" s="890"/>
      <c r="BD36" s="890"/>
      <c r="BE36" s="890"/>
      <c r="BF36" s="890"/>
      <c r="BG36" s="890"/>
      <c r="BH36" s="890"/>
      <c r="BI36" s="890"/>
      <c r="BJ36" s="890"/>
      <c r="BK36" s="890"/>
      <c r="BL36" s="890"/>
      <c r="BM36" s="890"/>
      <c r="BN36" s="890"/>
      <c r="BO36" s="890"/>
      <c r="BP36" s="890"/>
      <c r="BQ36" s="890"/>
      <c r="BR36" s="890"/>
      <c r="BS36" s="890"/>
      <c r="BT36" s="890"/>
      <c r="BU36" s="890"/>
      <c r="BV36" s="890"/>
      <c r="BW36" s="890"/>
      <c r="BX36" s="890"/>
      <c r="BY36" s="890"/>
      <c r="BZ36" s="890"/>
      <c r="CA36" s="890"/>
      <c r="CB36" s="890"/>
      <c r="CC36" s="890"/>
      <c r="CD36" s="890"/>
      <c r="CE36" s="890"/>
      <c r="CF36" s="890"/>
      <c r="CG36" s="890"/>
      <c r="CH36" s="890"/>
      <c r="CI36" s="890"/>
      <c r="CJ36" s="890"/>
      <c r="CK36" s="890"/>
      <c r="CL36" s="890"/>
      <c r="CM36" s="890"/>
      <c r="CN36" s="890"/>
      <c r="CO36" s="890"/>
      <c r="CP36" s="890"/>
      <c r="CQ36" s="890"/>
      <c r="CR36" s="890"/>
      <c r="CS36" s="890"/>
      <c r="CT36" s="890"/>
      <c r="CU36" s="890"/>
      <c r="CV36" s="890"/>
      <c r="CW36" s="890"/>
      <c r="CX36" s="890"/>
      <c r="CY36" s="890"/>
      <c r="CZ36" s="890"/>
      <c r="DA36" s="890"/>
      <c r="DB36" s="890"/>
      <c r="DC36" s="890"/>
      <c r="DD36" s="890"/>
      <c r="DE36" s="890"/>
      <c r="DF36" s="890"/>
      <c r="DG36" s="890"/>
      <c r="DH36" s="890"/>
      <c r="DI36" s="890"/>
      <c r="DJ36" s="890"/>
      <c r="DK36" s="890"/>
      <c r="DL36" s="890"/>
      <c r="DM36" s="890"/>
      <c r="DN36" s="890"/>
      <c r="DO36" s="890"/>
      <c r="DP36" s="890"/>
      <c r="DQ36" s="890"/>
      <c r="DR36" s="890"/>
      <c r="DS36" s="890"/>
      <c r="DT36" s="890"/>
      <c r="DU36" s="890"/>
      <c r="DV36" s="890"/>
      <c r="DW36" s="890"/>
      <c r="DX36" s="890"/>
      <c r="DY36" s="890"/>
      <c r="DZ36" s="890"/>
      <c r="EA36" s="890"/>
      <c r="EB36" s="890"/>
      <c r="EC36" s="890"/>
      <c r="ED36" s="890"/>
      <c r="EE36" s="890"/>
      <c r="EF36" s="890"/>
      <c r="EG36" s="890"/>
      <c r="EH36" s="890"/>
      <c r="EI36" s="890"/>
      <c r="EJ36" s="890"/>
      <c r="EK36" s="890"/>
      <c r="EL36" s="890"/>
      <c r="EM36" s="890"/>
      <c r="EN36" s="890"/>
      <c r="EO36" s="890"/>
      <c r="EP36" s="890"/>
      <c r="EQ36" s="890"/>
      <c r="ER36" s="890"/>
      <c r="ES36" s="890"/>
      <c r="ET36" s="890"/>
      <c r="EU36" s="890"/>
      <c r="EV36" s="890"/>
      <c r="EW36" s="890"/>
      <c r="EX36" s="890"/>
      <c r="EY36" s="890"/>
      <c r="EZ36" s="890"/>
      <c r="FA36" s="890"/>
      <c r="FB36" s="890"/>
      <c r="FC36" s="890"/>
      <c r="FD36" s="890"/>
      <c r="FE36" s="890"/>
      <c r="FF36" s="890"/>
      <c r="FG36" s="890"/>
      <c r="FH36" s="890"/>
      <c r="FI36" s="890"/>
      <c r="FJ36" s="890"/>
      <c r="FK36" s="890"/>
      <c r="FL36" s="890"/>
      <c r="FM36" s="890"/>
      <c r="FN36" s="890"/>
      <c r="FO36" s="890"/>
      <c r="FP36" s="890" t="str">
        <f aca="false">IF(FP37&lt;&gt;"",3.5368*FP17/FP37/FP14*100,"")</f>
        <v/>
      </c>
      <c r="FQ36" s="890" t="str">
        <f aca="false">IF(FQ37&lt;&gt;"",3.5368*FQ17/FQ37/FQ14*100,"")</f>
        <v/>
      </c>
      <c r="FR36" s="890"/>
      <c r="FS36" s="890"/>
      <c r="FT36" s="890"/>
      <c r="FU36" s="890"/>
      <c r="FV36" s="890"/>
      <c r="FW36" s="890"/>
      <c r="FX36" s="890"/>
      <c r="FY36" s="890"/>
      <c r="FZ36" s="890"/>
      <c r="GA36" s="890"/>
      <c r="GB36" s="890"/>
      <c r="GC36" s="890"/>
      <c r="GD36" s="890"/>
      <c r="GE36" s="890"/>
      <c r="GF36" s="890"/>
      <c r="GG36" s="890"/>
      <c r="GH36" s="890"/>
      <c r="GI36" s="890"/>
      <c r="GJ36" s="890"/>
      <c r="GK36" s="890"/>
      <c r="GL36" s="890"/>
      <c r="GM36" s="890"/>
      <c r="GN36" s="890"/>
      <c r="GO36" s="890"/>
      <c r="GP36" s="890"/>
      <c r="GQ36" s="890"/>
      <c r="GR36" s="890"/>
      <c r="GS36" s="890"/>
      <c r="GT36" s="890"/>
      <c r="GU36" s="890"/>
      <c r="GV36" s="890"/>
      <c r="GW36" s="890"/>
      <c r="GX36" s="890"/>
      <c r="GY36" s="890"/>
      <c r="GZ36" s="890"/>
      <c r="HA36" s="890"/>
      <c r="HB36" s="890"/>
      <c r="HC36" s="890"/>
      <c r="HD36" s="890"/>
      <c r="HE36" s="890"/>
      <c r="HF36" s="890"/>
      <c r="HG36" s="890"/>
      <c r="HH36" s="890"/>
      <c r="HI36" s="890"/>
      <c r="HJ36" s="890"/>
      <c r="HK36" s="890"/>
      <c r="HL36" s="890"/>
      <c r="HM36" s="890"/>
      <c r="HN36" s="890"/>
      <c r="HO36" s="890"/>
      <c r="HP36" s="890"/>
      <c r="HQ36" s="890"/>
      <c r="HR36" s="890"/>
      <c r="HS36" s="890"/>
      <c r="HT36" s="890"/>
      <c r="HU36" s="890"/>
      <c r="HV36" s="890"/>
      <c r="HW36" s="890"/>
      <c r="HX36" s="890"/>
      <c r="HY36" s="890"/>
      <c r="HZ36" s="890"/>
      <c r="IA36" s="890"/>
      <c r="IB36" s="890"/>
      <c r="IC36" s="890"/>
      <c r="ID36" s="890"/>
      <c r="IE36" s="890"/>
      <c r="IF36" s="890"/>
      <c r="IG36" s="890"/>
      <c r="IH36" s="890"/>
      <c r="II36" s="890"/>
      <c r="IJ36" s="890"/>
      <c r="IK36" s="890"/>
      <c r="IL36" s="890"/>
      <c r="IM36" s="890"/>
      <c r="IN36" s="890"/>
      <c r="IP36" s="890"/>
      <c r="IQ36" s="890"/>
      <c r="IR36" s="890"/>
      <c r="IS36" s="890"/>
      <c r="IT36" s="890"/>
      <c r="IU36" s="890"/>
      <c r="IV36" s="890"/>
      <c r="IW36" s="890"/>
      <c r="IX36" s="890"/>
      <c r="IY36" s="890"/>
      <c r="IZ36" s="890"/>
      <c r="JA36" s="890"/>
      <c r="JB36" s="890"/>
      <c r="JC36" s="890"/>
      <c r="JD36" s="890"/>
      <c r="JM36" s="890"/>
    </row>
    <row r="37" customFormat="false" ht="18.75" hidden="false" customHeight="false" outlineLevel="0" collapsed="false">
      <c r="A37" s="924" t="s">
        <v>1563</v>
      </c>
      <c r="B37" s="924" t="s">
        <v>420</v>
      </c>
      <c r="C37" s="925"/>
      <c r="D37" s="925"/>
      <c r="E37" s="925"/>
      <c r="F37" s="925"/>
      <c r="G37" s="925"/>
      <c r="H37" s="925"/>
      <c r="I37" s="925"/>
      <c r="J37" s="925"/>
      <c r="K37" s="925"/>
      <c r="L37" s="925"/>
      <c r="M37" s="925"/>
      <c r="N37" s="925"/>
      <c r="O37" s="925"/>
      <c r="P37" s="925"/>
      <c r="Q37" s="925"/>
      <c r="R37" s="925"/>
      <c r="S37" s="925"/>
      <c r="T37" s="925"/>
      <c r="U37" s="925"/>
      <c r="V37" s="925"/>
      <c r="W37" s="925"/>
      <c r="X37" s="925"/>
      <c r="Y37" s="925"/>
      <c r="Z37" s="925"/>
      <c r="AA37" s="925"/>
      <c r="AB37" s="925"/>
      <c r="AC37" s="925"/>
      <c r="AD37" s="925"/>
      <c r="AE37" s="925"/>
      <c r="AF37" s="925"/>
      <c r="AG37" s="925"/>
      <c r="AH37" s="925"/>
      <c r="AI37" s="925"/>
      <c r="AJ37" s="925"/>
      <c r="AK37" s="925"/>
      <c r="AL37" s="925"/>
      <c r="AM37" s="925"/>
      <c r="AN37" s="925"/>
      <c r="AO37" s="925"/>
      <c r="AP37" s="925"/>
      <c r="AQ37" s="925"/>
      <c r="AR37" s="925"/>
      <c r="AS37" s="925"/>
      <c r="AT37" s="925"/>
      <c r="AU37" s="925"/>
      <c r="AV37" s="925"/>
      <c r="AW37" s="925"/>
      <c r="AX37" s="925"/>
      <c r="AY37" s="925"/>
      <c r="AZ37" s="925"/>
      <c r="BA37" s="925"/>
      <c r="BB37" s="925"/>
      <c r="BC37" s="925"/>
      <c r="BD37" s="925"/>
      <c r="BE37" s="925"/>
      <c r="BF37" s="925"/>
      <c r="BG37" s="925"/>
      <c r="BH37" s="925"/>
      <c r="BI37" s="925"/>
      <c r="BJ37" s="925"/>
      <c r="BK37" s="925"/>
      <c r="BL37" s="925"/>
      <c r="BM37" s="925"/>
      <c r="BN37" s="925"/>
      <c r="BO37" s="925"/>
      <c r="BP37" s="925"/>
      <c r="BQ37" s="925"/>
      <c r="BR37" s="925"/>
      <c r="BS37" s="925"/>
      <c r="BT37" s="925"/>
      <c r="BU37" s="925"/>
      <c r="BV37" s="925"/>
      <c r="BW37" s="925"/>
      <c r="BX37" s="925"/>
      <c r="BY37" s="925"/>
      <c r="BZ37" s="925"/>
      <c r="CA37" s="925"/>
      <c r="CB37" s="925"/>
      <c r="CC37" s="925"/>
      <c r="CD37" s="925"/>
      <c r="CE37" s="925"/>
      <c r="CF37" s="925"/>
      <c r="CG37" s="925"/>
      <c r="CH37" s="925"/>
      <c r="CI37" s="925"/>
      <c r="CJ37" s="925"/>
      <c r="CK37" s="925"/>
      <c r="CL37" s="925"/>
      <c r="CM37" s="925"/>
      <c r="CN37" s="925"/>
      <c r="CO37" s="925"/>
      <c r="CP37" s="925"/>
      <c r="CQ37" s="925"/>
      <c r="CR37" s="925"/>
      <c r="CS37" s="925"/>
      <c r="CT37" s="925"/>
      <c r="CU37" s="925"/>
      <c r="CV37" s="925"/>
      <c r="CW37" s="925"/>
      <c r="CX37" s="925"/>
      <c r="CY37" s="925"/>
      <c r="CZ37" s="925"/>
      <c r="DA37" s="925"/>
      <c r="DB37" s="925"/>
      <c r="DC37" s="925"/>
      <c r="DD37" s="925"/>
      <c r="DE37" s="925"/>
      <c r="DF37" s="925"/>
      <c r="DG37" s="925"/>
      <c r="DH37" s="925"/>
      <c r="DI37" s="925"/>
      <c r="DJ37" s="925"/>
      <c r="DK37" s="925"/>
      <c r="DL37" s="925"/>
      <c r="DM37" s="925"/>
      <c r="DN37" s="925"/>
      <c r="DO37" s="925"/>
      <c r="DP37" s="925"/>
      <c r="DQ37" s="925"/>
      <c r="DR37" s="925"/>
      <c r="DS37" s="925"/>
      <c r="DT37" s="925"/>
      <c r="DU37" s="925"/>
      <c r="DV37" s="925"/>
      <c r="DW37" s="925"/>
      <c r="DX37" s="925"/>
      <c r="DY37" s="925"/>
      <c r="DZ37" s="925"/>
      <c r="EA37" s="925"/>
      <c r="EB37" s="925"/>
      <c r="EC37" s="925"/>
      <c r="ED37" s="925"/>
      <c r="EE37" s="925"/>
      <c r="EF37" s="925"/>
      <c r="EG37" s="925"/>
      <c r="EH37" s="925"/>
      <c r="EI37" s="925"/>
      <c r="EJ37" s="925"/>
      <c r="EK37" s="925"/>
      <c r="EL37" s="925"/>
      <c r="EM37" s="925"/>
      <c r="EN37" s="925"/>
      <c r="EO37" s="925"/>
      <c r="EP37" s="925"/>
      <c r="EQ37" s="925"/>
      <c r="ER37" s="925"/>
      <c r="ES37" s="925"/>
      <c r="ET37" s="925"/>
      <c r="EU37" s="925"/>
      <c r="EV37" s="925"/>
      <c r="EW37" s="925"/>
      <c r="EX37" s="925"/>
      <c r="EY37" s="925"/>
      <c r="EZ37" s="925"/>
      <c r="FA37" s="925"/>
      <c r="FB37" s="925"/>
      <c r="FC37" s="925"/>
      <c r="FD37" s="925"/>
      <c r="FE37" s="925"/>
      <c r="FF37" s="925"/>
      <c r="FG37" s="925"/>
      <c r="FH37" s="925"/>
      <c r="FI37" s="925"/>
      <c r="FJ37" s="925"/>
      <c r="FK37" s="925"/>
      <c r="FL37" s="925"/>
      <c r="FM37" s="925"/>
      <c r="FN37" s="925"/>
      <c r="FO37" s="925"/>
      <c r="FP37" s="907"/>
      <c r="FQ37" s="907"/>
      <c r="FR37" s="907"/>
      <c r="FS37" s="907"/>
      <c r="FT37" s="907"/>
      <c r="FU37" s="907"/>
      <c r="FV37" s="907"/>
      <c r="FW37" s="907"/>
      <c r="FX37" s="907"/>
      <c r="FY37" s="907"/>
      <c r="FZ37" s="907"/>
      <c r="GA37" s="907"/>
      <c r="GB37" s="907"/>
      <c r="GC37" s="907"/>
      <c r="GD37" s="907"/>
      <c r="GE37" s="907"/>
      <c r="GF37" s="907"/>
      <c r="GG37" s="907"/>
      <c r="GH37" s="907"/>
      <c r="GI37" s="907"/>
      <c r="GJ37" s="907"/>
      <c r="GK37" s="907"/>
      <c r="GL37" s="907"/>
      <c r="GM37" s="907"/>
      <c r="GN37" s="907"/>
      <c r="GO37" s="907"/>
      <c r="GP37" s="907"/>
      <c r="GQ37" s="907"/>
      <c r="GR37" s="907"/>
      <c r="GS37" s="907"/>
      <c r="GT37" s="907"/>
      <c r="GU37" s="907"/>
      <c r="GV37" s="907"/>
      <c r="GW37" s="907"/>
      <c r="GX37" s="907"/>
      <c r="GY37" s="907"/>
      <c r="GZ37" s="907"/>
      <c r="HA37" s="907"/>
      <c r="HB37" s="907"/>
      <c r="HC37" s="907"/>
      <c r="HD37" s="907"/>
      <c r="HE37" s="907"/>
      <c r="HF37" s="907"/>
      <c r="HG37" s="907"/>
      <c r="HH37" s="907"/>
      <c r="HI37" s="907"/>
      <c r="HJ37" s="907"/>
      <c r="HK37" s="907"/>
      <c r="HL37" s="907"/>
      <c r="HM37" s="907"/>
      <c r="HN37" s="907"/>
      <c r="HO37" s="907"/>
      <c r="HP37" s="907"/>
      <c r="HQ37" s="907"/>
      <c r="HR37" s="907"/>
      <c r="HS37" s="907"/>
      <c r="HT37" s="907"/>
      <c r="HU37" s="907"/>
      <c r="HV37" s="907"/>
      <c r="HW37" s="907"/>
      <c r="HX37" s="907"/>
      <c r="HY37" s="907"/>
      <c r="HZ37" s="907"/>
      <c r="IA37" s="907"/>
      <c r="IB37" s="907"/>
      <c r="IC37" s="907"/>
      <c r="ID37" s="907"/>
      <c r="IE37" s="907"/>
      <c r="IF37" s="907"/>
      <c r="IG37" s="907"/>
      <c r="IH37" s="907"/>
      <c r="II37" s="907"/>
      <c r="IJ37" s="907"/>
      <c r="IK37" s="907"/>
      <c r="IL37" s="907"/>
      <c r="IM37" s="907"/>
      <c r="IN37" s="907"/>
      <c r="IP37" s="933"/>
      <c r="IQ37" s="933"/>
      <c r="IR37" s="907"/>
      <c r="IS37" s="933"/>
      <c r="IT37" s="933"/>
      <c r="IU37" s="907"/>
      <c r="IV37" s="907"/>
      <c r="IW37" s="907"/>
      <c r="IX37" s="907"/>
      <c r="IY37" s="933"/>
      <c r="IZ37" s="933"/>
      <c r="JA37" s="933"/>
      <c r="JB37" s="933"/>
      <c r="JC37" s="933"/>
      <c r="JD37" s="933"/>
      <c r="JM37" s="933"/>
    </row>
    <row r="38" customFormat="false" ht="18.75" hidden="false" customHeight="false" outlineLevel="0" collapsed="false">
      <c r="A38" s="934" t="s">
        <v>1564</v>
      </c>
      <c r="B38" s="934" t="s">
        <v>444</v>
      </c>
      <c r="C38" s="935"/>
      <c r="D38" s="935"/>
      <c r="E38" s="935"/>
      <c r="F38" s="935"/>
      <c r="G38" s="935"/>
      <c r="H38" s="935"/>
      <c r="I38" s="935"/>
      <c r="J38" s="935"/>
      <c r="K38" s="935"/>
      <c r="L38" s="935"/>
      <c r="M38" s="935"/>
      <c r="N38" s="935"/>
      <c r="O38" s="935"/>
      <c r="P38" s="935"/>
      <c r="Q38" s="935"/>
      <c r="R38" s="935"/>
      <c r="S38" s="935"/>
      <c r="T38" s="935"/>
      <c r="U38" s="935"/>
      <c r="V38" s="935"/>
      <c r="W38" s="935"/>
      <c r="X38" s="935"/>
      <c r="Y38" s="935"/>
      <c r="Z38" s="935"/>
      <c r="AA38" s="935"/>
      <c r="AB38" s="935"/>
      <c r="AC38" s="935"/>
      <c r="AD38" s="935"/>
      <c r="AE38" s="935"/>
      <c r="AF38" s="935"/>
      <c r="AG38" s="935"/>
      <c r="AH38" s="935"/>
      <c r="AI38" s="935"/>
      <c r="AJ38" s="935"/>
      <c r="AK38" s="935"/>
      <c r="AL38" s="935"/>
      <c r="AM38" s="935"/>
      <c r="AN38" s="935"/>
      <c r="AO38" s="935"/>
      <c r="AP38" s="935"/>
      <c r="AQ38" s="935"/>
      <c r="AR38" s="935"/>
      <c r="AS38" s="935"/>
      <c r="AT38" s="935"/>
      <c r="AU38" s="935"/>
      <c r="AV38" s="935"/>
      <c r="AW38" s="935"/>
      <c r="AX38" s="935"/>
      <c r="AY38" s="935"/>
      <c r="AZ38" s="935"/>
      <c r="BA38" s="935"/>
      <c r="BB38" s="935"/>
      <c r="BC38" s="935"/>
      <c r="BD38" s="935"/>
      <c r="BE38" s="935"/>
      <c r="BF38" s="935"/>
      <c r="BG38" s="935"/>
      <c r="BH38" s="935"/>
      <c r="BI38" s="935"/>
      <c r="BJ38" s="935"/>
      <c r="BK38" s="935"/>
      <c r="BL38" s="935"/>
      <c r="BM38" s="935"/>
      <c r="BN38" s="935"/>
      <c r="BO38" s="935"/>
      <c r="BP38" s="935"/>
      <c r="BQ38" s="935"/>
      <c r="BR38" s="935"/>
      <c r="BS38" s="935"/>
      <c r="BT38" s="935"/>
      <c r="BU38" s="935"/>
      <c r="BV38" s="935"/>
      <c r="BW38" s="935"/>
      <c r="BX38" s="935"/>
      <c r="BY38" s="935"/>
      <c r="BZ38" s="935"/>
      <c r="CA38" s="935"/>
      <c r="CB38" s="935"/>
      <c r="CC38" s="935"/>
      <c r="CD38" s="935"/>
      <c r="CE38" s="935"/>
      <c r="CF38" s="935"/>
      <c r="CG38" s="935"/>
      <c r="CH38" s="935"/>
      <c r="CI38" s="935"/>
      <c r="CJ38" s="935"/>
      <c r="CK38" s="935"/>
      <c r="CL38" s="935"/>
      <c r="CM38" s="935"/>
      <c r="CN38" s="935"/>
      <c r="CO38" s="935"/>
      <c r="CP38" s="935"/>
      <c r="CQ38" s="935"/>
      <c r="CR38" s="935"/>
      <c r="CS38" s="935"/>
      <c r="CT38" s="935"/>
      <c r="CU38" s="935"/>
      <c r="CV38" s="935"/>
      <c r="CW38" s="935"/>
      <c r="CX38" s="935"/>
      <c r="CY38" s="935"/>
      <c r="CZ38" s="935"/>
      <c r="DA38" s="935"/>
      <c r="DB38" s="935"/>
      <c r="DC38" s="935"/>
      <c r="DD38" s="935"/>
      <c r="DE38" s="935"/>
      <c r="DF38" s="935"/>
      <c r="DG38" s="935"/>
      <c r="DH38" s="935"/>
      <c r="DI38" s="935"/>
      <c r="DJ38" s="935"/>
      <c r="DK38" s="935"/>
      <c r="DL38" s="935"/>
      <c r="DM38" s="935"/>
      <c r="DN38" s="935"/>
      <c r="DO38" s="935"/>
      <c r="DP38" s="935"/>
      <c r="DQ38" s="935"/>
      <c r="DR38" s="935"/>
      <c r="DS38" s="935"/>
      <c r="DT38" s="935"/>
      <c r="DU38" s="935"/>
      <c r="DV38" s="935"/>
      <c r="DW38" s="935"/>
      <c r="DX38" s="935"/>
      <c r="DY38" s="935"/>
      <c r="DZ38" s="935"/>
      <c r="EA38" s="935"/>
      <c r="EB38" s="935"/>
      <c r="EC38" s="935"/>
      <c r="ED38" s="935"/>
      <c r="EE38" s="935"/>
      <c r="EF38" s="935"/>
      <c r="EG38" s="935"/>
      <c r="EH38" s="935"/>
      <c r="EI38" s="935"/>
      <c r="EJ38" s="935"/>
      <c r="EK38" s="935"/>
      <c r="EL38" s="935"/>
      <c r="EM38" s="935"/>
      <c r="EN38" s="935"/>
      <c r="EO38" s="935"/>
      <c r="EP38" s="935"/>
      <c r="EQ38" s="935"/>
      <c r="ER38" s="935"/>
      <c r="ES38" s="935"/>
      <c r="ET38" s="935"/>
      <c r="EU38" s="935"/>
      <c r="EV38" s="935"/>
      <c r="EW38" s="935"/>
      <c r="EX38" s="935"/>
      <c r="EY38" s="935"/>
      <c r="EZ38" s="935"/>
      <c r="FA38" s="935"/>
      <c r="FB38" s="935"/>
      <c r="FC38" s="935"/>
      <c r="FD38" s="935"/>
      <c r="FE38" s="935"/>
      <c r="FF38" s="935"/>
      <c r="FG38" s="935"/>
      <c r="FH38" s="935"/>
      <c r="FI38" s="935"/>
      <c r="FJ38" s="935"/>
      <c r="FK38" s="935"/>
      <c r="FL38" s="935"/>
      <c r="FM38" s="935"/>
      <c r="FN38" s="935"/>
      <c r="FO38" s="935"/>
      <c r="FP38" s="939" t="str">
        <f aca="false">IF(FP32&lt;&gt;"",IF(OR(FP13="自选",FP21=0,FP14=0),"",FP17/0.785/FP37/FP37/3600),"")</f>
        <v/>
      </c>
      <c r="FQ38" s="939" t="str">
        <f aca="false">IF(FQ32&lt;&gt;"",IF(OR(FQ13="自选",FQ21=0,FQ14=0),"",FQ17/0.785/FQ37/FQ37/3600),"")</f>
        <v/>
      </c>
      <c r="FR38" s="939"/>
      <c r="FS38" s="939"/>
      <c r="FT38" s="939"/>
      <c r="FU38" s="939"/>
      <c r="FV38" s="939"/>
      <c r="FW38" s="939"/>
      <c r="FX38" s="939"/>
      <c r="FY38" s="939"/>
      <c r="FZ38" s="939"/>
      <c r="GA38" s="939"/>
      <c r="GB38" s="939"/>
      <c r="GC38" s="939"/>
      <c r="GD38" s="939"/>
      <c r="GE38" s="939"/>
      <c r="GF38" s="939"/>
      <c r="GG38" s="939"/>
      <c r="GH38" s="939"/>
      <c r="GI38" s="939"/>
      <c r="GJ38" s="939"/>
      <c r="GK38" s="939"/>
      <c r="GL38" s="939"/>
      <c r="GM38" s="939"/>
      <c r="GN38" s="939"/>
      <c r="GO38" s="939"/>
      <c r="GP38" s="939"/>
      <c r="GQ38" s="939"/>
      <c r="GR38" s="939"/>
      <c r="GS38" s="939"/>
      <c r="GT38" s="939"/>
      <c r="GU38" s="939"/>
      <c r="GV38" s="939"/>
      <c r="GW38" s="939"/>
      <c r="GX38" s="939"/>
      <c r="GY38" s="939"/>
      <c r="GZ38" s="939"/>
      <c r="HA38" s="939"/>
      <c r="HB38" s="939"/>
      <c r="HC38" s="939"/>
      <c r="HD38" s="939"/>
      <c r="HE38" s="939"/>
      <c r="HF38" s="939"/>
      <c r="HG38" s="939"/>
      <c r="HH38" s="939"/>
      <c r="HI38" s="939"/>
      <c r="HJ38" s="939"/>
      <c r="HK38" s="939"/>
      <c r="HL38" s="939"/>
      <c r="HM38" s="939"/>
      <c r="HN38" s="939"/>
      <c r="HO38" s="939"/>
      <c r="HP38" s="939"/>
      <c r="HQ38" s="939"/>
      <c r="HR38" s="939"/>
      <c r="HS38" s="939"/>
      <c r="HT38" s="939"/>
      <c r="HU38" s="939"/>
      <c r="HV38" s="939"/>
      <c r="HW38" s="939"/>
      <c r="HX38" s="939"/>
      <c r="HY38" s="939"/>
      <c r="HZ38" s="939"/>
      <c r="IA38" s="939"/>
      <c r="IB38" s="939"/>
      <c r="IC38" s="939"/>
      <c r="ID38" s="939"/>
      <c r="IE38" s="939"/>
      <c r="IF38" s="939"/>
      <c r="IG38" s="939"/>
      <c r="IH38" s="939"/>
      <c r="II38" s="939"/>
      <c r="IJ38" s="939"/>
      <c r="IK38" s="939"/>
      <c r="IL38" s="939"/>
      <c r="IM38" s="939"/>
      <c r="IN38" s="939"/>
      <c r="IO38" s="939"/>
      <c r="IP38" s="939"/>
      <c r="IQ38" s="939"/>
      <c r="IR38" s="939"/>
      <c r="IS38" s="939"/>
      <c r="IT38" s="939"/>
      <c r="IU38" s="939"/>
      <c r="IV38" s="939"/>
      <c r="IW38" s="939"/>
      <c r="IX38" s="939"/>
      <c r="IY38" s="939"/>
      <c r="IZ38" s="939"/>
      <c r="JA38" s="939"/>
      <c r="JB38" s="939"/>
      <c r="JC38" s="939"/>
      <c r="JD38" s="939"/>
      <c r="JE38" s="939"/>
      <c r="JF38" s="939"/>
      <c r="JG38" s="939"/>
      <c r="JH38" s="939"/>
      <c r="JI38" s="939"/>
      <c r="JK38" s="939"/>
      <c r="JM38" s="939"/>
    </row>
    <row r="39" customFormat="false" ht="18.75" hidden="false" customHeight="false" outlineLevel="0" collapsed="false">
      <c r="A39" s="940" t="s">
        <v>1535</v>
      </c>
      <c r="B39" s="940" t="s">
        <v>444</v>
      </c>
      <c r="C39" s="941"/>
      <c r="D39" s="941"/>
      <c r="E39" s="941"/>
      <c r="F39" s="941"/>
      <c r="G39" s="941"/>
      <c r="H39" s="941"/>
      <c r="I39" s="941"/>
      <c r="J39" s="941"/>
      <c r="K39" s="941"/>
      <c r="L39" s="941"/>
      <c r="M39" s="941"/>
      <c r="N39" s="941"/>
      <c r="O39" s="941"/>
      <c r="P39" s="941"/>
      <c r="Q39" s="941"/>
      <c r="R39" s="941"/>
      <c r="S39" s="941"/>
      <c r="T39" s="941"/>
      <c r="U39" s="941"/>
      <c r="V39" s="941"/>
      <c r="W39" s="941"/>
      <c r="X39" s="941"/>
      <c r="Y39" s="941"/>
      <c r="Z39" s="941"/>
      <c r="AA39" s="941"/>
      <c r="AB39" s="941"/>
      <c r="AC39" s="941"/>
      <c r="AD39" s="941"/>
      <c r="AE39" s="941"/>
      <c r="AF39" s="941"/>
      <c r="AG39" s="941"/>
      <c r="AH39" s="941"/>
      <c r="AI39" s="941"/>
      <c r="AJ39" s="941"/>
      <c r="AK39" s="941"/>
      <c r="AL39" s="941"/>
      <c r="AM39" s="941"/>
      <c r="AN39" s="941"/>
      <c r="AO39" s="941"/>
      <c r="AP39" s="941"/>
      <c r="AQ39" s="941"/>
      <c r="AR39" s="941"/>
      <c r="AS39" s="941"/>
      <c r="AT39" s="941"/>
      <c r="AU39" s="941"/>
      <c r="AV39" s="941"/>
      <c r="AW39" s="941"/>
      <c r="AX39" s="941"/>
      <c r="AY39" s="941"/>
      <c r="AZ39" s="941"/>
      <c r="BA39" s="941"/>
      <c r="BB39" s="941"/>
      <c r="BC39" s="941"/>
      <c r="BD39" s="941"/>
      <c r="BE39" s="941"/>
      <c r="BF39" s="941"/>
      <c r="BG39" s="941"/>
      <c r="BH39" s="941"/>
      <c r="BI39" s="941"/>
      <c r="BJ39" s="941"/>
      <c r="BK39" s="941"/>
      <c r="BL39" s="941"/>
      <c r="BM39" s="941"/>
      <c r="BN39" s="941"/>
      <c r="BO39" s="941"/>
      <c r="BP39" s="941"/>
      <c r="BQ39" s="941"/>
      <c r="BR39" s="941"/>
      <c r="BS39" s="941"/>
      <c r="BT39" s="941"/>
      <c r="BU39" s="941"/>
      <c r="BV39" s="941"/>
      <c r="BW39" s="941"/>
      <c r="BX39" s="941"/>
      <c r="BY39" s="941"/>
      <c r="BZ39" s="941"/>
      <c r="CA39" s="941"/>
      <c r="CB39" s="941"/>
      <c r="CC39" s="941"/>
      <c r="CD39" s="941"/>
      <c r="CE39" s="941"/>
      <c r="CF39" s="941"/>
      <c r="CG39" s="941"/>
      <c r="CH39" s="941"/>
      <c r="CI39" s="941"/>
      <c r="CJ39" s="941"/>
      <c r="CK39" s="941"/>
      <c r="CL39" s="941"/>
      <c r="CM39" s="941"/>
      <c r="CN39" s="941"/>
      <c r="CO39" s="941"/>
      <c r="CP39" s="941"/>
      <c r="CQ39" s="941"/>
      <c r="CR39" s="941"/>
      <c r="CS39" s="941"/>
      <c r="CT39" s="941"/>
      <c r="CU39" s="941"/>
      <c r="CV39" s="941"/>
      <c r="CW39" s="941"/>
      <c r="CX39" s="941"/>
      <c r="CY39" s="941"/>
      <c r="CZ39" s="941"/>
      <c r="DA39" s="941"/>
      <c r="DB39" s="941"/>
      <c r="DC39" s="941"/>
      <c r="DD39" s="941"/>
      <c r="DE39" s="941"/>
      <c r="DF39" s="941"/>
      <c r="DG39" s="941"/>
      <c r="DH39" s="941"/>
      <c r="DI39" s="941"/>
      <c r="DJ39" s="941"/>
      <c r="DK39" s="941"/>
      <c r="DL39" s="941"/>
      <c r="DM39" s="941"/>
      <c r="DN39" s="941"/>
      <c r="DO39" s="941"/>
      <c r="DP39" s="941"/>
      <c r="DQ39" s="941"/>
      <c r="DR39" s="941"/>
      <c r="DS39" s="941"/>
      <c r="DT39" s="941"/>
      <c r="DU39" s="941"/>
      <c r="DV39" s="941"/>
      <c r="DW39" s="941"/>
      <c r="DX39" s="941"/>
      <c r="DY39" s="941"/>
      <c r="DZ39" s="941"/>
      <c r="EA39" s="941"/>
      <c r="EB39" s="941"/>
      <c r="EC39" s="941"/>
      <c r="ED39" s="941"/>
      <c r="EE39" s="941"/>
      <c r="EF39" s="941"/>
      <c r="EG39" s="941"/>
      <c r="EH39" s="941"/>
      <c r="EI39" s="941"/>
      <c r="EJ39" s="941"/>
      <c r="EK39" s="941"/>
      <c r="EL39" s="941"/>
      <c r="EM39" s="941"/>
      <c r="EN39" s="941"/>
      <c r="EO39" s="941"/>
      <c r="EP39" s="941"/>
      <c r="EQ39" s="941"/>
      <c r="ER39" s="941"/>
      <c r="ES39" s="941"/>
      <c r="ET39" s="941"/>
      <c r="EU39" s="941"/>
      <c r="EV39" s="941"/>
      <c r="EW39" s="941"/>
      <c r="EX39" s="941"/>
      <c r="EY39" s="941"/>
      <c r="EZ39" s="941"/>
      <c r="FA39" s="941"/>
      <c r="FB39" s="941"/>
      <c r="FC39" s="941"/>
      <c r="FD39" s="941"/>
      <c r="FE39" s="941"/>
      <c r="FF39" s="941"/>
      <c r="FG39" s="941"/>
      <c r="FH39" s="941"/>
      <c r="FI39" s="941"/>
      <c r="FJ39" s="941"/>
      <c r="FK39" s="941"/>
      <c r="FL39" s="941"/>
      <c r="FM39" s="941"/>
      <c r="FN39" s="941"/>
      <c r="FO39" s="941"/>
      <c r="FP39" s="945" t="str">
        <f aca="false">IF(FP37&lt;&gt;"",GETVELOC(FP9,FP32,FP33,FP4,FP8,FP37,FP15),"")</f>
        <v/>
      </c>
      <c r="FQ39" s="945" t="str">
        <f aca="false">IF(FQ37&lt;&gt;"",GETVELOC(FQ9,FQ32,FQ33,FQ4,FQ8,FQ37,FQ15),"")</f>
        <v/>
      </c>
      <c r="FR39" s="945"/>
      <c r="FS39" s="945"/>
      <c r="FT39" s="945"/>
      <c r="FU39" s="945"/>
      <c r="FV39" s="945"/>
      <c r="FW39" s="945"/>
      <c r="FX39" s="945"/>
      <c r="FY39" s="945"/>
      <c r="FZ39" s="945"/>
      <c r="GA39" s="945"/>
      <c r="GB39" s="945"/>
      <c r="GC39" s="945"/>
      <c r="GD39" s="945"/>
      <c r="GE39" s="945"/>
      <c r="GF39" s="945"/>
      <c r="GG39" s="945"/>
      <c r="GH39" s="945"/>
      <c r="GI39" s="945"/>
      <c r="GJ39" s="945"/>
      <c r="GK39" s="945"/>
      <c r="GL39" s="945"/>
      <c r="GM39" s="945"/>
      <c r="GN39" s="945"/>
      <c r="GO39" s="945"/>
      <c r="GP39" s="945"/>
      <c r="GQ39" s="945"/>
      <c r="GR39" s="945"/>
      <c r="GS39" s="945"/>
      <c r="GT39" s="945"/>
      <c r="GU39" s="945"/>
      <c r="GV39" s="945"/>
      <c r="GW39" s="945"/>
      <c r="GX39" s="945"/>
      <c r="GY39" s="945"/>
      <c r="GZ39" s="945"/>
      <c r="HA39" s="945"/>
      <c r="HB39" s="945"/>
      <c r="HC39" s="945"/>
      <c r="HD39" s="945"/>
      <c r="HE39" s="945"/>
      <c r="HF39" s="945"/>
      <c r="HG39" s="945"/>
      <c r="HH39" s="945"/>
      <c r="HI39" s="945"/>
      <c r="HJ39" s="945"/>
      <c r="HK39" s="945"/>
      <c r="HL39" s="945"/>
      <c r="HM39" s="945"/>
      <c r="HN39" s="945"/>
      <c r="HO39" s="945"/>
      <c r="HP39" s="945"/>
      <c r="HQ39" s="945"/>
      <c r="HR39" s="945"/>
      <c r="HS39" s="945"/>
      <c r="HT39" s="945"/>
      <c r="HU39" s="945"/>
      <c r="HV39" s="945"/>
      <c r="HW39" s="945"/>
      <c r="HX39" s="945"/>
      <c r="HY39" s="945"/>
      <c r="HZ39" s="945"/>
      <c r="IA39" s="945"/>
      <c r="IB39" s="945"/>
      <c r="IC39" s="945"/>
      <c r="ID39" s="945"/>
      <c r="IE39" s="945"/>
      <c r="IF39" s="945"/>
      <c r="IG39" s="945"/>
      <c r="IH39" s="945"/>
      <c r="II39" s="945"/>
      <c r="IJ39" s="945"/>
      <c r="IK39" s="945"/>
      <c r="IL39" s="945"/>
      <c r="IM39" s="945"/>
      <c r="IN39" s="945"/>
      <c r="IO39" s="945"/>
      <c r="IP39" s="945"/>
      <c r="IQ39" s="945"/>
      <c r="IR39" s="945"/>
      <c r="IS39" s="945"/>
      <c r="IT39" s="945"/>
      <c r="IU39" s="945"/>
      <c r="IV39" s="945"/>
      <c r="IW39" s="945"/>
      <c r="IX39" s="945"/>
      <c r="IY39" s="945"/>
      <c r="IZ39" s="945"/>
      <c r="JA39" s="945"/>
      <c r="JB39" s="945"/>
      <c r="JC39" s="945"/>
      <c r="JD39" s="945"/>
      <c r="JE39" s="945"/>
      <c r="JF39" s="945"/>
      <c r="JG39" s="945"/>
      <c r="JH39" s="945"/>
      <c r="JI39" s="945"/>
      <c r="JK39" s="945"/>
      <c r="JM39" s="945"/>
    </row>
    <row r="40" customFormat="false" ht="18.75" hidden="false" customHeight="false" outlineLevel="0" collapsed="false">
      <c r="A40" s="946" t="s">
        <v>1565</v>
      </c>
      <c r="B40" s="946" t="s">
        <v>1538</v>
      </c>
      <c r="C40" s="947"/>
      <c r="D40" s="947"/>
      <c r="E40" s="947"/>
      <c r="F40" s="947"/>
      <c r="G40" s="947"/>
      <c r="H40" s="947"/>
      <c r="I40" s="947"/>
      <c r="J40" s="947"/>
      <c r="K40" s="947"/>
      <c r="L40" s="947"/>
      <c r="M40" s="947"/>
      <c r="N40" s="947"/>
      <c r="O40" s="947"/>
      <c r="P40" s="947"/>
      <c r="Q40" s="947"/>
      <c r="R40" s="947"/>
      <c r="S40" s="947"/>
      <c r="T40" s="947"/>
      <c r="U40" s="947"/>
      <c r="V40" s="947"/>
      <c r="W40" s="947"/>
      <c r="X40" s="947"/>
      <c r="Y40" s="947"/>
      <c r="Z40" s="947"/>
      <c r="AA40" s="947"/>
      <c r="AB40" s="947"/>
      <c r="AC40" s="947"/>
      <c r="AD40" s="947"/>
      <c r="AE40" s="947"/>
      <c r="AF40" s="947"/>
      <c r="AG40" s="947"/>
      <c r="AH40" s="947"/>
      <c r="AI40" s="947"/>
      <c r="AJ40" s="947"/>
      <c r="AK40" s="947"/>
      <c r="AL40" s="947"/>
      <c r="AM40" s="947"/>
      <c r="AN40" s="947"/>
      <c r="AO40" s="947"/>
      <c r="AP40" s="947"/>
      <c r="AQ40" s="947"/>
      <c r="AR40" s="947"/>
      <c r="AS40" s="947"/>
      <c r="AT40" s="947"/>
      <c r="AU40" s="947"/>
      <c r="AV40" s="947"/>
      <c r="AW40" s="947"/>
      <c r="AX40" s="947"/>
      <c r="AY40" s="947"/>
      <c r="AZ40" s="947"/>
      <c r="BA40" s="947"/>
      <c r="BB40" s="947"/>
      <c r="BC40" s="947"/>
      <c r="BD40" s="947"/>
      <c r="BE40" s="947"/>
      <c r="BF40" s="947"/>
      <c r="BG40" s="947"/>
      <c r="BH40" s="947"/>
      <c r="BI40" s="947"/>
      <c r="BJ40" s="947"/>
      <c r="BK40" s="947"/>
      <c r="BL40" s="947"/>
      <c r="BM40" s="947"/>
      <c r="BN40" s="947"/>
      <c r="BO40" s="947"/>
      <c r="BP40" s="947"/>
      <c r="BQ40" s="947"/>
      <c r="BR40" s="947"/>
      <c r="BS40" s="947"/>
      <c r="BT40" s="947"/>
      <c r="BU40" s="947"/>
      <c r="BV40" s="947"/>
      <c r="BW40" s="947"/>
      <c r="BX40" s="947"/>
      <c r="BY40" s="947"/>
      <c r="BZ40" s="947"/>
      <c r="CA40" s="947"/>
      <c r="CB40" s="947"/>
      <c r="CC40" s="947"/>
      <c r="CD40" s="947"/>
      <c r="CE40" s="947"/>
      <c r="CF40" s="947"/>
      <c r="CG40" s="947"/>
      <c r="CH40" s="947"/>
      <c r="CI40" s="947"/>
      <c r="CJ40" s="947"/>
      <c r="CK40" s="947"/>
      <c r="CL40" s="947"/>
      <c r="CM40" s="947"/>
      <c r="CN40" s="947"/>
      <c r="CO40" s="947"/>
      <c r="CP40" s="947"/>
      <c r="CQ40" s="947"/>
      <c r="CR40" s="947"/>
      <c r="CS40" s="947"/>
      <c r="CT40" s="947"/>
      <c r="CU40" s="947"/>
      <c r="CV40" s="947"/>
      <c r="CW40" s="947"/>
      <c r="CX40" s="947"/>
      <c r="CY40" s="947"/>
      <c r="CZ40" s="947"/>
      <c r="DA40" s="947"/>
      <c r="DB40" s="947"/>
      <c r="DC40" s="947"/>
      <c r="DD40" s="947"/>
      <c r="DE40" s="947"/>
      <c r="DF40" s="947"/>
      <c r="DG40" s="947"/>
      <c r="DH40" s="947"/>
      <c r="DI40" s="947"/>
      <c r="DJ40" s="947"/>
      <c r="DK40" s="947"/>
      <c r="DL40" s="947"/>
      <c r="DM40" s="947"/>
      <c r="DN40" s="947"/>
      <c r="DO40" s="947"/>
      <c r="DP40" s="947"/>
      <c r="DQ40" s="947"/>
      <c r="DR40" s="947"/>
      <c r="DS40" s="947"/>
      <c r="DT40" s="947"/>
      <c r="DU40" s="947"/>
      <c r="DV40" s="947"/>
      <c r="DW40" s="947"/>
      <c r="DX40" s="947"/>
      <c r="DY40" s="947"/>
      <c r="DZ40" s="947"/>
      <c r="EA40" s="947"/>
      <c r="EB40" s="947"/>
      <c r="EC40" s="947"/>
      <c r="ED40" s="947"/>
      <c r="EE40" s="947"/>
      <c r="EF40" s="947"/>
      <c r="EG40" s="947"/>
      <c r="EH40" s="947"/>
      <c r="EI40" s="947"/>
      <c r="EJ40" s="947"/>
      <c r="EK40" s="947"/>
      <c r="EL40" s="947"/>
      <c r="EM40" s="947"/>
      <c r="EN40" s="947"/>
      <c r="EO40" s="947"/>
      <c r="EP40" s="947"/>
      <c r="EQ40" s="947"/>
      <c r="ER40" s="947"/>
      <c r="ES40" s="947"/>
      <c r="ET40" s="947"/>
      <c r="EU40" s="947"/>
      <c r="EV40" s="947"/>
      <c r="EW40" s="947"/>
      <c r="EX40" s="947"/>
      <c r="EY40" s="947"/>
      <c r="EZ40" s="947"/>
      <c r="FA40" s="947"/>
      <c r="FB40" s="947"/>
      <c r="FC40" s="947"/>
      <c r="FD40" s="947"/>
      <c r="FE40" s="947"/>
      <c r="FF40" s="947"/>
      <c r="FG40" s="947"/>
      <c r="FH40" s="947"/>
      <c r="FI40" s="947"/>
      <c r="FJ40" s="947"/>
      <c r="FK40" s="947"/>
      <c r="FL40" s="947"/>
      <c r="FM40" s="947"/>
      <c r="FN40" s="947"/>
      <c r="FO40" s="947"/>
      <c r="FP40" s="939" t="str">
        <f aca="false">IF(FP32&lt;&gt;"",IF(OR(FP13="自选",,FP37=0,FP14=0),"",IF(FP34&gt;FP35,1/2*FP34*100/FP37*FP13*FP38^2/1000,1/2*FP35*100/FP37*FP13*FP38^2/1000)),"")</f>
        <v/>
      </c>
      <c r="FQ40" s="939" t="str">
        <f aca="false">IF(FQ32&lt;&gt;"",IF(OR(FQ13="自选",,FQ37=0,FQ14=0),"",IF(FQ34&gt;FQ35,1/2*FQ34*100/FQ37*FQ13*FQ38^2/1000,1/2*FQ35*100/FQ37*FQ13*FQ38^2/1000)),"")</f>
        <v/>
      </c>
      <c r="FR40" s="939"/>
      <c r="FS40" s="939"/>
      <c r="FT40" s="939"/>
      <c r="FU40" s="939"/>
      <c r="FV40" s="939"/>
      <c r="FW40" s="939"/>
      <c r="FX40" s="939"/>
      <c r="FY40" s="939"/>
      <c r="FZ40" s="939"/>
      <c r="GA40" s="939"/>
      <c r="GB40" s="939"/>
      <c r="GC40" s="939"/>
      <c r="GD40" s="939"/>
      <c r="GE40" s="939"/>
      <c r="GF40" s="939"/>
      <c r="GG40" s="939"/>
      <c r="GH40" s="939"/>
      <c r="GI40" s="939"/>
      <c r="GJ40" s="939"/>
      <c r="GK40" s="939"/>
      <c r="GL40" s="939"/>
      <c r="GM40" s="939"/>
      <c r="GN40" s="939"/>
      <c r="GO40" s="939"/>
      <c r="GP40" s="939"/>
      <c r="GQ40" s="939"/>
      <c r="GR40" s="939"/>
      <c r="GS40" s="939"/>
      <c r="GT40" s="939"/>
      <c r="GU40" s="939"/>
      <c r="GV40" s="939"/>
      <c r="GW40" s="939"/>
      <c r="GX40" s="939"/>
      <c r="GY40" s="939"/>
      <c r="GZ40" s="939"/>
      <c r="HA40" s="939"/>
      <c r="HB40" s="939"/>
      <c r="HC40" s="939"/>
      <c r="HD40" s="939"/>
      <c r="HE40" s="939"/>
      <c r="HF40" s="939"/>
      <c r="HG40" s="939"/>
      <c r="HH40" s="939"/>
      <c r="HI40" s="939"/>
      <c r="HJ40" s="939"/>
      <c r="HK40" s="939"/>
      <c r="HL40" s="939"/>
      <c r="HM40" s="939"/>
      <c r="HN40" s="939"/>
      <c r="HO40" s="939"/>
      <c r="HP40" s="939"/>
      <c r="HQ40" s="939"/>
      <c r="HR40" s="939"/>
      <c r="HS40" s="939"/>
      <c r="HT40" s="939"/>
      <c r="HU40" s="939"/>
      <c r="HV40" s="939"/>
      <c r="HW40" s="939"/>
      <c r="HX40" s="939"/>
      <c r="HY40" s="939"/>
      <c r="HZ40" s="939"/>
      <c r="IA40" s="939"/>
      <c r="IB40" s="939"/>
      <c r="IC40" s="939"/>
      <c r="ID40" s="939"/>
      <c r="IE40" s="939"/>
      <c r="IF40" s="939"/>
      <c r="IG40" s="939"/>
      <c r="IH40" s="939"/>
      <c r="II40" s="939"/>
      <c r="IJ40" s="939"/>
      <c r="IK40" s="939"/>
      <c r="IL40" s="939"/>
      <c r="IM40" s="939"/>
      <c r="IN40" s="939"/>
      <c r="IO40" s="939"/>
      <c r="IP40" s="939"/>
      <c r="IQ40" s="939"/>
      <c r="IR40" s="939"/>
      <c r="IS40" s="939"/>
      <c r="IT40" s="939"/>
      <c r="IU40" s="939"/>
      <c r="IV40" s="939"/>
      <c r="IW40" s="939"/>
      <c r="IX40" s="939"/>
      <c r="IY40" s="939"/>
      <c r="IZ40" s="939"/>
      <c r="JA40" s="939"/>
      <c r="JB40" s="939"/>
      <c r="JC40" s="939"/>
      <c r="JD40" s="939"/>
      <c r="JE40" s="939"/>
      <c r="JF40" s="939"/>
      <c r="JG40" s="939"/>
      <c r="JH40" s="939"/>
      <c r="JI40" s="939"/>
      <c r="JK40" s="939"/>
      <c r="JM40" s="939"/>
    </row>
    <row r="41" customFormat="false" ht="18.75" hidden="false" customHeight="false" outlineLevel="0" collapsed="false">
      <c r="A41" s="946" t="s">
        <v>1539</v>
      </c>
      <c r="B41" s="946" t="s">
        <v>1538</v>
      </c>
      <c r="C41" s="947"/>
      <c r="D41" s="947"/>
      <c r="E41" s="947"/>
      <c r="F41" s="947"/>
      <c r="G41" s="947"/>
      <c r="H41" s="947"/>
      <c r="I41" s="947"/>
      <c r="J41" s="947"/>
      <c r="K41" s="947"/>
      <c r="L41" s="947"/>
      <c r="M41" s="947"/>
      <c r="N41" s="947"/>
      <c r="O41" s="947"/>
      <c r="P41" s="947"/>
      <c r="Q41" s="947"/>
      <c r="R41" s="947"/>
      <c r="S41" s="947"/>
      <c r="T41" s="947"/>
      <c r="U41" s="947"/>
      <c r="V41" s="947"/>
      <c r="W41" s="947"/>
      <c r="X41" s="947"/>
      <c r="Y41" s="947"/>
      <c r="Z41" s="947"/>
      <c r="AA41" s="947"/>
      <c r="AB41" s="947"/>
      <c r="AC41" s="947"/>
      <c r="AD41" s="947"/>
      <c r="AE41" s="947"/>
      <c r="AF41" s="947"/>
      <c r="AG41" s="947"/>
      <c r="AH41" s="947"/>
      <c r="AI41" s="947"/>
      <c r="AJ41" s="947"/>
      <c r="AK41" s="947"/>
      <c r="AL41" s="947"/>
      <c r="AM41" s="947"/>
      <c r="AN41" s="947"/>
      <c r="AO41" s="947"/>
      <c r="AP41" s="947"/>
      <c r="AQ41" s="947"/>
      <c r="AR41" s="947"/>
      <c r="AS41" s="947"/>
      <c r="AT41" s="947"/>
      <c r="AU41" s="947"/>
      <c r="AV41" s="947"/>
      <c r="AW41" s="947"/>
      <c r="AX41" s="947"/>
      <c r="AY41" s="947"/>
      <c r="AZ41" s="947"/>
      <c r="BA41" s="947"/>
      <c r="BB41" s="947"/>
      <c r="BC41" s="947"/>
      <c r="BD41" s="947"/>
      <c r="BE41" s="947"/>
      <c r="BF41" s="947"/>
      <c r="BG41" s="947"/>
      <c r="BH41" s="947"/>
      <c r="BI41" s="947"/>
      <c r="BJ41" s="947"/>
      <c r="BK41" s="947"/>
      <c r="BL41" s="947"/>
      <c r="BM41" s="947"/>
      <c r="BN41" s="947"/>
      <c r="BO41" s="947"/>
      <c r="BP41" s="947"/>
      <c r="BQ41" s="947"/>
      <c r="BR41" s="947"/>
      <c r="BS41" s="947"/>
      <c r="BT41" s="947"/>
      <c r="BU41" s="947"/>
      <c r="BV41" s="947"/>
      <c r="BW41" s="947"/>
      <c r="BX41" s="947"/>
      <c r="BY41" s="947"/>
      <c r="BZ41" s="947"/>
      <c r="CA41" s="947"/>
      <c r="CB41" s="947"/>
      <c r="CC41" s="947"/>
      <c r="CD41" s="947"/>
      <c r="CE41" s="947"/>
      <c r="CF41" s="947"/>
      <c r="CG41" s="947"/>
      <c r="CH41" s="947"/>
      <c r="CI41" s="947"/>
      <c r="CJ41" s="947"/>
      <c r="CK41" s="947"/>
      <c r="CL41" s="947"/>
      <c r="CM41" s="947"/>
      <c r="CN41" s="947"/>
      <c r="CO41" s="947"/>
      <c r="CP41" s="947"/>
      <c r="CQ41" s="947"/>
      <c r="CR41" s="947"/>
      <c r="CS41" s="947"/>
      <c r="CT41" s="947"/>
      <c r="CU41" s="947"/>
      <c r="CV41" s="947"/>
      <c r="CW41" s="947"/>
      <c r="CX41" s="947"/>
      <c r="CY41" s="947"/>
      <c r="CZ41" s="947"/>
      <c r="DA41" s="947"/>
      <c r="DB41" s="947"/>
      <c r="DC41" s="947"/>
      <c r="DD41" s="947"/>
      <c r="DE41" s="947"/>
      <c r="DF41" s="947"/>
      <c r="DG41" s="947"/>
      <c r="DH41" s="947"/>
      <c r="DI41" s="947"/>
      <c r="DJ41" s="947"/>
      <c r="DK41" s="947"/>
      <c r="DL41" s="947"/>
      <c r="DM41" s="947"/>
      <c r="DN41" s="947"/>
      <c r="DO41" s="947"/>
      <c r="DP41" s="947"/>
      <c r="DQ41" s="947"/>
      <c r="DR41" s="947"/>
      <c r="DS41" s="947"/>
      <c r="DT41" s="947"/>
      <c r="DU41" s="947"/>
      <c r="DV41" s="947"/>
      <c r="DW41" s="947"/>
      <c r="DX41" s="947"/>
      <c r="DY41" s="947"/>
      <c r="DZ41" s="947"/>
      <c r="EA41" s="947"/>
      <c r="EB41" s="947"/>
      <c r="EC41" s="947"/>
      <c r="ED41" s="947"/>
      <c r="EE41" s="947"/>
      <c r="EF41" s="947"/>
      <c r="EG41" s="947"/>
      <c r="EH41" s="947"/>
      <c r="EI41" s="947"/>
      <c r="EJ41" s="947"/>
      <c r="EK41" s="947"/>
      <c r="EL41" s="947"/>
      <c r="EM41" s="947"/>
      <c r="EN41" s="947"/>
      <c r="EO41" s="947"/>
      <c r="EP41" s="947"/>
      <c r="EQ41" s="947"/>
      <c r="ER41" s="947"/>
      <c r="ES41" s="947"/>
      <c r="ET41" s="947"/>
      <c r="EU41" s="947"/>
      <c r="EV41" s="947"/>
      <c r="EW41" s="947"/>
      <c r="EX41" s="947"/>
      <c r="EY41" s="947"/>
      <c r="EZ41" s="947"/>
      <c r="FA41" s="947"/>
      <c r="FB41" s="947"/>
      <c r="FC41" s="947"/>
      <c r="FD41" s="947"/>
      <c r="FE41" s="947"/>
      <c r="FF41" s="947"/>
      <c r="FG41" s="947"/>
      <c r="FH41" s="947"/>
      <c r="FI41" s="947"/>
      <c r="FJ41" s="947"/>
      <c r="FK41" s="947"/>
      <c r="FL41" s="947"/>
      <c r="FM41" s="947"/>
      <c r="FN41" s="947"/>
      <c r="FO41" s="947"/>
      <c r="FP41" s="939" t="str">
        <f aca="false">IF(FP32&lt;&gt;"",GETDROP(FP9,FP32,FP33,FP8,FP17),"")</f>
        <v/>
      </c>
      <c r="FQ41" s="939" t="str">
        <f aca="false">IF(FQ32&lt;&gt;"",GETDROP(FQ9,FQ32,FQ33,FQ8,FQ17),"")</f>
        <v/>
      </c>
      <c r="FR41" s="939"/>
      <c r="FS41" s="939"/>
      <c r="FT41" s="939"/>
      <c r="FU41" s="939"/>
      <c r="FV41" s="939"/>
      <c r="FW41" s="939"/>
      <c r="FX41" s="939"/>
      <c r="FY41" s="939"/>
      <c r="FZ41" s="939"/>
      <c r="GA41" s="939"/>
      <c r="GB41" s="939"/>
      <c r="GC41" s="939"/>
      <c r="GD41" s="939"/>
      <c r="GE41" s="939"/>
      <c r="GF41" s="939"/>
      <c r="GG41" s="939"/>
      <c r="GH41" s="939"/>
      <c r="GI41" s="939"/>
      <c r="GJ41" s="939"/>
      <c r="GK41" s="939"/>
      <c r="GL41" s="939"/>
      <c r="GM41" s="939"/>
      <c r="GN41" s="939"/>
      <c r="GO41" s="939"/>
      <c r="GP41" s="939"/>
      <c r="GQ41" s="939"/>
      <c r="GR41" s="939"/>
      <c r="GS41" s="939"/>
      <c r="GT41" s="939"/>
      <c r="GU41" s="939"/>
      <c r="GV41" s="939"/>
      <c r="GW41" s="939"/>
      <c r="GX41" s="939"/>
      <c r="GY41" s="939"/>
      <c r="GZ41" s="939"/>
      <c r="HA41" s="939"/>
      <c r="HB41" s="939"/>
      <c r="HC41" s="939"/>
      <c r="HD41" s="939"/>
      <c r="HE41" s="939"/>
      <c r="HF41" s="939"/>
      <c r="HG41" s="939"/>
      <c r="HH41" s="939"/>
      <c r="HI41" s="939"/>
      <c r="HJ41" s="939"/>
      <c r="HK41" s="939"/>
      <c r="HL41" s="939"/>
      <c r="HM41" s="939"/>
      <c r="HN41" s="939"/>
      <c r="HO41" s="939"/>
      <c r="HP41" s="939"/>
      <c r="HQ41" s="939"/>
      <c r="HR41" s="939"/>
      <c r="HS41" s="939"/>
      <c r="HT41" s="939"/>
      <c r="HU41" s="939"/>
      <c r="HV41" s="939"/>
      <c r="HW41" s="939"/>
      <c r="HX41" s="939"/>
      <c r="HY41" s="939"/>
      <c r="HZ41" s="939"/>
      <c r="IA41" s="939"/>
      <c r="IB41" s="939"/>
      <c r="IC41" s="939"/>
      <c r="ID41" s="939"/>
      <c r="IE41" s="939"/>
      <c r="IF41" s="939"/>
      <c r="IG41" s="939"/>
      <c r="IH41" s="939"/>
      <c r="II41" s="939"/>
      <c r="IJ41" s="939"/>
      <c r="IK41" s="939"/>
      <c r="IL41" s="939"/>
      <c r="IM41" s="939"/>
      <c r="IN41" s="939"/>
      <c r="IO41" s="939"/>
      <c r="IP41" s="939"/>
      <c r="IQ41" s="939"/>
      <c r="IR41" s="939"/>
      <c r="IS41" s="939"/>
      <c r="IT41" s="939"/>
      <c r="IU41" s="939"/>
      <c r="IV41" s="939"/>
      <c r="IW41" s="939"/>
      <c r="IX41" s="939"/>
      <c r="IY41" s="939"/>
      <c r="IZ41" s="939"/>
      <c r="JA41" s="939"/>
      <c r="JB41" s="939"/>
      <c r="JC41" s="939"/>
      <c r="JD41" s="939"/>
      <c r="JE41" s="939"/>
      <c r="JF41" s="939"/>
      <c r="JG41" s="939"/>
      <c r="JH41" s="939"/>
      <c r="JI41" s="939"/>
      <c r="JK41" s="939"/>
      <c r="JM41" s="939"/>
    </row>
    <row r="42" customFormat="false" ht="18.75" hidden="false" customHeight="false" outlineLevel="0" collapsed="false">
      <c r="A42" s="838" t="s">
        <v>1540</v>
      </c>
      <c r="B42" s="838" t="s">
        <v>1372</v>
      </c>
      <c r="C42" s="838"/>
      <c r="D42" s="838"/>
      <c r="E42" s="838"/>
      <c r="F42" s="838"/>
      <c r="G42" s="838"/>
      <c r="H42" s="838"/>
      <c r="I42" s="838"/>
      <c r="J42" s="838"/>
      <c r="K42" s="838"/>
      <c r="L42" s="838"/>
      <c r="M42" s="838"/>
      <c r="N42" s="838"/>
      <c r="O42" s="838"/>
      <c r="P42" s="838"/>
      <c r="Q42" s="838"/>
      <c r="R42" s="838"/>
      <c r="S42" s="838"/>
      <c r="T42" s="838"/>
      <c r="U42" s="838"/>
      <c r="V42" s="838"/>
      <c r="W42" s="838"/>
      <c r="X42" s="838"/>
      <c r="Y42" s="838"/>
      <c r="Z42" s="838"/>
      <c r="AA42" s="838"/>
      <c r="AB42" s="838"/>
      <c r="AC42" s="838"/>
      <c r="AD42" s="838"/>
      <c r="AE42" s="838"/>
      <c r="AF42" s="838"/>
      <c r="AG42" s="838"/>
      <c r="AH42" s="838"/>
      <c r="AI42" s="838"/>
      <c r="AJ42" s="838"/>
      <c r="AK42" s="838"/>
      <c r="AL42" s="838"/>
      <c r="AM42" s="838"/>
      <c r="AN42" s="838"/>
      <c r="AO42" s="838"/>
      <c r="AP42" s="838"/>
      <c r="AQ42" s="838"/>
      <c r="AR42" s="838"/>
      <c r="AS42" s="838"/>
      <c r="AT42" s="838"/>
      <c r="AU42" s="838"/>
      <c r="AV42" s="838"/>
      <c r="AW42" s="838"/>
      <c r="AX42" s="838"/>
      <c r="AY42" s="838"/>
      <c r="AZ42" s="838"/>
      <c r="BA42" s="838"/>
      <c r="BB42" s="838"/>
      <c r="BC42" s="838"/>
      <c r="BD42" s="838"/>
      <c r="BE42" s="838"/>
      <c r="BF42" s="838"/>
      <c r="BG42" s="838"/>
      <c r="BH42" s="838"/>
      <c r="BI42" s="838"/>
      <c r="BJ42" s="838"/>
      <c r="BK42" s="838"/>
      <c r="BL42" s="838"/>
      <c r="BM42" s="838"/>
      <c r="BN42" s="838"/>
      <c r="BO42" s="838"/>
      <c r="BP42" s="838"/>
      <c r="BQ42" s="838"/>
      <c r="BR42" s="838"/>
      <c r="BS42" s="838"/>
      <c r="BT42" s="838"/>
      <c r="BU42" s="838"/>
      <c r="BV42" s="838"/>
      <c r="BW42" s="838"/>
      <c r="BX42" s="838"/>
      <c r="BY42" s="838"/>
      <c r="BZ42" s="838"/>
      <c r="CA42" s="838"/>
      <c r="CB42" s="838"/>
      <c r="CC42" s="838"/>
      <c r="CD42" s="838"/>
      <c r="CE42" s="838"/>
      <c r="CF42" s="838"/>
      <c r="CG42" s="838"/>
      <c r="CH42" s="838"/>
      <c r="CI42" s="838"/>
      <c r="CJ42" s="838"/>
      <c r="CK42" s="838"/>
      <c r="CL42" s="838"/>
      <c r="CM42" s="838"/>
      <c r="CN42" s="838"/>
      <c r="CO42" s="838"/>
      <c r="CP42" s="838"/>
      <c r="CQ42" s="838"/>
      <c r="CR42" s="838"/>
      <c r="CS42" s="838"/>
      <c r="CT42" s="838"/>
      <c r="CU42" s="838"/>
      <c r="CV42" s="838"/>
      <c r="CW42" s="838"/>
      <c r="CX42" s="838"/>
      <c r="CY42" s="838"/>
      <c r="CZ42" s="838"/>
      <c r="DA42" s="838"/>
      <c r="DB42" s="838"/>
      <c r="DC42" s="838"/>
      <c r="DD42" s="838"/>
      <c r="DE42" s="838"/>
      <c r="DF42" s="838"/>
      <c r="DG42" s="838"/>
      <c r="DH42" s="838"/>
      <c r="DI42" s="838"/>
      <c r="DJ42" s="838"/>
      <c r="DK42" s="838"/>
      <c r="DL42" s="838"/>
      <c r="DM42" s="838"/>
      <c r="DN42" s="838"/>
      <c r="DO42" s="838"/>
      <c r="DP42" s="838"/>
      <c r="DQ42" s="838"/>
      <c r="DR42" s="838"/>
      <c r="DS42" s="838"/>
      <c r="DT42" s="838"/>
      <c r="DU42" s="838"/>
      <c r="DV42" s="838"/>
      <c r="DW42" s="838"/>
      <c r="DX42" s="838"/>
      <c r="DY42" s="838"/>
      <c r="DZ42" s="838"/>
      <c r="EA42" s="838"/>
      <c r="EB42" s="838"/>
      <c r="EC42" s="838"/>
      <c r="ED42" s="838"/>
      <c r="EE42" s="838"/>
      <c r="EF42" s="838"/>
      <c r="EG42" s="838"/>
      <c r="EH42" s="838"/>
      <c r="EI42" s="838"/>
      <c r="EJ42" s="838"/>
      <c r="EK42" s="838"/>
      <c r="EL42" s="838"/>
      <c r="EM42" s="838"/>
      <c r="EN42" s="838"/>
      <c r="EO42" s="838"/>
      <c r="EP42" s="838"/>
      <c r="EQ42" s="838"/>
      <c r="ER42" s="838"/>
      <c r="ES42" s="838"/>
      <c r="ET42" s="838"/>
      <c r="EU42" s="838"/>
      <c r="EV42" s="838"/>
      <c r="EW42" s="838"/>
      <c r="EX42" s="838"/>
      <c r="EY42" s="838"/>
      <c r="EZ42" s="838"/>
      <c r="FA42" s="838"/>
      <c r="FB42" s="838"/>
      <c r="FC42" s="838"/>
      <c r="FD42" s="838"/>
      <c r="FE42" s="838"/>
      <c r="FF42" s="838"/>
      <c r="FG42" s="838"/>
      <c r="FH42" s="838"/>
      <c r="FI42" s="838"/>
      <c r="FJ42" s="838"/>
      <c r="FK42" s="838"/>
      <c r="FL42" s="838"/>
      <c r="FM42" s="838"/>
      <c r="FN42" s="838"/>
      <c r="FO42" s="838"/>
      <c r="FP42" s="838" t="str">
        <f aca="false">IF(FP37&lt;&gt;"",CONCATENATE("管径DN",FP37*1000),"")</f>
        <v/>
      </c>
      <c r="FQ42" s="838" t="str">
        <f aca="false">IF(FQ37&lt;&gt;"",CONCATENATE("管径DN",FQ37*1000),"")</f>
        <v/>
      </c>
      <c r="FR42" s="838"/>
      <c r="FS42" s="838"/>
      <c r="FT42" s="838"/>
      <c r="FU42" s="838"/>
      <c r="FV42" s="838"/>
      <c r="FW42" s="838"/>
      <c r="FX42" s="838"/>
      <c r="FY42" s="838"/>
      <c r="FZ42" s="838"/>
      <c r="GA42" s="838"/>
      <c r="GB42" s="838"/>
      <c r="GC42" s="838"/>
      <c r="GD42" s="838"/>
      <c r="GE42" s="838"/>
      <c r="GF42" s="838"/>
      <c r="GG42" s="838"/>
      <c r="GH42" s="838"/>
      <c r="GI42" s="838"/>
      <c r="GJ42" s="838"/>
      <c r="GK42" s="838"/>
      <c r="GL42" s="838"/>
      <c r="GM42" s="838"/>
      <c r="GN42" s="838"/>
      <c r="GO42" s="838"/>
      <c r="GP42" s="838"/>
      <c r="GQ42" s="838"/>
      <c r="GR42" s="838"/>
      <c r="GS42" s="838"/>
      <c r="GT42" s="838"/>
      <c r="GU42" s="838"/>
      <c r="GV42" s="838"/>
      <c r="GW42" s="838"/>
      <c r="GX42" s="838"/>
      <c r="GY42" s="838"/>
      <c r="GZ42" s="838"/>
      <c r="HA42" s="838"/>
      <c r="HB42" s="838"/>
      <c r="HC42" s="838"/>
      <c r="HD42" s="838"/>
      <c r="HE42" s="838"/>
      <c r="HF42" s="838"/>
      <c r="HG42" s="838"/>
      <c r="HH42" s="838"/>
      <c r="HI42" s="838"/>
      <c r="HJ42" s="838"/>
      <c r="HK42" s="838"/>
      <c r="HL42" s="838"/>
      <c r="HM42" s="838"/>
      <c r="HN42" s="838"/>
      <c r="HO42" s="838"/>
      <c r="HP42" s="838"/>
      <c r="HQ42" s="838"/>
      <c r="HR42" s="838"/>
      <c r="HS42" s="838"/>
      <c r="HT42" s="838"/>
      <c r="HU42" s="838"/>
      <c r="HV42" s="838"/>
      <c r="HW42" s="838"/>
      <c r="HX42" s="838"/>
      <c r="HY42" s="838"/>
      <c r="HZ42" s="838"/>
      <c r="IA42" s="838"/>
      <c r="IB42" s="838"/>
      <c r="IC42" s="838"/>
      <c r="ID42" s="838"/>
      <c r="IE42" s="838"/>
      <c r="IF42" s="838"/>
      <c r="IG42" s="838"/>
      <c r="IH42" s="838"/>
      <c r="II42" s="838"/>
      <c r="IJ42" s="838"/>
      <c r="IK42" s="838"/>
      <c r="IL42" s="838"/>
      <c r="IM42" s="838"/>
      <c r="IN42" s="838"/>
      <c r="IO42" s="838"/>
      <c r="IP42" s="838"/>
      <c r="IQ42" s="838"/>
      <c r="IR42" s="838"/>
      <c r="IS42" s="838"/>
      <c r="IT42" s="838"/>
      <c r="IU42" s="838"/>
      <c r="IV42" s="838"/>
      <c r="IW42" s="838"/>
      <c r="IX42" s="838"/>
      <c r="IY42" s="838"/>
      <c r="IZ42" s="838"/>
      <c r="JA42" s="838"/>
      <c r="JB42" s="838"/>
      <c r="JC42" s="838"/>
      <c r="JD42" s="838"/>
      <c r="JF42" s="838"/>
      <c r="JG42" s="838"/>
      <c r="JH42" s="838"/>
      <c r="JI42" s="838"/>
      <c r="JK42" s="838"/>
      <c r="JM42" s="838"/>
    </row>
    <row r="43" customFormat="false" ht="18.75" hidden="false" customHeight="false" outlineLevel="0" collapsed="false">
      <c r="A43" s="952" t="s">
        <v>1541</v>
      </c>
      <c r="B43" s="952"/>
      <c r="C43" s="953"/>
      <c r="D43" s="953"/>
      <c r="E43" s="953"/>
      <c r="F43" s="953"/>
      <c r="G43" s="953"/>
      <c r="H43" s="953"/>
      <c r="I43" s="953"/>
      <c r="J43" s="953"/>
      <c r="K43" s="953"/>
      <c r="L43" s="953"/>
      <c r="M43" s="953"/>
      <c r="N43" s="953"/>
      <c r="O43" s="953"/>
      <c r="P43" s="953"/>
      <c r="Q43" s="953"/>
      <c r="R43" s="953"/>
      <c r="S43" s="953"/>
      <c r="T43" s="953"/>
      <c r="U43" s="953"/>
      <c r="V43" s="953"/>
      <c r="W43" s="953"/>
      <c r="X43" s="953"/>
      <c r="Y43" s="953"/>
      <c r="Z43" s="953"/>
      <c r="AA43" s="953"/>
      <c r="AB43" s="953"/>
      <c r="AC43" s="953"/>
      <c r="AD43" s="953"/>
      <c r="AE43" s="953"/>
      <c r="AF43" s="953"/>
      <c r="AG43" s="953"/>
      <c r="AH43" s="953"/>
      <c r="AI43" s="953"/>
      <c r="AJ43" s="953"/>
      <c r="AK43" s="953"/>
      <c r="AL43" s="953"/>
      <c r="AM43" s="953"/>
      <c r="AN43" s="953"/>
      <c r="AO43" s="953"/>
      <c r="AP43" s="953"/>
      <c r="AQ43" s="953"/>
      <c r="AR43" s="953"/>
      <c r="AS43" s="953"/>
      <c r="AT43" s="953"/>
      <c r="AU43" s="953"/>
      <c r="AV43" s="953"/>
      <c r="AW43" s="953"/>
      <c r="AX43" s="953"/>
      <c r="AY43" s="953"/>
      <c r="AZ43" s="953"/>
      <c r="BA43" s="953"/>
      <c r="BB43" s="953"/>
      <c r="BC43" s="953"/>
      <c r="BD43" s="953"/>
      <c r="BE43" s="953"/>
      <c r="BF43" s="953"/>
      <c r="BG43" s="953"/>
      <c r="BH43" s="953"/>
      <c r="BI43" s="953"/>
      <c r="BJ43" s="953"/>
      <c r="BK43" s="953"/>
      <c r="BL43" s="953"/>
      <c r="BM43" s="953"/>
      <c r="BN43" s="953"/>
      <c r="BO43" s="953"/>
      <c r="BP43" s="953"/>
      <c r="BQ43" s="953"/>
      <c r="BR43" s="953"/>
      <c r="BS43" s="953"/>
      <c r="BT43" s="953"/>
      <c r="BU43" s="953"/>
      <c r="BV43" s="953"/>
      <c r="BW43" s="953"/>
      <c r="BX43" s="953"/>
      <c r="BY43" s="953"/>
      <c r="BZ43" s="953"/>
      <c r="CA43" s="953"/>
      <c r="CB43" s="953"/>
      <c r="CC43" s="953"/>
      <c r="CD43" s="953"/>
      <c r="CE43" s="953"/>
      <c r="CF43" s="953"/>
      <c r="CG43" s="953"/>
      <c r="CH43" s="953"/>
      <c r="CI43" s="953"/>
      <c r="CJ43" s="953"/>
      <c r="CK43" s="953"/>
      <c r="CL43" s="953"/>
      <c r="CM43" s="953"/>
      <c r="CN43" s="953"/>
      <c r="CO43" s="953"/>
      <c r="CP43" s="953"/>
      <c r="CQ43" s="953"/>
      <c r="CR43" s="953"/>
      <c r="CS43" s="953"/>
      <c r="CT43" s="953"/>
      <c r="CU43" s="953"/>
      <c r="CV43" s="953"/>
      <c r="CW43" s="953"/>
      <c r="CX43" s="953"/>
      <c r="CY43" s="953"/>
      <c r="CZ43" s="953"/>
      <c r="DA43" s="953"/>
      <c r="DB43" s="953"/>
      <c r="DC43" s="953"/>
      <c r="DD43" s="953"/>
      <c r="DE43" s="953"/>
      <c r="DF43" s="953"/>
      <c r="DG43" s="953"/>
      <c r="DH43" s="953"/>
      <c r="DI43" s="953"/>
      <c r="DJ43" s="953"/>
      <c r="DK43" s="953"/>
      <c r="DL43" s="953"/>
      <c r="DM43" s="953"/>
      <c r="DN43" s="953"/>
      <c r="DO43" s="953"/>
      <c r="DP43" s="953"/>
      <c r="DQ43" s="953"/>
      <c r="DR43" s="953"/>
      <c r="DS43" s="953"/>
      <c r="DT43" s="953"/>
      <c r="DU43" s="953"/>
      <c r="DV43" s="953"/>
      <c r="DW43" s="953"/>
      <c r="DX43" s="953"/>
      <c r="DY43" s="953"/>
      <c r="DZ43" s="953"/>
      <c r="EA43" s="953"/>
      <c r="EB43" s="953"/>
      <c r="EC43" s="953"/>
      <c r="ED43" s="953"/>
      <c r="EE43" s="953"/>
      <c r="EF43" s="953"/>
      <c r="EG43" s="953"/>
      <c r="EH43" s="953"/>
      <c r="EI43" s="953"/>
      <c r="EJ43" s="953"/>
      <c r="EK43" s="953"/>
      <c r="EL43" s="953"/>
      <c r="EM43" s="953"/>
      <c r="EN43" s="953"/>
      <c r="EO43" s="953"/>
      <c r="EP43" s="953"/>
      <c r="EQ43" s="953"/>
      <c r="ER43" s="953"/>
      <c r="ES43" s="953"/>
      <c r="ET43" s="953"/>
      <c r="EU43" s="953"/>
      <c r="EV43" s="953"/>
      <c r="EW43" s="953"/>
      <c r="EX43" s="953"/>
      <c r="EY43" s="953"/>
      <c r="EZ43" s="953"/>
      <c r="FA43" s="953"/>
      <c r="FB43" s="953"/>
      <c r="FC43" s="953"/>
      <c r="FD43" s="953"/>
      <c r="FE43" s="953"/>
      <c r="FF43" s="953"/>
      <c r="FG43" s="953"/>
      <c r="FH43" s="953"/>
      <c r="FI43" s="953"/>
      <c r="FJ43" s="953"/>
      <c r="FK43" s="953"/>
      <c r="FL43" s="953"/>
      <c r="FM43" s="953"/>
      <c r="FN43" s="953"/>
      <c r="FO43" s="953"/>
      <c r="FP43" s="953" t="str">
        <f aca="true">IF(FP37&lt;&gt;"",IF(FP41="气液两相，自选","",IF(CELL("type", FP41) = "v",IF(AND(FP40&lt;FP41,FP37&lt;FP39),"核算通过","请再次核对"),IF(FP40&lt;VALUE(LEFT(FP41,LEN(FP41)-SEARCH("～",FP41,1))),"核算通过","请再次核对"))),"")</f>
        <v/>
      </c>
      <c r="FQ43" s="953" t="str">
        <f aca="true">IF(FQ37&lt;&gt;"",IF(FQ41="气液两相，自选","",IF(CELL("type", FQ41) = "v",IF(AND(FQ40&lt;FQ41,FQ37&lt;FQ39),"核算通过","请再次核对"),IF(FQ40&lt;VALUE(LEFT(FQ41,LEN(FQ41)-SEARCH("～",FQ41,1))),"核算通过","请再次核对"))),"")</f>
        <v/>
      </c>
      <c r="FR43" s="953"/>
      <c r="FS43" s="953"/>
      <c r="FT43" s="953"/>
      <c r="FU43" s="953"/>
      <c r="FV43" s="953"/>
      <c r="FW43" s="953"/>
      <c r="FX43" s="953"/>
      <c r="FY43" s="953"/>
      <c r="FZ43" s="953"/>
      <c r="GA43" s="953"/>
      <c r="GB43" s="953"/>
      <c r="GC43" s="953"/>
      <c r="GD43" s="953"/>
      <c r="GE43" s="953"/>
      <c r="GF43" s="953"/>
      <c r="GG43" s="953"/>
      <c r="GH43" s="953"/>
      <c r="GI43" s="953"/>
      <c r="GJ43" s="953"/>
      <c r="GK43" s="953"/>
      <c r="GL43" s="953"/>
      <c r="GM43" s="953"/>
      <c r="GN43" s="953"/>
      <c r="GO43" s="953"/>
      <c r="GP43" s="953"/>
      <c r="GQ43" s="953"/>
      <c r="GR43" s="953"/>
      <c r="GS43" s="953"/>
      <c r="GT43" s="953"/>
      <c r="GU43" s="953"/>
      <c r="GV43" s="953"/>
      <c r="GW43" s="953"/>
      <c r="GX43" s="953"/>
      <c r="GY43" s="953"/>
      <c r="GZ43" s="953"/>
      <c r="HA43" s="953"/>
      <c r="HB43" s="953"/>
      <c r="HC43" s="953"/>
      <c r="HD43" s="953"/>
      <c r="HE43" s="953"/>
      <c r="HF43" s="953"/>
      <c r="HG43" s="953"/>
      <c r="HH43" s="953"/>
      <c r="HI43" s="953"/>
      <c r="HJ43" s="953"/>
      <c r="HK43" s="953"/>
      <c r="HL43" s="953"/>
      <c r="HM43" s="953"/>
      <c r="HN43" s="953"/>
      <c r="HO43" s="953"/>
      <c r="HP43" s="953"/>
      <c r="HQ43" s="953"/>
      <c r="HR43" s="953"/>
      <c r="HS43" s="953"/>
      <c r="HT43" s="953"/>
      <c r="HU43" s="953"/>
      <c r="HV43" s="953"/>
      <c r="HW43" s="953"/>
      <c r="HX43" s="953"/>
      <c r="HY43" s="953"/>
      <c r="HZ43" s="953"/>
      <c r="IA43" s="953"/>
      <c r="IB43" s="953"/>
      <c r="IC43" s="953"/>
      <c r="ID43" s="953"/>
      <c r="IE43" s="953"/>
      <c r="IF43" s="953"/>
      <c r="IG43" s="953"/>
      <c r="IH43" s="953"/>
      <c r="II43" s="953"/>
      <c r="IJ43" s="953"/>
      <c r="IK43" s="953"/>
      <c r="IL43" s="953"/>
      <c r="IM43" s="953"/>
      <c r="IN43" s="953"/>
      <c r="IO43" s="953"/>
      <c r="IP43" s="953"/>
      <c r="IQ43" s="953"/>
      <c r="IR43" s="953"/>
      <c r="IS43" s="953"/>
      <c r="IT43" s="953"/>
      <c r="IU43" s="953"/>
      <c r="IV43" s="953"/>
      <c r="IW43" s="953"/>
      <c r="IX43" s="953"/>
      <c r="IY43" s="953"/>
      <c r="IZ43" s="953"/>
      <c r="JA43" s="953"/>
      <c r="JB43" s="953"/>
      <c r="JC43" s="953"/>
      <c r="JD43" s="953"/>
      <c r="JE43" s="953"/>
      <c r="JF43" s="953"/>
      <c r="JG43" s="953"/>
      <c r="JH43" s="953"/>
      <c r="JI43" s="953"/>
      <c r="JK43" s="953"/>
      <c r="JM43" s="953"/>
    </row>
    <row r="44" customFormat="false" ht="18.75" hidden="false" customHeight="false" outlineLevel="0" collapsed="false">
      <c r="A44" s="952" t="s">
        <v>277</v>
      </c>
      <c r="B44" s="952"/>
      <c r="C44" s="953"/>
      <c r="D44" s="953"/>
      <c r="E44" s="953"/>
      <c r="F44" s="953"/>
      <c r="G44" s="953"/>
      <c r="H44" s="953"/>
      <c r="I44" s="953"/>
      <c r="J44" s="953"/>
      <c r="K44" s="953"/>
      <c r="L44" s="953"/>
      <c r="M44" s="953"/>
      <c r="N44" s="953"/>
      <c r="O44" s="953"/>
      <c r="P44" s="953"/>
      <c r="Q44" s="953"/>
      <c r="R44" s="953"/>
      <c r="S44" s="953"/>
      <c r="T44" s="953"/>
      <c r="U44" s="953"/>
      <c r="V44" s="953"/>
      <c r="W44" s="953"/>
      <c r="X44" s="953"/>
      <c r="Y44" s="953"/>
      <c r="Z44" s="953"/>
      <c r="AA44" s="953"/>
      <c r="AB44" s="953"/>
      <c r="AC44" s="953"/>
      <c r="AD44" s="953"/>
      <c r="AE44" s="953"/>
      <c r="AF44" s="953"/>
      <c r="AG44" s="953"/>
      <c r="AH44" s="953"/>
      <c r="AI44" s="953"/>
      <c r="AJ44" s="953"/>
      <c r="AK44" s="953"/>
      <c r="AL44" s="953"/>
      <c r="AM44" s="953"/>
      <c r="AN44" s="953"/>
      <c r="AO44" s="953"/>
      <c r="AP44" s="953"/>
      <c r="AQ44" s="953"/>
      <c r="AR44" s="953"/>
      <c r="AS44" s="953"/>
      <c r="AT44" s="953"/>
      <c r="AU44" s="953"/>
      <c r="AV44" s="953"/>
      <c r="AW44" s="953"/>
      <c r="AX44" s="953"/>
      <c r="AY44" s="953"/>
      <c r="AZ44" s="953"/>
      <c r="BA44" s="953"/>
      <c r="BB44" s="953"/>
      <c r="BC44" s="953"/>
      <c r="BD44" s="953"/>
      <c r="BE44" s="953"/>
      <c r="BF44" s="953"/>
      <c r="BG44" s="953"/>
      <c r="BH44" s="953"/>
      <c r="BI44" s="953"/>
      <c r="BJ44" s="953"/>
      <c r="BK44" s="953"/>
      <c r="BL44" s="953"/>
      <c r="BM44" s="953"/>
      <c r="BN44" s="953"/>
      <c r="BO44" s="953"/>
      <c r="BP44" s="953"/>
      <c r="BQ44" s="953"/>
      <c r="BR44" s="953"/>
      <c r="BS44" s="953"/>
      <c r="BT44" s="953"/>
      <c r="BU44" s="953"/>
      <c r="BV44" s="953"/>
      <c r="BW44" s="953"/>
      <c r="BX44" s="953"/>
      <c r="BY44" s="953"/>
      <c r="BZ44" s="953"/>
      <c r="CA44" s="953"/>
      <c r="CB44" s="953"/>
      <c r="CC44" s="953"/>
      <c r="CD44" s="953"/>
      <c r="CE44" s="953"/>
      <c r="CF44" s="953"/>
      <c r="CG44" s="953"/>
      <c r="CH44" s="953"/>
      <c r="CI44" s="953"/>
      <c r="CJ44" s="953"/>
      <c r="CK44" s="953"/>
      <c r="CL44" s="953"/>
      <c r="CM44" s="953"/>
      <c r="CN44" s="953"/>
      <c r="CO44" s="953"/>
      <c r="CP44" s="953"/>
      <c r="CQ44" s="953"/>
      <c r="CR44" s="953"/>
      <c r="CS44" s="953"/>
      <c r="CT44" s="953"/>
      <c r="CU44" s="953"/>
      <c r="CV44" s="953"/>
      <c r="CW44" s="953"/>
      <c r="CX44" s="953"/>
      <c r="CY44" s="953"/>
      <c r="CZ44" s="953"/>
      <c r="DA44" s="953"/>
      <c r="DB44" s="953"/>
      <c r="DC44" s="953"/>
      <c r="DD44" s="953"/>
      <c r="DE44" s="953"/>
      <c r="DF44" s="953"/>
      <c r="DG44" s="953"/>
      <c r="DH44" s="953"/>
      <c r="DI44" s="953"/>
      <c r="DJ44" s="953"/>
      <c r="DK44" s="953"/>
      <c r="DL44" s="953"/>
      <c r="DM44" s="953"/>
      <c r="DN44" s="953"/>
      <c r="DO44" s="953"/>
      <c r="DP44" s="953"/>
      <c r="DQ44" s="953"/>
      <c r="DR44" s="953"/>
      <c r="DS44" s="953"/>
      <c r="DT44" s="953"/>
      <c r="DU44" s="953"/>
      <c r="DV44" s="953"/>
      <c r="DW44" s="953"/>
      <c r="DX44" s="953"/>
      <c r="DY44" s="953"/>
      <c r="DZ44" s="953"/>
      <c r="EA44" s="953"/>
      <c r="EB44" s="953"/>
      <c r="EC44" s="953"/>
      <c r="ED44" s="953"/>
      <c r="EE44" s="953"/>
      <c r="EF44" s="953"/>
      <c r="EG44" s="953"/>
      <c r="EH44" s="953"/>
      <c r="EI44" s="953"/>
      <c r="EJ44" s="953"/>
      <c r="EK44" s="953"/>
      <c r="EL44" s="953"/>
      <c r="EM44" s="953"/>
      <c r="EN44" s="953"/>
      <c r="EO44" s="953"/>
      <c r="EP44" s="953"/>
      <c r="EQ44" s="953"/>
      <c r="ER44" s="953"/>
      <c r="ES44" s="953"/>
      <c r="ET44" s="953"/>
      <c r="EU44" s="953"/>
      <c r="EV44" s="953"/>
      <c r="EW44" s="953"/>
      <c r="EX44" s="953"/>
      <c r="EY44" s="953"/>
      <c r="EZ44" s="953"/>
      <c r="FA44" s="953"/>
      <c r="FB44" s="953"/>
      <c r="FC44" s="953"/>
      <c r="FD44" s="953"/>
      <c r="FE44" s="953"/>
      <c r="FF44" s="953"/>
      <c r="FG44" s="953"/>
      <c r="FH44" s="953"/>
      <c r="FI44" s="953"/>
      <c r="FJ44" s="953"/>
      <c r="FK44" s="953"/>
      <c r="FL44" s="953"/>
      <c r="FM44" s="953"/>
      <c r="FN44" s="953"/>
      <c r="FO44" s="953"/>
      <c r="FP44" s="953"/>
      <c r="FQ44" s="953"/>
      <c r="FR44" s="953"/>
      <c r="FS44" s="953"/>
      <c r="FT44" s="953"/>
      <c r="FU44" s="953"/>
      <c r="FV44" s="953"/>
      <c r="FW44" s="953"/>
      <c r="FX44" s="953"/>
      <c r="FY44" s="953"/>
      <c r="FZ44" s="953"/>
      <c r="GA44" s="953"/>
      <c r="GB44" s="953"/>
      <c r="GC44" s="953"/>
      <c r="GD44" s="953"/>
      <c r="GE44" s="953"/>
      <c r="GF44" s="953"/>
      <c r="GG44" s="953"/>
      <c r="GH44" s="953"/>
      <c r="GI44" s="953"/>
      <c r="GJ44" s="953"/>
      <c r="GK44" s="953"/>
      <c r="GL44" s="953"/>
      <c r="GM44" s="953"/>
      <c r="GN44" s="953"/>
      <c r="GO44" s="953"/>
      <c r="GP44" s="953"/>
      <c r="GQ44" s="953"/>
      <c r="GR44" s="953"/>
      <c r="GS44" s="953"/>
      <c r="GT44" s="953"/>
      <c r="GU44" s="953"/>
      <c r="GV44" s="953"/>
      <c r="GW44" s="953"/>
      <c r="GX44" s="953"/>
      <c r="GY44" s="953"/>
      <c r="GZ44" s="953"/>
      <c r="HA44" s="953"/>
      <c r="HB44" s="953"/>
      <c r="HC44" s="953"/>
      <c r="HD44" s="953"/>
      <c r="HE44" s="953"/>
      <c r="HF44" s="953"/>
      <c r="HG44" s="953"/>
      <c r="HH44" s="953"/>
      <c r="HI44" s="953"/>
      <c r="HJ44" s="953"/>
      <c r="HK44" s="953"/>
      <c r="HL44" s="953"/>
      <c r="HM44" s="953"/>
      <c r="HN44" s="953"/>
      <c r="HO44" s="953"/>
      <c r="HP44" s="953"/>
      <c r="HQ44" s="953"/>
      <c r="HR44" s="953"/>
      <c r="HS44" s="953"/>
      <c r="HT44" s="953"/>
      <c r="HU44" s="953"/>
      <c r="HV44" s="953"/>
      <c r="HW44" s="953"/>
      <c r="HX44" s="953"/>
      <c r="HY44" s="953"/>
      <c r="HZ44" s="953"/>
      <c r="IA44" s="953"/>
      <c r="IB44" s="953"/>
      <c r="IC44" s="953"/>
      <c r="ID44" s="953"/>
      <c r="IE44" s="953"/>
      <c r="IF44" s="953"/>
      <c r="IG44" s="953"/>
      <c r="IH44" s="953"/>
      <c r="II44" s="953"/>
      <c r="IJ44" s="953"/>
      <c r="IK44" s="953"/>
      <c r="IL44" s="953"/>
      <c r="IM44" s="953"/>
      <c r="IN44" s="953"/>
      <c r="IO44" s="953"/>
      <c r="IP44" s="953"/>
      <c r="IQ44" s="953"/>
      <c r="IR44" s="953"/>
      <c r="IS44" s="970"/>
      <c r="IT44" s="970"/>
      <c r="IU44" s="953"/>
      <c r="IV44" s="953"/>
      <c r="IW44" s="953"/>
      <c r="IX44" s="953"/>
      <c r="IY44" s="953"/>
      <c r="IZ44" s="953"/>
      <c r="JA44" s="953"/>
      <c r="JB44" s="953"/>
      <c r="JC44" s="953"/>
      <c r="JD44" s="953"/>
      <c r="JE44" s="953"/>
      <c r="JF44" s="953"/>
      <c r="JG44" s="953"/>
      <c r="JH44" s="953"/>
      <c r="JI44" s="953"/>
      <c r="JK44" s="953"/>
      <c r="JM44" s="953"/>
    </row>
    <row r="45" customFormat="false" ht="18.75" hidden="false" customHeight="false" outlineLevel="0" collapsed="false">
      <c r="JM45" s="971"/>
    </row>
    <row r="46" customFormat="false" ht="18.75" hidden="false" customHeight="false" outlineLevel="0" collapsed="false">
      <c r="A46" s="855" t="s">
        <v>1566</v>
      </c>
      <c r="B46" s="855"/>
      <c r="C46" s="838"/>
      <c r="D46" s="838"/>
      <c r="E46" s="838"/>
      <c r="F46" s="838"/>
      <c r="G46" s="838"/>
      <c r="H46" s="838"/>
      <c r="I46" s="838"/>
      <c r="J46" s="838"/>
      <c r="K46" s="838"/>
      <c r="L46" s="838"/>
      <c r="M46" s="838"/>
      <c r="N46" s="838"/>
      <c r="O46" s="838"/>
      <c r="P46" s="838"/>
      <c r="Q46" s="838"/>
      <c r="R46" s="838"/>
      <c r="S46" s="838"/>
      <c r="T46" s="838"/>
      <c r="U46" s="838"/>
      <c r="V46" s="838"/>
      <c r="W46" s="838"/>
      <c r="X46" s="838"/>
      <c r="Y46" s="838"/>
      <c r="Z46" s="838"/>
      <c r="AA46" s="838"/>
      <c r="AB46" s="838"/>
      <c r="AC46" s="838"/>
      <c r="AD46" s="838"/>
      <c r="AE46" s="838"/>
      <c r="AF46" s="838"/>
      <c r="AG46" s="838"/>
      <c r="AH46" s="838"/>
      <c r="AI46" s="838"/>
      <c r="AJ46" s="838"/>
      <c r="AK46" s="838"/>
      <c r="AL46" s="838"/>
      <c r="AM46" s="838"/>
      <c r="AN46" s="838"/>
      <c r="AO46" s="838"/>
      <c r="AP46" s="838"/>
      <c r="AQ46" s="838"/>
      <c r="AR46" s="838"/>
      <c r="AS46" s="838"/>
      <c r="AT46" s="838"/>
      <c r="AU46" s="838"/>
      <c r="AV46" s="838"/>
      <c r="AW46" s="838"/>
      <c r="AX46" s="838"/>
      <c r="AY46" s="838"/>
      <c r="AZ46" s="838"/>
      <c r="BA46" s="838"/>
      <c r="BB46" s="838"/>
      <c r="BC46" s="838"/>
      <c r="BD46" s="838"/>
      <c r="BE46" s="838"/>
      <c r="BF46" s="838"/>
      <c r="BG46" s="838"/>
      <c r="BH46" s="838"/>
      <c r="BI46" s="838"/>
      <c r="BJ46" s="838"/>
      <c r="BK46" s="838"/>
      <c r="BL46" s="838"/>
      <c r="BM46" s="838"/>
      <c r="BN46" s="838"/>
      <c r="BO46" s="838"/>
      <c r="BP46" s="838"/>
      <c r="BQ46" s="838"/>
      <c r="BR46" s="838"/>
      <c r="BS46" s="838"/>
      <c r="BT46" s="838"/>
      <c r="BU46" s="838"/>
      <c r="BV46" s="838"/>
      <c r="BW46" s="838"/>
      <c r="BX46" s="838"/>
      <c r="BY46" s="838"/>
      <c r="BZ46" s="838"/>
      <c r="CA46" s="838"/>
      <c r="CB46" s="838"/>
      <c r="CC46" s="838"/>
      <c r="CD46" s="838"/>
      <c r="CE46" s="838"/>
      <c r="CF46" s="838"/>
      <c r="CG46" s="838"/>
      <c r="CH46" s="838"/>
      <c r="CI46" s="838"/>
      <c r="CJ46" s="838"/>
      <c r="CK46" s="838"/>
      <c r="CL46" s="838"/>
      <c r="CM46" s="838"/>
      <c r="CN46" s="838"/>
      <c r="CO46" s="838"/>
      <c r="CP46" s="838"/>
      <c r="CQ46" s="838"/>
      <c r="CR46" s="838"/>
      <c r="CS46" s="838"/>
      <c r="CT46" s="838"/>
      <c r="CU46" s="838"/>
      <c r="CV46" s="838"/>
      <c r="CW46" s="838"/>
      <c r="CX46" s="838"/>
      <c r="CY46" s="838"/>
      <c r="CZ46" s="838"/>
      <c r="DA46" s="838"/>
      <c r="DB46" s="838"/>
      <c r="DC46" s="838"/>
      <c r="DD46" s="838"/>
      <c r="DE46" s="838"/>
      <c r="DF46" s="838"/>
      <c r="DG46" s="838"/>
      <c r="DH46" s="838"/>
      <c r="DI46" s="838"/>
      <c r="DJ46" s="838"/>
      <c r="DK46" s="838"/>
      <c r="DL46" s="838"/>
      <c r="DM46" s="838"/>
      <c r="DN46" s="838"/>
      <c r="DO46" s="838"/>
      <c r="DP46" s="838"/>
      <c r="DQ46" s="838"/>
      <c r="DR46" s="838"/>
      <c r="DS46" s="838"/>
      <c r="DT46" s="838"/>
      <c r="DU46" s="838"/>
      <c r="DV46" s="838"/>
      <c r="DW46" s="838"/>
      <c r="DX46" s="838"/>
      <c r="DY46" s="838"/>
      <c r="DZ46" s="838"/>
      <c r="EA46" s="838"/>
      <c r="EB46" s="838"/>
      <c r="EC46" s="838"/>
      <c r="ED46" s="838"/>
      <c r="EE46" s="838"/>
      <c r="EF46" s="838"/>
      <c r="EG46" s="838"/>
      <c r="EH46" s="838"/>
      <c r="EI46" s="838"/>
      <c r="EJ46" s="838"/>
      <c r="EK46" s="838"/>
      <c r="EL46" s="838"/>
      <c r="EM46" s="838"/>
      <c r="EN46" s="838"/>
      <c r="EO46" s="838"/>
      <c r="EP46" s="838"/>
      <c r="EQ46" s="838"/>
      <c r="ER46" s="838"/>
      <c r="ES46" s="838"/>
      <c r="ET46" s="838"/>
      <c r="EU46" s="838"/>
      <c r="EV46" s="838"/>
      <c r="EW46" s="838"/>
      <c r="EX46" s="838"/>
      <c r="EY46" s="838"/>
      <c r="EZ46" s="838"/>
      <c r="FA46" s="838"/>
      <c r="FB46" s="838"/>
      <c r="FC46" s="838"/>
      <c r="FD46" s="838"/>
      <c r="FE46" s="838"/>
      <c r="FF46" s="838"/>
      <c r="FG46" s="838"/>
      <c r="FH46" s="838"/>
      <c r="FI46" s="838"/>
      <c r="FJ46" s="838"/>
      <c r="FK46" s="838"/>
      <c r="FL46" s="838"/>
      <c r="FM46" s="838"/>
      <c r="FN46" s="838"/>
      <c r="FO46" s="838"/>
      <c r="FP46" s="838"/>
      <c r="FQ46" s="838"/>
      <c r="FR46" s="838"/>
      <c r="FS46" s="838"/>
      <c r="FT46" s="838"/>
      <c r="FU46" s="838"/>
      <c r="FV46" s="838"/>
      <c r="FW46" s="838"/>
      <c r="FX46" s="838"/>
      <c r="FY46" s="838"/>
      <c r="FZ46" s="838"/>
      <c r="GA46" s="838"/>
      <c r="GB46" s="838"/>
      <c r="GC46" s="838"/>
      <c r="GD46" s="838"/>
      <c r="GE46" s="838"/>
      <c r="GF46" s="838"/>
      <c r="GG46" s="838"/>
      <c r="GH46" s="838"/>
      <c r="GI46" s="838"/>
      <c r="GJ46" s="838"/>
      <c r="GK46" s="838"/>
      <c r="GL46" s="838"/>
      <c r="GM46" s="838"/>
      <c r="GN46" s="838"/>
      <c r="GO46" s="838"/>
      <c r="GP46" s="838"/>
      <c r="GQ46" s="838"/>
      <c r="GR46" s="838"/>
      <c r="GS46" s="838"/>
      <c r="GT46" s="838"/>
      <c r="GU46" s="838"/>
      <c r="GV46" s="838"/>
      <c r="GW46" s="838"/>
      <c r="GX46" s="838"/>
      <c r="GY46" s="838"/>
      <c r="GZ46" s="838"/>
      <c r="HA46" s="838"/>
      <c r="HB46" s="838"/>
      <c r="HC46" s="838"/>
      <c r="HD46" s="838"/>
      <c r="HE46" s="838"/>
      <c r="HF46" s="838"/>
      <c r="IR46" s="855"/>
      <c r="IS46" s="855"/>
      <c r="IT46" s="855"/>
      <c r="JM46" s="971"/>
    </row>
    <row r="47" customFormat="false" ht="18.75" hidden="false" customHeight="false" outlineLevel="0" collapsed="false">
      <c r="A47" s="838"/>
      <c r="B47" s="838"/>
      <c r="C47" s="838"/>
      <c r="D47" s="838"/>
      <c r="E47" s="838"/>
      <c r="F47" s="838"/>
      <c r="G47" s="838"/>
      <c r="H47" s="838"/>
      <c r="I47" s="838"/>
      <c r="J47" s="838"/>
      <c r="K47" s="838"/>
      <c r="L47" s="838"/>
      <c r="M47" s="838"/>
      <c r="N47" s="838"/>
      <c r="O47" s="838"/>
      <c r="P47" s="838"/>
      <c r="Q47" s="838"/>
      <c r="R47" s="838"/>
      <c r="S47" s="838"/>
      <c r="T47" s="838"/>
      <c r="U47" s="838"/>
      <c r="V47" s="838"/>
      <c r="W47" s="838"/>
      <c r="X47" s="838"/>
      <c r="Y47" s="838"/>
      <c r="Z47" s="838"/>
      <c r="AA47" s="838"/>
      <c r="AB47" s="838"/>
      <c r="AC47" s="838"/>
      <c r="AD47" s="838"/>
      <c r="AE47" s="838"/>
      <c r="AF47" s="838"/>
      <c r="AG47" s="838"/>
      <c r="AH47" s="838"/>
      <c r="AI47" s="838"/>
      <c r="AJ47" s="838"/>
      <c r="AK47" s="838"/>
      <c r="AL47" s="838"/>
      <c r="AM47" s="838"/>
      <c r="AN47" s="838"/>
      <c r="AO47" s="838"/>
      <c r="AP47" s="838"/>
      <c r="AQ47" s="838"/>
      <c r="AR47" s="838"/>
      <c r="AS47" s="838"/>
      <c r="AT47" s="838"/>
      <c r="AU47" s="838"/>
      <c r="AV47" s="838"/>
      <c r="AW47" s="838"/>
      <c r="AX47" s="838"/>
      <c r="AY47" s="838"/>
      <c r="AZ47" s="838"/>
      <c r="BA47" s="838"/>
      <c r="BB47" s="838"/>
      <c r="BC47" s="838"/>
      <c r="BD47" s="838"/>
      <c r="BE47" s="838"/>
      <c r="BF47" s="838"/>
      <c r="BG47" s="838"/>
      <c r="BH47" s="838"/>
      <c r="BI47" s="838"/>
      <c r="BJ47" s="838"/>
      <c r="BK47" s="838"/>
      <c r="BL47" s="838"/>
      <c r="BM47" s="838"/>
      <c r="BN47" s="838"/>
      <c r="BO47" s="838"/>
      <c r="BP47" s="838"/>
      <c r="BQ47" s="838"/>
      <c r="BR47" s="838"/>
      <c r="BS47" s="838"/>
      <c r="BT47" s="838"/>
      <c r="BU47" s="838"/>
      <c r="BV47" s="838"/>
      <c r="BW47" s="838"/>
      <c r="BX47" s="838"/>
      <c r="BY47" s="838"/>
      <c r="BZ47" s="838"/>
      <c r="CA47" s="838"/>
      <c r="CB47" s="838"/>
      <c r="CC47" s="838"/>
      <c r="CD47" s="838"/>
      <c r="CE47" s="838"/>
      <c r="CF47" s="838"/>
      <c r="CG47" s="838"/>
      <c r="CH47" s="838"/>
      <c r="CI47" s="838"/>
      <c r="CJ47" s="838"/>
      <c r="CK47" s="838"/>
      <c r="CL47" s="838"/>
      <c r="CM47" s="838"/>
      <c r="CN47" s="838"/>
      <c r="CO47" s="838"/>
      <c r="CP47" s="838"/>
      <c r="CQ47" s="838"/>
      <c r="CR47" s="838"/>
      <c r="CS47" s="838"/>
      <c r="CT47" s="838"/>
      <c r="CU47" s="838"/>
      <c r="CV47" s="838"/>
      <c r="CW47" s="838"/>
      <c r="CX47" s="838"/>
      <c r="CY47" s="838"/>
      <c r="CZ47" s="838"/>
      <c r="DA47" s="838"/>
      <c r="DB47" s="838"/>
      <c r="DC47" s="838"/>
      <c r="DD47" s="838"/>
      <c r="DE47" s="838"/>
      <c r="DF47" s="838"/>
      <c r="DG47" s="838"/>
      <c r="DH47" s="838"/>
      <c r="DI47" s="838"/>
      <c r="DJ47" s="838"/>
      <c r="DK47" s="838"/>
      <c r="DL47" s="838"/>
      <c r="DM47" s="838"/>
      <c r="DN47" s="838"/>
      <c r="DO47" s="838"/>
      <c r="DP47" s="838"/>
      <c r="DQ47" s="838"/>
      <c r="DR47" s="838"/>
      <c r="DS47" s="838"/>
      <c r="DT47" s="838"/>
      <c r="DU47" s="838"/>
      <c r="DV47" s="838"/>
      <c r="DW47" s="838"/>
      <c r="DX47" s="838"/>
      <c r="DY47" s="838"/>
      <c r="DZ47" s="838"/>
      <c r="EA47" s="838"/>
      <c r="EB47" s="838"/>
      <c r="EC47" s="838"/>
      <c r="ED47" s="838"/>
      <c r="EE47" s="838"/>
      <c r="EF47" s="838"/>
      <c r="EG47" s="838"/>
      <c r="EH47" s="838"/>
      <c r="EI47" s="838"/>
      <c r="EJ47" s="838"/>
      <c r="EK47" s="838"/>
      <c r="EL47" s="838"/>
      <c r="EM47" s="838"/>
      <c r="EN47" s="838"/>
      <c r="EO47" s="838"/>
      <c r="EP47" s="838"/>
      <c r="EQ47" s="838"/>
      <c r="ER47" s="838"/>
      <c r="ES47" s="838"/>
      <c r="ET47" s="838"/>
      <c r="EU47" s="838"/>
      <c r="EV47" s="838"/>
      <c r="EW47" s="838"/>
      <c r="EX47" s="838"/>
      <c r="EY47" s="838"/>
      <c r="EZ47" s="838"/>
      <c r="FA47" s="838"/>
      <c r="FB47" s="838"/>
      <c r="FC47" s="838"/>
      <c r="FD47" s="838"/>
      <c r="FE47" s="838"/>
      <c r="FF47" s="838"/>
      <c r="FG47" s="838"/>
      <c r="FH47" s="838"/>
      <c r="FI47" s="838"/>
      <c r="FJ47" s="838"/>
      <c r="FK47" s="838"/>
      <c r="FL47" s="838"/>
      <c r="FM47" s="838"/>
      <c r="FN47" s="838"/>
      <c r="FO47" s="838"/>
      <c r="FP47" s="838"/>
      <c r="FQ47" s="838"/>
      <c r="FR47" s="838"/>
      <c r="FS47" s="838"/>
      <c r="FT47" s="838"/>
      <c r="FU47" s="838"/>
      <c r="FV47" s="838"/>
      <c r="FW47" s="838"/>
      <c r="FX47" s="838"/>
      <c r="FY47" s="838"/>
      <c r="FZ47" s="838"/>
      <c r="GA47" s="838"/>
      <c r="GB47" s="838"/>
      <c r="GC47" s="838"/>
      <c r="GD47" s="838"/>
      <c r="GE47" s="838"/>
      <c r="GF47" s="838"/>
      <c r="GG47" s="838"/>
      <c r="GH47" s="838"/>
      <c r="GI47" s="838"/>
      <c r="GJ47" s="838"/>
      <c r="GK47" s="838"/>
      <c r="GL47" s="838"/>
      <c r="GM47" s="838"/>
      <c r="GN47" s="838"/>
      <c r="GO47" s="838"/>
      <c r="GP47" s="838"/>
      <c r="GQ47" s="838"/>
      <c r="GR47" s="838"/>
      <c r="GS47" s="838"/>
      <c r="GT47" s="838"/>
      <c r="GU47" s="838"/>
      <c r="GV47" s="838"/>
      <c r="GW47" s="838"/>
      <c r="GX47" s="838"/>
      <c r="GY47" s="838"/>
      <c r="GZ47" s="838"/>
      <c r="HA47" s="838"/>
      <c r="HB47" s="838"/>
      <c r="HC47" s="838"/>
      <c r="HD47" s="838"/>
      <c r="HE47" s="838"/>
      <c r="HF47" s="838"/>
      <c r="JM47" s="971"/>
    </row>
    <row r="48" customFormat="false" ht="18.75" hidden="false" customHeight="false" outlineLevel="0" collapsed="false">
      <c r="FO48" s="837"/>
    </row>
    <row r="49" customFormat="false" ht="18.75" hidden="false" customHeight="false" outlineLevel="0" collapsed="false">
      <c r="A49" s="836" t="s">
        <v>1567</v>
      </c>
      <c r="FO49" s="837"/>
    </row>
    <row r="50" customFormat="false" ht="18.75" hidden="false" customHeight="false" outlineLevel="0" collapsed="false">
      <c r="A50" s="836" t="s">
        <v>1568</v>
      </c>
      <c r="B50" s="836" t="n">
        <v>1.2</v>
      </c>
      <c r="FO50" s="837"/>
    </row>
    <row r="51" customFormat="false" ht="18.75" hidden="false" customHeight="false" outlineLevel="0" collapsed="false">
      <c r="A51" s="836" t="s">
        <v>1444</v>
      </c>
      <c r="B51" s="836" t="n">
        <v>1.3</v>
      </c>
      <c r="FO51" s="837"/>
    </row>
    <row r="52" customFormat="false" ht="18.75" hidden="false" customHeight="false" outlineLevel="0" collapsed="false">
      <c r="A52" s="836" t="s">
        <v>1569</v>
      </c>
      <c r="B52" s="836" t="n">
        <v>1.5</v>
      </c>
      <c r="FO52" s="837"/>
    </row>
    <row r="53" customFormat="false" ht="18.75" hidden="false" customHeight="false" outlineLevel="0" collapsed="false">
      <c r="FO53" s="837"/>
    </row>
    <row r="54" customFormat="false" ht="18.75" hidden="false" customHeight="false" outlineLevel="0" collapsed="false">
      <c r="FO54" s="837"/>
    </row>
    <row r="55" customFormat="false" ht="18.75" hidden="false" customHeight="false" outlineLevel="0" collapsed="false">
      <c r="FO55" s="837"/>
    </row>
    <row r="56" customFormat="false" ht="18.75" hidden="false" customHeight="false" outlineLevel="0" collapsed="false">
      <c r="A56" s="836" t="s">
        <v>1501</v>
      </c>
      <c r="B56" s="836" t="s">
        <v>796</v>
      </c>
      <c r="FO56" s="837"/>
    </row>
    <row r="57" customFormat="false" ht="18.75" hidden="false" customHeight="false" outlineLevel="0" collapsed="false">
      <c r="A57" s="836" t="s">
        <v>1570</v>
      </c>
      <c r="B57" s="836" t="s">
        <v>1571</v>
      </c>
      <c r="FO57" s="837"/>
    </row>
    <row r="58" customFormat="false" ht="18.75" hidden="false" customHeight="false" outlineLevel="0" collapsed="false">
      <c r="A58" s="836" t="s">
        <v>1572</v>
      </c>
      <c r="B58" s="836" t="s">
        <v>677</v>
      </c>
    </row>
    <row r="59" customFormat="false" ht="18.75" hidden="false" customHeight="false" outlineLevel="0" collapsed="false">
      <c r="A59" s="836" t="s">
        <v>1573</v>
      </c>
      <c r="B59" s="836" t="s">
        <v>1487</v>
      </c>
    </row>
    <row r="60" customFormat="false" ht="18.75" hidden="false" customHeight="false" outlineLevel="0" collapsed="false">
      <c r="A60" s="836" t="s">
        <v>1504</v>
      </c>
      <c r="B60" s="836" t="s">
        <v>803</v>
      </c>
    </row>
    <row r="61" customFormat="false" ht="18.75" hidden="false" customHeight="false" outlineLevel="0" collapsed="false">
      <c r="A61" s="836" t="s">
        <v>1574</v>
      </c>
      <c r="B61" s="836" t="s">
        <v>1575</v>
      </c>
    </row>
    <row r="62" customFormat="false" ht="18.75" hidden="false" customHeight="false" outlineLevel="0" collapsed="false">
      <c r="A62" s="836" t="s">
        <v>1505</v>
      </c>
      <c r="B62" s="836" t="s">
        <v>1576</v>
      </c>
    </row>
    <row r="63" customFormat="false" ht="18.75" hidden="false" customHeight="false" outlineLevel="0" collapsed="false">
      <c r="A63" s="836" t="s">
        <v>1577</v>
      </c>
    </row>
    <row r="64" customFormat="false" ht="18.75" hidden="false" customHeight="false" outlineLevel="0" collapsed="false">
      <c r="A64" s="836" t="s">
        <v>1578</v>
      </c>
      <c r="B64" s="836" t="s">
        <v>797</v>
      </c>
    </row>
    <row r="65" customFormat="false" ht="18.75" hidden="false" customHeight="false" outlineLevel="0" collapsed="false">
      <c r="A65" s="836" t="s">
        <v>1579</v>
      </c>
      <c r="B65" s="836" t="s">
        <v>1580</v>
      </c>
    </row>
    <row r="66" customFormat="false" ht="18.75" hidden="false" customHeight="false" outlineLevel="0" collapsed="false">
      <c r="A66" s="836" t="s">
        <v>1581</v>
      </c>
      <c r="B66" s="836" t="s">
        <v>1500</v>
      </c>
    </row>
    <row r="68" customFormat="false" ht="18.75" hidden="false" customHeight="false" outlineLevel="0" collapsed="false">
      <c r="A68" s="836" t="s">
        <v>1582</v>
      </c>
      <c r="B68" s="836" t="s">
        <v>1583</v>
      </c>
    </row>
    <row r="69" customFormat="false" ht="18.75" hidden="false" customHeight="false" outlineLevel="0" collapsed="false">
      <c r="A69" s="836" t="s">
        <v>1503</v>
      </c>
      <c r="B69" s="836" t="s">
        <v>1584</v>
      </c>
    </row>
    <row r="70" customFormat="false" ht="18.75" hidden="false" customHeight="false" outlineLevel="0" collapsed="false">
      <c r="A70" s="836" t="s">
        <v>1502</v>
      </c>
      <c r="B70" s="836" t="s">
        <v>1585</v>
      </c>
    </row>
    <row r="71" customFormat="false" ht="18.75" hidden="false" customHeight="false" outlineLevel="0" collapsed="false">
      <c r="A71" s="836" t="s">
        <v>1586</v>
      </c>
    </row>
    <row r="72" customFormat="false" ht="18.75" hidden="false" customHeight="false" outlineLevel="0" collapsed="false">
      <c r="B72" s="836" t="s">
        <v>986</v>
      </c>
    </row>
    <row r="73" customFormat="false" ht="18.75" hidden="false" customHeight="false" outlineLevel="0" collapsed="false">
      <c r="A73" s="836" t="s">
        <v>1582</v>
      </c>
      <c r="B73" s="972"/>
    </row>
    <row r="74" customFormat="false" ht="18.75" hidden="false" customHeight="false" outlineLevel="0" collapsed="false">
      <c r="A74" s="836" t="s">
        <v>1506</v>
      </c>
      <c r="B74" s="972" t="s">
        <v>805</v>
      </c>
    </row>
    <row r="75" customFormat="false" ht="18.75" hidden="false" customHeight="false" outlineLevel="0" collapsed="false">
      <c r="A75" s="836" t="s">
        <v>1587</v>
      </c>
      <c r="B75" s="972" t="s">
        <v>982</v>
      </c>
    </row>
    <row r="77" customFormat="false" ht="18.75" hidden="false" customHeight="false" outlineLevel="0" collapsed="false">
      <c r="B77" s="972" t="s">
        <v>1498</v>
      </c>
    </row>
    <row r="78" customFormat="false" ht="18.75" hidden="false" customHeight="false" outlineLevel="0" collapsed="false">
      <c r="A78" s="838" t="s">
        <v>1507</v>
      </c>
      <c r="B78" s="972" t="s">
        <v>804</v>
      </c>
    </row>
    <row r="79" customFormat="false" ht="18.75" hidden="false" customHeight="false" outlineLevel="0" collapsed="false">
      <c r="A79" s="838" t="s">
        <v>1508</v>
      </c>
      <c r="B79" s="972" t="s">
        <v>1488</v>
      </c>
    </row>
    <row r="80" customFormat="false" ht="18.75" hidden="false" customHeight="false" outlineLevel="0" collapsed="false">
      <c r="A80" s="838" t="s">
        <v>1509</v>
      </c>
      <c r="B80" s="972" t="s">
        <v>1481</v>
      </c>
    </row>
    <row r="81" customFormat="false" ht="18.75" hidden="false" customHeight="false" outlineLevel="0" collapsed="false">
      <c r="A81" s="838" t="s">
        <v>1588</v>
      </c>
      <c r="B81" s="972" t="s">
        <v>798</v>
      </c>
    </row>
    <row r="82" customFormat="false" ht="18.75" hidden="false" customHeight="false" outlineLevel="0" collapsed="false">
      <c r="B82" s="972" t="s">
        <v>799</v>
      </c>
    </row>
    <row r="83" customFormat="false" ht="18.75" hidden="false" customHeight="false" outlineLevel="0" collapsed="false">
      <c r="A83" s="838" t="s">
        <v>1511</v>
      </c>
      <c r="B83" s="972" t="s">
        <v>1486</v>
      </c>
    </row>
    <row r="84" customFormat="false" ht="18.75" hidden="false" customHeight="false" outlineLevel="0" collapsed="false">
      <c r="A84" s="838" t="s">
        <v>1512</v>
      </c>
      <c r="B84" s="972" t="s">
        <v>1489</v>
      </c>
    </row>
    <row r="85" customFormat="false" ht="18.75" hidden="false" customHeight="false" outlineLevel="0" collapsed="false">
      <c r="A85" s="838" t="s">
        <v>1589</v>
      </c>
      <c r="B85" s="972" t="s">
        <v>606</v>
      </c>
    </row>
    <row r="86" customFormat="false" ht="18.75" hidden="false" customHeight="false" outlineLevel="0" collapsed="false">
      <c r="A86" s="838" t="s">
        <v>1510</v>
      </c>
      <c r="B86" s="972" t="s">
        <v>1491</v>
      </c>
    </row>
    <row r="87" customFormat="false" ht="18.75" hidden="false" customHeight="false" outlineLevel="0" collapsed="false">
      <c r="B87" s="972" t="s">
        <v>1493</v>
      </c>
    </row>
    <row r="88" customFormat="false" ht="18.75" hidden="false" customHeight="false" outlineLevel="0" collapsed="false">
      <c r="A88" s="838" t="s">
        <v>1513</v>
      </c>
      <c r="B88" s="972" t="s">
        <v>1494</v>
      </c>
    </row>
    <row r="89" customFormat="false" ht="18.75" hidden="false" customHeight="false" outlineLevel="0" collapsed="false">
      <c r="B89" s="972" t="s">
        <v>645</v>
      </c>
    </row>
    <row r="90" customFormat="false" ht="18.75" hidden="false" customHeight="false" outlineLevel="0" collapsed="false">
      <c r="B90" s="972" t="s">
        <v>1497</v>
      </c>
    </row>
    <row r="91" customFormat="false" ht="18.75" hidden="false" customHeight="false" outlineLevel="0" collapsed="false">
      <c r="B91" s="972" t="s">
        <v>679</v>
      </c>
    </row>
    <row r="92" customFormat="false" ht="18.75" hidden="false" customHeight="false" outlineLevel="0" collapsed="false">
      <c r="B92" s="972" t="s">
        <v>1499</v>
      </c>
    </row>
    <row r="93" customFormat="false" ht="18.75" hidden="false" customHeight="false" outlineLevel="0" collapsed="false">
      <c r="B93" s="972"/>
    </row>
    <row r="94" customFormat="false" ht="18.75" hidden="false" customHeight="false" outlineLevel="0" collapsed="false">
      <c r="B94" s="972"/>
    </row>
    <row r="95" customFormat="false" ht="18.75" hidden="false" customHeight="false" outlineLevel="0" collapsed="false">
      <c r="B95" s="972" t="s">
        <v>1590</v>
      </c>
    </row>
    <row r="96" customFormat="false" ht="18.75" hidden="false" customHeight="false" outlineLevel="0" collapsed="false">
      <c r="B96" s="972" t="s">
        <v>1491</v>
      </c>
    </row>
    <row r="98" customFormat="false" ht="18.75" hidden="false" customHeight="false" outlineLevel="0" collapsed="false">
      <c r="B98" s="836" t="s">
        <v>1482</v>
      </c>
    </row>
    <row r="99" customFormat="false" ht="18.75" hidden="false" customHeight="false" outlineLevel="0" collapsed="false">
      <c r="B99" s="972" t="s">
        <v>1484</v>
      </c>
    </row>
    <row r="100" customFormat="false" ht="18.75" hidden="false" customHeight="false" outlineLevel="0" collapsed="false">
      <c r="B100" s="972" t="s">
        <v>1483</v>
      </c>
    </row>
    <row r="101" customFormat="false" ht="18.75" hidden="false" customHeight="false" outlineLevel="0" collapsed="false">
      <c r="B101" s="972" t="s">
        <v>1495</v>
      </c>
    </row>
    <row r="102" customFormat="false" ht="18.75" hidden="false" customHeight="false" outlineLevel="0" collapsed="false">
      <c r="B102" s="972" t="s">
        <v>1492</v>
      </c>
    </row>
    <row r="103" customFormat="false" ht="18.75" hidden="false" customHeight="false" outlineLevel="0" collapsed="false">
      <c r="B103" s="972" t="s">
        <v>1490</v>
      </c>
    </row>
    <row r="104" customFormat="false" ht="18.75" hidden="false" customHeight="false" outlineLevel="0" collapsed="false">
      <c r="B104" s="972" t="s">
        <v>1485</v>
      </c>
    </row>
    <row r="105" customFormat="false" ht="18.75" hidden="false" customHeight="false" outlineLevel="0" collapsed="false">
      <c r="B105" s="972" t="s">
        <v>1284</v>
      </c>
    </row>
    <row r="106" customFormat="false" ht="18.75" hidden="false" customHeight="false" outlineLevel="0" collapsed="false">
      <c r="B106" s="972" t="s">
        <v>1496</v>
      </c>
    </row>
    <row r="107" customFormat="false" ht="18.75" hidden="false" customHeight="false" outlineLevel="0" collapsed="false">
      <c r="B107" s="972" t="s">
        <v>1279</v>
      </c>
    </row>
    <row r="110" customFormat="false" ht="18.75" hidden="false" customHeight="false" outlineLevel="0" collapsed="false">
      <c r="B110" s="972"/>
    </row>
    <row r="111" customFormat="false" ht="18.75" hidden="false" customHeight="false" outlineLevel="0" collapsed="false">
      <c r="B111" s="972"/>
    </row>
    <row r="112" customFormat="false" ht="18.75" hidden="false" customHeight="false" outlineLevel="0" collapsed="false">
      <c r="B112" s="972"/>
    </row>
    <row r="113" customFormat="false" ht="18.75" hidden="false" customHeight="false" outlineLevel="0" collapsed="false">
      <c r="B113" s="972"/>
    </row>
    <row r="114" customFormat="false" ht="18.75" hidden="false" customHeight="false" outlineLevel="0" collapsed="false">
      <c r="B114" s="972"/>
    </row>
    <row r="115" customFormat="false" ht="18.75" hidden="false" customHeight="false" outlineLevel="0" collapsed="false">
      <c r="B115" s="972"/>
    </row>
    <row r="116" customFormat="false" ht="18.75" hidden="false" customHeight="false" outlineLevel="0" collapsed="false">
      <c r="B116" s="972"/>
    </row>
    <row r="117" customFormat="false" ht="18.75" hidden="false" customHeight="false" outlineLevel="0" collapsed="false">
      <c r="B117" s="972"/>
    </row>
    <row r="118" customFormat="false" ht="18.75" hidden="false" customHeight="false" outlineLevel="0" collapsed="false">
      <c r="B118" s="972"/>
    </row>
    <row r="119" customFormat="false" ht="18.75" hidden="false" customHeight="false" outlineLevel="0" collapsed="false">
      <c r="B119" s="972"/>
    </row>
  </sheetData>
  <conditionalFormatting sqref="FQ28:GH28">
    <cfRule type="cellIs" priority="2" operator="equal" aboveAverage="0" equalAverage="0" bottom="0" percent="0" rank="0" text="" dxfId="637">
      <formula>"请再次核对"</formula>
    </cfRule>
  </conditionalFormatting>
  <conditionalFormatting sqref="FQ31:GH31 FQ43:GH44">
    <cfRule type="cellIs" priority="3" operator="equal" aboveAverage="0" equalAverage="0" bottom="0" percent="0" rank="0" text="" dxfId="638">
      <formula>"请再次核对"</formula>
    </cfRule>
  </conditionalFormatting>
  <conditionalFormatting sqref="FP28">
    <cfRule type="cellIs" priority="4" operator="equal" aboveAverage="0" equalAverage="0" bottom="0" percent="0" rank="0" text="" dxfId="639">
      <formula>"请再次核对"</formula>
    </cfRule>
  </conditionalFormatting>
  <conditionalFormatting sqref="FP31 FP43:FP44">
    <cfRule type="cellIs" priority="5" operator="equal" aboveAverage="0" equalAverage="0" bottom="0" percent="0" rank="0" text="" dxfId="640">
      <formula>"请再次核对"</formula>
    </cfRule>
  </conditionalFormatting>
  <conditionalFormatting sqref="FL28:FO28 FL43:FO44 FL31:FO31">
    <cfRule type="cellIs" priority="6" operator="equal" aboveAverage="0" equalAverage="0" bottom="0" percent="0" rank="0" text="" dxfId="641">
      <formula>"请再次核对"</formula>
    </cfRule>
  </conditionalFormatting>
  <conditionalFormatting sqref="DY31 DY43:DY44 DY28">
    <cfRule type="cellIs" priority="7" operator="equal" aboveAverage="0" equalAverage="0" bottom="0" percent="0" rank="0" text="" dxfId="642">
      <formula>"请再次核对"</formula>
    </cfRule>
  </conditionalFormatting>
  <conditionalFormatting sqref="DX31 DX43:DX44 DX28">
    <cfRule type="cellIs" priority="8" operator="equal" aboveAverage="0" equalAverage="0" bottom="0" percent="0" rank="0" text="" dxfId="643">
      <formula>"请再次核对"</formula>
    </cfRule>
  </conditionalFormatting>
  <conditionalFormatting sqref="CK31:DW31 CK43:DW44 CL28:DW28 DZ28:FK28 DZ43:FK44 DZ31:FK31 GI31:HF31 GI43:HF44 GI28:HF28">
    <cfRule type="cellIs" priority="9" operator="equal" aboveAverage="0" equalAverage="0" bottom="0" percent="0" rank="0" text="" dxfId="644">
      <formula>"请再次核对"</formula>
    </cfRule>
  </conditionalFormatting>
  <conditionalFormatting sqref="AT31:CJ31 AT43:CJ44 AT28:CK28">
    <cfRule type="cellIs" priority="10" operator="equal" aboveAverage="0" equalAverage="0" bottom="0" percent="0" rank="0" text="" dxfId="645">
      <formula>"请再次核对"</formula>
    </cfRule>
  </conditionalFormatting>
  <conditionalFormatting sqref="D31:AQ31 D43:AS44 AS31 D28:AS28">
    <cfRule type="cellIs" priority="11" operator="equal" aboveAverage="0" equalAverage="0" bottom="0" percent="0" rank="0" text="" dxfId="646">
      <formula>"请再次核对"</formula>
    </cfRule>
  </conditionalFormatting>
  <conditionalFormatting sqref="JM31">
    <cfRule type="cellIs" priority="12" operator="equal" aboveAverage="0" equalAverage="0" bottom="0" percent="0" rank="0" text="" dxfId="647">
      <formula>"请再次核对"</formula>
    </cfRule>
  </conditionalFormatting>
  <conditionalFormatting sqref="JM43">
    <cfRule type="cellIs" priority="13" operator="equal" aboveAverage="0" equalAverage="0" bottom="0" percent="0" rank="0" text="" dxfId="648">
      <formula>"请再次核对"</formula>
    </cfRule>
  </conditionalFormatting>
  <conditionalFormatting sqref="JM31 JM28 JM43:JM44">
    <cfRule type="cellIs" priority="14" operator="equal" aboveAverage="0" equalAverage="0" bottom="0" percent="0" rank="0" text="" dxfId="649">
      <formula>"请再次核对"</formula>
    </cfRule>
  </conditionalFormatting>
  <conditionalFormatting sqref="JK43:JK44 JK28">
    <cfRule type="cellIs" priority="15" operator="equal" aboveAverage="0" equalAverage="0" bottom="0" percent="0" rank="0" text="" dxfId="650">
      <formula>"请再次核对"</formula>
    </cfRule>
  </conditionalFormatting>
  <conditionalFormatting sqref="IT43 IT31">
    <cfRule type="cellIs" priority="16" operator="equal" aboveAverage="0" equalAverage="0" bottom="0" percent="0" rank="0" text="" dxfId="651">
      <formula>"请再次核对"</formula>
    </cfRule>
  </conditionalFormatting>
  <conditionalFormatting sqref="IT44 IT28">
    <cfRule type="cellIs" priority="17" operator="equal" aboveAverage="0" equalAverage="0" bottom="0" percent="0" rank="0" text="" dxfId="652">
      <formula>"请再次核对"</formula>
    </cfRule>
  </conditionalFormatting>
  <conditionalFormatting sqref="JD31">
    <cfRule type="cellIs" priority="18" operator="equal" aboveAverage="0" equalAverage="0" bottom="0" percent="0" rank="0" text="" dxfId="653">
      <formula>"请再次核对"</formula>
    </cfRule>
  </conditionalFormatting>
  <conditionalFormatting sqref="JD28 JD43:JD44">
    <cfRule type="cellIs" priority="19" operator="equal" aboveAverage="0" equalAverage="0" bottom="0" percent="0" rank="0" text="" dxfId="654">
      <formula>"请再次核对"</formula>
    </cfRule>
  </conditionalFormatting>
  <conditionalFormatting sqref="JC31">
    <cfRule type="cellIs" priority="20" operator="equal" aboveAverage="0" equalAverage="0" bottom="0" percent="0" rank="0" text="" dxfId="655">
      <formula>"请再次核对"</formula>
    </cfRule>
  </conditionalFormatting>
  <conditionalFormatting sqref="JC28 JC43:JC44">
    <cfRule type="cellIs" priority="21" operator="equal" aboveAverage="0" equalAverage="0" bottom="0" percent="0" rank="0" text="" dxfId="656">
      <formula>"请再次核对"</formula>
    </cfRule>
  </conditionalFormatting>
  <conditionalFormatting sqref="JB31">
    <cfRule type="cellIs" priority="22" operator="equal" aboveAverage="0" equalAverage="0" bottom="0" percent="0" rank="0" text="" dxfId="657">
      <formula>"请再次核对"</formula>
    </cfRule>
  </conditionalFormatting>
  <conditionalFormatting sqref="JB28 JB43:JB44">
    <cfRule type="cellIs" priority="23" operator="equal" aboveAverage="0" equalAverage="0" bottom="0" percent="0" rank="0" text="" dxfId="658">
      <formula>"请再次核对"</formula>
    </cfRule>
  </conditionalFormatting>
  <conditionalFormatting sqref="JA31">
    <cfRule type="cellIs" priority="24" operator="equal" aboveAverage="0" equalAverage="0" bottom="0" percent="0" rank="0" text="" dxfId="659">
      <formula>"请再次核对"</formula>
    </cfRule>
  </conditionalFormatting>
  <conditionalFormatting sqref="JA28 JA43:JA44">
    <cfRule type="cellIs" priority="25" operator="equal" aboveAverage="0" equalAverage="0" bottom="0" percent="0" rank="0" text="" dxfId="660">
      <formula>"请再次核对"</formula>
    </cfRule>
  </conditionalFormatting>
  <conditionalFormatting sqref="IZ31">
    <cfRule type="cellIs" priority="26" operator="equal" aboveAverage="0" equalAverage="0" bottom="0" percent="0" rank="0" text="" dxfId="661">
      <formula>"请再次核对"</formula>
    </cfRule>
  </conditionalFormatting>
  <conditionalFormatting sqref="IZ28 IZ43:IZ44">
    <cfRule type="cellIs" priority="27" operator="equal" aboveAverage="0" equalAverage="0" bottom="0" percent="0" rank="0" text="" dxfId="662">
      <formula>"请再次核对"</formula>
    </cfRule>
  </conditionalFormatting>
  <conditionalFormatting sqref="IY31">
    <cfRule type="cellIs" priority="28" operator="equal" aboveAverage="0" equalAverage="0" bottom="0" percent="0" rank="0" text="" dxfId="663">
      <formula>"请再次核对"</formula>
    </cfRule>
  </conditionalFormatting>
  <conditionalFormatting sqref="IY28 IY43:IY44">
    <cfRule type="cellIs" priority="29" operator="equal" aboveAverage="0" equalAverage="0" bottom="0" percent="0" rank="0" text="" dxfId="664">
      <formula>"请再次核对"</formula>
    </cfRule>
  </conditionalFormatting>
  <conditionalFormatting sqref="IX31">
    <cfRule type="cellIs" priority="30" operator="equal" aboveAverage="0" equalAverage="0" bottom="0" percent="0" rank="0" text="" dxfId="665">
      <formula>"请再次核对"</formula>
    </cfRule>
  </conditionalFormatting>
  <conditionalFormatting sqref="IX28 IX43:IX44">
    <cfRule type="cellIs" priority="31" operator="equal" aboveAverage="0" equalAverage="0" bottom="0" percent="0" rank="0" text="" dxfId="666">
      <formula>"请再次核对"</formula>
    </cfRule>
  </conditionalFormatting>
  <conditionalFormatting sqref="IW31">
    <cfRule type="cellIs" priority="32" operator="equal" aboveAverage="0" equalAverage="0" bottom="0" percent="0" rank="0" text="" dxfId="667">
      <formula>"请再次核对"</formula>
    </cfRule>
  </conditionalFormatting>
  <conditionalFormatting sqref="IW28 IW43:IW44">
    <cfRule type="cellIs" priority="33" operator="equal" aboveAverage="0" equalAverage="0" bottom="0" percent="0" rank="0" text="" dxfId="668">
      <formula>"请再次核对"</formula>
    </cfRule>
  </conditionalFormatting>
  <conditionalFormatting sqref="IV31">
    <cfRule type="cellIs" priority="34" operator="equal" aboveAverage="0" equalAverage="0" bottom="0" percent="0" rank="0" text="" dxfId="669">
      <formula>"请再次核对"</formula>
    </cfRule>
  </conditionalFormatting>
  <conditionalFormatting sqref="IV28 IV43:IV44">
    <cfRule type="cellIs" priority="35" operator="equal" aboveAverage="0" equalAverage="0" bottom="0" percent="0" rank="0" text="" dxfId="670">
      <formula>"请再次核对"</formula>
    </cfRule>
  </conditionalFormatting>
  <conditionalFormatting sqref="IQ31">
    <cfRule type="cellIs" priority="36" operator="equal" aboveAverage="0" equalAverage="0" bottom="0" percent="0" rank="0" text="" dxfId="671">
      <formula>"请再次核对"</formula>
    </cfRule>
  </conditionalFormatting>
  <conditionalFormatting sqref="IQ43">
    <cfRule type="cellIs" priority="37" operator="equal" aboveAverage="0" equalAverage="0" bottom="0" percent="0" rank="0" text="" dxfId="672">
      <formula>"请再次核对"</formula>
    </cfRule>
  </conditionalFormatting>
  <conditionalFormatting sqref="IQ28 IQ44">
    <cfRule type="cellIs" priority="38" operator="equal" aboveAverage="0" equalAverage="0" bottom="0" percent="0" rank="0" text="" dxfId="673">
      <formula>"请再次核对"</formula>
    </cfRule>
  </conditionalFormatting>
  <conditionalFormatting sqref="IP31">
    <cfRule type="cellIs" priority="39" operator="equal" aboveAverage="0" equalAverage="0" bottom="0" percent="0" rank="0" text="" dxfId="674">
      <formula>"请再次核对"</formula>
    </cfRule>
  </conditionalFormatting>
  <conditionalFormatting sqref="IP43">
    <cfRule type="cellIs" priority="40" operator="equal" aboveAverage="0" equalAverage="0" bottom="0" percent="0" rank="0" text="" dxfId="675">
      <formula>"请再次核对"</formula>
    </cfRule>
  </conditionalFormatting>
  <conditionalFormatting sqref="IP28 IP44">
    <cfRule type="cellIs" priority="41" operator="equal" aboveAverage="0" equalAverage="0" bottom="0" percent="0" rank="0" text="" dxfId="676">
      <formula>"请再次核对"</formula>
    </cfRule>
  </conditionalFormatting>
  <conditionalFormatting sqref="IS43 IS31">
    <cfRule type="cellIs" priority="42" operator="equal" aboveAverage="0" equalAverage="0" bottom="0" percent="0" rank="0" text="" dxfId="677">
      <formula>"请再次核对"</formula>
    </cfRule>
  </conditionalFormatting>
  <conditionalFormatting sqref="IS44 IS28">
    <cfRule type="cellIs" priority="43" operator="equal" aboveAverage="0" equalAverage="0" bottom="0" percent="0" rank="0" text="" dxfId="678">
      <formula>"请再次核对"</formula>
    </cfRule>
  </conditionalFormatting>
  <conditionalFormatting sqref="IR43 IR31">
    <cfRule type="cellIs" priority="44" operator="equal" aboveAverage="0" equalAverage="0" bottom="0" percent="0" rank="0" text="" dxfId="679">
      <formula>"请再次核对"</formula>
    </cfRule>
  </conditionalFormatting>
  <conditionalFormatting sqref="IR44 IR28">
    <cfRule type="cellIs" priority="45" operator="equal" aboveAverage="0" equalAverage="0" bottom="0" percent="0" rank="0" text="" dxfId="680">
      <formula>"请再次核对"</formula>
    </cfRule>
  </conditionalFormatting>
  <conditionalFormatting sqref="II31">
    <cfRule type="cellIs" priority="46" operator="equal" aboveAverage="0" equalAverage="0" bottom="0" percent="0" rank="0" text="" dxfId="681">
      <formula>"请再次核对"</formula>
    </cfRule>
  </conditionalFormatting>
  <conditionalFormatting sqref="II43">
    <cfRule type="cellIs" priority="47" operator="equal" aboveAverage="0" equalAverage="0" bottom="0" percent="0" rank="0" text="" dxfId="682">
      <formula>"请再次核对"</formula>
    </cfRule>
  </conditionalFormatting>
  <conditionalFormatting sqref="II28 II44">
    <cfRule type="cellIs" priority="48" operator="equal" aboveAverage="0" equalAverage="0" bottom="0" percent="0" rank="0" text="" dxfId="683">
      <formula>"请再次核对"</formula>
    </cfRule>
  </conditionalFormatting>
  <conditionalFormatting sqref="IK31">
    <cfRule type="cellIs" priority="49" operator="equal" aboveAverage="0" equalAverage="0" bottom="0" percent="0" rank="0" text="" dxfId="684">
      <formula>"请再次核对"</formula>
    </cfRule>
  </conditionalFormatting>
  <conditionalFormatting sqref="IK43">
    <cfRule type="cellIs" priority="50" operator="equal" aboveAverage="0" equalAverage="0" bottom="0" percent="0" rank="0" text="" dxfId="685">
      <formula>"请再次核对"</formula>
    </cfRule>
  </conditionalFormatting>
  <conditionalFormatting sqref="IK28 IK44">
    <cfRule type="cellIs" priority="51" operator="equal" aboveAverage="0" equalAverage="0" bottom="0" percent="0" rank="0" text="" dxfId="686">
      <formula>"请再次核对"</formula>
    </cfRule>
  </conditionalFormatting>
  <conditionalFormatting sqref="IJ31">
    <cfRule type="cellIs" priority="52" operator="equal" aboveAverage="0" equalAverage="0" bottom="0" percent="0" rank="0" text="" dxfId="687">
      <formula>"请再次核对"</formula>
    </cfRule>
  </conditionalFormatting>
  <conditionalFormatting sqref="IJ43">
    <cfRule type="cellIs" priority="53" operator="equal" aboveAverage="0" equalAverage="0" bottom="0" percent="0" rank="0" text="" dxfId="688">
      <formula>"请再次核对"</formula>
    </cfRule>
  </conditionalFormatting>
  <conditionalFormatting sqref="IJ28 IJ44">
    <cfRule type="cellIs" priority="54" operator="equal" aboveAverage="0" equalAverage="0" bottom="0" percent="0" rank="0" text="" dxfId="689">
      <formula>"请再次核对"</formula>
    </cfRule>
  </conditionalFormatting>
  <conditionalFormatting sqref="IH28">
    <cfRule type="cellIs" priority="55" operator="equal" aboveAverage="0" equalAverage="0" bottom="0" percent="0" rank="0" text="" dxfId="690">
      <formula>"请再次核对"</formula>
    </cfRule>
  </conditionalFormatting>
  <conditionalFormatting sqref="IL31:IN31">
    <cfRule type="cellIs" priority="56" operator="equal" aboveAverage="0" equalAverage="0" bottom="0" percent="0" rank="0" text="" dxfId="691">
      <formula>"请再次核对"</formula>
    </cfRule>
  </conditionalFormatting>
  <conditionalFormatting sqref="IL43:IN43">
    <cfRule type="cellIs" priority="57" operator="equal" aboveAverage="0" equalAverage="0" bottom="0" percent="0" rank="0" text="" dxfId="692">
      <formula>"请再次核对"</formula>
    </cfRule>
  </conditionalFormatting>
  <conditionalFormatting sqref="IU31">
    <cfRule type="cellIs" priority="58" operator="equal" aboveAverage="0" equalAverage="0" bottom="0" percent="0" rank="0" text="" dxfId="693">
      <formula>"请再次核对"</formula>
    </cfRule>
  </conditionalFormatting>
  <conditionalFormatting sqref="HG31:IH31 IO43:IO44 C28 IL28:IO28 C31 C43:C44 HG28:IG28 IL44:IN44 IU28 IU43:IU44 JE43:JI44 JE28:JI28 HG43:IH44">
    <cfRule type="cellIs" priority="59" operator="equal" aboveAverage="0" equalAverage="0" bottom="0" percent="0" rank="0" text="" dxfId="694">
      <formula>"请再次核对"</formula>
    </cfRule>
  </conditionalFormatting>
  <dataValidations count="5">
    <dataValidation allowBlank="true" errorStyle="stop" operator="between" showDropDown="false" showErrorMessage="true" showInputMessage="true" sqref="C5:FL5 FN5:JI5 JK5 JM5 C32:JI32 JK32 JM32" type="list">
      <formula1>IF(JM$9=1,$A$57:$A$67,IF(JM$9=0,IF(JM$4="凝结水",$A$73:$A$75,$A$68:$A$71),$A$57:$A$76))</formula1>
      <formula2>0</formula2>
    </dataValidation>
    <dataValidation allowBlank="true" errorStyle="stop" operator="between" showDropDown="false" showErrorMessage="true" showInputMessage="true" sqref="C6:JI6 JK6 JM6 C33:JI33 JK33 JM33" type="list">
      <formula1>IF(JM$9=0,$A$79:$A$82,IF(JM$9=1,$A$83:$A$87,$A$79:$A$89))</formula1>
      <formula2>0</formula2>
    </dataValidation>
    <dataValidation allowBlank="true" errorStyle="stop" operator="between" showDropDown="false" showErrorMessage="true" showInputMessage="true" sqref="C4:FL4 FN4:FO4 GH4:IH4 IR4:JD4 JG4 JM4" type="list">
      <formula1>IF(JG$9=0,$B$57:$B$96,IF(JG$9=1,$B$98:$B$134,$B$57:$B$134))</formula1>
      <formula2>0</formula2>
    </dataValidation>
    <dataValidation allowBlank="true" errorStyle="stop" operator="between" showDropDown="false" showErrorMessage="true" showInputMessage="true" sqref="II4:IQ4" type="list">
      <formula1>IF(II$9=0,$B$56:$B$118,IF(II$9=1,$B$94:$B$130,$B$56:$B$130))</formula1>
      <formula2>0</formula2>
    </dataValidation>
    <dataValidation allowBlank="true" errorStyle="stop" operator="between" showDropDown="false" showErrorMessage="true" showInputMessage="true" sqref="FP4:GG4" type="list">
      <formula1>IF(FP$9=0,$B$57:$B$106,IF(FP$9=1,$B$108:$B$130,$B$57:$B$130))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01" r:id="rId4" name="Button 62">
              <controlPr defaultSize="0" print="false" autoFill="0" autoPict="0" macro="模块3.返回主页">
                <anchor moveWithCells="true" sizeWithCells="false">
                  <from>
                    <xdr:col>0</xdr:col>
                    <xdr:colOff>868680</xdr:colOff>
                    <xdr:row>0</xdr:row>
                    <xdr:rowOff>23040</xdr:rowOff>
                  </from>
                  <to>
                    <xdr:col>1</xdr:col>
                    <xdr:colOff>-588600</xdr:colOff>
                    <xdr:row>1</xdr:row>
                    <xdr:rowOff>-108360</xdr:rowOff>
                  </to>
                </anchor>
              </controlPr>
            </control>
          </mc:Choice>
        </mc:AlternateContent>
      </controls>
    </mc:Choice>
  </mc:AlternateConten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F8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I23" activeCellId="0" sqref="1:1048576"/>
    </sheetView>
  </sheetViews>
  <sheetFormatPr defaultColWidth="9.00390625" defaultRowHeight="14.25" zeroHeight="false" outlineLevelRow="0" outlineLevelCol="0"/>
  <cols>
    <col collapsed="false" customWidth="true" hidden="false" outlineLevel="0" max="1" min="1" style="0" width="31.63"/>
    <col collapsed="false" customWidth="true" hidden="false" outlineLevel="0" max="2" min="2" style="0" width="8.5"/>
    <col collapsed="false" customWidth="true" hidden="false" outlineLevel="0" max="4" min="3" style="0" width="20.5"/>
    <col collapsed="false" customWidth="true" hidden="false" outlineLevel="0" max="8" min="5" style="0" width="17.38"/>
    <col collapsed="false" customWidth="true" hidden="false" outlineLevel="0" max="9" min="9" style="0" width="22.75"/>
    <col collapsed="false" customWidth="true" hidden="false" outlineLevel="0" max="31" min="10" style="0" width="17.38"/>
    <col collapsed="false" customWidth="true" hidden="false" outlineLevel="0" max="33" min="32" style="0" width="22"/>
    <col collapsed="false" customWidth="true" hidden="false" outlineLevel="0" max="34" min="34" style="0" width="10.37"/>
    <col collapsed="false" customWidth="true" hidden="false" outlineLevel="0" max="36" min="35" style="0" width="17.38"/>
  </cols>
  <sheetData>
    <row r="1" customFormat="false" ht="15" hidden="false" customHeight="false" outlineLevel="0" collapsed="false">
      <c r="A1" s="973" t="s">
        <v>1383</v>
      </c>
      <c r="B1" s="973" t="s">
        <v>275</v>
      </c>
      <c r="C1" s="974" t="n">
        <f aca="false">COLUMN()-2</f>
        <v>1</v>
      </c>
      <c r="D1" s="974" t="n">
        <f aca="false">COLUMN()-2</f>
        <v>2</v>
      </c>
      <c r="E1" s="974" t="n">
        <f aca="false">COLUMN()-2</f>
        <v>3</v>
      </c>
      <c r="F1" s="974" t="n">
        <f aca="false">COLUMN()-2</f>
        <v>4</v>
      </c>
      <c r="G1" s="974" t="n">
        <f aca="false">COLUMN()-2</f>
        <v>5</v>
      </c>
      <c r="H1" s="974" t="n">
        <f aca="false">COLUMN()-2</f>
        <v>6</v>
      </c>
      <c r="I1" s="974" t="n">
        <f aca="false">COLUMN()-2</f>
        <v>7</v>
      </c>
      <c r="J1" s="974" t="n">
        <f aca="false">COLUMN()-2</f>
        <v>8</v>
      </c>
      <c r="K1" s="974" t="n">
        <f aca="false">COLUMN()-2</f>
        <v>9</v>
      </c>
      <c r="L1" s="974" t="n">
        <f aca="false">COLUMN()-2</f>
        <v>10</v>
      </c>
      <c r="M1" s="974" t="n">
        <f aca="false">COLUMN()-2</f>
        <v>11</v>
      </c>
      <c r="N1" s="974" t="n">
        <f aca="false">COLUMN()-2</f>
        <v>12</v>
      </c>
      <c r="O1" s="974" t="n">
        <f aca="false">COLUMN()-2</f>
        <v>13</v>
      </c>
      <c r="P1" s="974" t="n">
        <f aca="false">COLUMN()-2</f>
        <v>14</v>
      </c>
      <c r="Q1" s="974" t="n">
        <f aca="false">COLUMN()-2</f>
        <v>15</v>
      </c>
      <c r="R1" s="974" t="n">
        <f aca="false">COLUMN()-2</f>
        <v>16</v>
      </c>
      <c r="S1" s="974" t="n">
        <f aca="false">COLUMN()-2</f>
        <v>17</v>
      </c>
      <c r="T1" s="974" t="n">
        <f aca="false">COLUMN()-2</f>
        <v>18</v>
      </c>
      <c r="U1" s="974" t="n">
        <f aca="false">COLUMN()-2</f>
        <v>19</v>
      </c>
      <c r="V1" s="974" t="n">
        <f aca="false">COLUMN()-2</f>
        <v>20</v>
      </c>
      <c r="W1" s="974" t="n">
        <f aca="false">COLUMN()-2</f>
        <v>21</v>
      </c>
      <c r="X1" s="974" t="n">
        <f aca="false">COLUMN()-2</f>
        <v>22</v>
      </c>
      <c r="Y1" s="974" t="n">
        <f aca="false">COLUMN()-2</f>
        <v>23</v>
      </c>
      <c r="Z1" s="974" t="n">
        <f aca="false">COLUMN()-2</f>
        <v>24</v>
      </c>
      <c r="AA1" s="974" t="n">
        <f aca="false">COLUMN()-2</f>
        <v>25</v>
      </c>
      <c r="AB1" s="974" t="n">
        <f aca="false">COLUMN()-2</f>
        <v>26</v>
      </c>
      <c r="AC1" s="974" t="n">
        <f aca="false">COLUMN()-2</f>
        <v>27</v>
      </c>
      <c r="AD1" s="974" t="n">
        <f aca="false">COLUMN()-2</f>
        <v>28</v>
      </c>
      <c r="AE1" s="974" t="n">
        <f aca="false">COLUMN()-2</f>
        <v>29</v>
      </c>
      <c r="AF1" s="974" t="n">
        <f aca="false">COLUMN()-2</f>
        <v>30</v>
      </c>
      <c r="AG1" s="974" t="n">
        <f aca="false">COLUMN()-2</f>
        <v>31</v>
      </c>
      <c r="AH1" s="974"/>
      <c r="AI1" s="974" t="n">
        <f aca="false">COLUMN()-2</f>
        <v>33</v>
      </c>
      <c r="AJ1" s="974" t="n">
        <f aca="false">COLUMN()-2</f>
        <v>34</v>
      </c>
      <c r="AK1" s="974"/>
      <c r="AL1" s="974"/>
      <c r="AM1" s="974"/>
      <c r="AN1" s="974"/>
      <c r="AO1" s="974"/>
      <c r="AP1" s="974"/>
      <c r="AQ1" s="974"/>
      <c r="AR1" s="974"/>
      <c r="AS1" s="974"/>
      <c r="AT1" s="974"/>
      <c r="AU1" s="974"/>
      <c r="AV1" s="974"/>
      <c r="AW1" s="974"/>
      <c r="AX1" s="974"/>
      <c r="AY1" s="974"/>
      <c r="AZ1" s="974"/>
      <c r="BA1" s="974"/>
      <c r="BB1" s="974"/>
      <c r="BC1" s="974"/>
      <c r="BD1" s="974"/>
      <c r="BE1" s="974"/>
      <c r="BF1" s="974"/>
      <c r="BG1" s="974"/>
      <c r="BH1" s="974"/>
      <c r="BI1" s="974"/>
      <c r="BJ1" s="974"/>
      <c r="BK1" s="974"/>
      <c r="BL1" s="974"/>
      <c r="BM1" s="974"/>
      <c r="BN1" s="974"/>
      <c r="BO1" s="974"/>
      <c r="BP1" s="974"/>
      <c r="BQ1" s="974"/>
      <c r="BR1" s="974"/>
      <c r="BS1" s="974"/>
      <c r="BT1" s="974"/>
      <c r="BU1" s="974"/>
      <c r="BV1" s="974"/>
      <c r="BW1" s="974"/>
      <c r="BX1" s="974"/>
      <c r="BY1" s="974"/>
      <c r="BZ1" s="974"/>
      <c r="CA1" s="974"/>
      <c r="CB1" s="974"/>
      <c r="CC1" s="974"/>
      <c r="CD1" s="974"/>
      <c r="CE1" s="974"/>
      <c r="CF1" s="974"/>
      <c r="CG1" s="974"/>
      <c r="CH1" s="974"/>
      <c r="CI1" s="974"/>
      <c r="CJ1" s="974"/>
      <c r="CK1" s="974"/>
      <c r="CL1" s="974"/>
      <c r="CM1" s="974"/>
      <c r="CN1" s="974"/>
      <c r="CO1" s="974"/>
      <c r="CP1" s="974"/>
      <c r="CQ1" s="974"/>
      <c r="CR1" s="974"/>
      <c r="CS1" s="974"/>
      <c r="CT1" s="974"/>
      <c r="CU1" s="974"/>
      <c r="CV1" s="974"/>
      <c r="CW1" s="974"/>
      <c r="CX1" s="974"/>
      <c r="CY1" s="974"/>
      <c r="CZ1" s="974"/>
      <c r="DA1" s="974"/>
      <c r="DB1" s="974"/>
      <c r="DC1" s="974"/>
      <c r="DD1" s="974"/>
      <c r="DE1" s="974"/>
      <c r="DF1" s="974"/>
      <c r="DG1" s="974"/>
      <c r="DH1" s="974"/>
      <c r="DI1" s="974"/>
      <c r="DJ1" s="974"/>
      <c r="DK1" s="974"/>
      <c r="DL1" s="974"/>
      <c r="DM1" s="974"/>
      <c r="DN1" s="974"/>
      <c r="DO1" s="974"/>
      <c r="DP1" s="974"/>
      <c r="DQ1" s="974"/>
      <c r="DR1" s="974"/>
      <c r="DS1" s="974"/>
      <c r="DT1" s="974"/>
      <c r="DU1" s="974"/>
      <c r="DV1" s="974"/>
      <c r="DW1" s="974"/>
      <c r="DX1" s="974"/>
      <c r="DY1" s="974"/>
      <c r="DZ1" s="974"/>
      <c r="EA1" s="974"/>
      <c r="EB1" s="974"/>
      <c r="EC1" s="974"/>
      <c r="ED1" s="974"/>
      <c r="EE1" s="974"/>
      <c r="EF1" s="974"/>
      <c r="EG1" s="974"/>
      <c r="EH1" s="974"/>
      <c r="EI1" s="974"/>
      <c r="EJ1" s="974"/>
      <c r="EK1" s="974"/>
      <c r="EL1" s="974"/>
      <c r="EM1" s="974"/>
      <c r="EN1" s="974"/>
      <c r="EO1" s="974"/>
      <c r="EP1" s="974"/>
      <c r="EQ1" s="974"/>
      <c r="ER1" s="974"/>
      <c r="ES1" s="974"/>
      <c r="ET1" s="974"/>
      <c r="EU1" s="974"/>
      <c r="EV1" s="974"/>
      <c r="EW1" s="974"/>
      <c r="EX1" s="974"/>
      <c r="EY1" s="974"/>
      <c r="EZ1" s="974"/>
      <c r="FA1" s="974"/>
      <c r="FB1" s="974"/>
      <c r="FC1" s="974"/>
      <c r="FD1" s="974"/>
      <c r="FE1" s="974"/>
      <c r="FF1" s="974"/>
      <c r="FG1" s="974"/>
      <c r="FH1" s="974"/>
      <c r="FI1" s="974"/>
      <c r="FJ1" s="974"/>
      <c r="FK1" s="974"/>
      <c r="FL1" s="974"/>
      <c r="FM1" s="974"/>
      <c r="FN1" s="974"/>
      <c r="FO1" s="974"/>
      <c r="FP1" s="974"/>
      <c r="FQ1" s="974"/>
      <c r="FR1" s="974"/>
      <c r="FS1" s="974"/>
      <c r="FT1" s="974"/>
      <c r="FU1" s="974"/>
      <c r="FV1" s="974"/>
      <c r="FW1" s="974"/>
      <c r="FX1" s="974"/>
      <c r="FY1" s="974"/>
      <c r="FZ1" s="974"/>
      <c r="GA1" s="974"/>
      <c r="GB1" s="974"/>
      <c r="GC1" s="974"/>
      <c r="GD1" s="974"/>
      <c r="GE1" s="974"/>
      <c r="GF1" s="974"/>
      <c r="GG1" s="974"/>
      <c r="GH1" s="974"/>
      <c r="GI1" s="974"/>
      <c r="GJ1" s="974"/>
      <c r="GK1" s="974"/>
      <c r="GL1" s="974"/>
      <c r="GM1" s="974"/>
      <c r="GN1" s="974"/>
      <c r="GO1" s="974"/>
      <c r="GP1" s="974"/>
      <c r="GQ1" s="974"/>
      <c r="GR1" s="974"/>
      <c r="GS1" s="974"/>
      <c r="GT1" s="974"/>
      <c r="GU1" s="974"/>
      <c r="GV1" s="974"/>
      <c r="GW1" s="974"/>
      <c r="GX1" s="974"/>
      <c r="GY1" s="974"/>
      <c r="GZ1" s="974"/>
      <c r="HA1" s="974"/>
      <c r="HB1" s="974"/>
      <c r="HC1" s="974"/>
      <c r="HD1" s="974"/>
      <c r="HE1" s="974"/>
      <c r="HF1" s="974"/>
      <c r="HG1" s="974"/>
      <c r="HH1" s="974"/>
      <c r="HI1" s="974"/>
      <c r="HJ1" s="974"/>
      <c r="HK1" s="974"/>
      <c r="HL1" s="974"/>
      <c r="HM1" s="974"/>
      <c r="HN1" s="974"/>
      <c r="HO1" s="974"/>
      <c r="HP1" s="974"/>
      <c r="HQ1" s="974"/>
      <c r="HR1" s="974"/>
      <c r="HS1" s="974"/>
      <c r="HT1" s="974"/>
      <c r="HU1" s="974"/>
      <c r="HV1" s="974"/>
      <c r="HW1" s="974"/>
      <c r="HX1" s="974"/>
      <c r="HY1" s="974"/>
      <c r="HZ1" s="974"/>
      <c r="IA1" s="974"/>
      <c r="IB1" s="974"/>
      <c r="IC1" s="974"/>
      <c r="ID1" s="974"/>
      <c r="IE1" s="974"/>
      <c r="IF1" s="974"/>
      <c r="IG1" s="974"/>
      <c r="IH1" s="974"/>
      <c r="II1" s="974"/>
      <c r="IJ1" s="974"/>
      <c r="IK1" s="974"/>
      <c r="IL1" s="974"/>
      <c r="IM1" s="974"/>
      <c r="IN1" s="974"/>
      <c r="IO1" s="974"/>
      <c r="IP1" s="974"/>
      <c r="IQ1" s="974"/>
      <c r="IR1" s="974"/>
      <c r="IS1" s="974"/>
      <c r="IT1" s="974"/>
      <c r="IU1" s="974"/>
      <c r="IV1" s="974"/>
      <c r="IW1" s="974"/>
      <c r="IX1" s="974"/>
      <c r="IY1" s="974"/>
      <c r="IZ1" s="974"/>
      <c r="JA1" s="974"/>
      <c r="JB1" s="974"/>
      <c r="JC1" s="974"/>
      <c r="JD1" s="974"/>
      <c r="JE1" s="974"/>
      <c r="JF1" s="974"/>
      <c r="JG1" s="974"/>
      <c r="JH1" s="974"/>
      <c r="JI1" s="974"/>
      <c r="JJ1" s="974"/>
      <c r="JK1" s="974"/>
      <c r="JL1" s="974"/>
      <c r="JM1" s="974"/>
      <c r="JN1" s="974"/>
      <c r="JO1" s="974"/>
      <c r="JP1" s="974"/>
      <c r="JQ1" s="974"/>
      <c r="JR1" s="974"/>
      <c r="JS1" s="974"/>
      <c r="JT1" s="974"/>
      <c r="JU1" s="974"/>
      <c r="JV1" s="974"/>
      <c r="JW1" s="974"/>
      <c r="JX1" s="974"/>
      <c r="JY1" s="974"/>
      <c r="JZ1" s="974"/>
      <c r="KA1" s="974"/>
      <c r="KB1" s="974"/>
      <c r="KC1" s="974"/>
      <c r="KD1" s="974"/>
      <c r="KE1" s="974"/>
      <c r="KF1" s="974"/>
      <c r="KG1" s="974"/>
      <c r="KH1" s="974"/>
      <c r="KI1" s="974"/>
      <c r="KJ1" s="974"/>
      <c r="KK1" s="974"/>
      <c r="KL1" s="974"/>
      <c r="KM1" s="974"/>
      <c r="KN1" s="974"/>
      <c r="KO1" s="974"/>
      <c r="KP1" s="974"/>
      <c r="KQ1" s="974"/>
      <c r="KR1" s="974"/>
      <c r="KS1" s="974"/>
      <c r="KT1" s="974"/>
      <c r="KU1" s="974"/>
      <c r="KV1" s="974"/>
      <c r="KW1" s="974"/>
      <c r="KX1" s="974"/>
      <c r="KY1" s="974"/>
      <c r="KZ1" s="974"/>
      <c r="LA1" s="974"/>
      <c r="LB1" s="974"/>
      <c r="LC1" s="974"/>
      <c r="LD1" s="974"/>
      <c r="LE1" s="974"/>
      <c r="LF1" s="974"/>
      <c r="LG1" s="974"/>
      <c r="LH1" s="974"/>
      <c r="LI1" s="974"/>
      <c r="LJ1" s="974"/>
      <c r="LK1" s="974"/>
      <c r="LL1" s="974"/>
      <c r="LM1" s="974"/>
      <c r="LN1" s="974"/>
      <c r="LO1" s="974"/>
      <c r="LP1" s="974"/>
      <c r="LQ1" s="974"/>
      <c r="LR1" s="974"/>
      <c r="LS1" s="974"/>
      <c r="LT1" s="974"/>
      <c r="LU1" s="974"/>
      <c r="LV1" s="974"/>
      <c r="LW1" s="974"/>
      <c r="LX1" s="974"/>
      <c r="LY1" s="974"/>
      <c r="LZ1" s="974"/>
      <c r="MA1" s="974"/>
      <c r="MB1" s="974"/>
      <c r="MC1" s="974"/>
      <c r="MD1" s="974"/>
      <c r="ME1" s="974"/>
      <c r="MF1" s="974"/>
      <c r="MG1" s="974"/>
      <c r="MH1" s="974"/>
      <c r="MI1" s="974"/>
      <c r="MJ1" s="974"/>
      <c r="MK1" s="974"/>
      <c r="ML1" s="974"/>
      <c r="MM1" s="974"/>
      <c r="MN1" s="974"/>
      <c r="MO1" s="974"/>
      <c r="MP1" s="974"/>
      <c r="MQ1" s="974"/>
      <c r="MR1" s="974"/>
      <c r="MS1" s="974"/>
      <c r="MT1" s="974"/>
      <c r="MU1" s="974"/>
      <c r="MV1" s="974"/>
      <c r="MW1" s="974"/>
      <c r="MX1" s="974"/>
      <c r="MY1" s="974"/>
      <c r="MZ1" s="974"/>
      <c r="NA1" s="974"/>
      <c r="NB1" s="974"/>
      <c r="NC1" s="974"/>
      <c r="ND1" s="974"/>
      <c r="NE1" s="974"/>
      <c r="NF1" s="974"/>
    </row>
    <row r="2" customFormat="false" ht="15" hidden="false" customHeight="false" outlineLevel="0" collapsed="false">
      <c r="A2" s="973" t="s">
        <v>1384</v>
      </c>
      <c r="B2" s="973"/>
      <c r="C2" s="975" t="n">
        <v>112</v>
      </c>
      <c r="D2" s="975" t="n">
        <v>114</v>
      </c>
      <c r="E2" s="975" t="n">
        <f aca="false">物流参数!F1</f>
        <v>103</v>
      </c>
      <c r="F2" s="975" t="n">
        <f aca="false">物流参数!FM1</f>
        <v>0</v>
      </c>
      <c r="G2" s="976"/>
      <c r="H2" s="975" t="n">
        <f aca="false">物流参数!FL1</f>
        <v>0</v>
      </c>
      <c r="I2" s="975"/>
      <c r="J2" s="975" t="n">
        <f aca="false">物流参数!I1</f>
        <v>106</v>
      </c>
      <c r="K2" s="975" t="n">
        <f aca="false">物流参数!AL1</f>
        <v>213</v>
      </c>
      <c r="L2" s="975" t="n">
        <f aca="false">物流参数!DR1</f>
        <v>518</v>
      </c>
      <c r="M2" s="975" t="n">
        <f aca="false">物流参数!AM1</f>
        <v>214</v>
      </c>
      <c r="N2" s="975" t="n">
        <f aca="false">物流参数!AP1</f>
        <v>217</v>
      </c>
      <c r="O2" s="975" t="n">
        <f aca="false">物流参数!FE1</f>
        <v>708</v>
      </c>
      <c r="P2" s="975" t="n">
        <f aca="false">物流参数!DT1</f>
        <v>520</v>
      </c>
      <c r="Q2" s="975" t="n">
        <f aca="false">物流参数!DS1</f>
        <v>519</v>
      </c>
      <c r="R2" s="975" t="n">
        <f aca="false">物流参数!O1</f>
        <v>112</v>
      </c>
      <c r="S2" s="975" t="n">
        <f aca="false">物流参数!R1</f>
        <v>115</v>
      </c>
      <c r="T2" s="975" t="n">
        <f aca="false">物流参数!S1</f>
        <v>116</v>
      </c>
      <c r="U2" s="975" t="n">
        <f aca="false">物流参数!AB1</f>
        <v>203</v>
      </c>
      <c r="V2" s="975" t="n">
        <f aca="false">物流参数!AD1</f>
        <v>205</v>
      </c>
      <c r="W2" s="975" t="n">
        <f aca="false">物流参数!AE1</f>
        <v>206</v>
      </c>
      <c r="X2" s="975" t="n">
        <f aca="false">物流参数!AH1</f>
        <v>209</v>
      </c>
      <c r="Y2" s="975" t="n">
        <f aca="false">物流参数!DH1</f>
        <v>508</v>
      </c>
      <c r="Z2" s="975" t="n">
        <f aca="false">物流参数!DE1</f>
        <v>505</v>
      </c>
      <c r="AA2" s="975" t="n">
        <f aca="false">物流参数!CQ1</f>
        <v>421</v>
      </c>
      <c r="AB2" s="975" t="n">
        <f aca="false">物流参数!CR1</f>
        <v>422</v>
      </c>
      <c r="AC2" s="975" t="n">
        <f aca="false">物流参数!CS1</f>
        <v>423</v>
      </c>
      <c r="AD2" s="975" t="n">
        <f aca="false">物流参数!AJ1</f>
        <v>211</v>
      </c>
      <c r="AE2" s="975" t="n">
        <f aca="false">物流参数!CO1</f>
        <v>419</v>
      </c>
      <c r="AF2" s="975" t="n">
        <f aca="false">物流参数!BU1</f>
        <v>322</v>
      </c>
      <c r="AG2" s="975" t="n">
        <f aca="false">物流参数!BV1</f>
        <v>400</v>
      </c>
      <c r="AH2" s="975"/>
      <c r="AI2" s="975" t="n">
        <f aca="false">物流参数!FZ1</f>
        <v>0</v>
      </c>
      <c r="AJ2" s="975" t="n">
        <f aca="false">物流参数!GA1</f>
        <v>0</v>
      </c>
      <c r="AK2" s="975"/>
      <c r="AL2" s="975"/>
      <c r="AM2" s="975"/>
      <c r="AN2" s="975"/>
      <c r="AO2" s="975"/>
      <c r="AP2" s="975"/>
      <c r="AQ2" s="975"/>
      <c r="AR2" s="975"/>
      <c r="AS2" s="975"/>
      <c r="AT2" s="975"/>
      <c r="AU2" s="975"/>
      <c r="AV2" s="975"/>
      <c r="AW2" s="975"/>
      <c r="AX2" s="975"/>
      <c r="AY2" s="975"/>
      <c r="AZ2" s="975"/>
      <c r="BA2" s="975"/>
      <c r="BB2" s="975"/>
      <c r="BC2" s="975"/>
      <c r="BD2" s="975"/>
      <c r="BE2" s="975"/>
      <c r="BF2" s="975"/>
      <c r="BG2" s="975"/>
      <c r="BH2" s="975"/>
      <c r="BI2" s="975"/>
      <c r="BJ2" s="975"/>
      <c r="BK2" s="975"/>
      <c r="BL2" s="975"/>
      <c r="BM2" s="975"/>
      <c r="BN2" s="975"/>
      <c r="BO2" s="975"/>
      <c r="BP2" s="975"/>
      <c r="BQ2" s="975"/>
      <c r="BR2" s="975"/>
      <c r="BS2" s="975"/>
      <c r="BT2" s="975"/>
      <c r="BU2" s="975"/>
      <c r="BV2" s="975"/>
      <c r="BW2" s="975"/>
      <c r="BX2" s="975"/>
      <c r="BY2" s="975"/>
      <c r="BZ2" s="975"/>
      <c r="CA2" s="975"/>
      <c r="CB2" s="975"/>
      <c r="CC2" s="975"/>
      <c r="CD2" s="975"/>
      <c r="CE2" s="975"/>
      <c r="CF2" s="975"/>
      <c r="CG2" s="975"/>
      <c r="CH2" s="975"/>
      <c r="CI2" s="975"/>
      <c r="CJ2" s="975"/>
      <c r="CK2" s="975"/>
      <c r="CL2" s="975"/>
      <c r="CM2" s="975"/>
      <c r="CN2" s="975"/>
      <c r="CO2" s="975"/>
      <c r="CP2" s="975"/>
      <c r="CQ2" s="975"/>
      <c r="CR2" s="975"/>
      <c r="CS2" s="975"/>
      <c r="CT2" s="975"/>
      <c r="CU2" s="975"/>
      <c r="CV2" s="975"/>
      <c r="CW2" s="975"/>
      <c r="CX2" s="975"/>
      <c r="CY2" s="975"/>
      <c r="CZ2" s="975"/>
      <c r="DA2" s="975"/>
      <c r="DB2" s="975"/>
      <c r="DC2" s="975"/>
      <c r="DD2" s="975"/>
      <c r="DE2" s="975"/>
      <c r="DF2" s="975"/>
      <c r="DG2" s="975"/>
      <c r="DH2" s="975"/>
      <c r="DI2" s="975"/>
      <c r="DJ2" s="975"/>
      <c r="DK2" s="975"/>
      <c r="DL2" s="975"/>
      <c r="DM2" s="975"/>
      <c r="DN2" s="975"/>
      <c r="DO2" s="975"/>
      <c r="DP2" s="975"/>
      <c r="DQ2" s="975"/>
      <c r="DR2" s="975"/>
      <c r="DS2" s="975"/>
      <c r="DT2" s="975"/>
      <c r="DU2" s="975"/>
      <c r="DV2" s="975"/>
      <c r="DW2" s="975"/>
      <c r="DX2" s="975"/>
      <c r="DY2" s="975"/>
      <c r="DZ2" s="975"/>
      <c r="EA2" s="975"/>
      <c r="EB2" s="975"/>
      <c r="EC2" s="975"/>
      <c r="ED2" s="975"/>
      <c r="EE2" s="975"/>
      <c r="EF2" s="975"/>
      <c r="EG2" s="975"/>
      <c r="EH2" s="975"/>
      <c r="EI2" s="975"/>
      <c r="EJ2" s="975"/>
      <c r="EK2" s="975"/>
      <c r="EL2" s="975"/>
      <c r="EM2" s="975"/>
      <c r="EN2" s="975"/>
      <c r="EO2" s="975"/>
      <c r="EP2" s="975"/>
      <c r="EQ2" s="975"/>
      <c r="ER2" s="975"/>
      <c r="ES2" s="975"/>
      <c r="ET2" s="975"/>
      <c r="EU2" s="975"/>
      <c r="EV2" s="975"/>
      <c r="EW2" s="975"/>
      <c r="EX2" s="975"/>
      <c r="EY2" s="975"/>
      <c r="EZ2" s="975"/>
      <c r="FA2" s="975"/>
      <c r="FB2" s="975"/>
      <c r="FC2" s="975"/>
      <c r="FD2" s="975"/>
      <c r="FE2" s="975"/>
      <c r="FF2" s="975"/>
      <c r="FG2" s="975"/>
      <c r="FH2" s="975"/>
      <c r="FI2" s="975"/>
      <c r="FJ2" s="975"/>
      <c r="FK2" s="975"/>
      <c r="FL2" s="975"/>
      <c r="FM2" s="975"/>
      <c r="FN2" s="975"/>
      <c r="FO2" s="975"/>
      <c r="FP2" s="975"/>
      <c r="FQ2" s="975"/>
      <c r="FR2" s="975"/>
      <c r="FS2" s="975"/>
      <c r="FT2" s="975"/>
      <c r="FU2" s="975"/>
      <c r="FV2" s="975"/>
      <c r="FW2" s="975"/>
      <c r="FX2" s="975"/>
      <c r="FY2" s="975"/>
      <c r="FZ2" s="975"/>
      <c r="GA2" s="975"/>
      <c r="GB2" s="975"/>
      <c r="GC2" s="975"/>
      <c r="GD2" s="975"/>
      <c r="GE2" s="975"/>
      <c r="GF2" s="975"/>
      <c r="GG2" s="975"/>
      <c r="GH2" s="975"/>
      <c r="GI2" s="975"/>
      <c r="GJ2" s="975"/>
      <c r="GK2" s="975"/>
      <c r="GL2" s="975"/>
      <c r="GM2" s="975"/>
      <c r="GN2" s="975"/>
      <c r="GO2" s="975"/>
      <c r="GP2" s="975"/>
      <c r="GQ2" s="975"/>
      <c r="GR2" s="975"/>
      <c r="GS2" s="975"/>
      <c r="GT2" s="975"/>
      <c r="GU2" s="975"/>
      <c r="GV2" s="975"/>
      <c r="GW2" s="975"/>
      <c r="GX2" s="975"/>
      <c r="GY2" s="975"/>
      <c r="GZ2" s="975"/>
      <c r="HA2" s="975"/>
      <c r="HB2" s="975"/>
      <c r="HC2" s="975"/>
      <c r="HD2" s="975"/>
      <c r="HE2" s="975"/>
      <c r="HF2" s="975"/>
      <c r="HG2" s="975"/>
      <c r="HH2" s="975"/>
      <c r="HI2" s="975"/>
      <c r="HJ2" s="975"/>
      <c r="HK2" s="975"/>
      <c r="HL2" s="975"/>
      <c r="HM2" s="975"/>
      <c r="HN2" s="975"/>
      <c r="HO2" s="975"/>
      <c r="HP2" s="975"/>
      <c r="HQ2" s="975"/>
      <c r="HR2" s="975"/>
      <c r="HS2" s="975"/>
      <c r="HT2" s="975"/>
      <c r="HU2" s="975"/>
      <c r="HV2" s="975"/>
      <c r="HW2" s="975"/>
      <c r="HX2" s="975"/>
      <c r="HY2" s="975"/>
      <c r="HZ2" s="975"/>
      <c r="IA2" s="975"/>
      <c r="IB2" s="975"/>
      <c r="IC2" s="975"/>
      <c r="ID2" s="975"/>
      <c r="IE2" s="975"/>
      <c r="IF2" s="975"/>
      <c r="IG2" s="975"/>
      <c r="IH2" s="975"/>
      <c r="II2" s="975"/>
      <c r="IJ2" s="975"/>
      <c r="IK2" s="975"/>
      <c r="IL2" s="975"/>
      <c r="IM2" s="975"/>
      <c r="IN2" s="975"/>
      <c r="IO2" s="975"/>
      <c r="IP2" s="975"/>
      <c r="IQ2" s="975"/>
      <c r="IR2" s="975"/>
      <c r="IS2" s="975"/>
      <c r="IT2" s="975"/>
      <c r="IU2" s="975"/>
      <c r="IV2" s="975"/>
      <c r="IW2" s="975"/>
      <c r="IX2" s="975"/>
      <c r="IY2" s="975"/>
      <c r="IZ2" s="975"/>
      <c r="JA2" s="975"/>
      <c r="JB2" s="975"/>
      <c r="JC2" s="975"/>
      <c r="JD2" s="975"/>
      <c r="JE2" s="975"/>
      <c r="JF2" s="975"/>
      <c r="JG2" s="975"/>
      <c r="JH2" s="975"/>
      <c r="JI2" s="975"/>
      <c r="JJ2" s="975"/>
      <c r="JK2" s="975"/>
      <c r="JL2" s="975"/>
      <c r="JM2" s="975"/>
      <c r="JN2" s="975"/>
      <c r="JO2" s="975"/>
      <c r="JP2" s="975"/>
      <c r="JQ2" s="975"/>
      <c r="JR2" s="975"/>
      <c r="JS2" s="975"/>
      <c r="JT2" s="975"/>
      <c r="JU2" s="975"/>
      <c r="JV2" s="975"/>
      <c r="JW2" s="975"/>
      <c r="JX2" s="975"/>
      <c r="JY2" s="975"/>
      <c r="JZ2" s="975"/>
      <c r="KA2" s="975"/>
      <c r="KB2" s="975"/>
      <c r="KC2" s="975"/>
      <c r="KD2" s="975"/>
      <c r="KE2" s="975"/>
      <c r="KF2" s="975"/>
      <c r="KG2" s="975"/>
      <c r="KH2" s="975"/>
      <c r="KI2" s="975"/>
      <c r="KJ2" s="975"/>
      <c r="KK2" s="975"/>
      <c r="KL2" s="975"/>
      <c r="KM2" s="975"/>
      <c r="KN2" s="975"/>
      <c r="KO2" s="975"/>
      <c r="KP2" s="975"/>
      <c r="KQ2" s="975"/>
      <c r="KR2" s="975"/>
      <c r="KS2" s="975"/>
      <c r="KT2" s="975"/>
      <c r="KU2" s="975"/>
      <c r="KV2" s="975"/>
      <c r="KW2" s="975"/>
      <c r="KX2" s="975"/>
      <c r="KY2" s="975"/>
      <c r="KZ2" s="975"/>
      <c r="LA2" s="975"/>
      <c r="LB2" s="975"/>
      <c r="LC2" s="975"/>
      <c r="LD2" s="975"/>
      <c r="LE2" s="975"/>
      <c r="LF2" s="975"/>
      <c r="LG2" s="975"/>
      <c r="LH2" s="975"/>
      <c r="LI2" s="975"/>
      <c r="LJ2" s="975"/>
      <c r="LK2" s="975"/>
      <c r="LL2" s="975"/>
      <c r="LM2" s="975"/>
      <c r="LN2" s="975"/>
      <c r="LO2" s="975"/>
      <c r="LP2" s="975"/>
      <c r="LQ2" s="975"/>
      <c r="LR2" s="975"/>
      <c r="LS2" s="975"/>
      <c r="LT2" s="975"/>
      <c r="LU2" s="975"/>
      <c r="LV2" s="975"/>
      <c r="LW2" s="975"/>
      <c r="LX2" s="975"/>
      <c r="LY2" s="975"/>
      <c r="LZ2" s="975"/>
      <c r="MA2" s="975"/>
      <c r="MB2" s="975"/>
      <c r="MC2" s="975"/>
      <c r="MD2" s="975"/>
      <c r="ME2" s="975"/>
      <c r="MF2" s="975"/>
      <c r="MG2" s="975"/>
      <c r="MH2" s="975"/>
      <c r="MI2" s="975"/>
      <c r="MJ2" s="975"/>
      <c r="MK2" s="975"/>
      <c r="ML2" s="975"/>
      <c r="MM2" s="975"/>
      <c r="MN2" s="975"/>
      <c r="MO2" s="975"/>
      <c r="MP2" s="975"/>
      <c r="MQ2" s="975"/>
      <c r="MR2" s="975"/>
      <c r="MS2" s="975"/>
      <c r="MT2" s="975"/>
      <c r="MU2" s="975"/>
      <c r="MV2" s="975"/>
      <c r="MW2" s="975"/>
      <c r="MX2" s="975"/>
      <c r="MY2" s="975"/>
      <c r="MZ2" s="975"/>
      <c r="NA2" s="975"/>
      <c r="NB2" s="975"/>
      <c r="NC2" s="975"/>
      <c r="ND2" s="975"/>
      <c r="NE2" s="975"/>
      <c r="NF2" s="975"/>
    </row>
    <row r="3" customFormat="false" ht="15" hidden="false" customHeight="false" outlineLevel="0" collapsed="false">
      <c r="A3" s="977" t="s">
        <v>1387</v>
      </c>
      <c r="B3" s="977"/>
      <c r="C3" s="257" t="str">
        <f aca="false">HLOOKUP(C2,单相流管径核算!$C$2:$GD$4,2)</f>
        <v>混合油</v>
      </c>
      <c r="D3" s="257" t="str">
        <f aca="false">HLOOKUP(D2,单相流管径核算!$C$2:$GD$4,2)</f>
        <v>出E-102</v>
      </c>
      <c r="E3" s="257" t="str">
        <f aca="false">HLOOKUP(E2,单相流管径核算!$C$2:$GD$4,2)</f>
        <v>进装置</v>
      </c>
      <c r="F3" s="257" t="e">
        <f aca="false">HLOOKUP(F2,单相流管径核算!$C$2:$GD$4,2)</f>
        <v>#N/A</v>
      </c>
      <c r="G3" s="978" t="s">
        <v>1591</v>
      </c>
      <c r="H3" s="257" t="e">
        <f aca="false">HLOOKUP(H2,单相流管径核算!$C$2:$GD$4,2)</f>
        <v>#N/A</v>
      </c>
      <c r="I3" s="978" t="s">
        <v>1592</v>
      </c>
      <c r="J3" s="257" t="str">
        <f aca="false">HLOOKUP(J2,单相流管径核算!$C$2:$GD$4,2)</f>
        <v>进SR-101</v>
      </c>
      <c r="K3" s="257" t="str">
        <f aca="false">HLOOKUP(K2,单相流管径核算!$C$2:$GD$4,2)</f>
        <v>出R-101</v>
      </c>
      <c r="L3" s="257" t="str">
        <f aca="false">HLOOKUP(L2,单相流管径核算!$C$2:$GD$4,2)</f>
        <v>出C-203</v>
      </c>
      <c r="M3" s="257" t="str">
        <f aca="false">HLOOKUP(M2,单相流管径核算!$C$2:$GD$4,2)</f>
        <v>出R-101</v>
      </c>
      <c r="N3" s="257" t="str">
        <f aca="false">HLOOKUP(N2,单相流管径核算!$C$2:$GD$4,2)</f>
        <v>进A-101</v>
      </c>
      <c r="O3" s="257" t="str">
        <f aca="false">HLOOKUP(O2,单相流管径核算!$C$2:$GD$4,2)</f>
        <v>出D-302</v>
      </c>
      <c r="P3" s="257" t="str">
        <f aca="false">HLOOKUP(P2,单相流管径核算!$C$2:$GD$4,2)</f>
        <v>出P-206</v>
      </c>
      <c r="Q3" s="257" t="str">
        <f aca="false">HLOOKUP(Q2,单相流管径核算!$C$2:$GD$4,2)</f>
        <v>进P-206</v>
      </c>
      <c r="R3" s="257" t="str">
        <f aca="false">HLOOKUP(R2,单相流管径核算!$C$2:$GD$4,2)</f>
        <v>混合油</v>
      </c>
      <c r="S3" s="257" t="str">
        <f aca="false">HLOOKUP(S2,单相流管径核算!$C$2:$GD$4,2)</f>
        <v>出E-101</v>
      </c>
      <c r="T3" s="257" t="str">
        <f aca="false">HLOOKUP(T2,单相流管径核算!$C$2:$GD$4,2)</f>
        <v>进A-204</v>
      </c>
      <c r="U3" s="257" t="str">
        <f aca="false">HLOOKUP(U2,单相流管径核算!$C$2:$GD$4,2)</f>
        <v>进P-102</v>
      </c>
      <c r="V3" s="257" t="str">
        <f aca="false">HLOOKUP(V2,单相流管径核算!$C$2:$GD$4,2)</f>
        <v>进R-101</v>
      </c>
      <c r="W3" s="257" t="str">
        <f aca="false">HLOOKUP(W2,单相流管径核算!$C$2:$GD$4,2)</f>
        <v>进R-101</v>
      </c>
      <c r="X3" s="257" t="str">
        <f aca="false">HLOOKUP(X2,单相流管径核算!$C$2:$GD$4,2)</f>
        <v>进R-101</v>
      </c>
      <c r="Y3" s="257" t="str">
        <f aca="false">HLOOKUP(Y2,单相流管径核算!$C$2:$GD$4,2)</f>
        <v>出E-204</v>
      </c>
      <c r="Z3" s="257" t="str">
        <f aca="false">HLOOKUP(Z2,单相流管径核算!$C$2:$GD$4,2)</f>
        <v>出P-203</v>
      </c>
      <c r="AA3" s="257" t="str">
        <f aca="false">HLOOKUP(AA2,单相流管径核算!$C$2:$GD$4,2)</f>
        <v>出D-201</v>
      </c>
      <c r="AB3" s="257" t="str">
        <f aca="false">HLOOKUP(AB2,单相流管径核算!$C$2:$GD$4,2)</f>
        <v>出装置</v>
      </c>
      <c r="AC3" s="257" t="str">
        <f aca="false">HLOOKUP(AC2,单相流管径核算!$C$2:$GD$4,2)</f>
        <v>进C-201</v>
      </c>
      <c r="AD3" s="257" t="str">
        <f aca="false">HLOOKUP(AD2,单相流管径核算!$C$2:$GD$4,2)</f>
        <v>进R-102</v>
      </c>
      <c r="AE3" s="257" t="str">
        <f aca="false">HLOOKUP(AE2,单相流管径核算!$C$2:$GD$4,2)</f>
        <v>出装置</v>
      </c>
      <c r="AF3" s="257" t="str">
        <f aca="false">HLOOKUP(AF2,单相流管径核算!$C$2:$GD$4,2)</f>
        <v>进E-105</v>
      </c>
      <c r="AG3" s="257" t="str">
        <f aca="false">HLOOKUP(AG2,单相流管径核算!$C$2:$GD$4,2)</f>
        <v>进C-201</v>
      </c>
      <c r="AH3" s="257"/>
      <c r="AI3" s="257" t="e">
        <f aca="false">HLOOKUP(AI2,单相流管径核算!$GE$2:$IF$4,2)</f>
        <v>#N/A</v>
      </c>
      <c r="AJ3" s="257" t="e">
        <f aca="false">HLOOKUP(AJ2,单相流管径核算!$GE$2:$IF$4,2)</f>
        <v>#N/A</v>
      </c>
    </row>
    <row r="4" customFormat="false" ht="15" hidden="false" customHeight="false" outlineLevel="0" collapsed="false">
      <c r="A4" s="979" t="s">
        <v>796</v>
      </c>
      <c r="B4" s="979"/>
      <c r="C4" s="257" t="str">
        <f aca="false">HLOOKUP(C2,单相流管径核算!$C$2:$GD$4,3)</f>
        <v>混氢油</v>
      </c>
      <c r="D4" s="257" t="str">
        <f aca="false">HLOOKUP(D2,单相流管径核算!$C$2:$GD$4,3)</f>
        <v>混氢油</v>
      </c>
      <c r="E4" s="257" t="str">
        <f aca="false">HLOOKUP(E2,单相流管径核算!$C$2:$GD$4,3)</f>
        <v>原料油</v>
      </c>
      <c r="F4" s="257" t="e">
        <f aca="false">HLOOKUP(F2,单相流管径核算!$C$2:$GD$4,3)</f>
        <v>#N/A</v>
      </c>
      <c r="G4" s="257" t="e">
        <f aca="false">F4</f>
        <v>#N/A</v>
      </c>
      <c r="H4" s="257" t="e">
        <f aca="false">HLOOKUP(H2,单相流管径核算!$C$2:$GD$4,3)</f>
        <v>#N/A</v>
      </c>
      <c r="I4" s="257" t="s">
        <v>1593</v>
      </c>
      <c r="J4" s="257" t="str">
        <f aca="false">HLOOKUP(J2,单相流管径核算!$C$2:$GD$4,3)</f>
        <v>原料油</v>
      </c>
      <c r="K4" s="257" t="str">
        <f aca="false">HLOOKUP(K2,单相流管径核算!$C$2:$GD$4,3)</f>
        <v>释放气</v>
      </c>
      <c r="L4" s="257" t="n">
        <f aca="false">HLOOKUP(L2,单相流管径核算!$C$2:$GD$4,3)</f>
        <v>0</v>
      </c>
      <c r="M4" s="257" t="str">
        <f aca="false">HLOOKUP(M2,单相流管径核算!$C$2:$GD$4,3)</f>
        <v>释放气</v>
      </c>
      <c r="N4" s="257" t="str">
        <f aca="false">HLOOKUP(N2,单相流管径核算!$C$2:$GD$4,3)</f>
        <v>释放气</v>
      </c>
      <c r="O4" s="257" t="str">
        <f aca="false">HLOOKUP(O2,单相流管径核算!$C$2:$GD$4,3)</f>
        <v>富胺液</v>
      </c>
      <c r="P4" s="257" t="str">
        <f aca="false">HLOOKUP(P2,单相流管径核算!$C$2:$GD$4,3)</f>
        <v>柴油馏分</v>
      </c>
      <c r="Q4" s="257" t="str">
        <f aca="false">HLOOKUP(Q2,单相流管径核算!$C$2:$GD$4,3)</f>
        <v>柴油馏分</v>
      </c>
      <c r="R4" s="257" t="str">
        <f aca="false">HLOOKUP(R2,单相流管径核算!$C$2:$GD$4,3)</f>
        <v>混氢油</v>
      </c>
      <c r="S4" s="257" t="str">
        <f aca="false">HLOOKUP(S2,单相流管径核算!$C$2:$GD$4,3)</f>
        <v>加氢蜡油</v>
      </c>
      <c r="T4" s="257" t="str">
        <f aca="false">HLOOKUP(T2,单相流管径核算!$C$2:$GD$4,3)</f>
        <v>加氢蜡油</v>
      </c>
      <c r="U4" s="257" t="str">
        <f aca="false">HLOOKUP(U2,单相流管径核算!$C$2:$GD$4,3)</f>
        <v>循环油</v>
      </c>
      <c r="V4" s="257" t="str">
        <f aca="false">HLOOKUP(V2,单相流管径核算!$C$2:$GD$4,3)</f>
        <v>循环油</v>
      </c>
      <c r="W4" s="257" t="str">
        <f aca="false">HLOOKUP(W2,单相流管径核算!$C$2:$GD$4,3)</f>
        <v>混氢油</v>
      </c>
      <c r="X4" s="257" t="str">
        <f aca="false">HLOOKUP(X2,单相流管径核算!$C$2:$GD$4,3)</f>
        <v>氢气</v>
      </c>
      <c r="Y4" s="257" t="str">
        <f aca="false">HLOOKUP(Y2,单相流管径核算!$C$2:$GD$4,3)</f>
        <v>石脑油</v>
      </c>
      <c r="Z4" s="257" t="str">
        <f aca="false">HLOOKUP(Z2,单相流管径核算!$C$2:$GD$4,3)</f>
        <v>石脑油</v>
      </c>
      <c r="AA4" s="257" t="str">
        <f aca="false">HLOOKUP(AA2,单相流管径核算!$C$2:$GD$4,3)</f>
        <v>不凝气</v>
      </c>
      <c r="AB4" s="257" t="str">
        <f aca="false">HLOOKUP(AB2,单相流管径核算!$C$2:$GD$4,3)</f>
        <v>不凝气</v>
      </c>
      <c r="AC4" s="257" t="str">
        <f aca="false">HLOOKUP(AC2,单相流管径核算!$C$2:$GD$4,3)</f>
        <v>MS</v>
      </c>
      <c r="AD4" s="257" t="str">
        <f aca="false">HLOOKUP(AD2,单相流管径核算!$C$2:$GD$4,3)</f>
        <v>氢气</v>
      </c>
      <c r="AE4" s="257" t="str">
        <f aca="false">HLOOKUP(AE2,单相流管径核算!$C$2:$GD$4,3)</f>
        <v>不稳定石脑油</v>
      </c>
      <c r="AF4" s="257" t="str">
        <f aca="false">HLOOKUP(AF2,单相流管径核算!$C$2:$GD$4,3)</f>
        <v>低分气</v>
      </c>
      <c r="AG4" s="257" t="str">
        <f aca="false">HLOOKUP(AG2,单相流管径核算!$C$2:$GD$4,3)</f>
        <v>低分油气</v>
      </c>
      <c r="AH4" s="257"/>
      <c r="AI4" s="257" t="e">
        <f aca="false">HLOOKUP(AI2,单相流管径核算!$GE$2:$ID$4,3)</f>
        <v>#N/A</v>
      </c>
      <c r="AJ4" s="257" t="e">
        <f aca="false">HLOOKUP(AJ2,单相流管径核算!$GE$2:$ID$4,3)</f>
        <v>#N/A</v>
      </c>
    </row>
    <row r="5" customFormat="false" ht="15" hidden="false" customHeight="false" outlineLevel="0" collapsed="false">
      <c r="A5" s="980" t="s">
        <v>1518</v>
      </c>
      <c r="B5" s="980"/>
      <c r="C5" s="981" t="n">
        <f aca="false">HLOOKUP(C2,物流参数!$C$1:$GC$29,MATCH("VAPOR FRACTION",物流参数!$A$1:$A$29,FALSE()),FALSE())</f>
        <v>0</v>
      </c>
      <c r="D5" s="981" t="n">
        <f aca="false">HLOOKUP(D2,物流参数!$A$1:$FY$37,3)</f>
        <v>309970</v>
      </c>
      <c r="E5" s="981" t="n">
        <f aca="false">HLOOKUP(E2,物流参数!$A$1:$FY$37,3)</f>
        <v>263095.4</v>
      </c>
      <c r="F5" s="981" t="e">
        <f aca="false">HLOOKUP(F2,物流参数!$A$1:$FY$37,3)</f>
        <v>#N/A</v>
      </c>
      <c r="G5" s="981" t="e">
        <f aca="false">F5</f>
        <v>#N/A</v>
      </c>
      <c r="H5" s="981" t="e">
        <f aca="false">HLOOKUP(H2,物流参数!$A$1:$FY$37,3)</f>
        <v>#N/A</v>
      </c>
      <c r="I5" s="981" t="n">
        <f aca="false">物流参数!FL3</f>
        <v>0</v>
      </c>
      <c r="J5" s="981" t="n">
        <f aca="false">HLOOKUP(J2,物流参数!$A$1:$FY$37,3)</f>
        <v>309524</v>
      </c>
      <c r="K5" s="981" t="n">
        <f aca="false">HLOOKUP(K2,物流参数!$A$1:$FY$37,3)</f>
        <v>19.15</v>
      </c>
      <c r="L5" s="981" t="n">
        <f aca="false">HLOOKUP(L2,物流参数!$A$1:$FY$37,3)</f>
        <v>3941.42</v>
      </c>
      <c r="M5" s="981" t="n">
        <f aca="false">HLOOKUP(M2,物流参数!$A$1:$FY$37,3)</f>
        <v>19.15</v>
      </c>
      <c r="N5" s="981" t="n">
        <f aca="false">HLOOKUP(N2,物流参数!$A$1:$FY$37,3)</f>
        <v>109.44</v>
      </c>
      <c r="O5" s="981" t="n">
        <f aca="false">HLOOKUP(O2,物流参数!$A$1:$FY$37,3)</f>
        <v>2.49</v>
      </c>
      <c r="P5" s="981" t="n">
        <f aca="false">HLOOKUP(P2,物流参数!$A$1:$FY$37,3)</f>
        <v>27112</v>
      </c>
      <c r="Q5" s="981" t="n">
        <f aca="false">HLOOKUP(Q2,物流参数!$A$1:$FY$37,3)</f>
        <v>27112</v>
      </c>
      <c r="R5" s="981" t="n">
        <f aca="false">HLOOKUP(R2,物流参数!$A$1:$FY$37,3)</f>
        <v>309970</v>
      </c>
      <c r="S5" s="981" t="n">
        <f aca="false">HLOOKUP(S2,物流参数!$A$1:$FY$37,3)</f>
        <v>268934.3</v>
      </c>
      <c r="T5" s="981" t="n">
        <f aca="false">HLOOKUP(T2,物流参数!$A$1:$FY$37,3)</f>
        <v>40340.14</v>
      </c>
      <c r="U5" s="981" t="n">
        <f aca="false">HLOOKUP(U2,物流参数!$A$1:$FY$37,3)</f>
        <v>428894.98</v>
      </c>
      <c r="V5" s="981" t="n">
        <f aca="false">HLOOKUP(V2,物流参数!$A$1:$FY$37,3)</f>
        <v>738864.98</v>
      </c>
      <c r="W5" s="981" t="n">
        <f aca="false">HLOOKUP(W2,物流参数!$A$1:$FY$37,3)</f>
        <v>739147.94</v>
      </c>
      <c r="X5" s="981" t="n">
        <f aca="false">HLOOKUP(X2,物流参数!$A$1:$FY$37,3)</f>
        <v>736.13</v>
      </c>
      <c r="Y5" s="981" t="n">
        <f aca="false">HLOOKUP(Y2,物流参数!$A$1:$FY$37,3)</f>
        <v>4079.53</v>
      </c>
      <c r="Z5" s="981" t="n">
        <f aca="false">HLOOKUP(Z2,物流参数!$A$1:$FY$37,3)</f>
        <v>54907.02</v>
      </c>
      <c r="AA5" s="981" t="n">
        <f aca="false">HLOOKUP(AA2,物流参数!$A$1:$FY$37,3)</f>
        <v>3129.924249227</v>
      </c>
      <c r="AB5" s="981" t="n">
        <f aca="false">HLOOKUP(AB2,物流参数!$A$1:$FY$37,3)</f>
        <v>3129.924249227</v>
      </c>
      <c r="AC5" s="981" t="n">
        <f aca="false">HLOOKUP(AC2,物流参数!$A$1:$FY$37,3)</f>
        <v>2950</v>
      </c>
      <c r="AD5" s="981" t="n">
        <f aca="false">HLOOKUP(AD2,物流参数!$A$1:$FY$37,3)</f>
        <v>479.56</v>
      </c>
      <c r="AE5" s="981" t="n">
        <f aca="false">HLOOKUP(AE2,物流参数!$A$1:$FY$37,3)</f>
        <v>7831.94</v>
      </c>
      <c r="AF5" s="981" t="n">
        <f aca="false">HLOOKUP(AF2,物流参数!$A$1:$FY$37,3)</f>
        <v>4318</v>
      </c>
      <c r="AG5" s="981" t="n">
        <f aca="false">HLOOKUP(AG2,物流参数!$A$1:$FY$37,3)</f>
        <v>6542.55</v>
      </c>
      <c r="AH5" s="981"/>
      <c r="AI5" s="981" t="e">
        <f aca="false">HLOOKUP(AI2,物流参数!$FZ$1:$IA$37,3)</f>
        <v>#N/A</v>
      </c>
      <c r="AJ5" s="981" t="e">
        <f aca="false">HLOOKUP(AJ2,物流参数!$FZ$1:$IA$37,3)</f>
        <v>#N/A</v>
      </c>
    </row>
    <row r="6" s="984" customFormat="true" ht="15" hidden="false" customHeight="false" outlineLevel="0" collapsed="false">
      <c r="A6" s="982" t="s">
        <v>1514</v>
      </c>
      <c r="B6" s="982" t="s">
        <v>1515</v>
      </c>
      <c r="C6" s="983" t="n">
        <f aca="false">HLOOKUP(C2,物流参数!$C$1:$GC$29,MATCH("TEMPERATURE",物流参数!$A$1:$A$29,FALSE()),FALSE())</f>
        <v>186.03</v>
      </c>
      <c r="D6" s="354" t="n">
        <f aca="false">HLOOKUP(D2,物流参数!$A$1:$FT$37,4)</f>
        <v>972.47</v>
      </c>
      <c r="E6" s="354" t="n">
        <f aca="false">HLOOKUP(E2,物流参数!$A$1:$FT$37,4)</f>
        <v>639.86</v>
      </c>
      <c r="F6" s="354" t="e">
        <f aca="false">HLOOKUP(F2,物流参数!$A$1:$FT$37,4)</f>
        <v>#N/A</v>
      </c>
      <c r="G6" s="354" t="e">
        <f aca="false">F6</f>
        <v>#N/A</v>
      </c>
      <c r="H6" s="354" t="e">
        <f aca="false">HLOOKUP(H2,物流参数!$A$1:$FT$37,4)</f>
        <v>#N/A</v>
      </c>
      <c r="I6" s="354" t="n">
        <f aca="false">物流参数!FL4</f>
        <v>0</v>
      </c>
      <c r="J6" s="354" t="n">
        <f aca="false">HLOOKUP(J2,物流参数!$A$1:$FT$37,4)</f>
        <v>752.77</v>
      </c>
      <c r="K6" s="354" t="n">
        <f aca="false">HLOOKUP(K2,物流参数!$A$1:$FT$37,4)</f>
        <v>1</v>
      </c>
      <c r="L6" s="354" t="n">
        <f aca="false">HLOOKUP(L2,物流参数!$A$1:$FT$37,4)</f>
        <v>45.65</v>
      </c>
      <c r="M6" s="354" t="n">
        <f aca="false">HLOOKUP(M2,物流参数!$A$1:$FT$37,4)</f>
        <v>1</v>
      </c>
      <c r="N6" s="354" t="n">
        <f aca="false">HLOOKUP(N2,物流参数!$A$1:$FT$37,4)</f>
        <v>5.01</v>
      </c>
      <c r="O6" s="354" t="n">
        <f aca="false">HLOOKUP(O2,物流参数!$A$1:$FT$37,4)</f>
        <v>0.14</v>
      </c>
      <c r="P6" s="354" t="n">
        <f aca="false">HLOOKUP(P2,物流参数!$A$1:$FT$37,4)</f>
        <v>124.47</v>
      </c>
      <c r="Q6" s="354" t="n">
        <f aca="false">HLOOKUP(Q2,物流参数!$A$1:$FT$37,4)</f>
        <v>124.47</v>
      </c>
      <c r="R6" s="354" t="n">
        <f aca="false">HLOOKUP(R2,物流参数!$A$1:$FT$37,4)</f>
        <v>972.47</v>
      </c>
      <c r="S6" s="354" t="n">
        <f aca="false">HLOOKUP(S2,物流参数!$A$1:$FT$37,4)</f>
        <v>704.12</v>
      </c>
      <c r="T6" s="354" t="n">
        <f aca="false">HLOOKUP(T2,物流参数!$A$1:$FT$37,4)</f>
        <v>105.62</v>
      </c>
      <c r="U6" s="354" t="n">
        <f aca="false">HLOOKUP(U2,物流参数!$A$1:$FT$37,4)</f>
        <v>2001.47</v>
      </c>
      <c r="V6" s="354" t="n">
        <f aca="false">HLOOKUP(V2,物流参数!$A$1:$FT$37,4)</f>
        <v>2973.95</v>
      </c>
      <c r="W6" s="354" t="n">
        <f aca="false">HLOOKUP(W2,物流参数!$A$1:$FT$37,4)</f>
        <v>3113.34</v>
      </c>
      <c r="X6" s="354" t="n">
        <f aca="false">HLOOKUP(X2,物流参数!$A$1:$FT$37,4)</f>
        <v>362.62</v>
      </c>
      <c r="Y6" s="354" t="n">
        <f aca="false">HLOOKUP(Y2,物流参数!$A$1:$FT$37,4)</f>
        <v>35.99</v>
      </c>
      <c r="Z6" s="354" t="n">
        <f aca="false">HLOOKUP(Z2,物流参数!$A$1:$FT$37,4)</f>
        <v>484.44</v>
      </c>
      <c r="AA6" s="354" t="n">
        <f aca="false">HLOOKUP(AA2,物流参数!$A$1:$FT$37,4)</f>
        <v>112.92</v>
      </c>
      <c r="AB6" s="354" t="n">
        <f aca="false">HLOOKUP(AB2,物流参数!$A$1:$FT$37,4)</f>
        <v>112.92</v>
      </c>
      <c r="AC6" s="354" t="n">
        <f aca="false">HLOOKUP(AC2,物流参数!$A$1:$FT$37,4)</f>
        <v>163.75</v>
      </c>
      <c r="AD6" s="354" t="n">
        <f aca="false">HLOOKUP(AD2,物流参数!$A$1:$FT$37,4)</f>
        <v>236.23</v>
      </c>
      <c r="AE6" s="354" t="n">
        <f aca="false">HLOOKUP(AE2,物流参数!$A$1:$FT$37,4)</f>
        <v>94.8</v>
      </c>
      <c r="AF6" s="354" t="n">
        <f aca="false">HLOOKUP(AF2,物流参数!$A$1:$FT$37,4)</f>
        <v>439.48</v>
      </c>
      <c r="AG6" s="354" t="n">
        <f aca="false">HLOOKUP(AG2,物流参数!$A$1:$FT$37,4)</f>
        <v>50.93</v>
      </c>
      <c r="AH6" s="354"/>
      <c r="AI6" s="354" t="e">
        <f aca="false">HLOOKUP(AI2,物流参数!$FZ$1:$IA$37,4)</f>
        <v>#N/A</v>
      </c>
      <c r="AJ6" s="354" t="e">
        <f aca="false">HLOOKUP(AJ2,物流参数!$FZ$1:$IA$37,4)</f>
        <v>#N/A</v>
      </c>
      <c r="AK6" s="354"/>
      <c r="AL6" s="354"/>
      <c r="AM6" s="354"/>
      <c r="AN6" s="354"/>
      <c r="AO6" s="354"/>
      <c r="AP6" s="354"/>
      <c r="AQ6" s="354"/>
      <c r="AR6" s="354"/>
      <c r="AS6" s="354"/>
      <c r="AT6" s="354"/>
      <c r="AU6" s="354"/>
      <c r="AV6" s="354"/>
      <c r="AW6" s="354"/>
      <c r="AX6" s="354"/>
      <c r="AY6" s="354"/>
      <c r="AZ6" s="354"/>
      <c r="BA6" s="354"/>
      <c r="BB6" s="354"/>
      <c r="BC6" s="354"/>
      <c r="BD6" s="354"/>
      <c r="BE6" s="354"/>
      <c r="BF6" s="354"/>
      <c r="BG6" s="354"/>
      <c r="BH6" s="354"/>
      <c r="BI6" s="354"/>
      <c r="BJ6" s="354"/>
      <c r="BK6" s="354"/>
      <c r="BL6" s="354"/>
      <c r="BM6" s="354"/>
      <c r="BN6" s="354"/>
      <c r="BO6" s="354"/>
      <c r="BP6" s="354"/>
      <c r="BQ6" s="354"/>
      <c r="BR6" s="354"/>
      <c r="BS6" s="354"/>
      <c r="BT6" s="354"/>
      <c r="BU6" s="354"/>
      <c r="BV6" s="354"/>
      <c r="BW6" s="354"/>
      <c r="BX6" s="354"/>
      <c r="BY6" s="354"/>
      <c r="BZ6" s="354"/>
      <c r="CA6" s="354"/>
      <c r="CB6" s="354"/>
      <c r="CC6" s="354"/>
      <c r="CD6" s="354"/>
      <c r="CE6" s="354"/>
      <c r="CF6" s="354"/>
      <c r="CG6" s="354"/>
      <c r="CH6" s="354"/>
      <c r="CI6" s="354"/>
      <c r="CJ6" s="354"/>
      <c r="CK6" s="354"/>
      <c r="CL6" s="354"/>
      <c r="CM6" s="354"/>
      <c r="CN6" s="354"/>
      <c r="CO6" s="354"/>
      <c r="CP6" s="354"/>
      <c r="CQ6" s="354"/>
      <c r="CR6" s="354"/>
      <c r="CS6" s="354"/>
      <c r="CT6" s="354"/>
      <c r="CU6" s="354"/>
      <c r="CV6" s="354"/>
      <c r="CW6" s="354"/>
      <c r="CX6" s="354"/>
      <c r="CY6" s="354"/>
      <c r="CZ6" s="354"/>
      <c r="DA6" s="354"/>
      <c r="DB6" s="354"/>
      <c r="DC6" s="354"/>
      <c r="DD6" s="354"/>
      <c r="DE6" s="354"/>
      <c r="DF6" s="354"/>
      <c r="DG6" s="354"/>
      <c r="DH6" s="354"/>
      <c r="DI6" s="354"/>
      <c r="DJ6" s="354"/>
      <c r="DK6" s="354"/>
      <c r="DL6" s="354"/>
      <c r="DM6" s="354"/>
      <c r="DN6" s="354"/>
      <c r="DO6" s="354"/>
      <c r="DP6" s="354"/>
      <c r="DQ6" s="354"/>
      <c r="DR6" s="354"/>
      <c r="DS6" s="354"/>
      <c r="DT6" s="354"/>
      <c r="DU6" s="354"/>
      <c r="DV6" s="354"/>
      <c r="DW6" s="354"/>
      <c r="DX6" s="354"/>
      <c r="DY6" s="354"/>
      <c r="DZ6" s="354"/>
      <c r="EA6" s="354"/>
      <c r="EB6" s="354"/>
      <c r="EC6" s="354"/>
      <c r="ED6" s="354"/>
      <c r="EE6" s="354"/>
      <c r="EF6" s="354"/>
      <c r="EG6" s="354"/>
      <c r="EH6" s="354"/>
      <c r="EI6" s="354"/>
      <c r="EJ6" s="354"/>
      <c r="EK6" s="354"/>
      <c r="EL6" s="354"/>
      <c r="EM6" s="354"/>
      <c r="EN6" s="354"/>
      <c r="EO6" s="354"/>
      <c r="EP6" s="354"/>
      <c r="EQ6" s="354"/>
      <c r="ER6" s="354"/>
      <c r="ES6" s="354"/>
      <c r="ET6" s="354"/>
      <c r="EU6" s="354"/>
      <c r="EV6" s="354"/>
      <c r="EW6" s="354"/>
      <c r="EX6" s="354"/>
      <c r="EY6" s="354"/>
      <c r="EZ6" s="354"/>
      <c r="FA6" s="354"/>
      <c r="FB6" s="354"/>
      <c r="FC6" s="354"/>
      <c r="FD6" s="354"/>
      <c r="FE6" s="354"/>
      <c r="FF6" s="354"/>
      <c r="FG6" s="354"/>
      <c r="FH6" s="354"/>
      <c r="FI6" s="354"/>
      <c r="FJ6" s="354"/>
      <c r="FK6" s="354"/>
      <c r="FL6" s="354"/>
      <c r="FM6" s="354"/>
      <c r="FN6" s="354"/>
      <c r="FO6" s="354"/>
      <c r="FP6" s="354"/>
      <c r="FQ6" s="354"/>
      <c r="FR6" s="354"/>
      <c r="FS6" s="354"/>
      <c r="FT6" s="354"/>
      <c r="FU6" s="354"/>
      <c r="FV6" s="354"/>
      <c r="FW6" s="354"/>
      <c r="FX6" s="354"/>
      <c r="FY6" s="354"/>
      <c r="FZ6" s="354"/>
      <c r="GA6" s="354"/>
      <c r="GB6" s="354"/>
      <c r="GC6" s="354"/>
      <c r="GD6" s="354"/>
      <c r="GE6" s="354"/>
      <c r="GF6" s="354"/>
      <c r="GG6" s="354"/>
      <c r="GH6" s="354"/>
      <c r="GI6" s="354"/>
      <c r="GJ6" s="354"/>
      <c r="GK6" s="354"/>
      <c r="GL6" s="354"/>
      <c r="GM6" s="354"/>
      <c r="GN6" s="354"/>
      <c r="GO6" s="354"/>
      <c r="GP6" s="354"/>
      <c r="GQ6" s="354"/>
      <c r="GR6" s="354"/>
      <c r="GS6" s="354"/>
      <c r="GT6" s="354"/>
      <c r="GU6" s="354"/>
      <c r="GV6" s="354"/>
      <c r="GW6" s="354"/>
      <c r="GX6" s="354"/>
      <c r="GY6" s="354"/>
      <c r="GZ6" s="354"/>
      <c r="HA6" s="354"/>
      <c r="HB6" s="354"/>
      <c r="HC6" s="354"/>
      <c r="HD6" s="354"/>
      <c r="HE6" s="354"/>
      <c r="HF6" s="354"/>
      <c r="HG6" s="354"/>
      <c r="HH6" s="354"/>
      <c r="HI6" s="354"/>
      <c r="HJ6" s="354"/>
      <c r="HK6" s="354"/>
      <c r="HL6" s="354"/>
      <c r="HM6" s="354"/>
      <c r="HN6" s="354"/>
      <c r="HO6" s="354"/>
      <c r="HP6" s="354"/>
      <c r="HQ6" s="354"/>
      <c r="HR6" s="354"/>
      <c r="HS6" s="354"/>
      <c r="HT6" s="354"/>
      <c r="HU6" s="354"/>
      <c r="HV6" s="354"/>
      <c r="HW6" s="354"/>
      <c r="HX6" s="354"/>
      <c r="HY6" s="354"/>
      <c r="HZ6" s="354"/>
      <c r="IA6" s="354"/>
      <c r="IB6" s="354"/>
      <c r="IC6" s="354"/>
      <c r="ID6" s="354"/>
      <c r="IE6" s="354"/>
      <c r="IF6" s="354"/>
      <c r="IG6" s="354"/>
      <c r="IH6" s="354"/>
      <c r="II6" s="354"/>
      <c r="IJ6" s="354"/>
      <c r="IK6" s="354"/>
      <c r="IL6" s="354"/>
      <c r="IM6" s="354"/>
      <c r="IN6" s="354"/>
      <c r="IO6" s="354"/>
      <c r="IP6" s="354"/>
      <c r="IQ6" s="354"/>
      <c r="IR6" s="354"/>
      <c r="IS6" s="354"/>
      <c r="IT6" s="354"/>
      <c r="IU6" s="354"/>
      <c r="IV6" s="354"/>
      <c r="IW6" s="354"/>
      <c r="IX6" s="354"/>
      <c r="IY6" s="354"/>
      <c r="IZ6" s="354"/>
      <c r="JA6" s="354"/>
      <c r="JB6" s="354"/>
      <c r="JC6" s="354"/>
      <c r="JD6" s="354"/>
      <c r="JE6" s="354"/>
      <c r="JF6" s="354"/>
      <c r="JG6" s="354"/>
      <c r="JH6" s="354"/>
      <c r="JI6" s="354"/>
      <c r="JJ6" s="354"/>
      <c r="JK6" s="354"/>
      <c r="JL6" s="354"/>
      <c r="JM6" s="354"/>
      <c r="JN6" s="354"/>
      <c r="JO6" s="354"/>
      <c r="JP6" s="354"/>
      <c r="JQ6" s="354"/>
      <c r="JR6" s="354"/>
      <c r="JS6" s="354"/>
      <c r="JT6" s="354"/>
      <c r="JU6" s="354"/>
      <c r="JV6" s="354"/>
      <c r="JW6" s="354"/>
      <c r="JX6" s="354"/>
      <c r="JY6" s="354"/>
      <c r="JZ6" s="354"/>
      <c r="KA6" s="354"/>
      <c r="KB6" s="354"/>
      <c r="KC6" s="354"/>
      <c r="KD6" s="354"/>
      <c r="KE6" s="354"/>
      <c r="KF6" s="354"/>
      <c r="KG6" s="354"/>
      <c r="KH6" s="354"/>
      <c r="KI6" s="354"/>
      <c r="KJ6" s="354"/>
      <c r="KK6" s="354"/>
      <c r="KL6" s="354"/>
      <c r="KM6" s="354"/>
      <c r="KN6" s="354"/>
      <c r="KO6" s="354"/>
      <c r="KP6" s="354"/>
      <c r="KQ6" s="354"/>
      <c r="KR6" s="354"/>
      <c r="KS6" s="354"/>
      <c r="KT6" s="354"/>
      <c r="KU6" s="354"/>
      <c r="KV6" s="354"/>
      <c r="KW6" s="354"/>
      <c r="KX6" s="354"/>
      <c r="KY6" s="354"/>
      <c r="KZ6" s="354"/>
      <c r="LA6" s="354"/>
      <c r="LB6" s="354"/>
      <c r="LC6" s="354"/>
      <c r="LD6" s="354"/>
      <c r="LE6" s="354"/>
      <c r="LF6" s="354"/>
      <c r="LG6" s="354"/>
      <c r="LH6" s="354"/>
      <c r="LI6" s="354"/>
      <c r="LJ6" s="354"/>
      <c r="LK6" s="354"/>
      <c r="LL6" s="354"/>
      <c r="LM6" s="354"/>
      <c r="LN6" s="354"/>
      <c r="LO6" s="354"/>
      <c r="LP6" s="354"/>
      <c r="LQ6" s="354"/>
      <c r="LR6" s="354"/>
      <c r="LS6" s="354"/>
      <c r="LT6" s="354"/>
      <c r="LU6" s="354"/>
      <c r="LV6" s="354"/>
      <c r="LW6" s="354"/>
      <c r="LX6" s="354"/>
      <c r="LY6" s="354"/>
      <c r="LZ6" s="354"/>
      <c r="MA6" s="354"/>
      <c r="MB6" s="354"/>
      <c r="MC6" s="354"/>
      <c r="MD6" s="354"/>
      <c r="ME6" s="354"/>
      <c r="MF6" s="354"/>
      <c r="MG6" s="354"/>
      <c r="MH6" s="354"/>
      <c r="MI6" s="354"/>
      <c r="MJ6" s="354"/>
      <c r="MK6" s="354"/>
      <c r="ML6" s="354"/>
      <c r="MM6" s="354"/>
      <c r="MN6" s="354"/>
      <c r="MO6" s="354"/>
      <c r="MP6" s="354"/>
      <c r="MQ6" s="354"/>
      <c r="MR6" s="354"/>
      <c r="MS6" s="354"/>
      <c r="MT6" s="354"/>
      <c r="MU6" s="354"/>
      <c r="MV6" s="354"/>
      <c r="MW6" s="354"/>
      <c r="MX6" s="354"/>
      <c r="MY6" s="354"/>
      <c r="MZ6" s="354"/>
      <c r="NA6" s="354"/>
      <c r="NB6" s="354"/>
      <c r="NC6" s="354"/>
      <c r="ND6" s="354"/>
      <c r="NE6" s="354"/>
      <c r="NF6" s="354"/>
    </row>
    <row r="7" s="275" customFormat="true" ht="15" hidden="false" customHeight="false" outlineLevel="0" collapsed="false">
      <c r="A7" s="985" t="s">
        <v>1594</v>
      </c>
      <c r="B7" s="985" t="s">
        <v>1595</v>
      </c>
      <c r="C7" s="986" t="n">
        <f aca="false">HLOOKUP(C2,物流参数!$C$1:$GC$29,MATCH("PRESSURE",物流参数!$A$1:$A$29,FALSE()),FALSE())</f>
        <v>15.1</v>
      </c>
      <c r="D7" s="212" t="n">
        <f aca="false">HLOOKUP(D2,物流参数!$A$1:$FT$37,5)</f>
        <v>204</v>
      </c>
      <c r="E7" s="212" t="n">
        <f aca="false">HLOOKUP(E2,物流参数!$A$1:$FT$37,5)</f>
        <v>120.18</v>
      </c>
      <c r="F7" s="212" t="e">
        <f aca="false">HLOOKUP(F2,物流参数!$A$1:$FT$37,5)</f>
        <v>#N/A</v>
      </c>
      <c r="G7" s="212" t="n">
        <f aca="false">物流参数!FM5</f>
        <v>0</v>
      </c>
      <c r="H7" s="212" t="e">
        <f aca="false">HLOOKUP(H2,物流参数!$A$1:$FT$37,5)</f>
        <v>#N/A</v>
      </c>
      <c r="I7" s="212" t="n">
        <f aca="false">物流参数!FL5</f>
        <v>0</v>
      </c>
      <c r="J7" s="212" t="n">
        <f aca="false">HLOOKUP(J2,物流参数!$A$1:$FT$37,5)</f>
        <v>184.97</v>
      </c>
      <c r="K7" s="212" t="n">
        <f aca="false">HLOOKUP(K2,物流参数!$A$1:$FT$37,5)</f>
        <v>393.83</v>
      </c>
      <c r="L7" s="212" t="n">
        <f aca="false">物流参数!DR5</f>
        <v>231.78</v>
      </c>
      <c r="M7" s="212" t="n">
        <f aca="false">HLOOKUP(M2,物流参数!$A$1:$FT$37,5)</f>
        <v>393.83</v>
      </c>
      <c r="N7" s="212" t="n">
        <f aca="false">HLOOKUP(N2,物流参数!$A$1:$FT$37,5)</f>
        <v>396.73</v>
      </c>
      <c r="O7" s="212" t="n">
        <f aca="false">HLOOKUP(O2,物流参数!$A$1:$FT$37,5)</f>
        <v>50</v>
      </c>
      <c r="P7" s="212" t="n">
        <f aca="false">HLOOKUP(P2,物流参数!$A$1:$FT$37,5)</f>
        <v>223.81</v>
      </c>
      <c r="Q7" s="212" t="n">
        <f aca="false">HLOOKUP(Q2,物流参数!$A$1:$FT$37,5)</f>
        <v>223.17</v>
      </c>
      <c r="R7" s="212" t="n">
        <f aca="false">HLOOKUP(R2,物流参数!$A$1:$FT$37,5)</f>
        <v>186.03</v>
      </c>
      <c r="S7" s="212" t="n">
        <f aca="false">HLOOKUP(S2,物流参数!$A$1:$FT$37,5)</f>
        <v>139.76</v>
      </c>
      <c r="T7" s="212" t="n">
        <f aca="false">HLOOKUP(T2,物流参数!$A$1:$FT$37,5)</f>
        <v>139.76</v>
      </c>
      <c r="U7" s="212" t="n">
        <f aca="false">HLOOKUP(U2,物流参数!$A$1:$FT$37,5)</f>
        <v>417.67</v>
      </c>
      <c r="V7" s="212" t="n">
        <f aca="false">HLOOKUP(V2,物流参数!$A$1:$FT$37,5)</f>
        <v>388.36</v>
      </c>
      <c r="W7" s="212" t="n">
        <f aca="false">HLOOKUP(W2,物流参数!$A$1:$FT$37,5)</f>
        <v>387.28</v>
      </c>
      <c r="X7" s="212" t="n">
        <f aca="false">HLOOKUP(X2,物流参数!$A$1:$FT$37,5)</f>
        <v>109.42</v>
      </c>
      <c r="Y7" s="212" t="n">
        <f aca="false">HLOOKUP(Y2,物流参数!$A$1:$FT$37,5)</f>
        <v>39.94</v>
      </c>
      <c r="Z7" s="212" t="n">
        <f aca="false">HLOOKUP(Z2,物流参数!$A$1:$FT$37,5)</f>
        <v>92.95</v>
      </c>
      <c r="AA7" s="212" t="n">
        <f aca="false">HLOOKUP(AA2,物流参数!$A$1:$FT$37,5)</f>
        <v>39.97</v>
      </c>
      <c r="AB7" s="212" t="n">
        <f aca="false">HLOOKUP(AB2,物流参数!$A$1:$FT$37,5)</f>
        <v>39.31</v>
      </c>
      <c r="AC7" s="212" t="n">
        <f aca="false">HLOOKUP(AC2,物流参数!$A$1:$FT$37,5)</f>
        <v>260</v>
      </c>
      <c r="AD7" s="212" t="n">
        <f aca="false">HLOOKUP(AD2,物流参数!$A$1:$FT$37,5)</f>
        <v>109.46</v>
      </c>
      <c r="AE7" s="212" t="n">
        <f aca="false">HLOOKUP(AE2,物流参数!$A$1:$FT$37,5)</f>
        <v>40.43</v>
      </c>
      <c r="AF7" s="212" t="n">
        <f aca="false">HLOOKUP(AF2,物流参数!$A$1:$FT$37,5)</f>
        <v>48</v>
      </c>
      <c r="AG7" s="212" t="n">
        <f aca="false">HLOOKUP(AG2,物流参数!$A$1:$FT$37,5)</f>
        <v>222.94</v>
      </c>
      <c r="AH7" s="212"/>
      <c r="AI7" s="212" t="e">
        <f aca="false">HLOOKUP(AI2,物流参数!$FZ$1:$IA$37,5)</f>
        <v>#N/A</v>
      </c>
      <c r="AJ7" s="212" t="e">
        <f aca="false">HLOOKUP(AJ2,物流参数!$FZ$1:$IA$37,5)</f>
        <v>#N/A</v>
      </c>
      <c r="AK7" s="212"/>
      <c r="AL7" s="212"/>
      <c r="AM7" s="212"/>
      <c r="AN7" s="212"/>
      <c r="AO7" s="212"/>
      <c r="AP7" s="212"/>
      <c r="AQ7" s="212"/>
      <c r="AR7" s="212"/>
      <c r="AS7" s="212"/>
      <c r="AT7" s="212"/>
      <c r="AU7" s="212"/>
      <c r="AV7" s="212"/>
      <c r="AW7" s="212"/>
      <c r="AX7" s="212"/>
      <c r="AY7" s="212"/>
      <c r="AZ7" s="212"/>
      <c r="BA7" s="212"/>
      <c r="BB7" s="212"/>
      <c r="BC7" s="212"/>
      <c r="BD7" s="212"/>
      <c r="BE7" s="212"/>
      <c r="BF7" s="212"/>
      <c r="BG7" s="212"/>
      <c r="BH7" s="212"/>
      <c r="BI7" s="212"/>
      <c r="BJ7" s="212"/>
      <c r="BK7" s="212"/>
      <c r="BL7" s="212"/>
      <c r="BM7" s="212"/>
      <c r="BN7" s="212"/>
      <c r="BO7" s="212"/>
      <c r="BP7" s="212"/>
      <c r="BQ7" s="212"/>
      <c r="BR7" s="212"/>
      <c r="BS7" s="212"/>
      <c r="BT7" s="212"/>
      <c r="BU7" s="212"/>
      <c r="BV7" s="212"/>
      <c r="BW7" s="212"/>
      <c r="BX7" s="212"/>
      <c r="BY7" s="212"/>
      <c r="BZ7" s="212"/>
      <c r="CA7" s="212"/>
      <c r="CB7" s="212"/>
      <c r="CC7" s="212"/>
      <c r="CD7" s="212"/>
      <c r="CE7" s="212"/>
      <c r="CF7" s="212"/>
      <c r="CG7" s="212"/>
      <c r="CH7" s="212"/>
      <c r="CI7" s="212"/>
      <c r="CJ7" s="212"/>
      <c r="CK7" s="212"/>
      <c r="CL7" s="212"/>
      <c r="CM7" s="212"/>
      <c r="CN7" s="212"/>
      <c r="CO7" s="212"/>
      <c r="CP7" s="212"/>
      <c r="CQ7" s="212"/>
      <c r="CR7" s="212"/>
      <c r="CS7" s="212"/>
      <c r="CT7" s="212"/>
      <c r="CU7" s="212"/>
      <c r="CV7" s="212"/>
      <c r="CW7" s="212"/>
      <c r="CX7" s="212"/>
      <c r="CY7" s="212"/>
      <c r="CZ7" s="212"/>
      <c r="DA7" s="212"/>
      <c r="DB7" s="212"/>
      <c r="DC7" s="212"/>
      <c r="DD7" s="212"/>
      <c r="DE7" s="212"/>
      <c r="DF7" s="212"/>
      <c r="DG7" s="212"/>
      <c r="DH7" s="212"/>
      <c r="DI7" s="212"/>
      <c r="DJ7" s="212"/>
      <c r="DK7" s="212"/>
      <c r="DL7" s="212"/>
      <c r="DM7" s="212"/>
      <c r="DN7" s="212"/>
      <c r="DO7" s="212"/>
      <c r="DP7" s="212"/>
      <c r="DQ7" s="212"/>
      <c r="DR7" s="212"/>
      <c r="DS7" s="212"/>
      <c r="DT7" s="212"/>
      <c r="DU7" s="212"/>
      <c r="DV7" s="212"/>
      <c r="DW7" s="212"/>
      <c r="DX7" s="212"/>
      <c r="DY7" s="212"/>
      <c r="DZ7" s="212"/>
      <c r="EA7" s="212"/>
      <c r="EB7" s="212"/>
      <c r="EC7" s="212"/>
      <c r="ED7" s="212"/>
      <c r="EE7" s="212"/>
      <c r="EF7" s="212"/>
      <c r="EG7" s="212"/>
      <c r="EH7" s="212"/>
      <c r="EI7" s="212"/>
      <c r="EJ7" s="212"/>
      <c r="EK7" s="212"/>
      <c r="EL7" s="212"/>
      <c r="EM7" s="212"/>
      <c r="EN7" s="212"/>
      <c r="EO7" s="212"/>
      <c r="EP7" s="212"/>
      <c r="EQ7" s="212"/>
      <c r="ER7" s="212"/>
      <c r="ES7" s="212"/>
      <c r="ET7" s="212"/>
      <c r="EU7" s="212"/>
      <c r="EV7" s="212"/>
      <c r="EW7" s="212"/>
      <c r="EX7" s="212"/>
      <c r="EY7" s="212"/>
      <c r="EZ7" s="212"/>
      <c r="FA7" s="212"/>
      <c r="FB7" s="212"/>
      <c r="FC7" s="212"/>
      <c r="FD7" s="212"/>
      <c r="FE7" s="212"/>
      <c r="FF7" s="212"/>
      <c r="FG7" s="212"/>
      <c r="FH7" s="212"/>
      <c r="FI7" s="212"/>
      <c r="FJ7" s="212"/>
      <c r="FK7" s="212"/>
      <c r="FL7" s="212"/>
      <c r="FM7" s="212"/>
      <c r="FN7" s="212"/>
      <c r="FO7" s="212"/>
      <c r="FP7" s="212"/>
      <c r="FQ7" s="212"/>
      <c r="FR7" s="212"/>
      <c r="FS7" s="212"/>
      <c r="FT7" s="212"/>
      <c r="FU7" s="212"/>
      <c r="FV7" s="212"/>
      <c r="FW7" s="212"/>
      <c r="FX7" s="212"/>
      <c r="FY7" s="212"/>
      <c r="FZ7" s="212"/>
      <c r="GA7" s="212"/>
      <c r="GB7" s="212"/>
      <c r="GC7" s="212"/>
      <c r="GD7" s="212"/>
      <c r="GE7" s="212"/>
      <c r="GF7" s="212"/>
      <c r="GG7" s="212"/>
      <c r="GH7" s="212"/>
      <c r="GI7" s="212"/>
      <c r="GJ7" s="212"/>
      <c r="GK7" s="212"/>
      <c r="GL7" s="212"/>
      <c r="GM7" s="212"/>
      <c r="GN7" s="212"/>
      <c r="GO7" s="212"/>
      <c r="GP7" s="212"/>
      <c r="GQ7" s="212"/>
      <c r="GR7" s="212"/>
      <c r="GS7" s="212"/>
      <c r="GT7" s="212"/>
      <c r="GU7" s="212"/>
      <c r="GV7" s="212"/>
      <c r="GW7" s="212"/>
      <c r="GX7" s="212"/>
      <c r="GY7" s="212"/>
      <c r="GZ7" s="212"/>
      <c r="HA7" s="212"/>
      <c r="HB7" s="212"/>
      <c r="HC7" s="212"/>
      <c r="HD7" s="212"/>
      <c r="HE7" s="212"/>
      <c r="HF7" s="212"/>
      <c r="HG7" s="212"/>
      <c r="HH7" s="212"/>
      <c r="HI7" s="212"/>
      <c r="HJ7" s="212"/>
      <c r="HK7" s="212"/>
      <c r="HL7" s="212"/>
      <c r="HM7" s="212"/>
      <c r="HN7" s="212"/>
      <c r="HO7" s="212"/>
      <c r="HP7" s="212"/>
      <c r="HQ7" s="212"/>
      <c r="HR7" s="212"/>
      <c r="HS7" s="212"/>
      <c r="HT7" s="212"/>
      <c r="HU7" s="212"/>
      <c r="HV7" s="212"/>
      <c r="HW7" s="212"/>
      <c r="HX7" s="212"/>
      <c r="HY7" s="212"/>
      <c r="HZ7" s="212"/>
      <c r="IA7" s="212"/>
      <c r="IB7" s="212"/>
      <c r="IC7" s="212"/>
      <c r="ID7" s="212"/>
      <c r="IE7" s="212"/>
      <c r="IF7" s="212"/>
      <c r="IG7" s="212"/>
      <c r="IH7" s="212"/>
      <c r="II7" s="212"/>
      <c r="IJ7" s="212"/>
      <c r="IK7" s="212"/>
      <c r="IL7" s="212"/>
      <c r="IM7" s="212"/>
      <c r="IN7" s="212"/>
      <c r="IO7" s="212"/>
      <c r="IP7" s="212"/>
      <c r="IQ7" s="212"/>
      <c r="IR7" s="212"/>
      <c r="IS7" s="212"/>
      <c r="IT7" s="212"/>
      <c r="IU7" s="212"/>
      <c r="IV7" s="212"/>
      <c r="IW7" s="212"/>
      <c r="IX7" s="212"/>
      <c r="IY7" s="212"/>
      <c r="IZ7" s="212"/>
      <c r="JA7" s="212"/>
      <c r="JB7" s="212"/>
      <c r="JC7" s="212"/>
      <c r="JD7" s="212"/>
      <c r="JE7" s="212"/>
      <c r="JF7" s="212"/>
      <c r="JG7" s="212"/>
      <c r="JH7" s="212"/>
      <c r="JI7" s="212"/>
      <c r="JJ7" s="212"/>
      <c r="JK7" s="212"/>
      <c r="JL7" s="212"/>
      <c r="JM7" s="212"/>
      <c r="JN7" s="212"/>
      <c r="JO7" s="212"/>
      <c r="JP7" s="212"/>
      <c r="JQ7" s="212"/>
      <c r="JR7" s="212"/>
      <c r="JS7" s="212"/>
      <c r="JT7" s="212"/>
      <c r="JU7" s="212"/>
      <c r="JV7" s="212"/>
      <c r="JW7" s="212"/>
      <c r="JX7" s="212"/>
      <c r="JY7" s="212"/>
      <c r="JZ7" s="212"/>
      <c r="KA7" s="212"/>
      <c r="KB7" s="212"/>
      <c r="KC7" s="212"/>
      <c r="KD7" s="212"/>
      <c r="KE7" s="212"/>
      <c r="KF7" s="212"/>
      <c r="KG7" s="212"/>
      <c r="KH7" s="212"/>
      <c r="KI7" s="212"/>
      <c r="KJ7" s="212"/>
      <c r="KK7" s="212"/>
      <c r="KL7" s="212"/>
      <c r="KM7" s="212"/>
      <c r="KN7" s="212"/>
      <c r="KO7" s="212"/>
      <c r="KP7" s="212"/>
      <c r="KQ7" s="212"/>
      <c r="KR7" s="212"/>
      <c r="KS7" s="212"/>
      <c r="KT7" s="212"/>
      <c r="KU7" s="212"/>
      <c r="KV7" s="212"/>
      <c r="KW7" s="212"/>
      <c r="KX7" s="212"/>
      <c r="KY7" s="212"/>
      <c r="KZ7" s="212"/>
      <c r="LA7" s="212"/>
      <c r="LB7" s="212"/>
      <c r="LC7" s="212"/>
      <c r="LD7" s="212"/>
      <c r="LE7" s="212"/>
      <c r="LF7" s="212"/>
      <c r="LG7" s="212"/>
      <c r="LH7" s="212"/>
      <c r="LI7" s="212"/>
      <c r="LJ7" s="212"/>
      <c r="LK7" s="212"/>
      <c r="LL7" s="212"/>
      <c r="LM7" s="212"/>
      <c r="LN7" s="212"/>
      <c r="LO7" s="212"/>
      <c r="LP7" s="212"/>
      <c r="LQ7" s="212"/>
      <c r="LR7" s="212"/>
      <c r="LS7" s="212"/>
      <c r="LT7" s="212"/>
      <c r="LU7" s="212"/>
      <c r="LV7" s="212"/>
      <c r="LW7" s="212"/>
      <c r="LX7" s="212"/>
      <c r="LY7" s="212"/>
      <c r="LZ7" s="212"/>
      <c r="MA7" s="212"/>
      <c r="MB7" s="212"/>
      <c r="MC7" s="212"/>
      <c r="MD7" s="212"/>
      <c r="ME7" s="212"/>
      <c r="MF7" s="212"/>
      <c r="MG7" s="212"/>
      <c r="MH7" s="212"/>
      <c r="MI7" s="212"/>
      <c r="MJ7" s="212"/>
      <c r="MK7" s="212"/>
      <c r="ML7" s="212"/>
      <c r="MM7" s="212"/>
      <c r="MN7" s="212"/>
      <c r="MO7" s="212"/>
      <c r="MP7" s="212"/>
      <c r="MQ7" s="212"/>
      <c r="MR7" s="212"/>
      <c r="MS7" s="212"/>
      <c r="MT7" s="212"/>
      <c r="MU7" s="212"/>
      <c r="MV7" s="212"/>
      <c r="MW7" s="212"/>
      <c r="MX7" s="212"/>
      <c r="MY7" s="212"/>
      <c r="MZ7" s="212"/>
      <c r="NA7" s="212"/>
      <c r="NB7" s="212"/>
      <c r="NC7" s="212"/>
      <c r="ND7" s="212"/>
      <c r="NE7" s="212"/>
      <c r="NF7" s="212"/>
    </row>
    <row r="8" s="988" customFormat="true" ht="15" hidden="false" customHeight="false" outlineLevel="0" collapsed="false">
      <c r="A8" s="987" t="s">
        <v>405</v>
      </c>
      <c r="B8" s="987" t="s">
        <v>1595</v>
      </c>
      <c r="C8" s="212" t="n">
        <f aca="false">C7-0.1</f>
        <v>15</v>
      </c>
      <c r="D8" s="212" t="n">
        <f aca="false">D7-0.1</f>
        <v>203.9</v>
      </c>
      <c r="E8" s="212" t="n">
        <f aca="false">E7-0.1</f>
        <v>120.08</v>
      </c>
      <c r="F8" s="212" t="e">
        <f aca="false">F7-0.1</f>
        <v>#N/A</v>
      </c>
      <c r="G8" s="212" t="n">
        <f aca="false">G7-0.1</f>
        <v>-0.1</v>
      </c>
      <c r="H8" s="212" t="e">
        <f aca="false">H7-0.1</f>
        <v>#N/A</v>
      </c>
      <c r="I8" s="212" t="n">
        <f aca="false">I7-0.1</f>
        <v>-0.1</v>
      </c>
      <c r="J8" s="212" t="n">
        <f aca="false">J7-0.1</f>
        <v>184.87</v>
      </c>
      <c r="K8" s="212" t="n">
        <f aca="false">K7-0.1</f>
        <v>393.73</v>
      </c>
      <c r="L8" s="212" t="n">
        <f aca="false">L7-0.1</f>
        <v>231.68</v>
      </c>
      <c r="M8" s="212" t="n">
        <f aca="false">M7-0.1</f>
        <v>393.73</v>
      </c>
      <c r="N8" s="212" t="n">
        <f aca="false">N7-0.1</f>
        <v>396.63</v>
      </c>
      <c r="O8" s="212" t="n">
        <f aca="false">O7-0.1</f>
        <v>49.9</v>
      </c>
      <c r="P8" s="212" t="n">
        <f aca="false">P7-0.1</f>
        <v>223.71</v>
      </c>
      <c r="Q8" s="212" t="n">
        <f aca="false">Q7-0.1</f>
        <v>223.07</v>
      </c>
      <c r="R8" s="212" t="n">
        <f aca="false">R7-0.1</f>
        <v>185.93</v>
      </c>
      <c r="S8" s="212" t="n">
        <f aca="false">S7-0.1</f>
        <v>139.66</v>
      </c>
      <c r="T8" s="212" t="n">
        <f aca="false">T7-0.1</f>
        <v>139.66</v>
      </c>
      <c r="U8" s="212" t="n">
        <f aca="false">U7-0.1</f>
        <v>417.57</v>
      </c>
      <c r="V8" s="212" t="n">
        <f aca="false">V7-0.1</f>
        <v>388.26</v>
      </c>
      <c r="W8" s="212" t="n">
        <f aca="false">W7-0.1</f>
        <v>387.18</v>
      </c>
      <c r="X8" s="212" t="n">
        <f aca="false">X7-0.1</f>
        <v>109.32</v>
      </c>
      <c r="Y8" s="212" t="n">
        <f aca="false">Y7-0.1</f>
        <v>39.84</v>
      </c>
      <c r="Z8" s="212" t="n">
        <f aca="false">Z7-0.1</f>
        <v>92.85</v>
      </c>
      <c r="AA8" s="212" t="n">
        <f aca="false">AA7-0.1</f>
        <v>39.87</v>
      </c>
      <c r="AB8" s="212" t="n">
        <f aca="false">AB7-0.1</f>
        <v>39.21</v>
      </c>
      <c r="AC8" s="212" t="n">
        <f aca="false">AC7-0.1</f>
        <v>259.9</v>
      </c>
      <c r="AD8" s="212" t="n">
        <f aca="false">AD7-0.1</f>
        <v>109.36</v>
      </c>
      <c r="AE8" s="212" t="n">
        <f aca="false">AE7-0.1</f>
        <v>40.33</v>
      </c>
      <c r="AF8" s="212" t="n">
        <f aca="false">AF7-0.1</f>
        <v>47.9</v>
      </c>
      <c r="AG8" s="212" t="n">
        <f aca="false">AG7-0.1</f>
        <v>222.84</v>
      </c>
      <c r="AH8" s="212"/>
      <c r="AI8" s="212" t="e">
        <f aca="false">AI7-0.1</f>
        <v>#N/A</v>
      </c>
      <c r="AJ8" s="212" t="e">
        <f aca="false">AJ7-0.1</f>
        <v>#N/A</v>
      </c>
      <c r="AK8" s="212"/>
      <c r="AL8" s="212"/>
      <c r="AM8" s="212"/>
      <c r="AN8" s="212"/>
      <c r="AO8" s="212"/>
      <c r="AP8" s="212"/>
      <c r="AQ8" s="212"/>
      <c r="AR8" s="212"/>
      <c r="AS8" s="212"/>
      <c r="AT8" s="212"/>
      <c r="AU8" s="212"/>
      <c r="AV8" s="212"/>
      <c r="AW8" s="212"/>
      <c r="AX8" s="212"/>
      <c r="AY8" s="212"/>
      <c r="AZ8" s="212"/>
      <c r="BA8" s="212"/>
      <c r="BB8" s="212"/>
      <c r="BC8" s="212"/>
      <c r="BD8" s="212"/>
      <c r="BE8" s="212"/>
      <c r="BF8" s="212"/>
      <c r="BG8" s="212"/>
      <c r="BH8" s="212"/>
      <c r="BI8" s="212"/>
      <c r="BJ8" s="212"/>
      <c r="BK8" s="212"/>
      <c r="BL8" s="212"/>
      <c r="BM8" s="212"/>
      <c r="BN8" s="212"/>
      <c r="BO8" s="212"/>
      <c r="BP8" s="212"/>
      <c r="BQ8" s="212"/>
      <c r="BR8" s="212"/>
      <c r="BS8" s="212"/>
      <c r="BT8" s="212"/>
      <c r="BU8" s="212"/>
      <c r="BV8" s="212"/>
      <c r="BW8" s="212"/>
      <c r="BX8" s="212"/>
      <c r="BY8" s="212"/>
      <c r="BZ8" s="212"/>
      <c r="CA8" s="212"/>
      <c r="CB8" s="212"/>
      <c r="CC8" s="212"/>
      <c r="CD8" s="212"/>
      <c r="CE8" s="212"/>
      <c r="CF8" s="212"/>
      <c r="CG8" s="212"/>
      <c r="CH8" s="212"/>
      <c r="CI8" s="212"/>
      <c r="CJ8" s="212"/>
      <c r="CK8" s="212"/>
      <c r="CL8" s="212"/>
      <c r="CM8" s="212"/>
      <c r="CN8" s="212"/>
      <c r="CO8" s="212"/>
      <c r="CP8" s="212"/>
      <c r="CQ8" s="212"/>
      <c r="CR8" s="212"/>
      <c r="CS8" s="212"/>
      <c r="CT8" s="212"/>
      <c r="CU8" s="212"/>
      <c r="CV8" s="212"/>
      <c r="CW8" s="212"/>
      <c r="CX8" s="212"/>
      <c r="CY8" s="212"/>
      <c r="CZ8" s="212"/>
      <c r="DA8" s="212"/>
      <c r="DB8" s="212"/>
      <c r="DC8" s="212"/>
      <c r="DD8" s="212"/>
      <c r="DE8" s="212"/>
      <c r="DF8" s="212"/>
      <c r="DG8" s="212"/>
      <c r="DH8" s="212"/>
      <c r="DI8" s="212"/>
      <c r="DJ8" s="212"/>
      <c r="DK8" s="212"/>
      <c r="DL8" s="212"/>
      <c r="DM8" s="212"/>
      <c r="DN8" s="212"/>
      <c r="DO8" s="212"/>
      <c r="DP8" s="212"/>
      <c r="DQ8" s="212"/>
      <c r="DR8" s="212"/>
      <c r="DS8" s="212"/>
      <c r="DT8" s="212"/>
      <c r="DU8" s="212"/>
      <c r="DV8" s="212"/>
      <c r="DW8" s="212"/>
      <c r="DX8" s="212"/>
      <c r="DY8" s="212"/>
      <c r="DZ8" s="212"/>
      <c r="EA8" s="212"/>
      <c r="EB8" s="212"/>
      <c r="EC8" s="212"/>
      <c r="ED8" s="212"/>
      <c r="EE8" s="212"/>
      <c r="EF8" s="212"/>
      <c r="EG8" s="212"/>
      <c r="EH8" s="212"/>
      <c r="EI8" s="212"/>
      <c r="EJ8" s="212"/>
      <c r="EK8" s="212"/>
      <c r="EL8" s="212"/>
      <c r="EM8" s="212"/>
      <c r="EN8" s="212"/>
      <c r="EO8" s="212"/>
      <c r="EP8" s="212"/>
      <c r="EQ8" s="212"/>
      <c r="ER8" s="212"/>
      <c r="ES8" s="212"/>
      <c r="ET8" s="212"/>
      <c r="EU8" s="212"/>
      <c r="EV8" s="212"/>
      <c r="EW8" s="212"/>
      <c r="EX8" s="212"/>
      <c r="EY8" s="212"/>
      <c r="EZ8" s="212"/>
      <c r="FA8" s="212"/>
      <c r="FB8" s="212"/>
      <c r="FC8" s="212"/>
      <c r="FD8" s="212"/>
      <c r="FE8" s="212"/>
      <c r="FF8" s="212"/>
      <c r="FG8" s="212"/>
      <c r="FH8" s="212"/>
      <c r="FI8" s="212"/>
      <c r="FJ8" s="212"/>
      <c r="FK8" s="212"/>
      <c r="FL8" s="212"/>
      <c r="FM8" s="212"/>
      <c r="FN8" s="212"/>
      <c r="FO8" s="212"/>
      <c r="FP8" s="212"/>
      <c r="FQ8" s="212"/>
      <c r="FR8" s="212"/>
      <c r="FS8" s="212"/>
      <c r="FT8" s="212"/>
      <c r="FU8" s="212"/>
      <c r="FV8" s="212"/>
      <c r="FW8" s="212"/>
      <c r="FX8" s="212"/>
      <c r="FY8" s="212"/>
      <c r="FZ8" s="212"/>
      <c r="GA8" s="212"/>
      <c r="GB8" s="212"/>
      <c r="GC8" s="212"/>
      <c r="GD8" s="212"/>
      <c r="GE8" s="212"/>
      <c r="GF8" s="212"/>
      <c r="GG8" s="212"/>
      <c r="GH8" s="212"/>
      <c r="GI8" s="212"/>
      <c r="GJ8" s="212"/>
      <c r="GK8" s="212"/>
      <c r="GL8" s="212"/>
      <c r="GM8" s="212"/>
      <c r="GN8" s="212"/>
      <c r="GO8" s="212"/>
      <c r="GP8" s="212"/>
      <c r="GQ8" s="212"/>
      <c r="GR8" s="212"/>
      <c r="GS8" s="212"/>
      <c r="GT8" s="212"/>
      <c r="GU8" s="212"/>
      <c r="GV8" s="212"/>
      <c r="GW8" s="212"/>
      <c r="GX8" s="212"/>
      <c r="GY8" s="212"/>
      <c r="GZ8" s="212"/>
      <c r="HA8" s="212"/>
      <c r="HB8" s="212"/>
      <c r="HC8" s="212"/>
      <c r="HD8" s="212"/>
      <c r="HE8" s="212"/>
      <c r="HF8" s="212"/>
      <c r="HG8" s="212"/>
      <c r="HH8" s="212"/>
      <c r="HI8" s="212"/>
      <c r="HJ8" s="212"/>
      <c r="HK8" s="212"/>
      <c r="HL8" s="212"/>
      <c r="HM8" s="212"/>
      <c r="HN8" s="212"/>
      <c r="HO8" s="212"/>
      <c r="HP8" s="212"/>
      <c r="HQ8" s="212"/>
      <c r="HR8" s="212"/>
      <c r="HS8" s="212"/>
      <c r="HT8" s="212"/>
      <c r="HU8" s="212"/>
      <c r="HV8" s="212"/>
      <c r="HW8" s="212"/>
      <c r="HX8" s="212"/>
      <c r="HY8" s="212"/>
      <c r="HZ8" s="212"/>
      <c r="IA8" s="212"/>
      <c r="IB8" s="212"/>
      <c r="IC8" s="212"/>
      <c r="ID8" s="212"/>
      <c r="IE8" s="212"/>
      <c r="IF8" s="212"/>
      <c r="IG8" s="212"/>
      <c r="IH8" s="212"/>
      <c r="II8" s="212"/>
      <c r="IJ8" s="212"/>
      <c r="IK8" s="212"/>
      <c r="IL8" s="212"/>
      <c r="IM8" s="212"/>
      <c r="IN8" s="212"/>
      <c r="IO8" s="212"/>
      <c r="IP8" s="212"/>
      <c r="IQ8" s="212"/>
      <c r="IR8" s="212"/>
      <c r="IS8" s="212"/>
      <c r="IT8" s="212"/>
      <c r="IU8" s="212"/>
      <c r="IV8" s="212"/>
      <c r="IW8" s="212"/>
      <c r="IX8" s="212"/>
      <c r="IY8" s="212"/>
      <c r="IZ8" s="212"/>
      <c r="JA8" s="212"/>
      <c r="JB8" s="212"/>
      <c r="JC8" s="212"/>
      <c r="JD8" s="212"/>
      <c r="JE8" s="212"/>
      <c r="JF8" s="212"/>
      <c r="JG8" s="212"/>
      <c r="JH8" s="212"/>
      <c r="JI8" s="212"/>
      <c r="JJ8" s="212"/>
      <c r="JK8" s="212"/>
      <c r="JL8" s="212"/>
      <c r="JM8" s="212"/>
      <c r="JN8" s="212"/>
      <c r="JO8" s="212"/>
      <c r="JP8" s="212"/>
      <c r="JQ8" s="212"/>
      <c r="JR8" s="212"/>
      <c r="JS8" s="212"/>
      <c r="JT8" s="212"/>
      <c r="JU8" s="212"/>
      <c r="JV8" s="212"/>
      <c r="JW8" s="212"/>
      <c r="JX8" s="212"/>
      <c r="JY8" s="212"/>
      <c r="JZ8" s="212"/>
      <c r="KA8" s="212"/>
      <c r="KB8" s="212"/>
      <c r="KC8" s="212"/>
      <c r="KD8" s="212"/>
      <c r="KE8" s="212"/>
      <c r="KF8" s="212"/>
      <c r="KG8" s="212"/>
      <c r="KH8" s="212"/>
      <c r="KI8" s="212"/>
      <c r="KJ8" s="212"/>
      <c r="KK8" s="212"/>
      <c r="KL8" s="212"/>
      <c r="KM8" s="212"/>
      <c r="KN8" s="212"/>
      <c r="KO8" s="212"/>
      <c r="KP8" s="212"/>
      <c r="KQ8" s="212"/>
      <c r="KR8" s="212"/>
      <c r="KS8" s="212"/>
      <c r="KT8" s="212"/>
      <c r="KU8" s="212"/>
      <c r="KV8" s="212"/>
      <c r="KW8" s="212"/>
      <c r="KX8" s="212"/>
      <c r="KY8" s="212"/>
      <c r="KZ8" s="212"/>
      <c r="LA8" s="212"/>
      <c r="LB8" s="212"/>
      <c r="LC8" s="212"/>
      <c r="LD8" s="212"/>
      <c r="LE8" s="212"/>
      <c r="LF8" s="212"/>
      <c r="LG8" s="212"/>
      <c r="LH8" s="212"/>
      <c r="LI8" s="212"/>
      <c r="LJ8" s="212"/>
      <c r="LK8" s="212"/>
      <c r="LL8" s="212"/>
      <c r="LM8" s="212"/>
      <c r="LN8" s="212"/>
      <c r="LO8" s="212"/>
      <c r="LP8" s="212"/>
      <c r="LQ8" s="212"/>
      <c r="LR8" s="212"/>
      <c r="LS8" s="212"/>
      <c r="LT8" s="212"/>
      <c r="LU8" s="212"/>
      <c r="LV8" s="212"/>
      <c r="LW8" s="212"/>
      <c r="LX8" s="212"/>
      <c r="LY8" s="212"/>
      <c r="LZ8" s="212"/>
      <c r="MA8" s="212"/>
      <c r="MB8" s="212"/>
      <c r="MC8" s="212"/>
      <c r="MD8" s="212"/>
      <c r="ME8" s="212"/>
      <c r="MF8" s="212"/>
      <c r="MG8" s="212"/>
      <c r="MH8" s="212"/>
      <c r="MI8" s="212"/>
      <c r="MJ8" s="212"/>
      <c r="MK8" s="212"/>
      <c r="ML8" s="212"/>
      <c r="MM8" s="212"/>
      <c r="MN8" s="212"/>
      <c r="MO8" s="212"/>
      <c r="MP8" s="212"/>
      <c r="MQ8" s="212"/>
      <c r="MR8" s="212"/>
      <c r="MS8" s="212"/>
      <c r="MT8" s="212"/>
      <c r="MU8" s="212"/>
      <c r="MV8" s="212"/>
      <c r="MW8" s="212"/>
      <c r="MX8" s="212"/>
      <c r="MY8" s="212"/>
      <c r="MZ8" s="212"/>
      <c r="NA8" s="212"/>
      <c r="NB8" s="212"/>
      <c r="NC8" s="212"/>
      <c r="ND8" s="212"/>
      <c r="NE8" s="212"/>
      <c r="NF8" s="212"/>
    </row>
    <row r="9" s="988" customFormat="true" ht="15" hidden="false" customHeight="false" outlineLevel="0" collapsed="false">
      <c r="A9" s="979" t="s">
        <v>1596</v>
      </c>
      <c r="B9" s="979" t="s">
        <v>439</v>
      </c>
      <c r="C9" s="986" t="n">
        <f aca="false">HLOOKUP(C2,物流参数!$C$1:$GC$29,MATCH(" DENSITY",物流参数!$A$1:$A$29,FALSE()),FALSE())</f>
        <v>752.7</v>
      </c>
      <c r="D9" s="212" t="n">
        <f aca="false">HLOOKUP(D2,物流参数!$A$1:$FT$37,10)</f>
        <v>407.87</v>
      </c>
      <c r="E9" s="212" t="n">
        <f aca="false">HLOOKUP(E2,物流参数!$A$1:$FT$37,10)</f>
        <v>596.82</v>
      </c>
      <c r="F9" s="212" t="e">
        <f aca="false">HLOOKUP(F2,物流参数!$A$1:$FT$37,10)</f>
        <v>#N/A</v>
      </c>
      <c r="G9" s="212" t="n">
        <f aca="false">物流参数!FM10</f>
        <v>0</v>
      </c>
      <c r="H9" s="212" t="e">
        <f aca="false">HLOOKUP(H2,物流参数!$A$1:$FT$37,10)</f>
        <v>#N/A</v>
      </c>
      <c r="I9" s="212" t="n">
        <f aca="false">物流参数!FL10</f>
        <v>0</v>
      </c>
      <c r="J9" s="212" t="n">
        <f aca="false">HLOOKUP(J2,物流参数!$A$1:$FT$37,10)</f>
        <v>596.82</v>
      </c>
      <c r="K9" s="212" t="n">
        <f aca="false">HLOOKUP(K2,物流参数!$A$1:$FT$37,10)</f>
        <v>-128.88</v>
      </c>
      <c r="L9" s="212" t="n">
        <f aca="false">物流参数!DR10</f>
        <v>382.05</v>
      </c>
      <c r="M9" s="212" t="n">
        <f aca="false">HLOOKUP(M2,物流参数!$A$1:$FT$37,10)</f>
        <v>-128.88</v>
      </c>
      <c r="N9" s="212" t="n">
        <f aca="false">HLOOKUP(N2,物流参数!$A$1:$FT$37,10)</f>
        <v>-116.2</v>
      </c>
      <c r="O9" s="212" t="n">
        <f aca="false">HLOOKUP(O2,物流参数!$A$1:$FT$37,10)</f>
        <v>374.07</v>
      </c>
      <c r="P9" s="212" t="n">
        <f aca="false">HLOOKUP(P2,物流参数!$A$1:$FT$37,10)</f>
        <v>437.51</v>
      </c>
      <c r="Q9" s="212" t="n">
        <f aca="false">HLOOKUP(Q2,物流参数!$A$1:$FT$37,10)</f>
        <v>437.51</v>
      </c>
      <c r="R9" s="212" t="n">
        <f aca="false">HLOOKUP(R2,物流参数!$A$1:$FT$37,10)</f>
        <v>407.87</v>
      </c>
      <c r="S9" s="212" t="n">
        <f aca="false">HLOOKUP(S2,物流参数!$A$1:$FT$37,10)</f>
        <v>563.4</v>
      </c>
      <c r="T9" s="212" t="n">
        <f aca="false">HLOOKUP(T2,物流参数!$A$1:$FT$37,10)</f>
        <v>563.4</v>
      </c>
      <c r="U9" s="212" t="n">
        <f aca="false">HLOOKUP(U2,物流参数!$A$1:$FT$37,10)</f>
        <v>297.26</v>
      </c>
      <c r="V9" s="212" t="n">
        <f aca="false">HLOOKUP(V2,物流参数!$A$1:$FT$37,10)</f>
        <v>333.43</v>
      </c>
      <c r="W9" s="212" t="n">
        <f aca="false">HLOOKUP(W2,物流参数!$A$1:$FT$37,10)</f>
        <v>307.78</v>
      </c>
      <c r="X9" s="212" t="n">
        <f aca="false">HLOOKUP(X2,物流参数!$A$1:$FT$37,10)</f>
        <v>-239.55</v>
      </c>
      <c r="Y9" s="212" t="n">
        <f aca="false">HLOOKUP(Y2,物流参数!$A$1:$FT$37,10)</f>
        <v>296.27</v>
      </c>
      <c r="Z9" s="212" t="n">
        <f aca="false">HLOOKUP(Z2,物流参数!$A$1:$FT$37,10)</f>
        <v>296.27</v>
      </c>
      <c r="AA9" s="212" t="n">
        <f aca="false">HLOOKUP(AA2,物流参数!$A$1:$FT$37,10)</f>
        <v>11.29</v>
      </c>
      <c r="AB9" s="212" t="n">
        <f aca="false">HLOOKUP(AB2,物流参数!$A$1:$FT$37,10)</f>
        <v>11.29</v>
      </c>
      <c r="AC9" s="212" t="n">
        <f aca="false">HLOOKUP(AC2,物流参数!$A$1:$FT$37,10)</f>
        <v>374.15</v>
      </c>
      <c r="AD9" s="212" t="n">
        <f aca="false">HLOOKUP(AD2,物流参数!$A$1:$FT$37,10)</f>
        <v>-239.55</v>
      </c>
      <c r="AE9" s="212" t="n">
        <f aca="false">HLOOKUP(AE2,物流参数!$A$1:$FT$37,10)</f>
        <v>216.51</v>
      </c>
      <c r="AF9" s="212" t="n">
        <f aca="false">HLOOKUP(AF2,物流参数!$A$1:$FT$37,10)</f>
        <v>-164.64</v>
      </c>
      <c r="AG9" s="212" t="n">
        <f aca="false">HLOOKUP(AG2,物流参数!$A$1:$FT$37,10)</f>
        <v>294.24</v>
      </c>
      <c r="AH9" s="212"/>
      <c r="AI9" s="212" t="e">
        <f aca="false">HLOOKUP(AI2,物流参数!$FZ$1:$IA$37,10)</f>
        <v>#N/A</v>
      </c>
      <c r="AJ9" s="212" t="e">
        <f aca="false">HLOOKUP(AJ2,物流参数!$FZ$1:$IA$37,10)</f>
        <v>#N/A</v>
      </c>
      <c r="AK9" s="212"/>
      <c r="AL9" s="212"/>
      <c r="AM9" s="212"/>
      <c r="AN9" s="212"/>
      <c r="AO9" s="212"/>
      <c r="AP9" s="212"/>
      <c r="AQ9" s="212"/>
      <c r="AR9" s="212"/>
      <c r="AS9" s="212"/>
      <c r="AT9" s="212"/>
      <c r="AU9" s="212"/>
      <c r="AV9" s="212"/>
      <c r="AW9" s="212"/>
      <c r="AX9" s="212"/>
      <c r="AY9" s="212"/>
      <c r="AZ9" s="212"/>
      <c r="BA9" s="212"/>
      <c r="BB9" s="212"/>
      <c r="BC9" s="212"/>
      <c r="BD9" s="212"/>
      <c r="BE9" s="212"/>
      <c r="BF9" s="212"/>
      <c r="BG9" s="212"/>
      <c r="BH9" s="212"/>
      <c r="BI9" s="212"/>
      <c r="BJ9" s="212"/>
      <c r="BK9" s="212"/>
      <c r="BL9" s="212"/>
      <c r="BM9" s="212"/>
      <c r="BN9" s="212"/>
      <c r="BO9" s="212"/>
      <c r="BP9" s="212"/>
      <c r="BQ9" s="212"/>
      <c r="BR9" s="212"/>
      <c r="BS9" s="212"/>
      <c r="BT9" s="212"/>
      <c r="BU9" s="212"/>
      <c r="BV9" s="212"/>
      <c r="BW9" s="212"/>
      <c r="BX9" s="212"/>
      <c r="BY9" s="212"/>
      <c r="BZ9" s="212"/>
      <c r="CA9" s="212"/>
      <c r="CB9" s="212"/>
      <c r="CC9" s="212"/>
      <c r="CD9" s="212"/>
      <c r="CE9" s="212"/>
      <c r="CF9" s="212"/>
      <c r="CG9" s="212"/>
      <c r="CH9" s="212"/>
      <c r="CI9" s="212"/>
      <c r="CJ9" s="212"/>
      <c r="CK9" s="212"/>
      <c r="CL9" s="212"/>
      <c r="CM9" s="212"/>
      <c r="CN9" s="212"/>
      <c r="CO9" s="212"/>
      <c r="CP9" s="212"/>
      <c r="CQ9" s="212"/>
      <c r="CR9" s="212"/>
      <c r="CS9" s="212"/>
      <c r="CT9" s="212"/>
      <c r="CU9" s="212"/>
      <c r="CV9" s="212"/>
      <c r="CW9" s="212"/>
      <c r="CX9" s="212"/>
      <c r="CY9" s="212"/>
      <c r="CZ9" s="212"/>
      <c r="DA9" s="212"/>
      <c r="DB9" s="212"/>
      <c r="DC9" s="212"/>
      <c r="DD9" s="212"/>
      <c r="DE9" s="212"/>
      <c r="DF9" s="212"/>
      <c r="DG9" s="212"/>
      <c r="DH9" s="212"/>
      <c r="DI9" s="212"/>
      <c r="DJ9" s="212"/>
      <c r="DK9" s="212"/>
      <c r="DL9" s="212"/>
      <c r="DM9" s="212"/>
      <c r="DN9" s="212"/>
      <c r="DO9" s="212"/>
      <c r="DP9" s="212"/>
      <c r="DQ9" s="212"/>
      <c r="DR9" s="212"/>
      <c r="DS9" s="212"/>
      <c r="DT9" s="212"/>
      <c r="DU9" s="212"/>
      <c r="DV9" s="212"/>
      <c r="DW9" s="212"/>
      <c r="DX9" s="212"/>
      <c r="DY9" s="212"/>
      <c r="DZ9" s="212"/>
      <c r="EA9" s="212"/>
      <c r="EB9" s="212"/>
      <c r="EC9" s="212"/>
      <c r="ED9" s="212"/>
      <c r="EE9" s="212"/>
      <c r="EF9" s="212"/>
      <c r="EG9" s="212"/>
      <c r="EH9" s="212"/>
      <c r="EI9" s="212"/>
      <c r="EJ9" s="212"/>
      <c r="EK9" s="212"/>
      <c r="EL9" s="212"/>
      <c r="EM9" s="212"/>
      <c r="EN9" s="212"/>
      <c r="EO9" s="212"/>
      <c r="EP9" s="212"/>
      <c r="EQ9" s="212"/>
      <c r="ER9" s="212"/>
      <c r="ES9" s="212"/>
      <c r="ET9" s="212"/>
      <c r="EU9" s="212"/>
      <c r="EV9" s="212"/>
      <c r="EW9" s="212"/>
      <c r="EX9" s="212"/>
      <c r="EY9" s="212"/>
      <c r="EZ9" s="212"/>
      <c r="FA9" s="212"/>
      <c r="FB9" s="212"/>
      <c r="FC9" s="212"/>
      <c r="FD9" s="212"/>
      <c r="FE9" s="212"/>
      <c r="FF9" s="212"/>
      <c r="FG9" s="212"/>
      <c r="FH9" s="212"/>
      <c r="FI9" s="212"/>
      <c r="FJ9" s="212"/>
      <c r="FK9" s="212"/>
      <c r="FL9" s="212"/>
      <c r="FM9" s="212"/>
      <c r="FN9" s="212"/>
      <c r="FO9" s="212"/>
      <c r="FP9" s="212"/>
      <c r="FQ9" s="212"/>
      <c r="FR9" s="212"/>
      <c r="FS9" s="212"/>
      <c r="FT9" s="212"/>
      <c r="FU9" s="212"/>
      <c r="FV9" s="212"/>
      <c r="FW9" s="212"/>
      <c r="FX9" s="212"/>
      <c r="FY9" s="212"/>
      <c r="FZ9" s="212"/>
      <c r="GA9" s="212"/>
      <c r="GB9" s="212"/>
      <c r="GC9" s="212"/>
      <c r="GD9" s="212"/>
      <c r="GE9" s="212"/>
      <c r="GF9" s="212"/>
      <c r="GG9" s="212"/>
      <c r="GH9" s="212"/>
      <c r="GI9" s="212"/>
      <c r="GJ9" s="212"/>
      <c r="GK9" s="212"/>
      <c r="GL9" s="212"/>
      <c r="GM9" s="212"/>
      <c r="GN9" s="212"/>
      <c r="GO9" s="212"/>
      <c r="GP9" s="212"/>
      <c r="GQ9" s="212"/>
      <c r="GR9" s="212"/>
      <c r="GS9" s="212"/>
      <c r="GT9" s="212"/>
      <c r="GU9" s="212"/>
      <c r="GV9" s="212"/>
      <c r="GW9" s="212"/>
      <c r="GX9" s="212"/>
      <c r="GY9" s="212"/>
      <c r="GZ9" s="212"/>
      <c r="HA9" s="212"/>
      <c r="HB9" s="212"/>
      <c r="HC9" s="212"/>
      <c r="HD9" s="212"/>
      <c r="HE9" s="212"/>
      <c r="HF9" s="212"/>
      <c r="HG9" s="212"/>
      <c r="HH9" s="212"/>
      <c r="HI9" s="212"/>
      <c r="HJ9" s="212"/>
      <c r="HK9" s="212"/>
      <c r="HL9" s="212"/>
      <c r="HM9" s="212"/>
      <c r="HN9" s="212"/>
      <c r="HO9" s="212"/>
      <c r="HP9" s="212"/>
      <c r="HQ9" s="212"/>
      <c r="HR9" s="212"/>
      <c r="HS9" s="212"/>
      <c r="HT9" s="212"/>
      <c r="HU9" s="212"/>
      <c r="HV9" s="212"/>
      <c r="HW9" s="212"/>
      <c r="HX9" s="212"/>
      <c r="HY9" s="212"/>
      <c r="HZ9" s="212"/>
      <c r="IA9" s="212"/>
      <c r="IB9" s="212"/>
      <c r="IC9" s="212"/>
      <c r="ID9" s="212"/>
      <c r="IE9" s="212"/>
      <c r="IF9" s="212"/>
      <c r="IG9" s="212"/>
      <c r="IH9" s="212"/>
      <c r="II9" s="212"/>
      <c r="IJ9" s="212"/>
      <c r="IK9" s="212"/>
      <c r="IL9" s="212"/>
      <c r="IM9" s="212"/>
      <c r="IN9" s="212"/>
      <c r="IO9" s="212"/>
      <c r="IP9" s="212"/>
      <c r="IQ9" s="212"/>
      <c r="IR9" s="212"/>
      <c r="IS9" s="212"/>
      <c r="IT9" s="212"/>
      <c r="IU9" s="212"/>
      <c r="IV9" s="212"/>
      <c r="IW9" s="212"/>
      <c r="IX9" s="212"/>
      <c r="IY9" s="212"/>
      <c r="IZ9" s="212"/>
      <c r="JA9" s="212"/>
      <c r="JB9" s="212"/>
      <c r="JC9" s="212"/>
      <c r="JD9" s="212"/>
      <c r="JE9" s="212"/>
      <c r="JF9" s="212"/>
      <c r="JG9" s="212"/>
      <c r="JH9" s="212"/>
      <c r="JI9" s="212"/>
      <c r="JJ9" s="212"/>
      <c r="JK9" s="212"/>
      <c r="JL9" s="212"/>
      <c r="JM9" s="212"/>
      <c r="JN9" s="212"/>
      <c r="JO9" s="212"/>
      <c r="JP9" s="212"/>
      <c r="JQ9" s="212"/>
      <c r="JR9" s="212"/>
      <c r="JS9" s="212"/>
      <c r="JT9" s="212"/>
      <c r="JU9" s="212"/>
      <c r="JV9" s="212"/>
      <c r="JW9" s="212"/>
      <c r="JX9" s="212"/>
      <c r="JY9" s="212"/>
      <c r="JZ9" s="212"/>
      <c r="KA9" s="212"/>
      <c r="KB9" s="212"/>
      <c r="KC9" s="212"/>
      <c r="KD9" s="212"/>
      <c r="KE9" s="212"/>
      <c r="KF9" s="212"/>
      <c r="KG9" s="212"/>
      <c r="KH9" s="212"/>
      <c r="KI9" s="212"/>
      <c r="KJ9" s="212"/>
      <c r="KK9" s="212"/>
      <c r="KL9" s="212"/>
      <c r="KM9" s="212"/>
      <c r="KN9" s="212"/>
      <c r="KO9" s="212"/>
      <c r="KP9" s="212"/>
      <c r="KQ9" s="212"/>
      <c r="KR9" s="212"/>
      <c r="KS9" s="212"/>
      <c r="KT9" s="212"/>
      <c r="KU9" s="212"/>
      <c r="KV9" s="212"/>
      <c r="KW9" s="212"/>
      <c r="KX9" s="212"/>
      <c r="KY9" s="212"/>
      <c r="KZ9" s="212"/>
      <c r="LA9" s="212"/>
      <c r="LB9" s="212"/>
      <c r="LC9" s="212"/>
      <c r="LD9" s="212"/>
      <c r="LE9" s="212"/>
      <c r="LF9" s="212"/>
      <c r="LG9" s="212"/>
      <c r="LH9" s="212"/>
      <c r="LI9" s="212"/>
      <c r="LJ9" s="212"/>
      <c r="LK9" s="212"/>
      <c r="LL9" s="212"/>
      <c r="LM9" s="212"/>
      <c r="LN9" s="212"/>
      <c r="LO9" s="212"/>
      <c r="LP9" s="212"/>
      <c r="LQ9" s="212"/>
      <c r="LR9" s="212"/>
      <c r="LS9" s="212"/>
      <c r="LT9" s="212"/>
      <c r="LU9" s="212"/>
      <c r="LV9" s="212"/>
      <c r="LW9" s="212"/>
      <c r="LX9" s="212"/>
      <c r="LY9" s="212"/>
      <c r="LZ9" s="212"/>
      <c r="MA9" s="212"/>
      <c r="MB9" s="212"/>
      <c r="MC9" s="212"/>
      <c r="MD9" s="212"/>
      <c r="ME9" s="212"/>
      <c r="MF9" s="212"/>
      <c r="MG9" s="212"/>
      <c r="MH9" s="212"/>
      <c r="MI9" s="212"/>
      <c r="MJ9" s="212"/>
      <c r="MK9" s="212"/>
      <c r="ML9" s="212"/>
      <c r="MM9" s="212"/>
      <c r="MN9" s="212"/>
      <c r="MO9" s="212"/>
      <c r="MP9" s="212"/>
      <c r="MQ9" s="212"/>
      <c r="MR9" s="212"/>
      <c r="MS9" s="212"/>
      <c r="MT9" s="212"/>
      <c r="MU9" s="212"/>
      <c r="MV9" s="212"/>
      <c r="MW9" s="212"/>
      <c r="MX9" s="212"/>
      <c r="MY9" s="212"/>
      <c r="MZ9" s="212"/>
      <c r="NA9" s="212"/>
      <c r="NB9" s="212"/>
      <c r="NC9" s="212"/>
      <c r="ND9" s="212"/>
      <c r="NE9" s="212"/>
      <c r="NF9" s="212"/>
    </row>
    <row r="10" s="27" customFormat="true" ht="15" hidden="false" customHeight="false" outlineLevel="0" collapsed="false">
      <c r="A10" s="989" t="s">
        <v>1597</v>
      </c>
      <c r="B10" s="989"/>
      <c r="C10" s="990"/>
      <c r="D10" s="990"/>
      <c r="E10" s="990"/>
      <c r="F10" s="990"/>
      <c r="G10" s="990"/>
      <c r="H10" s="990"/>
      <c r="I10" s="990"/>
      <c r="J10" s="990"/>
      <c r="K10" s="990"/>
      <c r="L10" s="990"/>
      <c r="M10" s="990"/>
      <c r="N10" s="990"/>
      <c r="O10" s="990"/>
      <c r="P10" s="990"/>
      <c r="Q10" s="990"/>
      <c r="R10" s="990"/>
      <c r="S10" s="990"/>
      <c r="T10" s="990"/>
      <c r="U10" s="990"/>
      <c r="V10" s="990"/>
      <c r="W10" s="990"/>
      <c r="X10" s="990"/>
      <c r="Y10" s="990"/>
      <c r="Z10" s="990"/>
      <c r="AA10" s="990"/>
      <c r="AB10" s="990"/>
      <c r="AC10" s="990"/>
      <c r="AD10" s="990"/>
      <c r="AE10" s="990"/>
      <c r="AF10" s="990"/>
      <c r="AG10" s="990"/>
      <c r="AH10" s="990"/>
      <c r="AI10" s="990"/>
      <c r="AJ10" s="990"/>
      <c r="AK10" s="212"/>
      <c r="AL10" s="212"/>
      <c r="AM10" s="212"/>
      <c r="AN10" s="212"/>
      <c r="AO10" s="212"/>
      <c r="AP10" s="212"/>
      <c r="AQ10" s="212"/>
      <c r="AR10" s="212"/>
      <c r="AS10" s="212"/>
      <c r="AT10" s="212"/>
      <c r="AU10" s="212"/>
      <c r="AV10" s="212"/>
      <c r="AW10" s="212"/>
      <c r="AX10" s="212"/>
      <c r="AY10" s="212"/>
      <c r="AZ10" s="212"/>
      <c r="BA10" s="212"/>
      <c r="BB10" s="212"/>
      <c r="BC10" s="212"/>
      <c r="BD10" s="212"/>
      <c r="BE10" s="212"/>
      <c r="BF10" s="212"/>
      <c r="BG10" s="212"/>
      <c r="BH10" s="212"/>
      <c r="BI10" s="212"/>
      <c r="BJ10" s="212"/>
      <c r="BK10" s="212"/>
      <c r="BL10" s="212"/>
      <c r="BM10" s="212"/>
      <c r="BN10" s="212"/>
      <c r="BO10" s="212"/>
      <c r="BP10" s="212"/>
      <c r="BQ10" s="212"/>
      <c r="BR10" s="212"/>
      <c r="BS10" s="212"/>
      <c r="BT10" s="212"/>
      <c r="BU10" s="212"/>
      <c r="BV10" s="212"/>
      <c r="BW10" s="212"/>
      <c r="BX10" s="212"/>
      <c r="BY10" s="212"/>
      <c r="BZ10" s="212"/>
      <c r="CA10" s="212"/>
      <c r="CB10" s="212"/>
      <c r="CC10" s="212"/>
      <c r="CD10" s="212"/>
      <c r="CE10" s="212"/>
      <c r="CF10" s="212"/>
      <c r="CG10" s="212"/>
      <c r="CH10" s="212"/>
      <c r="CI10" s="212"/>
      <c r="CJ10" s="212"/>
      <c r="CK10" s="212"/>
      <c r="CL10" s="212"/>
      <c r="CM10" s="212"/>
      <c r="CN10" s="212"/>
      <c r="CO10" s="212"/>
      <c r="CP10" s="212"/>
      <c r="CQ10" s="212"/>
      <c r="CR10" s="212"/>
      <c r="CS10" s="212"/>
      <c r="CT10" s="212"/>
      <c r="CU10" s="212"/>
      <c r="CV10" s="212"/>
      <c r="CW10" s="212"/>
      <c r="CX10" s="212"/>
      <c r="CY10" s="212"/>
      <c r="CZ10" s="212"/>
      <c r="DA10" s="212"/>
      <c r="DB10" s="212"/>
      <c r="DC10" s="212"/>
      <c r="DD10" s="212"/>
      <c r="DE10" s="212"/>
      <c r="DF10" s="212"/>
      <c r="DG10" s="212"/>
      <c r="DH10" s="212"/>
      <c r="DI10" s="212"/>
      <c r="DJ10" s="212"/>
      <c r="DK10" s="212"/>
      <c r="DL10" s="212"/>
      <c r="DM10" s="212"/>
      <c r="DN10" s="212"/>
      <c r="DO10" s="212"/>
      <c r="DP10" s="212"/>
      <c r="DQ10" s="212"/>
      <c r="DR10" s="212"/>
      <c r="DS10" s="212"/>
      <c r="DT10" s="212"/>
      <c r="DU10" s="212"/>
      <c r="DV10" s="212"/>
      <c r="DW10" s="212"/>
      <c r="DX10" s="212"/>
      <c r="DY10" s="212"/>
      <c r="DZ10" s="212"/>
      <c r="EA10" s="212"/>
      <c r="EB10" s="212"/>
      <c r="EC10" s="212"/>
      <c r="ED10" s="212"/>
      <c r="EE10" s="212"/>
      <c r="EF10" s="212"/>
      <c r="EG10" s="212"/>
      <c r="EH10" s="212"/>
      <c r="EI10" s="212"/>
      <c r="EJ10" s="212"/>
      <c r="EK10" s="212"/>
      <c r="EL10" s="212"/>
      <c r="EM10" s="212"/>
      <c r="EN10" s="212"/>
      <c r="EO10" s="212"/>
      <c r="EP10" s="212"/>
      <c r="EQ10" s="212"/>
      <c r="ER10" s="212"/>
      <c r="ES10" s="212"/>
      <c r="ET10" s="212"/>
      <c r="EU10" s="212"/>
      <c r="EV10" s="212"/>
      <c r="EW10" s="212"/>
      <c r="EX10" s="212"/>
      <c r="EY10" s="212"/>
      <c r="EZ10" s="212"/>
      <c r="FA10" s="212"/>
      <c r="FB10" s="212"/>
      <c r="FC10" s="212"/>
      <c r="FD10" s="212"/>
      <c r="FE10" s="212"/>
      <c r="FF10" s="212"/>
      <c r="FG10" s="212"/>
      <c r="FH10" s="212"/>
      <c r="FI10" s="212"/>
      <c r="FJ10" s="212"/>
      <c r="FK10" s="212"/>
      <c r="FL10" s="212"/>
      <c r="FM10" s="212"/>
      <c r="FN10" s="212"/>
      <c r="FO10" s="212"/>
      <c r="FP10" s="212"/>
      <c r="FQ10" s="212"/>
      <c r="FR10" s="212"/>
      <c r="FS10" s="212"/>
      <c r="FT10" s="212"/>
      <c r="FU10" s="212"/>
      <c r="FV10" s="212"/>
      <c r="FW10" s="212"/>
      <c r="FX10" s="212"/>
      <c r="FY10" s="212"/>
      <c r="FZ10" s="212"/>
      <c r="GA10" s="212"/>
      <c r="GB10" s="212"/>
      <c r="GC10" s="212"/>
      <c r="GD10" s="212"/>
      <c r="GE10" s="212"/>
      <c r="GF10" s="212"/>
      <c r="GG10" s="212"/>
      <c r="GH10" s="212"/>
      <c r="GI10" s="212"/>
      <c r="GJ10" s="212"/>
      <c r="GK10" s="212"/>
      <c r="GL10" s="212"/>
      <c r="GM10" s="212"/>
      <c r="GN10" s="212"/>
      <c r="GO10" s="212"/>
      <c r="GP10" s="212"/>
      <c r="GQ10" s="212"/>
      <c r="GR10" s="212"/>
      <c r="GS10" s="212"/>
      <c r="GT10" s="212"/>
      <c r="GU10" s="212"/>
      <c r="GV10" s="212"/>
      <c r="GW10" s="212"/>
      <c r="GX10" s="212"/>
      <c r="GY10" s="212"/>
      <c r="GZ10" s="212"/>
      <c r="HA10" s="212"/>
      <c r="HB10" s="212"/>
      <c r="HC10" s="212"/>
      <c r="HD10" s="212"/>
      <c r="HE10" s="212"/>
      <c r="HF10" s="212"/>
      <c r="HG10" s="212"/>
      <c r="HH10" s="212"/>
      <c r="HI10" s="212"/>
      <c r="HJ10" s="212"/>
      <c r="HK10" s="212"/>
      <c r="HL10" s="212"/>
      <c r="HM10" s="212"/>
      <c r="HN10" s="212"/>
      <c r="HO10" s="212"/>
      <c r="HP10" s="212"/>
      <c r="HQ10" s="212"/>
      <c r="HR10" s="212"/>
      <c r="HS10" s="212"/>
      <c r="HT10" s="212"/>
      <c r="HU10" s="212"/>
      <c r="HV10" s="212"/>
      <c r="HW10" s="212"/>
      <c r="HX10" s="212"/>
      <c r="HY10" s="212"/>
      <c r="HZ10" s="212"/>
      <c r="IA10" s="212"/>
      <c r="IB10" s="212"/>
      <c r="IC10" s="212"/>
      <c r="ID10" s="212"/>
      <c r="IE10" s="212"/>
      <c r="IF10" s="212"/>
      <c r="IG10" s="212"/>
      <c r="IH10" s="212"/>
      <c r="II10" s="212"/>
      <c r="IJ10" s="212"/>
      <c r="IK10" s="212"/>
      <c r="IL10" s="212"/>
      <c r="IM10" s="212"/>
      <c r="IN10" s="212"/>
      <c r="IO10" s="212"/>
      <c r="IP10" s="212"/>
      <c r="IQ10" s="212"/>
      <c r="IR10" s="212"/>
      <c r="IS10" s="212"/>
      <c r="IT10" s="212"/>
      <c r="IU10" s="212"/>
      <c r="IV10" s="212"/>
      <c r="IW10" s="212"/>
      <c r="IX10" s="212"/>
      <c r="IY10" s="212"/>
      <c r="IZ10" s="212"/>
      <c r="JA10" s="212"/>
      <c r="JB10" s="212"/>
      <c r="JC10" s="212"/>
      <c r="JD10" s="212"/>
      <c r="JE10" s="212"/>
      <c r="JF10" s="212"/>
      <c r="JG10" s="212"/>
      <c r="JH10" s="212"/>
      <c r="JI10" s="212"/>
      <c r="JJ10" s="212"/>
      <c r="JK10" s="212"/>
      <c r="JL10" s="212"/>
      <c r="JM10" s="212"/>
      <c r="JN10" s="212"/>
      <c r="JO10" s="212"/>
      <c r="JP10" s="212"/>
      <c r="JQ10" s="212"/>
      <c r="JR10" s="212"/>
      <c r="JS10" s="212"/>
      <c r="JT10" s="212"/>
      <c r="JU10" s="212"/>
      <c r="JV10" s="212"/>
      <c r="JW10" s="212"/>
      <c r="JX10" s="212"/>
      <c r="JY10" s="212"/>
      <c r="JZ10" s="212"/>
      <c r="KA10" s="212"/>
      <c r="KB10" s="212"/>
      <c r="KC10" s="212"/>
      <c r="KD10" s="212"/>
      <c r="KE10" s="212"/>
      <c r="KF10" s="212"/>
      <c r="KG10" s="212"/>
      <c r="KH10" s="212"/>
      <c r="KI10" s="212"/>
      <c r="KJ10" s="212"/>
      <c r="KK10" s="212"/>
      <c r="KL10" s="212"/>
      <c r="KM10" s="212"/>
      <c r="KN10" s="212"/>
      <c r="KO10" s="212"/>
      <c r="KP10" s="212"/>
      <c r="KQ10" s="212"/>
      <c r="KR10" s="212"/>
      <c r="KS10" s="212"/>
      <c r="KT10" s="212"/>
      <c r="KU10" s="212"/>
      <c r="KV10" s="212"/>
      <c r="KW10" s="212"/>
      <c r="KX10" s="212"/>
      <c r="KY10" s="212"/>
      <c r="KZ10" s="212"/>
      <c r="LA10" s="212"/>
      <c r="LB10" s="212"/>
      <c r="LC10" s="212"/>
      <c r="LD10" s="212"/>
      <c r="LE10" s="212"/>
      <c r="LF10" s="212"/>
      <c r="LG10" s="212"/>
      <c r="LH10" s="212"/>
      <c r="LI10" s="212"/>
      <c r="LJ10" s="212"/>
      <c r="LK10" s="212"/>
      <c r="LL10" s="212"/>
      <c r="LM10" s="212"/>
      <c r="LN10" s="212"/>
      <c r="LO10" s="212"/>
      <c r="LP10" s="212"/>
      <c r="LQ10" s="212"/>
      <c r="LR10" s="212"/>
      <c r="LS10" s="212"/>
      <c r="LT10" s="212"/>
      <c r="LU10" s="212"/>
      <c r="LV10" s="212"/>
      <c r="LW10" s="212"/>
      <c r="LX10" s="212"/>
      <c r="LY10" s="212"/>
      <c r="LZ10" s="212"/>
      <c r="MA10" s="212"/>
      <c r="MB10" s="212"/>
      <c r="MC10" s="212"/>
      <c r="MD10" s="212"/>
      <c r="ME10" s="212"/>
      <c r="MF10" s="212"/>
      <c r="MG10" s="212"/>
      <c r="MH10" s="212"/>
      <c r="MI10" s="212"/>
      <c r="MJ10" s="212"/>
      <c r="MK10" s="212"/>
      <c r="ML10" s="212"/>
      <c r="MM10" s="212"/>
      <c r="MN10" s="212"/>
      <c r="MO10" s="212"/>
      <c r="MP10" s="212"/>
      <c r="MQ10" s="212"/>
      <c r="MR10" s="212"/>
      <c r="MS10" s="212"/>
      <c r="MT10" s="212"/>
      <c r="MU10" s="212"/>
      <c r="MV10" s="212"/>
      <c r="MW10" s="212"/>
      <c r="MX10" s="212"/>
      <c r="MY10" s="212"/>
      <c r="MZ10" s="212"/>
      <c r="NA10" s="212"/>
      <c r="NB10" s="212"/>
      <c r="NC10" s="212"/>
      <c r="ND10" s="212"/>
      <c r="NE10" s="212"/>
      <c r="NF10" s="212"/>
    </row>
    <row r="11" s="370" customFormat="true" ht="15" hidden="false" customHeight="false" outlineLevel="0" collapsed="false">
      <c r="A11" s="979" t="s">
        <v>1598</v>
      </c>
      <c r="B11" s="979" t="s">
        <v>166</v>
      </c>
      <c r="C11" s="986" t="e">
        <f aca="false">HLOOKUP(C4,物流参数!$C$1:$GC$29,MATCH(" DENSITY",物流参数!$A$1:$A$29,FALSE()),FALSE())</f>
        <v>#N/A</v>
      </c>
      <c r="D11" s="212" t="n">
        <f aca="false">HLOOKUP(D2,物流参数!$A$1:$FT$37,17)</f>
        <v>899.43</v>
      </c>
      <c r="E11" s="212" t="n">
        <f aca="false">HLOOKUP(E2,物流参数!$A$1:$FT$37,17)</f>
        <v>911.73</v>
      </c>
      <c r="F11" s="212" t="e">
        <f aca="false">HLOOKUP(F2,物流参数!$A$1:$FT$37,17)</f>
        <v>#N/A</v>
      </c>
      <c r="G11" s="212" t="n">
        <f aca="false">物流参数!FM17/2</f>
        <v>0</v>
      </c>
      <c r="H11" s="212" t="e">
        <f aca="false">HLOOKUP(H2,物流参数!$A$1:$FT$37,17)</f>
        <v>#N/A</v>
      </c>
      <c r="I11" s="212" t="n">
        <f aca="false">物流参数!FL17/2</f>
        <v>0</v>
      </c>
      <c r="J11" s="212" t="n">
        <f aca="false">HLOOKUP(J2,物流参数!$A$1:$FT$37,17)</f>
        <v>911.73</v>
      </c>
      <c r="K11" s="212" t="n">
        <f aca="false">HLOOKUP(K2,物流参数!$A$1:$FT$37,17)</f>
        <v>0</v>
      </c>
      <c r="L11" s="212" t="n">
        <f aca="false">物流参数!DR17</f>
        <v>0</v>
      </c>
      <c r="M11" s="212" t="n">
        <f aca="false">HLOOKUP(M2,物流参数!$A$1:$FT$37,17)</f>
        <v>0</v>
      </c>
      <c r="N11" s="212" t="n">
        <f aca="false">HLOOKUP(N2,物流参数!$A$1:$FT$37,17)</f>
        <v>0</v>
      </c>
      <c r="O11" s="212" t="n">
        <f aca="false">HLOOKUP(O2,物流参数!$A$1:$FT$37,17)</f>
        <v>1014.21</v>
      </c>
      <c r="P11" s="212" t="n">
        <f aca="false">HLOOKUP(P2,物流参数!$A$1:$FT$37,17)</f>
        <v>818.54</v>
      </c>
      <c r="Q11" s="212" t="n">
        <f aca="false">HLOOKUP(Q2,物流参数!$A$1:$FT$37,17)</f>
        <v>818.54</v>
      </c>
      <c r="R11" s="212" t="n">
        <f aca="false">HLOOKUP(R2,物流参数!$A$1:$FT$37,17)</f>
        <v>899.97</v>
      </c>
      <c r="S11" s="212" t="n">
        <f aca="false">HLOOKUP(S2,物流参数!$A$1:$FT$37,17)</f>
        <v>883.77</v>
      </c>
      <c r="T11" s="212" t="n">
        <f aca="false">HLOOKUP(T2,物流参数!$A$1:$FT$37,17)</f>
        <v>883.77</v>
      </c>
      <c r="U11" s="212" t="n">
        <f aca="false">HLOOKUP(U2,物流参数!$A$1:$FT$37,17)</f>
        <v>853</v>
      </c>
      <c r="V11" s="212" t="n">
        <f aca="false">HLOOKUP(V2,物流参数!$A$1:$FT$37,17)</f>
        <v>872.9</v>
      </c>
      <c r="W11" s="212" t="n">
        <f aca="false">HLOOKUP(W2,物流参数!$A$1:$FT$37,17)</f>
        <v>867.86</v>
      </c>
      <c r="X11" s="212" t="n">
        <f aca="false">HLOOKUP(X2,物流参数!$A$1:$FT$37,17)</f>
        <v>0</v>
      </c>
      <c r="Y11" s="212" t="n">
        <f aca="false">HLOOKUP(Y2,物流参数!$A$1:$FT$37,17)</f>
        <v>728.41</v>
      </c>
      <c r="Z11" s="212" t="n">
        <f aca="false">HLOOKUP(Z2,物流参数!$A$1:$FT$37,17)</f>
        <v>728.41</v>
      </c>
      <c r="AA11" s="212" t="n">
        <f aca="false">HLOOKUP(AA2,物流参数!$A$1:$FT$37,17)</f>
        <v>0</v>
      </c>
      <c r="AB11" s="212" t="n">
        <f aca="false">HLOOKUP(AB2,物流参数!$A$1:$FT$37,17)</f>
        <v>0</v>
      </c>
      <c r="AC11" s="212" t="n">
        <f aca="false">HLOOKUP(AC2,物流参数!$A$1:$FT$37,17)</f>
        <v>0</v>
      </c>
      <c r="AD11" s="212" t="n">
        <f aca="false">HLOOKUP(AD2,物流参数!$A$1:$FT$37,17)</f>
        <v>0</v>
      </c>
      <c r="AE11" s="212" t="n">
        <f aca="false">HLOOKUP(AE2,物流参数!$A$1:$FT$37,17)</f>
        <v>708.19</v>
      </c>
      <c r="AF11" s="212" t="n">
        <f aca="false">HLOOKUP(AF2,物流参数!$A$1:$FT$37,17)</f>
        <v>0</v>
      </c>
      <c r="AG11" s="212" t="n">
        <f aca="false">HLOOKUP(AG2,物流参数!$A$1:$FT$37,17)</f>
        <v>804.67</v>
      </c>
      <c r="AH11" s="212"/>
      <c r="AI11" s="212" t="e">
        <f aca="false">HLOOKUP(AI2,物流参数!$FZ$1:$IA$37,17)</f>
        <v>#N/A</v>
      </c>
      <c r="AJ11" s="212" t="e">
        <f aca="false">HLOOKUP(AJ2,物流参数!$FZ$1:$IA$37,17)</f>
        <v>#N/A</v>
      </c>
      <c r="AK11" s="212"/>
      <c r="AL11" s="212"/>
      <c r="AM11" s="212"/>
      <c r="AN11" s="212"/>
      <c r="AO11" s="212"/>
      <c r="AP11" s="212"/>
      <c r="AQ11" s="212"/>
      <c r="AR11" s="212"/>
      <c r="AS11" s="212"/>
      <c r="AT11" s="212"/>
      <c r="AU11" s="212"/>
      <c r="AV11" s="212"/>
      <c r="AW11" s="212"/>
      <c r="AX11" s="212"/>
      <c r="AY11" s="212"/>
      <c r="AZ11" s="212"/>
      <c r="BA11" s="212"/>
      <c r="BB11" s="212"/>
      <c r="BC11" s="212"/>
      <c r="BD11" s="212"/>
      <c r="BE11" s="212"/>
      <c r="BF11" s="212"/>
      <c r="BG11" s="212"/>
      <c r="BH11" s="212"/>
      <c r="BI11" s="212"/>
      <c r="BJ11" s="212"/>
      <c r="BK11" s="212"/>
      <c r="BL11" s="212"/>
      <c r="BM11" s="212"/>
      <c r="BN11" s="212"/>
      <c r="BO11" s="212"/>
      <c r="BP11" s="212"/>
      <c r="BQ11" s="212"/>
      <c r="BR11" s="212"/>
      <c r="BS11" s="212"/>
      <c r="BT11" s="212"/>
      <c r="BU11" s="212"/>
      <c r="BV11" s="212"/>
      <c r="BW11" s="212"/>
      <c r="BX11" s="212"/>
      <c r="BY11" s="212"/>
      <c r="BZ11" s="212"/>
      <c r="CA11" s="212"/>
      <c r="CB11" s="212"/>
      <c r="CC11" s="212"/>
      <c r="CD11" s="212"/>
      <c r="CE11" s="212"/>
      <c r="CF11" s="212"/>
      <c r="CG11" s="212"/>
      <c r="CH11" s="212"/>
      <c r="CI11" s="212"/>
      <c r="CJ11" s="212"/>
      <c r="CK11" s="212"/>
      <c r="CL11" s="212"/>
      <c r="CM11" s="212"/>
      <c r="CN11" s="212"/>
      <c r="CO11" s="212"/>
      <c r="CP11" s="212"/>
      <c r="CQ11" s="212"/>
      <c r="CR11" s="212"/>
      <c r="CS11" s="212"/>
      <c r="CT11" s="212"/>
      <c r="CU11" s="212"/>
      <c r="CV11" s="212"/>
      <c r="CW11" s="212"/>
      <c r="CX11" s="212"/>
      <c r="CY11" s="212"/>
      <c r="CZ11" s="212"/>
      <c r="DA11" s="212"/>
      <c r="DB11" s="212"/>
      <c r="DC11" s="212"/>
      <c r="DD11" s="212"/>
      <c r="DE11" s="212"/>
      <c r="DF11" s="212"/>
      <c r="DG11" s="212"/>
      <c r="DH11" s="212"/>
      <c r="DI11" s="212"/>
      <c r="DJ11" s="212"/>
      <c r="DK11" s="212"/>
      <c r="DL11" s="212"/>
      <c r="DM11" s="212"/>
      <c r="DN11" s="212"/>
      <c r="DO11" s="212"/>
      <c r="DP11" s="212"/>
      <c r="DQ11" s="212"/>
      <c r="DR11" s="212"/>
      <c r="DS11" s="212"/>
      <c r="DT11" s="212"/>
      <c r="DU11" s="212"/>
      <c r="DV11" s="212"/>
      <c r="DW11" s="212"/>
      <c r="DX11" s="212"/>
      <c r="DY11" s="212"/>
      <c r="DZ11" s="212"/>
      <c r="EA11" s="212"/>
      <c r="EB11" s="212"/>
      <c r="EC11" s="212"/>
      <c r="ED11" s="212"/>
      <c r="EE11" s="212"/>
      <c r="EF11" s="212"/>
      <c r="EG11" s="212"/>
      <c r="EH11" s="212"/>
      <c r="EI11" s="212"/>
      <c r="EJ11" s="212"/>
      <c r="EK11" s="212"/>
      <c r="EL11" s="212"/>
      <c r="EM11" s="212"/>
      <c r="EN11" s="212"/>
      <c r="EO11" s="212"/>
      <c r="EP11" s="212"/>
      <c r="EQ11" s="212"/>
      <c r="ER11" s="212"/>
      <c r="ES11" s="212"/>
      <c r="ET11" s="212"/>
      <c r="EU11" s="212"/>
      <c r="EV11" s="212"/>
      <c r="EW11" s="212"/>
      <c r="EX11" s="212"/>
      <c r="EY11" s="212"/>
      <c r="EZ11" s="212"/>
      <c r="FA11" s="212"/>
      <c r="FB11" s="212"/>
      <c r="FC11" s="212"/>
      <c r="FD11" s="212"/>
      <c r="FE11" s="212"/>
      <c r="FF11" s="212"/>
      <c r="FG11" s="212"/>
      <c r="FH11" s="212"/>
      <c r="FI11" s="212"/>
      <c r="FJ11" s="212"/>
      <c r="FK11" s="212"/>
      <c r="FL11" s="212"/>
      <c r="FM11" s="212"/>
      <c r="FN11" s="212"/>
      <c r="FO11" s="212"/>
      <c r="FP11" s="212"/>
      <c r="FQ11" s="212"/>
      <c r="FR11" s="212"/>
      <c r="FS11" s="212"/>
      <c r="FT11" s="212"/>
      <c r="FU11" s="212"/>
      <c r="FV11" s="212"/>
      <c r="FW11" s="212"/>
      <c r="FX11" s="212"/>
      <c r="FY11" s="212"/>
      <c r="FZ11" s="212"/>
      <c r="GA11" s="212"/>
      <c r="GB11" s="212"/>
      <c r="GC11" s="212"/>
      <c r="GD11" s="212"/>
      <c r="GE11" s="212"/>
      <c r="GF11" s="212"/>
      <c r="GG11" s="212"/>
      <c r="GH11" s="212"/>
      <c r="GI11" s="212"/>
      <c r="GJ11" s="212"/>
      <c r="GK11" s="212"/>
      <c r="GL11" s="212"/>
      <c r="GM11" s="212"/>
      <c r="GN11" s="212"/>
      <c r="GO11" s="212"/>
      <c r="GP11" s="212"/>
      <c r="GQ11" s="212"/>
      <c r="GR11" s="212"/>
      <c r="GS11" s="212"/>
      <c r="GT11" s="212"/>
      <c r="GU11" s="212"/>
      <c r="GV11" s="212"/>
      <c r="GW11" s="212"/>
      <c r="GX11" s="212"/>
      <c r="GY11" s="212"/>
      <c r="GZ11" s="212"/>
      <c r="HA11" s="212"/>
      <c r="HB11" s="212"/>
      <c r="HC11" s="212"/>
      <c r="HD11" s="212"/>
      <c r="HE11" s="212"/>
      <c r="HF11" s="212"/>
      <c r="HG11" s="212"/>
      <c r="HH11" s="212"/>
      <c r="HI11" s="212"/>
      <c r="HJ11" s="212"/>
      <c r="HK11" s="212"/>
      <c r="HL11" s="212"/>
      <c r="HM11" s="212"/>
      <c r="HN11" s="212"/>
      <c r="HO11" s="212"/>
      <c r="HP11" s="212"/>
      <c r="HQ11" s="212"/>
      <c r="HR11" s="212"/>
      <c r="HS11" s="212"/>
      <c r="HT11" s="212"/>
      <c r="HU11" s="212"/>
      <c r="HV11" s="212"/>
      <c r="HW11" s="212"/>
      <c r="HX11" s="212"/>
      <c r="HY11" s="212"/>
      <c r="HZ11" s="212"/>
      <c r="IA11" s="212"/>
      <c r="IB11" s="212"/>
      <c r="IC11" s="212"/>
      <c r="ID11" s="212"/>
      <c r="IE11" s="212"/>
      <c r="IF11" s="212"/>
      <c r="IG11" s="212"/>
      <c r="IH11" s="212"/>
      <c r="II11" s="212"/>
      <c r="IJ11" s="212"/>
      <c r="IK11" s="212"/>
      <c r="IL11" s="212"/>
      <c r="IM11" s="212"/>
      <c r="IN11" s="212"/>
      <c r="IO11" s="212"/>
      <c r="IP11" s="212"/>
      <c r="IQ11" s="212"/>
      <c r="IR11" s="212"/>
      <c r="IS11" s="212"/>
      <c r="IT11" s="212"/>
      <c r="IU11" s="212"/>
      <c r="IV11" s="212"/>
      <c r="IW11" s="212"/>
      <c r="IX11" s="212"/>
      <c r="IY11" s="212"/>
      <c r="IZ11" s="212"/>
      <c r="JA11" s="212"/>
      <c r="JB11" s="212"/>
      <c r="JC11" s="212"/>
      <c r="JD11" s="212"/>
      <c r="JE11" s="212"/>
      <c r="JF11" s="212"/>
      <c r="JG11" s="212"/>
      <c r="JH11" s="212"/>
      <c r="JI11" s="212"/>
      <c r="JJ11" s="212"/>
      <c r="JK11" s="212"/>
      <c r="JL11" s="212"/>
      <c r="JM11" s="212"/>
      <c r="JN11" s="212"/>
      <c r="JO11" s="212"/>
      <c r="JP11" s="212"/>
      <c r="JQ11" s="212"/>
      <c r="JR11" s="212"/>
      <c r="JS11" s="212"/>
      <c r="JT11" s="212"/>
      <c r="JU11" s="212"/>
      <c r="JV11" s="212"/>
      <c r="JW11" s="212"/>
      <c r="JX11" s="212"/>
      <c r="JY11" s="212"/>
      <c r="JZ11" s="212"/>
      <c r="KA11" s="212"/>
      <c r="KB11" s="212"/>
      <c r="KC11" s="212"/>
      <c r="KD11" s="212"/>
      <c r="KE11" s="212"/>
      <c r="KF11" s="212"/>
      <c r="KG11" s="212"/>
      <c r="KH11" s="212"/>
      <c r="KI11" s="212"/>
      <c r="KJ11" s="212"/>
      <c r="KK11" s="212"/>
      <c r="KL11" s="212"/>
      <c r="KM11" s="212"/>
      <c r="KN11" s="212"/>
      <c r="KO11" s="212"/>
      <c r="KP11" s="212"/>
      <c r="KQ11" s="212"/>
      <c r="KR11" s="212"/>
      <c r="KS11" s="212"/>
      <c r="KT11" s="212"/>
      <c r="KU11" s="212"/>
      <c r="KV11" s="212"/>
      <c r="KW11" s="212"/>
      <c r="KX11" s="212"/>
      <c r="KY11" s="212"/>
      <c r="KZ11" s="212"/>
      <c r="LA11" s="212"/>
      <c r="LB11" s="212"/>
      <c r="LC11" s="212"/>
      <c r="LD11" s="212"/>
      <c r="LE11" s="212"/>
      <c r="LF11" s="212"/>
      <c r="LG11" s="212"/>
      <c r="LH11" s="212"/>
      <c r="LI11" s="212"/>
      <c r="LJ11" s="212"/>
      <c r="LK11" s="212"/>
      <c r="LL11" s="212"/>
      <c r="LM11" s="212"/>
      <c r="LN11" s="212"/>
      <c r="LO11" s="212"/>
      <c r="LP11" s="212"/>
      <c r="LQ11" s="212"/>
      <c r="LR11" s="212"/>
      <c r="LS11" s="212"/>
      <c r="LT11" s="212"/>
      <c r="LU11" s="212"/>
      <c r="LV11" s="212"/>
      <c r="LW11" s="212"/>
      <c r="LX11" s="212"/>
      <c r="LY11" s="212"/>
      <c r="LZ11" s="212"/>
      <c r="MA11" s="212"/>
      <c r="MB11" s="212"/>
      <c r="MC11" s="212"/>
      <c r="MD11" s="212"/>
      <c r="ME11" s="212"/>
      <c r="MF11" s="212"/>
      <c r="MG11" s="212"/>
      <c r="MH11" s="212"/>
      <c r="MI11" s="212"/>
      <c r="MJ11" s="212"/>
      <c r="MK11" s="212"/>
      <c r="ML11" s="212"/>
      <c r="MM11" s="212"/>
      <c r="MN11" s="212"/>
      <c r="MO11" s="212"/>
      <c r="MP11" s="212"/>
      <c r="MQ11" s="212"/>
      <c r="MR11" s="212"/>
      <c r="MS11" s="212"/>
      <c r="MT11" s="212"/>
      <c r="MU11" s="212"/>
      <c r="MV11" s="212"/>
      <c r="MW11" s="212"/>
      <c r="MX11" s="212"/>
      <c r="MY11" s="212"/>
      <c r="MZ11" s="212"/>
      <c r="NA11" s="212"/>
      <c r="NB11" s="212"/>
      <c r="NC11" s="212"/>
      <c r="ND11" s="212"/>
      <c r="NE11" s="212"/>
      <c r="NF11" s="212"/>
    </row>
    <row r="12" customFormat="false" ht="15" hidden="false" customHeight="false" outlineLevel="0" collapsed="false">
      <c r="A12" s="979" t="s">
        <v>1599</v>
      </c>
      <c r="B12" s="979" t="s">
        <v>439</v>
      </c>
      <c r="C12" s="986" t="e">
        <f aca="false">HLOOKUP(C5,物流参数!$C$1:$GC$29,MATCH(" DENSITY",物流参数!$A$1:$A$29,FALSE()),FALSE())</f>
        <v>#N/A</v>
      </c>
      <c r="D12" s="212" t="n">
        <f aca="false">HLOOKUP(D2,物流参数!$A$1:$FT$37,18)</f>
        <v>25.67</v>
      </c>
      <c r="E12" s="212" t="n">
        <f aca="false">HLOOKUP(E2,物流参数!$A$1:$FT$37,18)</f>
        <v>23.55</v>
      </c>
      <c r="F12" s="212" t="e">
        <f aca="false">HLOOKUP(F2,物流参数!$A$1:$FT$37,18)</f>
        <v>#N/A</v>
      </c>
      <c r="G12" s="212" t="n">
        <f aca="false">物流参数!FM18</f>
        <v>0</v>
      </c>
      <c r="H12" s="212" t="e">
        <f aca="false">HLOOKUP(H2,物流参数!$A$1:$FT$37,18)</f>
        <v>#N/A</v>
      </c>
      <c r="I12" s="212" t="n">
        <f aca="false">物流参数!FL18</f>
        <v>0</v>
      </c>
      <c r="J12" s="212" t="n">
        <f aca="false">HLOOKUP(J2,物流参数!$A$1:$FT$37,18)</f>
        <v>23.55</v>
      </c>
      <c r="K12" s="212" t="n">
        <f aca="false">HLOOKUP(K2,物流参数!$A$1:$FT$37,18)</f>
        <v>0</v>
      </c>
      <c r="L12" s="212" t="n">
        <f aca="false">物流参数!DR18</f>
        <v>0</v>
      </c>
      <c r="M12" s="212" t="n">
        <f aca="false">HLOOKUP(M2,物流参数!$A$1:$FT$37,18)</f>
        <v>0</v>
      </c>
      <c r="N12" s="212" t="n">
        <f aca="false">HLOOKUP(N2,物流参数!$A$1:$FT$37,18)</f>
        <v>0</v>
      </c>
      <c r="O12" s="212" t="n">
        <f aca="false">HLOOKUP(O2,物流参数!$A$1:$FT$37,18)</f>
        <v>7.88</v>
      </c>
      <c r="P12" s="212" t="n">
        <f aca="false">HLOOKUP(P2,物流参数!$A$1:$FT$37,18)</f>
        <v>41.2</v>
      </c>
      <c r="Q12" s="212" t="n">
        <f aca="false">HLOOKUP(Q2,物流参数!$A$1:$FT$37,18)</f>
        <v>41.2</v>
      </c>
      <c r="R12" s="212" t="n">
        <f aca="false">HLOOKUP(R2,物流参数!$A$1:$FT$37,18)</f>
        <v>25.57</v>
      </c>
      <c r="S12" s="212" t="n">
        <f aca="false">HLOOKUP(S2,物流参数!$A$1:$FT$37,18)</f>
        <v>28.45</v>
      </c>
      <c r="T12" s="212" t="n">
        <f aca="false">HLOOKUP(T2,物流参数!$A$1:$FT$37,18)</f>
        <v>28.45</v>
      </c>
      <c r="U12" s="212" t="n">
        <f aca="false">HLOOKUP(U2,物流参数!$A$1:$FT$37,18)</f>
        <v>34.22</v>
      </c>
      <c r="V12" s="212" t="n">
        <f aca="false">HLOOKUP(V2,物流参数!$A$1:$FT$37,18)</f>
        <v>30.44</v>
      </c>
      <c r="W12" s="212" t="n">
        <f aca="false">HLOOKUP(W2,物流参数!$A$1:$FT$37,18)</f>
        <v>31.39</v>
      </c>
      <c r="X12" s="212" t="n">
        <f aca="false">HLOOKUP(X2,物流参数!$A$1:$FT$37,18)</f>
        <v>0</v>
      </c>
      <c r="Y12" s="212" t="n">
        <f aca="false">HLOOKUP(Y2,物流参数!$A$1:$FT$37,18)</f>
        <v>62.57</v>
      </c>
      <c r="Z12" s="212" t="n">
        <f aca="false">HLOOKUP(Z2,物流参数!$A$1:$FT$37,18)</f>
        <v>62.57</v>
      </c>
      <c r="AA12" s="212" t="n">
        <f aca="false">HLOOKUP(AA2,物流参数!$A$1:$FT$37,18)</f>
        <v>0</v>
      </c>
      <c r="AB12" s="212" t="n">
        <f aca="false">HLOOKUP(AB2,物流参数!$A$1:$FT$37,18)</f>
        <v>0</v>
      </c>
      <c r="AC12" s="212" t="n">
        <f aca="false">HLOOKUP(AC2,物流参数!$A$1:$FT$37,18)</f>
        <v>0</v>
      </c>
      <c r="AD12" s="212" t="n">
        <f aca="false">HLOOKUP(AD2,物流参数!$A$1:$FT$37,18)</f>
        <v>0</v>
      </c>
      <c r="AE12" s="212" t="n">
        <f aca="false">HLOOKUP(AE2,物流参数!$A$1:$FT$37,18)</f>
        <v>68.11</v>
      </c>
      <c r="AF12" s="212" t="n">
        <f aca="false">HLOOKUP(AF2,物流参数!$A$1:$FT$37,18)</f>
        <v>0</v>
      </c>
      <c r="AG12" s="212" t="n">
        <f aca="false">HLOOKUP(AG2,物流参数!$A$1:$FT$37,18)</f>
        <v>44.18</v>
      </c>
      <c r="AH12" s="212"/>
      <c r="AI12" s="212" t="e">
        <f aca="false">HLOOKUP(AI2,物流参数!$FZ$1:$IA$37,18)</f>
        <v>#N/A</v>
      </c>
      <c r="AJ12" s="212" t="e">
        <f aca="false">HLOOKUP(AJ2,物流参数!$FZ$1:$IA$37,18)</f>
        <v>#N/A</v>
      </c>
      <c r="AK12" s="212"/>
      <c r="AL12" s="212"/>
      <c r="AM12" s="212"/>
      <c r="AN12" s="212"/>
      <c r="AO12" s="212"/>
      <c r="AP12" s="212"/>
      <c r="AQ12" s="212"/>
      <c r="AR12" s="212"/>
      <c r="AS12" s="212"/>
      <c r="AT12" s="212"/>
      <c r="AU12" s="212"/>
      <c r="AV12" s="212"/>
      <c r="AW12" s="212"/>
      <c r="AX12" s="212"/>
      <c r="AY12" s="212"/>
      <c r="AZ12" s="212"/>
      <c r="BA12" s="212"/>
      <c r="BB12" s="212"/>
      <c r="BC12" s="212"/>
      <c r="BD12" s="212"/>
      <c r="BE12" s="212"/>
      <c r="BF12" s="212"/>
      <c r="BG12" s="212"/>
      <c r="BH12" s="212"/>
      <c r="BI12" s="212"/>
      <c r="BJ12" s="212"/>
      <c r="BK12" s="212"/>
      <c r="BL12" s="212"/>
      <c r="BM12" s="212"/>
      <c r="BN12" s="212"/>
      <c r="BO12" s="212"/>
      <c r="BP12" s="212"/>
      <c r="BQ12" s="212"/>
      <c r="BR12" s="212"/>
      <c r="BS12" s="212"/>
      <c r="BT12" s="212"/>
      <c r="BU12" s="212"/>
      <c r="BV12" s="212"/>
      <c r="BW12" s="212"/>
      <c r="BX12" s="212"/>
      <c r="BY12" s="212"/>
      <c r="BZ12" s="212"/>
      <c r="CA12" s="212"/>
      <c r="CB12" s="212"/>
      <c r="CC12" s="212"/>
      <c r="CD12" s="212"/>
      <c r="CE12" s="212"/>
      <c r="CF12" s="212"/>
      <c r="CG12" s="212"/>
      <c r="CH12" s="212"/>
      <c r="CI12" s="212"/>
      <c r="CJ12" s="212"/>
      <c r="CK12" s="212"/>
      <c r="CL12" s="212"/>
      <c r="CM12" s="212"/>
      <c r="CN12" s="212"/>
      <c r="CO12" s="212"/>
      <c r="CP12" s="212"/>
      <c r="CQ12" s="212"/>
      <c r="CR12" s="212"/>
      <c r="CS12" s="212"/>
      <c r="CT12" s="212"/>
      <c r="CU12" s="212"/>
      <c r="CV12" s="212"/>
      <c r="CW12" s="212"/>
      <c r="CX12" s="212"/>
      <c r="CY12" s="212"/>
      <c r="CZ12" s="212"/>
      <c r="DA12" s="212"/>
      <c r="DB12" s="212"/>
      <c r="DC12" s="212"/>
      <c r="DD12" s="212"/>
      <c r="DE12" s="212"/>
      <c r="DF12" s="212"/>
      <c r="DG12" s="212"/>
      <c r="DH12" s="212"/>
      <c r="DI12" s="212"/>
      <c r="DJ12" s="212"/>
      <c r="DK12" s="212"/>
      <c r="DL12" s="212"/>
      <c r="DM12" s="212"/>
      <c r="DN12" s="212"/>
      <c r="DO12" s="212"/>
      <c r="DP12" s="212"/>
      <c r="DQ12" s="212"/>
      <c r="DR12" s="212"/>
      <c r="DS12" s="212"/>
      <c r="DT12" s="212"/>
      <c r="DU12" s="212"/>
      <c r="DV12" s="212"/>
      <c r="DW12" s="212"/>
      <c r="DX12" s="212"/>
      <c r="DY12" s="212"/>
      <c r="DZ12" s="212"/>
      <c r="EA12" s="212"/>
      <c r="EB12" s="212"/>
      <c r="EC12" s="212"/>
      <c r="ED12" s="212"/>
      <c r="EE12" s="212"/>
      <c r="EF12" s="212"/>
      <c r="EG12" s="212"/>
      <c r="EH12" s="212"/>
      <c r="EI12" s="212"/>
      <c r="EJ12" s="212"/>
      <c r="EK12" s="212"/>
      <c r="EL12" s="212"/>
      <c r="EM12" s="212"/>
      <c r="EN12" s="212"/>
      <c r="EO12" s="212"/>
      <c r="EP12" s="212"/>
      <c r="EQ12" s="212"/>
      <c r="ER12" s="212"/>
      <c r="ES12" s="212"/>
      <c r="ET12" s="212"/>
      <c r="EU12" s="212"/>
      <c r="EV12" s="212"/>
      <c r="EW12" s="212"/>
      <c r="EX12" s="212"/>
      <c r="EY12" s="212"/>
      <c r="EZ12" s="212"/>
      <c r="FA12" s="212"/>
      <c r="FB12" s="212"/>
      <c r="FC12" s="212"/>
      <c r="FD12" s="212"/>
      <c r="FE12" s="212"/>
      <c r="FF12" s="212"/>
      <c r="FG12" s="212"/>
      <c r="FH12" s="212"/>
      <c r="FI12" s="212"/>
      <c r="FJ12" s="212"/>
      <c r="FK12" s="212"/>
      <c r="FL12" s="212"/>
      <c r="FM12" s="212"/>
      <c r="FN12" s="212"/>
      <c r="FO12" s="212"/>
      <c r="FP12" s="212"/>
      <c r="FQ12" s="212"/>
      <c r="FR12" s="212"/>
      <c r="FS12" s="212"/>
      <c r="FT12" s="212"/>
      <c r="FU12" s="212"/>
      <c r="FV12" s="212"/>
      <c r="FW12" s="212"/>
      <c r="FX12" s="212"/>
      <c r="FY12" s="212"/>
      <c r="FZ12" s="212"/>
      <c r="GA12" s="212"/>
      <c r="GB12" s="212"/>
      <c r="GC12" s="212"/>
      <c r="GD12" s="212"/>
      <c r="GE12" s="212"/>
      <c r="GF12" s="212"/>
      <c r="GG12" s="212"/>
      <c r="GH12" s="212"/>
      <c r="GI12" s="212"/>
      <c r="GJ12" s="212"/>
      <c r="GK12" s="212"/>
      <c r="GL12" s="212"/>
      <c r="GM12" s="212"/>
      <c r="GN12" s="212"/>
      <c r="GO12" s="212"/>
      <c r="GP12" s="212"/>
      <c r="GQ12" s="212"/>
      <c r="GR12" s="212"/>
      <c r="GS12" s="212"/>
      <c r="GT12" s="212"/>
      <c r="GU12" s="212"/>
      <c r="GV12" s="212"/>
      <c r="GW12" s="212"/>
      <c r="GX12" s="212"/>
      <c r="GY12" s="212"/>
      <c r="GZ12" s="212"/>
      <c r="HA12" s="212"/>
      <c r="HB12" s="212"/>
      <c r="HC12" s="212"/>
      <c r="HD12" s="212"/>
      <c r="HE12" s="212"/>
      <c r="HF12" s="212"/>
      <c r="HG12" s="212"/>
      <c r="HH12" s="212"/>
      <c r="HI12" s="212"/>
      <c r="HJ12" s="212"/>
      <c r="HK12" s="212"/>
      <c r="HL12" s="212"/>
      <c r="HM12" s="212"/>
      <c r="HN12" s="212"/>
      <c r="HO12" s="212"/>
      <c r="HP12" s="212"/>
      <c r="HQ12" s="212"/>
      <c r="HR12" s="212"/>
      <c r="HS12" s="212"/>
      <c r="HT12" s="212"/>
      <c r="HU12" s="212"/>
      <c r="HV12" s="212"/>
      <c r="HW12" s="212"/>
      <c r="HX12" s="212"/>
      <c r="HY12" s="212"/>
      <c r="HZ12" s="212"/>
      <c r="IA12" s="212"/>
      <c r="IB12" s="212"/>
      <c r="IC12" s="212"/>
      <c r="ID12" s="212"/>
      <c r="IE12" s="212"/>
      <c r="IF12" s="212"/>
      <c r="IG12" s="212"/>
      <c r="IH12" s="212"/>
      <c r="II12" s="212"/>
      <c r="IJ12" s="212"/>
      <c r="IK12" s="212"/>
      <c r="IL12" s="212"/>
      <c r="IM12" s="212"/>
      <c r="IN12" s="212"/>
      <c r="IO12" s="212"/>
      <c r="IP12" s="212"/>
      <c r="IQ12" s="212"/>
      <c r="IR12" s="212"/>
      <c r="IS12" s="212"/>
      <c r="IT12" s="212"/>
      <c r="IU12" s="212"/>
      <c r="IV12" s="212"/>
      <c r="IW12" s="212"/>
      <c r="IX12" s="212"/>
      <c r="IY12" s="212"/>
      <c r="IZ12" s="212"/>
      <c r="JA12" s="212"/>
      <c r="JB12" s="212"/>
      <c r="JC12" s="212"/>
      <c r="JD12" s="212"/>
      <c r="JE12" s="212"/>
      <c r="JF12" s="212"/>
      <c r="JG12" s="212"/>
      <c r="JH12" s="212"/>
      <c r="JI12" s="212"/>
      <c r="JJ12" s="212"/>
      <c r="JK12" s="212"/>
      <c r="JL12" s="212"/>
      <c r="JM12" s="212"/>
      <c r="JN12" s="212"/>
      <c r="JO12" s="212"/>
      <c r="JP12" s="212"/>
      <c r="JQ12" s="212"/>
      <c r="JR12" s="212"/>
      <c r="JS12" s="212"/>
      <c r="JT12" s="212"/>
      <c r="JU12" s="212"/>
      <c r="JV12" s="212"/>
      <c r="JW12" s="212"/>
      <c r="JX12" s="212"/>
      <c r="JY12" s="212"/>
      <c r="JZ12" s="212"/>
      <c r="KA12" s="212"/>
      <c r="KB12" s="212"/>
      <c r="KC12" s="212"/>
      <c r="KD12" s="212"/>
      <c r="KE12" s="212"/>
      <c r="KF12" s="212"/>
      <c r="KG12" s="212"/>
      <c r="KH12" s="212"/>
      <c r="KI12" s="212"/>
      <c r="KJ12" s="212"/>
      <c r="KK12" s="212"/>
      <c r="KL12" s="212"/>
      <c r="KM12" s="212"/>
      <c r="KN12" s="212"/>
      <c r="KO12" s="212"/>
      <c r="KP12" s="212"/>
      <c r="KQ12" s="212"/>
      <c r="KR12" s="212"/>
      <c r="KS12" s="212"/>
      <c r="KT12" s="212"/>
      <c r="KU12" s="212"/>
      <c r="KV12" s="212"/>
      <c r="KW12" s="212"/>
      <c r="KX12" s="212"/>
      <c r="KY12" s="212"/>
      <c r="KZ12" s="212"/>
      <c r="LA12" s="212"/>
      <c r="LB12" s="212"/>
      <c r="LC12" s="212"/>
      <c r="LD12" s="212"/>
      <c r="LE12" s="212"/>
      <c r="LF12" s="212"/>
      <c r="LG12" s="212"/>
      <c r="LH12" s="212"/>
      <c r="LI12" s="212"/>
      <c r="LJ12" s="212"/>
      <c r="LK12" s="212"/>
      <c r="LL12" s="212"/>
      <c r="LM12" s="212"/>
      <c r="LN12" s="212"/>
      <c r="LO12" s="212"/>
      <c r="LP12" s="212"/>
      <c r="LQ12" s="212"/>
      <c r="LR12" s="212"/>
      <c r="LS12" s="212"/>
      <c r="LT12" s="212"/>
      <c r="LU12" s="212"/>
      <c r="LV12" s="212"/>
      <c r="LW12" s="212"/>
      <c r="LX12" s="212"/>
      <c r="LY12" s="212"/>
      <c r="LZ12" s="212"/>
      <c r="MA12" s="212"/>
      <c r="MB12" s="212"/>
      <c r="MC12" s="212"/>
      <c r="MD12" s="212"/>
      <c r="ME12" s="212"/>
      <c r="MF12" s="212"/>
      <c r="MG12" s="212"/>
      <c r="MH12" s="212"/>
      <c r="MI12" s="212"/>
      <c r="MJ12" s="212"/>
      <c r="MK12" s="212"/>
      <c r="ML12" s="212"/>
      <c r="MM12" s="212"/>
      <c r="MN12" s="212"/>
      <c r="MO12" s="212"/>
      <c r="MP12" s="212"/>
      <c r="MQ12" s="212"/>
      <c r="MR12" s="212"/>
      <c r="MS12" s="212"/>
      <c r="MT12" s="212"/>
      <c r="MU12" s="212"/>
      <c r="MV12" s="212"/>
      <c r="MW12" s="212"/>
      <c r="MX12" s="212"/>
      <c r="MY12" s="212"/>
      <c r="MZ12" s="212"/>
      <c r="NA12" s="212"/>
      <c r="NB12" s="212"/>
      <c r="NC12" s="212"/>
      <c r="ND12" s="212"/>
      <c r="NE12" s="212"/>
      <c r="NF12" s="212"/>
    </row>
    <row r="13" customFormat="false" ht="15" hidden="false" customHeight="false" outlineLevel="0" collapsed="false">
      <c r="A13" s="979" t="s">
        <v>1600</v>
      </c>
      <c r="B13" s="979" t="s">
        <v>1526</v>
      </c>
      <c r="C13" s="986" t="e">
        <f aca="false">HLOOKUP(C6,物流参数!$C$1:$GC$29,MATCH(" DENSITY",物流参数!$A$1:$A$29,FALSE()),FALSE())</f>
        <v>#N/A</v>
      </c>
      <c r="D13" s="212" t="n">
        <f aca="false">HLOOKUP(D2,物流参数!$A$1:$FT$37,20)</f>
        <v>16.43</v>
      </c>
      <c r="E13" s="212" t="n">
        <f aca="false">HLOOKUP(E2,物流参数!$A$1:$FT$37,20)</f>
        <v>24.9</v>
      </c>
      <c r="F13" s="212" t="e">
        <f aca="false">HLOOKUP(F2,物流参数!$A$1:$FT$37,20)</f>
        <v>#N/A</v>
      </c>
      <c r="G13" s="212" t="n">
        <v>0.02</v>
      </c>
      <c r="H13" s="212" t="e">
        <f aca="false">HLOOKUP(H2,物流参数!$A$1:$FT$37,20)</f>
        <v>#N/A</v>
      </c>
      <c r="I13" s="212" t="n">
        <f aca="false">物流参数!FL20</f>
        <v>0</v>
      </c>
      <c r="J13" s="212" t="n">
        <f aca="false">HLOOKUP(J2,物流参数!$A$1:$FT$37,20)</f>
        <v>20.81</v>
      </c>
      <c r="K13" s="212" t="n">
        <f aca="false">HLOOKUP(K2,物流参数!$A$1:$FT$37,20)</f>
        <v>0</v>
      </c>
      <c r="L13" s="212" t="n">
        <f aca="false">物流参数!DR20</f>
        <v>0</v>
      </c>
      <c r="M13" s="212" t="n">
        <f aca="false">HLOOKUP(M2,物流参数!$A$1:$FT$37,20)</f>
        <v>0</v>
      </c>
      <c r="N13" s="212" t="n">
        <f aca="false">HLOOKUP(N2,物流参数!$A$1:$FT$37,20)</f>
        <v>0</v>
      </c>
      <c r="O13" s="212" t="n">
        <f aca="false">HLOOKUP(O2,物流参数!$A$1:$FT$37,20)</f>
        <v>66.68</v>
      </c>
      <c r="P13" s="212" t="n">
        <f aca="false">HLOOKUP(P2,物流参数!$A$1:$FT$37,20)</f>
        <v>12.26</v>
      </c>
      <c r="Q13" s="212" t="n">
        <f aca="false">HLOOKUP(Q2,物流参数!$A$1:$FT$37,20)</f>
        <v>12.3</v>
      </c>
      <c r="R13" s="212" t="n">
        <f aca="false">HLOOKUP(R2,物流参数!$A$1:$FT$37,20)</f>
        <v>17.51</v>
      </c>
      <c r="S13" s="212" t="n">
        <f aca="false">HLOOKUP(S2,物流参数!$A$1:$FT$37,20)</f>
        <v>22.24</v>
      </c>
      <c r="T13" s="212" t="n">
        <f aca="false">HLOOKUP(T2,物流参数!$A$1:$FT$37,20)</f>
        <v>22.24</v>
      </c>
      <c r="U13" s="212" t="n">
        <f aca="false">HLOOKUP(U2,物流参数!$A$1:$FT$37,20)</f>
        <v>2.94</v>
      </c>
      <c r="V13" s="212" t="n">
        <f aca="false">HLOOKUP(V2,物流参数!$A$1:$FT$37,20)</f>
        <v>4.79</v>
      </c>
      <c r="W13" s="212" t="n">
        <f aca="false">HLOOKUP(W2,物流参数!$A$1:$FT$37,20)</f>
        <v>4.61</v>
      </c>
      <c r="X13" s="212" t="n">
        <f aca="false">HLOOKUP(X2,物流参数!$A$1:$FT$37,20)</f>
        <v>0</v>
      </c>
      <c r="Y13" s="212" t="n">
        <f aca="false">HLOOKUP(Y2,物流参数!$A$1:$FT$37,20)</f>
        <v>0</v>
      </c>
      <c r="Z13" s="212" t="n">
        <f aca="false">HLOOKUP(Z2,物流参数!$A$1:$FT$37,20)</f>
        <v>15.21</v>
      </c>
      <c r="AA13" s="212" t="n">
        <f aca="false">HLOOKUP(AA2,物流参数!$A$1:$FT$37,20)</f>
        <v>0</v>
      </c>
      <c r="AB13" s="212" t="n">
        <f aca="false">HLOOKUP(AB2,物流参数!$A$1:$FT$37,20)</f>
        <v>0</v>
      </c>
      <c r="AC13" s="212" t="n">
        <f aca="false">HLOOKUP(AC2,物流参数!$A$1:$FT$37,20)</f>
        <v>0</v>
      </c>
      <c r="AD13" s="212" t="n">
        <f aca="false">HLOOKUP(AD2,物流参数!$A$1:$FT$37,20)</f>
        <v>0</v>
      </c>
      <c r="AE13" s="212" t="n">
        <f aca="false">HLOOKUP(AE2,物流参数!$A$1:$FT$37,20)</f>
        <v>15.25</v>
      </c>
      <c r="AF13" s="212" t="n">
        <f aca="false">HLOOKUP(AF2,物流参数!$A$1:$FT$37,20)</f>
        <v>0</v>
      </c>
      <c r="AG13" s="212" t="n">
        <f aca="false">HLOOKUP(AG2,物流参数!$A$1:$FT$37,20)</f>
        <v>8.99</v>
      </c>
      <c r="AH13" s="212"/>
      <c r="AI13" s="212" t="e">
        <f aca="false">HLOOKUP(AI2,物流参数!$FZ$1:$IA$37,20)</f>
        <v>#N/A</v>
      </c>
      <c r="AJ13" s="212" t="e">
        <f aca="false">HLOOKUP(AJ2,物流参数!$FZ$1:$IA$37,20)</f>
        <v>#N/A</v>
      </c>
      <c r="AK13" s="212"/>
      <c r="AL13" s="212"/>
      <c r="AM13" s="212"/>
      <c r="AN13" s="212"/>
      <c r="AO13" s="212"/>
      <c r="AP13" s="212"/>
      <c r="AQ13" s="212"/>
      <c r="AR13" s="212"/>
      <c r="AS13" s="212"/>
      <c r="AT13" s="212"/>
      <c r="AU13" s="212"/>
      <c r="AV13" s="212"/>
      <c r="AW13" s="212"/>
      <c r="AX13" s="212"/>
      <c r="AY13" s="212"/>
      <c r="AZ13" s="212"/>
      <c r="BA13" s="212"/>
      <c r="BB13" s="212"/>
      <c r="BC13" s="212"/>
      <c r="BD13" s="212"/>
      <c r="BE13" s="212"/>
      <c r="BF13" s="212"/>
      <c r="BG13" s="212"/>
      <c r="BH13" s="212"/>
      <c r="BI13" s="212"/>
      <c r="BJ13" s="212"/>
      <c r="BK13" s="212"/>
      <c r="BL13" s="212"/>
      <c r="BM13" s="212"/>
      <c r="BN13" s="212"/>
      <c r="BO13" s="212"/>
      <c r="BP13" s="212"/>
      <c r="BQ13" s="212"/>
      <c r="BR13" s="212"/>
      <c r="BS13" s="212"/>
      <c r="BT13" s="212"/>
      <c r="BU13" s="212"/>
      <c r="BV13" s="212"/>
      <c r="BW13" s="212"/>
      <c r="BX13" s="212"/>
      <c r="BY13" s="212"/>
      <c r="BZ13" s="212"/>
      <c r="CA13" s="212"/>
      <c r="CB13" s="212"/>
      <c r="CC13" s="212"/>
      <c r="CD13" s="212"/>
      <c r="CE13" s="212"/>
      <c r="CF13" s="212"/>
      <c r="CG13" s="212"/>
      <c r="CH13" s="212"/>
      <c r="CI13" s="212"/>
      <c r="CJ13" s="212"/>
      <c r="CK13" s="212"/>
      <c r="CL13" s="212"/>
      <c r="CM13" s="212"/>
      <c r="CN13" s="212"/>
      <c r="CO13" s="212"/>
      <c r="CP13" s="212"/>
      <c r="CQ13" s="212"/>
      <c r="CR13" s="212"/>
      <c r="CS13" s="212"/>
      <c r="CT13" s="212"/>
      <c r="CU13" s="212"/>
      <c r="CV13" s="212"/>
      <c r="CW13" s="212"/>
      <c r="CX13" s="212"/>
      <c r="CY13" s="212"/>
      <c r="CZ13" s="212"/>
      <c r="DA13" s="212"/>
      <c r="DB13" s="212"/>
      <c r="DC13" s="212"/>
      <c r="DD13" s="212"/>
      <c r="DE13" s="212"/>
      <c r="DF13" s="212"/>
      <c r="DG13" s="212"/>
      <c r="DH13" s="212"/>
      <c r="DI13" s="212"/>
      <c r="DJ13" s="212"/>
      <c r="DK13" s="212"/>
      <c r="DL13" s="212"/>
      <c r="DM13" s="212"/>
      <c r="DN13" s="212"/>
      <c r="DO13" s="212"/>
      <c r="DP13" s="212"/>
      <c r="DQ13" s="212"/>
      <c r="DR13" s="212"/>
      <c r="DS13" s="212"/>
      <c r="DT13" s="212"/>
      <c r="DU13" s="212"/>
      <c r="DV13" s="212"/>
      <c r="DW13" s="212"/>
      <c r="DX13" s="212"/>
      <c r="DY13" s="212"/>
      <c r="DZ13" s="212"/>
      <c r="EA13" s="212"/>
      <c r="EB13" s="212"/>
      <c r="EC13" s="212"/>
      <c r="ED13" s="212"/>
      <c r="EE13" s="212"/>
      <c r="EF13" s="212"/>
      <c r="EG13" s="212"/>
      <c r="EH13" s="212"/>
      <c r="EI13" s="212"/>
      <c r="EJ13" s="212"/>
      <c r="EK13" s="212"/>
      <c r="EL13" s="212"/>
      <c r="EM13" s="212"/>
      <c r="EN13" s="212"/>
      <c r="EO13" s="212"/>
      <c r="EP13" s="212"/>
      <c r="EQ13" s="212"/>
      <c r="ER13" s="212"/>
      <c r="ES13" s="212"/>
      <c r="ET13" s="212"/>
      <c r="EU13" s="212"/>
      <c r="EV13" s="212"/>
      <c r="EW13" s="212"/>
      <c r="EX13" s="212"/>
      <c r="EY13" s="212"/>
      <c r="EZ13" s="212"/>
      <c r="FA13" s="212"/>
      <c r="FB13" s="212"/>
      <c r="FC13" s="212"/>
      <c r="FD13" s="212"/>
      <c r="FE13" s="212"/>
      <c r="FF13" s="212"/>
      <c r="FG13" s="212"/>
      <c r="FH13" s="212"/>
      <c r="FI13" s="212"/>
      <c r="FJ13" s="212"/>
      <c r="FK13" s="212"/>
      <c r="FL13" s="212"/>
      <c r="FM13" s="212"/>
      <c r="FN13" s="212"/>
      <c r="FO13" s="212"/>
      <c r="FP13" s="212"/>
      <c r="FQ13" s="212"/>
      <c r="FR13" s="212"/>
      <c r="FS13" s="212"/>
      <c r="FT13" s="212"/>
      <c r="FU13" s="212"/>
      <c r="FV13" s="212"/>
      <c r="FW13" s="212"/>
      <c r="FX13" s="212"/>
      <c r="FY13" s="212"/>
      <c r="FZ13" s="212"/>
      <c r="GA13" s="212"/>
      <c r="GB13" s="212"/>
      <c r="GC13" s="212"/>
      <c r="GD13" s="212"/>
      <c r="GE13" s="212"/>
      <c r="GF13" s="212"/>
      <c r="GG13" s="212"/>
      <c r="GH13" s="212"/>
      <c r="GI13" s="212"/>
      <c r="GJ13" s="212"/>
      <c r="GK13" s="212"/>
      <c r="GL13" s="212"/>
      <c r="GM13" s="212"/>
      <c r="GN13" s="212"/>
      <c r="GO13" s="212"/>
      <c r="GP13" s="212"/>
      <c r="GQ13" s="212"/>
      <c r="GR13" s="212"/>
      <c r="GS13" s="212"/>
      <c r="GT13" s="212"/>
      <c r="GU13" s="212"/>
      <c r="GV13" s="212"/>
      <c r="GW13" s="212"/>
      <c r="GX13" s="212"/>
      <c r="GY13" s="212"/>
      <c r="GZ13" s="212"/>
      <c r="HA13" s="212"/>
      <c r="HB13" s="212"/>
      <c r="HC13" s="212"/>
      <c r="HD13" s="212"/>
      <c r="HE13" s="212"/>
      <c r="HF13" s="212"/>
      <c r="HG13" s="212"/>
      <c r="HH13" s="212"/>
      <c r="HI13" s="212"/>
      <c r="HJ13" s="212"/>
      <c r="HK13" s="212"/>
      <c r="HL13" s="212"/>
      <c r="HM13" s="212"/>
      <c r="HN13" s="212"/>
      <c r="HO13" s="212"/>
      <c r="HP13" s="212"/>
      <c r="HQ13" s="212"/>
      <c r="HR13" s="212"/>
      <c r="HS13" s="212"/>
      <c r="HT13" s="212"/>
      <c r="HU13" s="212"/>
      <c r="HV13" s="212"/>
      <c r="HW13" s="212"/>
      <c r="HX13" s="212"/>
      <c r="HY13" s="212"/>
      <c r="HZ13" s="212"/>
      <c r="IA13" s="212"/>
      <c r="IB13" s="212"/>
      <c r="IC13" s="212"/>
      <c r="ID13" s="212"/>
      <c r="IE13" s="212"/>
      <c r="IF13" s="212"/>
      <c r="IG13" s="212"/>
      <c r="IH13" s="212"/>
      <c r="II13" s="212"/>
      <c r="IJ13" s="212"/>
      <c r="IK13" s="212"/>
      <c r="IL13" s="212"/>
      <c r="IM13" s="212"/>
      <c r="IN13" s="212"/>
      <c r="IO13" s="212"/>
      <c r="IP13" s="212"/>
      <c r="IQ13" s="212"/>
      <c r="IR13" s="212"/>
      <c r="IS13" s="212"/>
      <c r="IT13" s="212"/>
      <c r="IU13" s="212"/>
      <c r="IV13" s="212"/>
      <c r="IW13" s="212"/>
      <c r="IX13" s="212"/>
      <c r="IY13" s="212"/>
      <c r="IZ13" s="212"/>
      <c r="JA13" s="212"/>
      <c r="JB13" s="212"/>
      <c r="JC13" s="212"/>
      <c r="JD13" s="212"/>
      <c r="JE13" s="212"/>
      <c r="JF13" s="212"/>
      <c r="JG13" s="212"/>
      <c r="JH13" s="212"/>
      <c r="JI13" s="212"/>
      <c r="JJ13" s="212"/>
      <c r="JK13" s="212"/>
      <c r="JL13" s="212"/>
      <c r="JM13" s="212"/>
      <c r="JN13" s="212"/>
      <c r="JO13" s="212"/>
      <c r="JP13" s="212"/>
      <c r="JQ13" s="212"/>
      <c r="JR13" s="212"/>
      <c r="JS13" s="212"/>
      <c r="JT13" s="212"/>
      <c r="JU13" s="212"/>
      <c r="JV13" s="212"/>
      <c r="JW13" s="212"/>
      <c r="JX13" s="212"/>
      <c r="JY13" s="212"/>
      <c r="JZ13" s="212"/>
      <c r="KA13" s="212"/>
      <c r="KB13" s="212"/>
      <c r="KC13" s="212"/>
      <c r="KD13" s="212"/>
      <c r="KE13" s="212"/>
      <c r="KF13" s="212"/>
      <c r="KG13" s="212"/>
      <c r="KH13" s="212"/>
      <c r="KI13" s="212"/>
      <c r="KJ13" s="212"/>
      <c r="KK13" s="212"/>
      <c r="KL13" s="212"/>
      <c r="KM13" s="212"/>
      <c r="KN13" s="212"/>
      <c r="KO13" s="212"/>
      <c r="KP13" s="212"/>
      <c r="KQ13" s="212"/>
      <c r="KR13" s="212"/>
      <c r="KS13" s="212"/>
      <c r="KT13" s="212"/>
      <c r="KU13" s="212"/>
      <c r="KV13" s="212"/>
      <c r="KW13" s="212"/>
      <c r="KX13" s="212"/>
      <c r="KY13" s="212"/>
      <c r="KZ13" s="212"/>
      <c r="LA13" s="212"/>
      <c r="LB13" s="212"/>
      <c r="LC13" s="212"/>
      <c r="LD13" s="212"/>
      <c r="LE13" s="212"/>
      <c r="LF13" s="212"/>
      <c r="LG13" s="212"/>
      <c r="LH13" s="212"/>
      <c r="LI13" s="212"/>
      <c r="LJ13" s="212"/>
      <c r="LK13" s="212"/>
      <c r="LL13" s="212"/>
      <c r="LM13" s="212"/>
      <c r="LN13" s="212"/>
      <c r="LO13" s="212"/>
      <c r="LP13" s="212"/>
      <c r="LQ13" s="212"/>
      <c r="LR13" s="212"/>
      <c r="LS13" s="212"/>
      <c r="LT13" s="212"/>
      <c r="LU13" s="212"/>
      <c r="LV13" s="212"/>
      <c r="LW13" s="212"/>
      <c r="LX13" s="212"/>
      <c r="LY13" s="212"/>
      <c r="LZ13" s="212"/>
      <c r="MA13" s="212"/>
      <c r="MB13" s="212"/>
      <c r="MC13" s="212"/>
      <c r="MD13" s="212"/>
      <c r="ME13" s="212"/>
      <c r="MF13" s="212"/>
      <c r="MG13" s="212"/>
      <c r="MH13" s="212"/>
      <c r="MI13" s="212"/>
      <c r="MJ13" s="212"/>
      <c r="MK13" s="212"/>
      <c r="ML13" s="212"/>
      <c r="MM13" s="212"/>
      <c r="MN13" s="212"/>
      <c r="MO13" s="212"/>
      <c r="MP13" s="212"/>
      <c r="MQ13" s="212"/>
      <c r="MR13" s="212"/>
      <c r="MS13" s="212"/>
      <c r="MT13" s="212"/>
      <c r="MU13" s="212"/>
      <c r="MV13" s="212"/>
      <c r="MW13" s="212"/>
      <c r="MX13" s="212"/>
      <c r="MY13" s="212"/>
      <c r="MZ13" s="212"/>
      <c r="NA13" s="212"/>
      <c r="NB13" s="212"/>
      <c r="NC13" s="212"/>
      <c r="ND13" s="212"/>
      <c r="NE13" s="212"/>
      <c r="NF13" s="212"/>
    </row>
    <row r="14" customFormat="false" ht="15" hidden="false" customHeight="false" outlineLevel="0" collapsed="false">
      <c r="A14" s="979" t="s">
        <v>1601</v>
      </c>
      <c r="B14" s="979"/>
      <c r="C14" s="986" t="e">
        <f aca="false">HLOOKUP(C7,物流参数!$C$1:$GC$29,MATCH(" DENSITY",物流参数!$A$1:$A$29,FALSE()),FALSE())</f>
        <v>#N/A</v>
      </c>
      <c r="D14" s="212" t="n">
        <f aca="false">HLOOKUP(D2,物流参数!$A$1:$FT$37,22)</f>
        <v>22.5</v>
      </c>
      <c r="E14" s="212" t="n">
        <f aca="false">HLOOKUP(E2,物流参数!$A$1:$FT$37,22)</f>
        <v>2.39E-006</v>
      </c>
      <c r="F14" s="212" t="e">
        <f aca="false">HLOOKUP(F2,物流参数!$A$1:$FT$37,22)</f>
        <v>#N/A</v>
      </c>
      <c r="G14" s="212" t="n">
        <f aca="false">物流参数!FM22</f>
        <v>0</v>
      </c>
      <c r="H14" s="212" t="e">
        <f aca="false">HLOOKUP(H2,物流参数!$A$1:$FT$37,22)</f>
        <v>#N/A</v>
      </c>
      <c r="I14" s="212" t="n">
        <f aca="false">物流参数!FL22</f>
        <v>0</v>
      </c>
      <c r="J14" s="212" t="n">
        <f aca="false">HLOOKUP(J2,物流参数!$A$1:$FT$37,22)</f>
        <v>9.64E-005</v>
      </c>
      <c r="K14" s="212" t="n">
        <f aca="false">HLOOKUP(K2,物流参数!$A$1:$FT$37,22)</f>
        <v>0</v>
      </c>
      <c r="L14" s="212" t="n">
        <f aca="false">物流参数!DR22</f>
        <v>3.12</v>
      </c>
      <c r="M14" s="212" t="n">
        <f aca="false">HLOOKUP(M2,物流参数!$A$1:$FT$37,22)</f>
        <v>0</v>
      </c>
      <c r="N14" s="212" t="n">
        <f aca="false">HLOOKUP(N2,物流参数!$A$1:$FT$37,22)</f>
        <v>0</v>
      </c>
      <c r="O14" s="212" t="n">
        <f aca="false">HLOOKUP(O2,物流参数!$A$1:$FT$37,22)</f>
        <v>2.29</v>
      </c>
      <c r="P14" s="212" t="n">
        <f aca="false">HLOOKUP(P2,物流参数!$A$1:$FT$37,22)</f>
        <v>0.2</v>
      </c>
      <c r="Q14" s="212" t="n">
        <f aca="false">HLOOKUP(Q2,物流参数!$A$1:$FT$37,22)</f>
        <v>0.2</v>
      </c>
      <c r="R14" s="212" t="n">
        <f aca="false">HLOOKUP(R2,物流参数!$A$1:$FT$37,22)</f>
        <v>23.92</v>
      </c>
      <c r="S14" s="212" t="n">
        <f aca="false">HLOOKUP(S2,物流参数!$A$1:$FT$37,22)</f>
        <v>0.15</v>
      </c>
      <c r="T14" s="212" t="n">
        <f aca="false">HLOOKUP(T2,物流参数!$A$1:$FT$37,22)</f>
        <v>0.15</v>
      </c>
      <c r="U14" s="212" t="n">
        <f aca="false">HLOOKUP(U2,物流参数!$A$1:$FT$37,22)</f>
        <v>11.04</v>
      </c>
      <c r="V14" s="212" t="n">
        <f aca="false">HLOOKUP(V2,物流参数!$A$1:$FT$37,22)</f>
        <v>12.09</v>
      </c>
      <c r="W14" s="212" t="n">
        <f aca="false">HLOOKUP(W2,物流参数!$A$1:$FT$37,22)</f>
        <v>14.29</v>
      </c>
      <c r="X14" s="212" t="n">
        <f aca="false">HLOOKUP(X2,物流参数!$A$1:$FT$37,22)</f>
        <v>0</v>
      </c>
      <c r="Y14" s="212" t="n">
        <f aca="false">HLOOKUP(Y2,物流参数!$A$1:$FT$37,22)</f>
        <v>0.02</v>
      </c>
      <c r="Z14" s="212" t="n">
        <f aca="false">HLOOKUP(Z2,物流参数!$A$1:$FT$37,22)</f>
        <v>0.14</v>
      </c>
      <c r="AA14" s="212" t="n">
        <f aca="false">HLOOKUP(AA2,物流参数!$A$1:$FT$37,22)</f>
        <v>74.92</v>
      </c>
      <c r="AB14" s="212" t="n">
        <f aca="false">HLOOKUP(AB2,物流参数!$A$1:$FT$37,22)</f>
        <v>76.38</v>
      </c>
      <c r="AC14" s="212" t="n">
        <f aca="false">HLOOKUP(AC2,物流参数!$A$1:$FT$37,22)</f>
        <v>4.61</v>
      </c>
      <c r="AD14" s="212" t="n">
        <f aca="false">HLOOKUP(AD2,物流参数!$A$1:$FT$37,22)</f>
        <v>0</v>
      </c>
      <c r="AE14" s="212" t="n">
        <f aca="false">HLOOKUP(AE2,物流参数!$A$1:$FT$37,22)</f>
        <v>1.09</v>
      </c>
      <c r="AF14" s="212" t="n">
        <f aca="false">HLOOKUP(AF2,物流参数!$A$1:$FT$37,22)</f>
        <v>0</v>
      </c>
      <c r="AG14" s="212" t="n">
        <f aca="false">HLOOKUP(AG2,物流参数!$A$1:$FT$37,22)</f>
        <v>4.57</v>
      </c>
      <c r="AH14" s="212"/>
      <c r="AI14" s="212" t="e">
        <f aca="false">HLOOKUP(AI2,物流参数!$FZ$1:$IA$37,22)</f>
        <v>#N/A</v>
      </c>
      <c r="AJ14" s="212" t="e">
        <f aca="false">HLOOKUP(AJ2,物流参数!$FZ$1:$IA$37,22)</f>
        <v>#N/A</v>
      </c>
      <c r="AK14" s="212"/>
      <c r="AL14" s="212"/>
      <c r="AM14" s="212"/>
      <c r="AN14" s="212"/>
      <c r="AO14" s="212"/>
      <c r="AP14" s="212"/>
      <c r="AQ14" s="212"/>
      <c r="AR14" s="212"/>
      <c r="AS14" s="212"/>
      <c r="AT14" s="212"/>
      <c r="AU14" s="212"/>
      <c r="AV14" s="212"/>
      <c r="AW14" s="212"/>
      <c r="AX14" s="212"/>
      <c r="AY14" s="212"/>
      <c r="AZ14" s="212"/>
      <c r="BA14" s="212"/>
      <c r="BB14" s="212"/>
      <c r="BC14" s="212"/>
      <c r="BD14" s="212"/>
      <c r="BE14" s="212"/>
      <c r="BF14" s="212"/>
      <c r="BG14" s="212"/>
      <c r="BH14" s="212"/>
      <c r="BI14" s="212"/>
      <c r="BJ14" s="212"/>
      <c r="BK14" s="212"/>
      <c r="BL14" s="212"/>
      <c r="BM14" s="212"/>
      <c r="BN14" s="212"/>
      <c r="BO14" s="212"/>
      <c r="BP14" s="212"/>
      <c r="BQ14" s="212"/>
      <c r="BR14" s="212"/>
      <c r="BS14" s="212"/>
      <c r="BT14" s="212"/>
      <c r="BU14" s="212"/>
      <c r="BV14" s="212"/>
      <c r="BW14" s="212"/>
      <c r="BX14" s="212"/>
      <c r="BY14" s="212"/>
      <c r="BZ14" s="212"/>
      <c r="CA14" s="212"/>
      <c r="CB14" s="212"/>
      <c r="CC14" s="212"/>
      <c r="CD14" s="212"/>
      <c r="CE14" s="212"/>
      <c r="CF14" s="212"/>
      <c r="CG14" s="212"/>
      <c r="CH14" s="212"/>
      <c r="CI14" s="212"/>
      <c r="CJ14" s="212"/>
      <c r="CK14" s="212"/>
      <c r="CL14" s="212"/>
      <c r="CM14" s="212"/>
      <c r="CN14" s="212"/>
      <c r="CO14" s="212"/>
      <c r="CP14" s="212"/>
      <c r="CQ14" s="212"/>
      <c r="CR14" s="212"/>
      <c r="CS14" s="212"/>
      <c r="CT14" s="212"/>
      <c r="CU14" s="212"/>
      <c r="CV14" s="212"/>
      <c r="CW14" s="212"/>
      <c r="CX14" s="212"/>
      <c r="CY14" s="212"/>
      <c r="CZ14" s="212"/>
      <c r="DA14" s="212"/>
      <c r="DB14" s="212"/>
      <c r="DC14" s="212"/>
      <c r="DD14" s="212"/>
      <c r="DE14" s="212"/>
      <c r="DF14" s="212"/>
      <c r="DG14" s="212"/>
      <c r="DH14" s="212"/>
      <c r="DI14" s="212"/>
      <c r="DJ14" s="212"/>
      <c r="DK14" s="212"/>
      <c r="DL14" s="212"/>
      <c r="DM14" s="212"/>
      <c r="DN14" s="212"/>
      <c r="DO14" s="212"/>
      <c r="DP14" s="212"/>
      <c r="DQ14" s="212"/>
      <c r="DR14" s="212"/>
      <c r="DS14" s="212"/>
      <c r="DT14" s="212"/>
      <c r="DU14" s="212"/>
      <c r="DV14" s="212"/>
      <c r="DW14" s="212"/>
      <c r="DX14" s="212"/>
      <c r="DY14" s="212"/>
      <c r="DZ14" s="212"/>
      <c r="EA14" s="212"/>
      <c r="EB14" s="212"/>
      <c r="EC14" s="212"/>
      <c r="ED14" s="212"/>
      <c r="EE14" s="212"/>
      <c r="EF14" s="212"/>
      <c r="EG14" s="212"/>
      <c r="EH14" s="212"/>
      <c r="EI14" s="212"/>
      <c r="EJ14" s="212"/>
      <c r="EK14" s="212"/>
      <c r="EL14" s="212"/>
      <c r="EM14" s="212"/>
      <c r="EN14" s="212"/>
      <c r="EO14" s="212"/>
      <c r="EP14" s="212"/>
      <c r="EQ14" s="212"/>
      <c r="ER14" s="212"/>
      <c r="ES14" s="212"/>
      <c r="ET14" s="212"/>
      <c r="EU14" s="212"/>
      <c r="EV14" s="212"/>
      <c r="EW14" s="212"/>
      <c r="EX14" s="212"/>
      <c r="EY14" s="212"/>
      <c r="EZ14" s="212"/>
      <c r="FA14" s="212"/>
      <c r="FB14" s="212"/>
      <c r="FC14" s="212"/>
      <c r="FD14" s="212"/>
      <c r="FE14" s="212"/>
      <c r="FF14" s="212"/>
      <c r="FG14" s="212"/>
      <c r="FH14" s="212"/>
      <c r="FI14" s="212"/>
      <c r="FJ14" s="212"/>
      <c r="FK14" s="212"/>
      <c r="FL14" s="212"/>
      <c r="FM14" s="212"/>
      <c r="FN14" s="212"/>
      <c r="FO14" s="212"/>
      <c r="FP14" s="212"/>
      <c r="FQ14" s="212"/>
      <c r="FR14" s="212"/>
      <c r="FS14" s="212"/>
      <c r="FT14" s="212"/>
      <c r="FU14" s="212"/>
      <c r="FV14" s="212"/>
      <c r="FW14" s="212"/>
      <c r="FX14" s="212"/>
      <c r="FY14" s="212"/>
      <c r="FZ14" s="212"/>
      <c r="GA14" s="212"/>
      <c r="GB14" s="212"/>
      <c r="GC14" s="212"/>
      <c r="GD14" s="212"/>
      <c r="GE14" s="212"/>
      <c r="GF14" s="212"/>
      <c r="GG14" s="212"/>
      <c r="GH14" s="212"/>
      <c r="GI14" s="212"/>
      <c r="GJ14" s="212"/>
      <c r="GK14" s="212"/>
      <c r="GL14" s="212"/>
      <c r="GM14" s="212"/>
      <c r="GN14" s="212"/>
      <c r="GO14" s="212"/>
      <c r="GP14" s="212"/>
      <c r="GQ14" s="212"/>
      <c r="GR14" s="212"/>
      <c r="GS14" s="212"/>
      <c r="GT14" s="212"/>
      <c r="GU14" s="212"/>
      <c r="GV14" s="212"/>
      <c r="GW14" s="212"/>
      <c r="GX14" s="212"/>
      <c r="GY14" s="212"/>
      <c r="GZ14" s="212"/>
      <c r="HA14" s="212"/>
      <c r="HB14" s="212"/>
      <c r="HC14" s="212"/>
      <c r="HD14" s="212"/>
      <c r="HE14" s="212"/>
      <c r="HF14" s="212"/>
      <c r="HG14" s="212"/>
      <c r="HH14" s="212"/>
      <c r="HI14" s="212"/>
      <c r="HJ14" s="212"/>
      <c r="HK14" s="212"/>
      <c r="HL14" s="212"/>
      <c r="HM14" s="212"/>
      <c r="HN14" s="212"/>
      <c r="HO14" s="212"/>
      <c r="HP14" s="212"/>
      <c r="HQ14" s="212"/>
      <c r="HR14" s="212"/>
      <c r="HS14" s="212"/>
      <c r="HT14" s="212"/>
      <c r="HU14" s="212"/>
      <c r="HV14" s="212"/>
      <c r="HW14" s="212"/>
      <c r="HX14" s="212"/>
      <c r="HY14" s="212"/>
      <c r="HZ14" s="212"/>
      <c r="IA14" s="212"/>
      <c r="IB14" s="212"/>
      <c r="IC14" s="212"/>
      <c r="ID14" s="212"/>
      <c r="IE14" s="212"/>
      <c r="IF14" s="212"/>
      <c r="IG14" s="212"/>
      <c r="IH14" s="212"/>
      <c r="II14" s="212"/>
      <c r="IJ14" s="212"/>
      <c r="IK14" s="212"/>
      <c r="IL14" s="212"/>
      <c r="IM14" s="212"/>
      <c r="IN14" s="212"/>
      <c r="IO14" s="212"/>
      <c r="IP14" s="212"/>
      <c r="IQ14" s="212"/>
      <c r="IR14" s="212"/>
      <c r="IS14" s="212"/>
      <c r="IT14" s="212"/>
      <c r="IU14" s="212"/>
      <c r="IV14" s="212"/>
      <c r="IW14" s="212"/>
      <c r="IX14" s="212"/>
      <c r="IY14" s="212"/>
      <c r="IZ14" s="212"/>
      <c r="JA14" s="212"/>
      <c r="JB14" s="212"/>
      <c r="JC14" s="212"/>
      <c r="JD14" s="212"/>
      <c r="JE14" s="212"/>
      <c r="JF14" s="212"/>
      <c r="JG14" s="212"/>
      <c r="JH14" s="212"/>
      <c r="JI14" s="212"/>
      <c r="JJ14" s="212"/>
      <c r="JK14" s="212"/>
      <c r="JL14" s="212"/>
      <c r="JM14" s="212"/>
      <c r="JN14" s="212"/>
      <c r="JO14" s="212"/>
      <c r="JP14" s="212"/>
      <c r="JQ14" s="212"/>
      <c r="JR14" s="212"/>
      <c r="JS14" s="212"/>
      <c r="JT14" s="212"/>
      <c r="JU14" s="212"/>
      <c r="JV14" s="212"/>
      <c r="JW14" s="212"/>
      <c r="JX14" s="212"/>
      <c r="JY14" s="212"/>
      <c r="JZ14" s="212"/>
      <c r="KA14" s="212"/>
      <c r="KB14" s="212"/>
      <c r="KC14" s="212"/>
      <c r="KD14" s="212"/>
      <c r="KE14" s="212"/>
      <c r="KF14" s="212"/>
      <c r="KG14" s="212"/>
      <c r="KH14" s="212"/>
      <c r="KI14" s="212"/>
      <c r="KJ14" s="212"/>
      <c r="KK14" s="212"/>
      <c r="KL14" s="212"/>
      <c r="KM14" s="212"/>
      <c r="KN14" s="212"/>
      <c r="KO14" s="212"/>
      <c r="KP14" s="212"/>
      <c r="KQ14" s="212"/>
      <c r="KR14" s="212"/>
      <c r="KS14" s="212"/>
      <c r="KT14" s="212"/>
      <c r="KU14" s="212"/>
      <c r="KV14" s="212"/>
      <c r="KW14" s="212"/>
      <c r="KX14" s="212"/>
      <c r="KY14" s="212"/>
      <c r="KZ14" s="212"/>
      <c r="LA14" s="212"/>
      <c r="LB14" s="212"/>
      <c r="LC14" s="212"/>
      <c r="LD14" s="212"/>
      <c r="LE14" s="212"/>
      <c r="LF14" s="212"/>
      <c r="LG14" s="212"/>
      <c r="LH14" s="212"/>
      <c r="LI14" s="212"/>
      <c r="LJ14" s="212"/>
      <c r="LK14" s="212"/>
      <c r="LL14" s="212"/>
      <c r="LM14" s="212"/>
      <c r="LN14" s="212"/>
      <c r="LO14" s="212"/>
      <c r="LP14" s="212"/>
      <c r="LQ14" s="212"/>
      <c r="LR14" s="212"/>
      <c r="LS14" s="212"/>
      <c r="LT14" s="212"/>
      <c r="LU14" s="212"/>
      <c r="LV14" s="212"/>
      <c r="LW14" s="212"/>
      <c r="LX14" s="212"/>
      <c r="LY14" s="212"/>
      <c r="LZ14" s="212"/>
      <c r="MA14" s="212"/>
      <c r="MB14" s="212"/>
      <c r="MC14" s="212"/>
      <c r="MD14" s="212"/>
      <c r="ME14" s="212"/>
      <c r="MF14" s="212"/>
      <c r="MG14" s="212"/>
      <c r="MH14" s="212"/>
      <c r="MI14" s="212"/>
      <c r="MJ14" s="212"/>
      <c r="MK14" s="212"/>
      <c r="ML14" s="212"/>
      <c r="MM14" s="212"/>
      <c r="MN14" s="212"/>
      <c r="MO14" s="212"/>
      <c r="MP14" s="212"/>
      <c r="MQ14" s="212"/>
      <c r="MR14" s="212"/>
      <c r="MS14" s="212"/>
      <c r="MT14" s="212"/>
      <c r="MU14" s="212"/>
      <c r="MV14" s="212"/>
      <c r="MW14" s="212"/>
      <c r="MX14" s="212"/>
      <c r="MY14" s="212"/>
      <c r="MZ14" s="212"/>
      <c r="NA14" s="212"/>
      <c r="NB14" s="212"/>
      <c r="NC14" s="212"/>
      <c r="ND14" s="212"/>
      <c r="NE14" s="212"/>
      <c r="NF14" s="212"/>
    </row>
    <row r="15" customFormat="false" ht="15" hidden="false" customHeight="false" outlineLevel="0" collapsed="false">
      <c r="A15" s="979" t="s">
        <v>1602</v>
      </c>
      <c r="B15" s="979" t="s">
        <v>409</v>
      </c>
      <c r="C15" s="482" t="e">
        <f aca="false">C11/C12</f>
        <v>#N/A</v>
      </c>
      <c r="D15" s="482" t="n">
        <f aca="false">D11/D12</f>
        <v>35.038176860148</v>
      </c>
      <c r="E15" s="482" t="n">
        <f aca="false">E11/E12</f>
        <v>38.7146496815287</v>
      </c>
      <c r="F15" s="482" t="e">
        <f aca="false">F11/F12</f>
        <v>#N/A</v>
      </c>
      <c r="G15" s="482" t="e">
        <f aca="false">G11/G12</f>
        <v>#DIV/0!</v>
      </c>
      <c r="H15" s="482" t="e">
        <f aca="false">H11/H12</f>
        <v>#N/A</v>
      </c>
      <c r="I15" s="482" t="e">
        <f aca="false">I11/I12</f>
        <v>#DIV/0!</v>
      </c>
      <c r="J15" s="482" t="n">
        <f aca="false">J11/J12</f>
        <v>38.7146496815287</v>
      </c>
      <c r="K15" s="482" t="e">
        <f aca="false">K11/K12</f>
        <v>#DIV/0!</v>
      </c>
      <c r="L15" s="482" t="e">
        <f aca="false">L11/L12</f>
        <v>#DIV/0!</v>
      </c>
      <c r="M15" s="482" t="e">
        <f aca="false">M11/M12</f>
        <v>#DIV/0!</v>
      </c>
      <c r="N15" s="482" t="e">
        <f aca="false">N11/N12</f>
        <v>#DIV/0!</v>
      </c>
      <c r="O15" s="482" t="n">
        <f aca="false">O11/O12</f>
        <v>128.706852791878</v>
      </c>
      <c r="P15" s="482" t="n">
        <f aca="false">P11/P12</f>
        <v>19.8674757281553</v>
      </c>
      <c r="Q15" s="482" t="n">
        <f aca="false">Q11/Q12</f>
        <v>19.8674757281553</v>
      </c>
      <c r="R15" s="482" t="n">
        <f aca="false">R11/R12</f>
        <v>35.196323816973</v>
      </c>
      <c r="S15" s="482" t="n">
        <f aca="false">S11/S12</f>
        <v>31.0639718804921</v>
      </c>
      <c r="T15" s="482" t="n">
        <f aca="false">T11/T12</f>
        <v>31.0639718804921</v>
      </c>
      <c r="U15" s="482" t="n">
        <f aca="false">U11/U12</f>
        <v>24.926943308007</v>
      </c>
      <c r="V15" s="482" t="n">
        <f aca="false">V11/V12</f>
        <v>28.6760840998686</v>
      </c>
      <c r="W15" s="482" t="n">
        <f aca="false">W11/W12</f>
        <v>27.647658489965</v>
      </c>
      <c r="X15" s="482" t="e">
        <f aca="false">X11/X12</f>
        <v>#DIV/0!</v>
      </c>
      <c r="Y15" s="482" t="n">
        <f aca="false">Y11/Y12</f>
        <v>11.6415214959246</v>
      </c>
      <c r="Z15" s="482" t="n">
        <f aca="false">Z11/Z12</f>
        <v>11.6415214959246</v>
      </c>
      <c r="AA15" s="482" t="e">
        <f aca="false">AA11/AA12</f>
        <v>#DIV/0!</v>
      </c>
      <c r="AB15" s="482" t="e">
        <f aca="false">AB11/AB12</f>
        <v>#DIV/0!</v>
      </c>
      <c r="AC15" s="482" t="e">
        <f aca="false">AC11/AC12</f>
        <v>#DIV/0!</v>
      </c>
      <c r="AD15" s="482" t="e">
        <f aca="false">AD11/AD12</f>
        <v>#DIV/0!</v>
      </c>
      <c r="AE15" s="482" t="n">
        <f aca="false">AE11/AE12</f>
        <v>10.3977389516958</v>
      </c>
      <c r="AF15" s="482" t="e">
        <f aca="false">AF11/AF12</f>
        <v>#DIV/0!</v>
      </c>
      <c r="AG15" s="482" t="n">
        <f aca="false">AG11/AG12</f>
        <v>18.2134449977365</v>
      </c>
      <c r="AH15" s="482"/>
      <c r="AI15" s="482" t="e">
        <f aca="false">AI11/AI12</f>
        <v>#N/A</v>
      </c>
      <c r="AJ15" s="482" t="e">
        <f aca="false">AJ11/AJ12</f>
        <v>#N/A</v>
      </c>
      <c r="AK15" s="212"/>
      <c r="AL15" s="212"/>
      <c r="AM15" s="212"/>
      <c r="AN15" s="212"/>
      <c r="AO15" s="212"/>
      <c r="AP15" s="212"/>
      <c r="AQ15" s="212"/>
      <c r="AR15" s="212"/>
      <c r="AS15" s="212"/>
      <c r="AT15" s="212"/>
      <c r="AU15" s="212"/>
      <c r="AV15" s="212"/>
      <c r="AW15" s="212"/>
      <c r="AX15" s="212"/>
      <c r="AY15" s="212"/>
      <c r="AZ15" s="212"/>
      <c r="BA15" s="212"/>
      <c r="BB15" s="212"/>
      <c r="BC15" s="212"/>
      <c r="BD15" s="212"/>
      <c r="BE15" s="212"/>
      <c r="BF15" s="212"/>
      <c r="BG15" s="212"/>
      <c r="BH15" s="212"/>
      <c r="BI15" s="212"/>
      <c r="BJ15" s="212"/>
      <c r="BK15" s="212"/>
      <c r="BL15" s="212"/>
      <c r="BM15" s="212"/>
      <c r="BN15" s="212"/>
      <c r="BO15" s="212"/>
      <c r="BP15" s="212"/>
      <c r="BQ15" s="212"/>
      <c r="BR15" s="212"/>
      <c r="BS15" s="212"/>
      <c r="BT15" s="212"/>
      <c r="BU15" s="212"/>
      <c r="BV15" s="212"/>
      <c r="BW15" s="212"/>
      <c r="BX15" s="212"/>
      <c r="BY15" s="212"/>
      <c r="BZ15" s="212"/>
      <c r="CA15" s="212"/>
      <c r="CB15" s="212"/>
      <c r="CC15" s="212"/>
      <c r="CD15" s="212"/>
      <c r="CE15" s="212"/>
      <c r="CF15" s="212"/>
      <c r="CG15" s="212"/>
      <c r="CH15" s="212"/>
      <c r="CI15" s="212"/>
      <c r="CJ15" s="212"/>
      <c r="CK15" s="212"/>
      <c r="CL15" s="212"/>
      <c r="CM15" s="212"/>
      <c r="CN15" s="212"/>
      <c r="CO15" s="212"/>
      <c r="CP15" s="212"/>
      <c r="CQ15" s="212"/>
      <c r="CR15" s="212"/>
      <c r="CS15" s="212"/>
      <c r="CT15" s="212"/>
      <c r="CU15" s="212"/>
      <c r="CV15" s="212"/>
      <c r="CW15" s="212"/>
      <c r="CX15" s="212"/>
      <c r="CY15" s="212"/>
      <c r="CZ15" s="212"/>
      <c r="DA15" s="212"/>
      <c r="DB15" s="212"/>
      <c r="DC15" s="212"/>
      <c r="DD15" s="212"/>
      <c r="DE15" s="212"/>
      <c r="DF15" s="212"/>
      <c r="DG15" s="212"/>
      <c r="DH15" s="212"/>
      <c r="DI15" s="212"/>
      <c r="DJ15" s="212"/>
      <c r="DK15" s="212"/>
      <c r="DL15" s="212"/>
      <c r="DM15" s="212"/>
      <c r="DN15" s="212"/>
      <c r="DO15" s="212"/>
      <c r="DP15" s="212"/>
      <c r="DQ15" s="212"/>
      <c r="DR15" s="212"/>
      <c r="DS15" s="212"/>
      <c r="DT15" s="212"/>
      <c r="DU15" s="212"/>
      <c r="DV15" s="212"/>
      <c r="DW15" s="212"/>
      <c r="DX15" s="212"/>
      <c r="DY15" s="212"/>
      <c r="DZ15" s="212"/>
      <c r="EA15" s="212"/>
      <c r="EB15" s="212"/>
      <c r="EC15" s="212"/>
      <c r="ED15" s="212"/>
      <c r="EE15" s="212"/>
      <c r="EF15" s="212"/>
      <c r="EG15" s="212"/>
      <c r="EH15" s="212"/>
      <c r="EI15" s="212"/>
      <c r="EJ15" s="212"/>
      <c r="EK15" s="212"/>
      <c r="EL15" s="212"/>
      <c r="EM15" s="212"/>
      <c r="EN15" s="212"/>
      <c r="EO15" s="212"/>
      <c r="EP15" s="212"/>
      <c r="EQ15" s="212"/>
      <c r="ER15" s="212"/>
      <c r="ES15" s="212"/>
      <c r="ET15" s="212"/>
      <c r="EU15" s="212"/>
      <c r="EV15" s="212"/>
      <c r="EW15" s="212"/>
      <c r="EX15" s="212"/>
      <c r="EY15" s="212"/>
      <c r="EZ15" s="212"/>
      <c r="FA15" s="212"/>
      <c r="FB15" s="212"/>
      <c r="FC15" s="212"/>
      <c r="FD15" s="212"/>
      <c r="FE15" s="212"/>
      <c r="FF15" s="212"/>
      <c r="FG15" s="212"/>
      <c r="FH15" s="212"/>
      <c r="FI15" s="212"/>
      <c r="FJ15" s="212"/>
      <c r="FK15" s="212"/>
      <c r="FL15" s="212"/>
      <c r="FM15" s="212"/>
      <c r="FN15" s="212"/>
      <c r="FO15" s="212"/>
      <c r="FP15" s="212"/>
      <c r="FQ15" s="212"/>
      <c r="FR15" s="212"/>
      <c r="FS15" s="212"/>
      <c r="FT15" s="212"/>
      <c r="FU15" s="212"/>
      <c r="FV15" s="212"/>
      <c r="FW15" s="212"/>
      <c r="FX15" s="212"/>
      <c r="FY15" s="212"/>
      <c r="FZ15" s="212"/>
      <c r="GA15" s="212"/>
      <c r="GB15" s="212"/>
      <c r="GC15" s="212"/>
      <c r="GD15" s="212"/>
      <c r="GE15" s="212"/>
      <c r="GF15" s="212"/>
      <c r="GG15" s="212"/>
      <c r="GH15" s="212"/>
      <c r="GI15" s="212"/>
      <c r="GJ15" s="212"/>
      <c r="GK15" s="212"/>
      <c r="GL15" s="212"/>
      <c r="GM15" s="212"/>
      <c r="GN15" s="212"/>
      <c r="GO15" s="212"/>
      <c r="GP15" s="212"/>
      <c r="GQ15" s="212"/>
      <c r="GR15" s="212"/>
      <c r="GS15" s="212"/>
      <c r="GT15" s="212"/>
      <c r="GU15" s="212"/>
      <c r="GV15" s="212"/>
      <c r="GW15" s="212"/>
      <c r="GX15" s="212"/>
      <c r="GY15" s="212"/>
      <c r="GZ15" s="212"/>
      <c r="HA15" s="212"/>
      <c r="HB15" s="212"/>
      <c r="HC15" s="212"/>
      <c r="HD15" s="212"/>
      <c r="HE15" s="212"/>
      <c r="HF15" s="212"/>
      <c r="HG15" s="212"/>
      <c r="HH15" s="212"/>
      <c r="HI15" s="212"/>
      <c r="HJ15" s="212"/>
      <c r="HK15" s="212"/>
      <c r="HL15" s="212"/>
      <c r="HM15" s="212"/>
      <c r="HN15" s="212"/>
      <c r="HO15" s="212"/>
      <c r="HP15" s="212"/>
      <c r="HQ15" s="212"/>
      <c r="HR15" s="212"/>
      <c r="HS15" s="212"/>
      <c r="HT15" s="212"/>
      <c r="HU15" s="212"/>
      <c r="HV15" s="212"/>
      <c r="HW15" s="212"/>
      <c r="HX15" s="212"/>
      <c r="HY15" s="212"/>
      <c r="HZ15" s="212"/>
      <c r="IA15" s="212"/>
      <c r="IB15" s="212"/>
      <c r="IC15" s="212"/>
      <c r="ID15" s="212"/>
      <c r="IE15" s="212"/>
      <c r="IF15" s="212"/>
      <c r="IG15" s="212"/>
      <c r="IH15" s="212"/>
      <c r="II15" s="212"/>
      <c r="IJ15" s="212"/>
      <c r="IK15" s="212"/>
      <c r="IL15" s="212"/>
      <c r="IM15" s="212"/>
      <c r="IN15" s="212"/>
      <c r="IO15" s="212"/>
      <c r="IP15" s="212"/>
      <c r="IQ15" s="212"/>
      <c r="IR15" s="212"/>
      <c r="IS15" s="212"/>
      <c r="IT15" s="212"/>
      <c r="IU15" s="212"/>
      <c r="IV15" s="212"/>
      <c r="IW15" s="212"/>
      <c r="IX15" s="212"/>
      <c r="IY15" s="212"/>
      <c r="IZ15" s="212"/>
      <c r="JA15" s="212"/>
      <c r="JB15" s="212"/>
      <c r="JC15" s="212"/>
      <c r="JD15" s="212"/>
      <c r="JE15" s="212"/>
      <c r="JF15" s="212"/>
      <c r="JG15" s="212"/>
      <c r="JH15" s="212"/>
      <c r="JI15" s="212"/>
      <c r="JJ15" s="212"/>
      <c r="JK15" s="212"/>
      <c r="JL15" s="212"/>
      <c r="JM15" s="212"/>
      <c r="JN15" s="212"/>
      <c r="JO15" s="212"/>
      <c r="JP15" s="212"/>
      <c r="JQ15" s="212"/>
      <c r="JR15" s="212"/>
      <c r="JS15" s="212"/>
      <c r="JT15" s="212"/>
      <c r="JU15" s="212"/>
      <c r="JV15" s="212"/>
      <c r="JW15" s="212"/>
      <c r="JX15" s="212"/>
      <c r="JY15" s="212"/>
      <c r="JZ15" s="212"/>
      <c r="KA15" s="212"/>
      <c r="KB15" s="212"/>
      <c r="KC15" s="212"/>
      <c r="KD15" s="212"/>
      <c r="KE15" s="212"/>
      <c r="KF15" s="212"/>
      <c r="KG15" s="212"/>
      <c r="KH15" s="212"/>
      <c r="KI15" s="212"/>
      <c r="KJ15" s="212"/>
      <c r="KK15" s="212"/>
      <c r="KL15" s="212"/>
      <c r="KM15" s="212"/>
      <c r="KN15" s="212"/>
      <c r="KO15" s="212"/>
      <c r="KP15" s="212"/>
      <c r="KQ15" s="212"/>
      <c r="KR15" s="212"/>
      <c r="KS15" s="212"/>
      <c r="KT15" s="212"/>
      <c r="KU15" s="212"/>
      <c r="KV15" s="212"/>
      <c r="KW15" s="212"/>
      <c r="KX15" s="212"/>
      <c r="KY15" s="212"/>
      <c r="KZ15" s="212"/>
      <c r="LA15" s="212"/>
      <c r="LB15" s="212"/>
      <c r="LC15" s="212"/>
      <c r="LD15" s="212"/>
      <c r="LE15" s="212"/>
      <c r="LF15" s="212"/>
      <c r="LG15" s="212"/>
      <c r="LH15" s="212"/>
      <c r="LI15" s="212"/>
      <c r="LJ15" s="212"/>
      <c r="LK15" s="212"/>
      <c r="LL15" s="212"/>
      <c r="LM15" s="212"/>
      <c r="LN15" s="212"/>
      <c r="LO15" s="212"/>
      <c r="LP15" s="212"/>
      <c r="LQ15" s="212"/>
      <c r="LR15" s="212"/>
      <c r="LS15" s="212"/>
      <c r="LT15" s="212"/>
      <c r="LU15" s="212"/>
      <c r="LV15" s="212"/>
      <c r="LW15" s="212"/>
      <c r="LX15" s="212"/>
      <c r="LY15" s="212"/>
      <c r="LZ15" s="212"/>
      <c r="MA15" s="212"/>
      <c r="MB15" s="212"/>
      <c r="MC15" s="212"/>
      <c r="MD15" s="212"/>
      <c r="ME15" s="212"/>
      <c r="MF15" s="212"/>
      <c r="MG15" s="212"/>
      <c r="MH15" s="212"/>
      <c r="MI15" s="212"/>
      <c r="MJ15" s="212"/>
      <c r="MK15" s="212"/>
      <c r="ML15" s="212"/>
      <c r="MM15" s="212"/>
      <c r="MN15" s="212"/>
      <c r="MO15" s="212"/>
      <c r="MP15" s="212"/>
      <c r="MQ15" s="212"/>
      <c r="MR15" s="212"/>
      <c r="MS15" s="212"/>
      <c r="MT15" s="212"/>
      <c r="MU15" s="212"/>
      <c r="MV15" s="212"/>
      <c r="MW15" s="212"/>
      <c r="MX15" s="212"/>
      <c r="MY15" s="212"/>
      <c r="MZ15" s="212"/>
      <c r="NA15" s="212"/>
      <c r="NB15" s="212"/>
      <c r="NC15" s="212"/>
      <c r="ND15" s="212"/>
      <c r="NE15" s="212"/>
      <c r="NF15" s="212"/>
    </row>
    <row r="16" customFormat="false" ht="15" hidden="false" customHeight="false" outlineLevel="0" collapsed="false">
      <c r="A16" s="989" t="s">
        <v>1603</v>
      </c>
      <c r="B16" s="989"/>
      <c r="C16" s="990"/>
      <c r="D16" s="990"/>
      <c r="E16" s="990"/>
      <c r="F16" s="990"/>
      <c r="G16" s="990"/>
      <c r="H16" s="990"/>
      <c r="I16" s="990"/>
      <c r="J16" s="990"/>
      <c r="K16" s="990"/>
      <c r="L16" s="990"/>
      <c r="M16" s="990"/>
      <c r="N16" s="990"/>
      <c r="O16" s="990"/>
      <c r="P16" s="990"/>
      <c r="Q16" s="990"/>
      <c r="R16" s="990"/>
      <c r="S16" s="990"/>
      <c r="T16" s="990"/>
      <c r="U16" s="990"/>
      <c r="V16" s="990"/>
      <c r="W16" s="990"/>
      <c r="X16" s="990"/>
      <c r="Y16" s="990"/>
      <c r="Z16" s="990"/>
      <c r="AA16" s="990"/>
      <c r="AB16" s="990"/>
      <c r="AC16" s="990"/>
      <c r="AD16" s="990"/>
      <c r="AE16" s="990"/>
      <c r="AF16" s="990"/>
      <c r="AG16" s="990"/>
      <c r="AH16" s="990"/>
      <c r="AI16" s="990"/>
      <c r="AJ16" s="990"/>
      <c r="AK16" s="482"/>
      <c r="AL16" s="482"/>
      <c r="AM16" s="482"/>
      <c r="AN16" s="482"/>
      <c r="AO16" s="482"/>
      <c r="AP16" s="482"/>
      <c r="AQ16" s="482"/>
      <c r="AR16" s="482"/>
      <c r="AS16" s="482"/>
      <c r="AT16" s="482"/>
      <c r="AU16" s="482"/>
      <c r="AV16" s="482"/>
      <c r="AW16" s="482"/>
      <c r="AX16" s="482"/>
      <c r="AY16" s="482"/>
      <c r="AZ16" s="482"/>
      <c r="BA16" s="482"/>
      <c r="BB16" s="482"/>
      <c r="BC16" s="482"/>
      <c r="BD16" s="482"/>
      <c r="BE16" s="482"/>
      <c r="BF16" s="482"/>
      <c r="BG16" s="482"/>
      <c r="BH16" s="482"/>
      <c r="BI16" s="482"/>
      <c r="BJ16" s="482"/>
      <c r="BK16" s="482"/>
      <c r="BL16" s="482"/>
      <c r="BM16" s="482"/>
      <c r="BN16" s="482"/>
      <c r="BO16" s="482"/>
      <c r="BP16" s="482"/>
      <c r="BQ16" s="482"/>
      <c r="BR16" s="482"/>
      <c r="BS16" s="482"/>
      <c r="BT16" s="482"/>
      <c r="BU16" s="482"/>
      <c r="BV16" s="482"/>
      <c r="BW16" s="482"/>
      <c r="BX16" s="482"/>
      <c r="BY16" s="482"/>
      <c r="BZ16" s="482"/>
      <c r="CA16" s="482"/>
      <c r="CB16" s="482"/>
      <c r="CC16" s="482"/>
      <c r="CD16" s="482"/>
      <c r="CE16" s="482"/>
      <c r="CF16" s="482"/>
      <c r="CG16" s="482"/>
      <c r="CH16" s="482"/>
      <c r="CI16" s="482"/>
      <c r="CJ16" s="482"/>
      <c r="CK16" s="482"/>
      <c r="CL16" s="482"/>
      <c r="CM16" s="482"/>
      <c r="CN16" s="482"/>
      <c r="CO16" s="482"/>
      <c r="CP16" s="482"/>
      <c r="CQ16" s="482"/>
      <c r="CR16" s="482"/>
      <c r="CS16" s="482"/>
      <c r="CT16" s="482"/>
      <c r="CU16" s="482"/>
      <c r="CV16" s="482"/>
      <c r="CW16" s="482"/>
      <c r="CX16" s="482"/>
      <c r="CY16" s="482"/>
      <c r="CZ16" s="482"/>
      <c r="DA16" s="482"/>
      <c r="DB16" s="482"/>
      <c r="DC16" s="482"/>
      <c r="DD16" s="482"/>
      <c r="DE16" s="482"/>
      <c r="DF16" s="482"/>
      <c r="DG16" s="482"/>
      <c r="DH16" s="482"/>
      <c r="DI16" s="482"/>
      <c r="DJ16" s="482"/>
      <c r="DK16" s="482"/>
      <c r="DL16" s="482"/>
      <c r="DM16" s="482"/>
      <c r="DN16" s="482"/>
      <c r="DO16" s="482"/>
      <c r="DP16" s="482"/>
      <c r="DQ16" s="482"/>
      <c r="DR16" s="482"/>
      <c r="DS16" s="482"/>
      <c r="DT16" s="482"/>
      <c r="DU16" s="482"/>
      <c r="DV16" s="482"/>
      <c r="DW16" s="482"/>
      <c r="DX16" s="482"/>
      <c r="DY16" s="482"/>
      <c r="DZ16" s="482"/>
      <c r="EA16" s="482"/>
      <c r="EB16" s="482"/>
      <c r="EC16" s="482"/>
      <c r="ED16" s="482"/>
      <c r="EE16" s="482"/>
      <c r="EF16" s="482"/>
      <c r="EG16" s="482"/>
      <c r="EH16" s="482"/>
      <c r="EI16" s="482"/>
      <c r="EJ16" s="482"/>
      <c r="EK16" s="482"/>
      <c r="EL16" s="482"/>
      <c r="EM16" s="482"/>
      <c r="EN16" s="482"/>
      <c r="EO16" s="482"/>
      <c r="EP16" s="482"/>
      <c r="EQ16" s="482"/>
      <c r="ER16" s="482"/>
      <c r="ES16" s="482"/>
      <c r="ET16" s="482"/>
      <c r="EU16" s="482"/>
      <c r="EV16" s="482"/>
      <c r="EW16" s="482"/>
      <c r="EX16" s="482"/>
      <c r="EY16" s="482"/>
      <c r="EZ16" s="482"/>
      <c r="FA16" s="482"/>
      <c r="FB16" s="482"/>
      <c r="FC16" s="482"/>
      <c r="FD16" s="482"/>
      <c r="FE16" s="482"/>
      <c r="FF16" s="482"/>
      <c r="FG16" s="482"/>
      <c r="FH16" s="482"/>
      <c r="FI16" s="482"/>
      <c r="FJ16" s="482"/>
      <c r="FK16" s="482"/>
      <c r="FL16" s="482"/>
      <c r="FM16" s="482"/>
      <c r="FN16" s="482"/>
      <c r="FO16" s="482"/>
      <c r="FP16" s="482"/>
      <c r="FQ16" s="482"/>
      <c r="FR16" s="482"/>
      <c r="FS16" s="482"/>
      <c r="FT16" s="482"/>
      <c r="FU16" s="482"/>
      <c r="FV16" s="482"/>
      <c r="FW16" s="482"/>
      <c r="FX16" s="482"/>
      <c r="FY16" s="482"/>
      <c r="FZ16" s="482"/>
      <c r="GA16" s="482"/>
      <c r="GB16" s="482"/>
      <c r="GC16" s="482"/>
      <c r="GD16" s="482"/>
      <c r="GE16" s="482"/>
      <c r="GF16" s="482"/>
      <c r="GG16" s="482"/>
      <c r="GH16" s="482"/>
      <c r="GI16" s="482"/>
      <c r="GJ16" s="482"/>
      <c r="GK16" s="482"/>
      <c r="GL16" s="482"/>
      <c r="GM16" s="482"/>
      <c r="GN16" s="482"/>
      <c r="GO16" s="482"/>
      <c r="GP16" s="482"/>
      <c r="GQ16" s="482"/>
      <c r="GR16" s="482"/>
      <c r="GS16" s="482"/>
      <c r="GT16" s="482"/>
      <c r="GU16" s="482"/>
      <c r="GV16" s="482"/>
      <c r="GW16" s="482"/>
      <c r="GX16" s="482"/>
      <c r="GY16" s="482"/>
      <c r="GZ16" s="482"/>
      <c r="HA16" s="482"/>
      <c r="HB16" s="482"/>
      <c r="HC16" s="482"/>
      <c r="HD16" s="482"/>
      <c r="HE16" s="482"/>
      <c r="HF16" s="482"/>
      <c r="HG16" s="482"/>
      <c r="HH16" s="482"/>
      <c r="HI16" s="482"/>
      <c r="HJ16" s="482"/>
      <c r="HK16" s="482"/>
      <c r="HL16" s="482"/>
      <c r="HM16" s="482"/>
      <c r="HN16" s="482"/>
      <c r="HO16" s="482"/>
      <c r="HP16" s="482"/>
      <c r="HQ16" s="482"/>
      <c r="HR16" s="482"/>
      <c r="HS16" s="482"/>
      <c r="HT16" s="482"/>
      <c r="HU16" s="482"/>
      <c r="HV16" s="482"/>
      <c r="HW16" s="482"/>
      <c r="HX16" s="482"/>
      <c r="HY16" s="482"/>
      <c r="HZ16" s="482"/>
      <c r="IA16" s="482"/>
      <c r="IB16" s="482"/>
      <c r="IC16" s="482"/>
      <c r="ID16" s="482"/>
      <c r="IE16" s="482"/>
      <c r="IF16" s="482"/>
      <c r="IG16" s="482"/>
      <c r="IH16" s="482"/>
      <c r="II16" s="482"/>
      <c r="IJ16" s="482"/>
      <c r="IK16" s="482"/>
      <c r="IL16" s="482"/>
      <c r="IM16" s="482"/>
      <c r="IN16" s="482"/>
      <c r="IO16" s="482"/>
      <c r="IP16" s="482"/>
      <c r="IQ16" s="482"/>
      <c r="IR16" s="482"/>
      <c r="IS16" s="482"/>
      <c r="IT16" s="482"/>
      <c r="IU16" s="482"/>
      <c r="IV16" s="482"/>
      <c r="IW16" s="482"/>
      <c r="IX16" s="482"/>
      <c r="IY16" s="482"/>
      <c r="IZ16" s="482"/>
      <c r="JA16" s="482"/>
      <c r="JB16" s="482"/>
      <c r="JC16" s="482"/>
      <c r="JD16" s="482"/>
      <c r="JE16" s="482"/>
      <c r="JF16" s="482"/>
      <c r="JG16" s="482"/>
      <c r="JH16" s="482"/>
      <c r="JI16" s="482"/>
      <c r="JJ16" s="482"/>
      <c r="JK16" s="482"/>
      <c r="JL16" s="482"/>
      <c r="JM16" s="482"/>
      <c r="JN16" s="482"/>
      <c r="JO16" s="482"/>
      <c r="JP16" s="482"/>
      <c r="JQ16" s="482"/>
      <c r="JR16" s="482"/>
      <c r="JS16" s="482"/>
      <c r="JT16" s="482"/>
      <c r="JU16" s="482"/>
      <c r="JV16" s="482"/>
      <c r="JW16" s="482"/>
      <c r="JX16" s="482"/>
      <c r="JY16" s="482"/>
      <c r="JZ16" s="482"/>
      <c r="KA16" s="482"/>
      <c r="KB16" s="482"/>
      <c r="KC16" s="482"/>
      <c r="KD16" s="482"/>
      <c r="KE16" s="482"/>
      <c r="KF16" s="482"/>
      <c r="KG16" s="482"/>
      <c r="KH16" s="482"/>
      <c r="KI16" s="482"/>
      <c r="KJ16" s="482"/>
      <c r="KK16" s="482"/>
      <c r="KL16" s="482"/>
      <c r="KM16" s="482"/>
      <c r="KN16" s="482"/>
      <c r="KO16" s="482"/>
      <c r="KP16" s="482"/>
      <c r="KQ16" s="482"/>
      <c r="KR16" s="482"/>
      <c r="KS16" s="482"/>
      <c r="KT16" s="482"/>
      <c r="KU16" s="482"/>
      <c r="KV16" s="482"/>
      <c r="KW16" s="482"/>
      <c r="KX16" s="482"/>
      <c r="KY16" s="482"/>
      <c r="KZ16" s="482"/>
      <c r="LA16" s="482"/>
      <c r="LB16" s="482"/>
      <c r="LC16" s="482"/>
      <c r="LD16" s="482"/>
      <c r="LE16" s="482"/>
      <c r="LF16" s="482"/>
      <c r="LG16" s="482"/>
      <c r="LH16" s="482"/>
      <c r="LI16" s="482"/>
      <c r="LJ16" s="482"/>
      <c r="LK16" s="482"/>
      <c r="LL16" s="482"/>
      <c r="LM16" s="482"/>
      <c r="LN16" s="482"/>
      <c r="LO16" s="482"/>
      <c r="LP16" s="482"/>
      <c r="LQ16" s="482"/>
      <c r="LR16" s="482"/>
      <c r="LS16" s="482"/>
      <c r="LT16" s="482"/>
      <c r="LU16" s="482"/>
      <c r="LV16" s="482"/>
      <c r="LW16" s="482"/>
      <c r="LX16" s="482"/>
      <c r="LY16" s="482"/>
      <c r="LZ16" s="482"/>
      <c r="MA16" s="482"/>
      <c r="MB16" s="482"/>
      <c r="MC16" s="482"/>
      <c r="MD16" s="482"/>
      <c r="ME16" s="482"/>
      <c r="MF16" s="482"/>
      <c r="MG16" s="482"/>
      <c r="MH16" s="482"/>
      <c r="MI16" s="482"/>
      <c r="MJ16" s="482"/>
      <c r="MK16" s="482"/>
      <c r="ML16" s="482"/>
      <c r="MM16" s="482"/>
      <c r="MN16" s="482"/>
      <c r="MO16" s="482"/>
      <c r="MP16" s="482"/>
      <c r="MQ16" s="482"/>
      <c r="MR16" s="482"/>
      <c r="MS16" s="482"/>
      <c r="MT16" s="482"/>
      <c r="MU16" s="482"/>
      <c r="MV16" s="482"/>
      <c r="MW16" s="482"/>
      <c r="MX16" s="482"/>
      <c r="MY16" s="482"/>
      <c r="MZ16" s="482"/>
      <c r="NA16" s="482"/>
      <c r="NB16" s="482"/>
      <c r="NC16" s="482"/>
      <c r="ND16" s="482"/>
      <c r="NE16" s="482"/>
      <c r="NF16" s="482"/>
    </row>
    <row r="17" s="243" customFormat="true" ht="15" hidden="false" customHeight="false" outlineLevel="0" collapsed="false">
      <c r="A17" s="979" t="s">
        <v>1604</v>
      </c>
      <c r="B17" s="979" t="s">
        <v>166</v>
      </c>
      <c r="C17" s="212" t="n">
        <f aca="false">HLOOKUP(C2,物流参数!$A$1:$FT$37,26)</f>
        <v>0.25</v>
      </c>
      <c r="D17" s="212" t="n">
        <f aca="false">HLOOKUP(D2,物流参数!$A$1:$FT$37,26)</f>
        <v>0.25</v>
      </c>
      <c r="E17" s="212" t="n">
        <f aca="false">HLOOKUP(E2,物流参数!$A$1:$FT$37,26)</f>
        <v>0</v>
      </c>
      <c r="F17" s="212" t="e">
        <f aca="false">HLOOKUP(F2,物流参数!$A$1:$FT$37,26)</f>
        <v>#N/A</v>
      </c>
      <c r="G17" s="212" t="n">
        <f aca="false">物流参数!FM26/2</f>
        <v>0</v>
      </c>
      <c r="H17" s="212" t="e">
        <f aca="false">HLOOKUP(H2,物流参数!$A$1:$FT$37,26)</f>
        <v>#N/A</v>
      </c>
      <c r="I17" s="212" t="n">
        <f aca="false">物流参数!FL26/2</f>
        <v>0</v>
      </c>
      <c r="J17" s="212" t="n">
        <f aca="false">HLOOKUP(J2,物流参数!$A$1:$FT$37,26)</f>
        <v>0</v>
      </c>
      <c r="K17" s="212" t="n">
        <f aca="false">HLOOKUP(K2,物流参数!$A$1:$FT$37,26)</f>
        <v>0.17</v>
      </c>
      <c r="L17" s="212" t="n">
        <f aca="false">物流参数!DR26</f>
        <v>0.03</v>
      </c>
      <c r="M17" s="212" t="n">
        <f aca="false">HLOOKUP(M2,物流参数!$A$1:$FT$37,26)</f>
        <v>0.17</v>
      </c>
      <c r="N17" s="212" t="n">
        <f aca="false">HLOOKUP(N2,物流参数!$A$1:$FT$37,26)</f>
        <v>0.16</v>
      </c>
      <c r="O17" s="212" t="n">
        <f aca="false">HLOOKUP(O2,物流参数!$A$1:$FT$37,26)</f>
        <v>0</v>
      </c>
      <c r="P17" s="212" t="n">
        <f aca="false">HLOOKUP(P2,物流参数!$A$1:$FT$37,26)</f>
        <v>0</v>
      </c>
      <c r="Q17" s="212" t="n">
        <f aca="false">HLOOKUP(Q2,物流参数!$A$1:$FT$37,26)</f>
        <v>0</v>
      </c>
      <c r="R17" s="212" t="n">
        <f aca="false">HLOOKUP(R2,物流参数!$A$1:$FT$37,26)</f>
        <v>0.25</v>
      </c>
      <c r="S17" s="212" t="n">
        <f aca="false">HLOOKUP(S2,物流参数!$A$1:$FT$37,26)</f>
        <v>0</v>
      </c>
      <c r="T17" s="212" t="n">
        <f aca="false">HLOOKUP(T2,物流参数!$A$1:$FT$37,26)</f>
        <v>0</v>
      </c>
      <c r="U17" s="212" t="n">
        <f aca="false">HLOOKUP(U2,物流参数!$A$1:$FT$37,26)</f>
        <v>0</v>
      </c>
      <c r="V17" s="212" t="n">
        <f aca="false">HLOOKUP(V2,物流参数!$A$1:$FT$37,26)</f>
        <v>0</v>
      </c>
      <c r="W17" s="212" t="n">
        <f aca="false">HLOOKUP(W2,物流参数!$A$1:$FT$37,26)</f>
        <v>0</v>
      </c>
      <c r="X17" s="212" t="n">
        <f aca="false">HLOOKUP(X2,物流参数!$A$1:$FT$37,26)</f>
        <v>0.22</v>
      </c>
      <c r="Y17" s="212" t="n">
        <f aca="false">HLOOKUP(Y2,物流参数!$A$1:$FT$37,26)</f>
        <v>0</v>
      </c>
      <c r="Z17" s="212" t="n">
        <f aca="false">HLOOKUP(Z2,物流参数!$A$1:$FT$37,26)</f>
        <v>0</v>
      </c>
      <c r="AA17" s="212" t="n">
        <f aca="false">HLOOKUP(AA2,物流参数!$A$1:$FT$37,26)</f>
        <v>0.04</v>
      </c>
      <c r="AB17" s="212" t="n">
        <f aca="false">HLOOKUP(AB2,物流参数!$A$1:$FT$37,26)</f>
        <v>0.04</v>
      </c>
      <c r="AC17" s="212" t="n">
        <f aca="false">HLOOKUP(AC2,物流参数!$A$1:$FT$37,26)</f>
        <v>0.04</v>
      </c>
      <c r="AD17" s="212" t="n">
        <f aca="false">HLOOKUP(AD2,物流参数!$A$1:$FT$37,26)</f>
        <v>0.22</v>
      </c>
      <c r="AE17" s="212" t="n">
        <f aca="false">HLOOKUP(AE2,物流参数!$A$1:$FT$37,26)</f>
        <v>0</v>
      </c>
      <c r="AF17" s="212" t="n">
        <f aca="false">HLOOKUP(AF2,物流参数!$A$1:$FT$37,26)</f>
        <v>0.11</v>
      </c>
      <c r="AG17" s="212" t="n">
        <f aca="false">HLOOKUP(AG2,物流参数!$A$1:$FT$37,26)</f>
        <v>0.04</v>
      </c>
      <c r="AH17" s="212"/>
      <c r="AI17" s="212" t="e">
        <f aca="false">HLOOKUP(AI2,物流参数!$FZ$1:$IA$37,26)</f>
        <v>#N/A</v>
      </c>
      <c r="AJ17" s="212" t="e">
        <f aca="false">HLOOKUP(AJ2,物流参数!$FZ$1:$IA$37,26)</f>
        <v>#N/A</v>
      </c>
      <c r="AK17" s="212"/>
      <c r="AL17" s="212"/>
      <c r="AM17" s="212"/>
      <c r="AN17" s="212"/>
      <c r="AO17" s="212"/>
      <c r="AP17" s="212"/>
      <c r="AQ17" s="212"/>
      <c r="AR17" s="212"/>
      <c r="AS17" s="212"/>
      <c r="AT17" s="212"/>
      <c r="AU17" s="212"/>
      <c r="AV17" s="212"/>
      <c r="AW17" s="212"/>
      <c r="AX17" s="212"/>
      <c r="AY17" s="212"/>
      <c r="AZ17" s="212"/>
      <c r="BA17" s="212"/>
      <c r="BB17" s="212"/>
      <c r="BC17" s="212"/>
      <c r="BD17" s="212"/>
      <c r="BE17" s="212"/>
      <c r="BF17" s="212"/>
      <c r="BG17" s="212"/>
      <c r="BH17" s="212"/>
      <c r="BI17" s="212"/>
      <c r="BJ17" s="212"/>
      <c r="BK17" s="212"/>
      <c r="BL17" s="212"/>
      <c r="BM17" s="212"/>
      <c r="BN17" s="212"/>
      <c r="BO17" s="212"/>
      <c r="BP17" s="212"/>
      <c r="BQ17" s="212"/>
      <c r="BR17" s="212"/>
      <c r="BS17" s="212"/>
      <c r="BT17" s="212"/>
      <c r="BU17" s="212"/>
      <c r="BV17" s="212"/>
      <c r="BW17" s="212"/>
      <c r="BX17" s="212"/>
      <c r="BY17" s="212"/>
      <c r="BZ17" s="212"/>
      <c r="CA17" s="212"/>
      <c r="CB17" s="212"/>
      <c r="CC17" s="212"/>
      <c r="CD17" s="212"/>
      <c r="CE17" s="212"/>
      <c r="CF17" s="212"/>
      <c r="CG17" s="212"/>
      <c r="CH17" s="212"/>
      <c r="CI17" s="212"/>
      <c r="CJ17" s="212"/>
      <c r="CK17" s="212"/>
      <c r="CL17" s="212"/>
      <c r="CM17" s="212"/>
      <c r="CN17" s="212"/>
      <c r="CO17" s="212"/>
      <c r="CP17" s="212"/>
      <c r="CQ17" s="212"/>
      <c r="CR17" s="212"/>
      <c r="CS17" s="212"/>
      <c r="CT17" s="212"/>
      <c r="CU17" s="212"/>
      <c r="CV17" s="212"/>
      <c r="CW17" s="212"/>
      <c r="CX17" s="212"/>
      <c r="CY17" s="212"/>
      <c r="CZ17" s="212"/>
      <c r="DA17" s="212"/>
      <c r="DB17" s="212"/>
      <c r="DC17" s="212"/>
      <c r="DD17" s="212"/>
      <c r="DE17" s="212"/>
      <c r="DF17" s="212"/>
      <c r="DG17" s="212"/>
      <c r="DH17" s="212"/>
      <c r="DI17" s="212"/>
      <c r="DJ17" s="212"/>
      <c r="DK17" s="212"/>
      <c r="DL17" s="212"/>
      <c r="DM17" s="212"/>
      <c r="DN17" s="212"/>
      <c r="DO17" s="212"/>
      <c r="DP17" s="212"/>
      <c r="DQ17" s="212"/>
      <c r="DR17" s="212"/>
      <c r="DS17" s="212"/>
      <c r="DT17" s="212"/>
      <c r="DU17" s="212"/>
      <c r="DV17" s="212"/>
      <c r="DW17" s="212"/>
      <c r="DX17" s="212"/>
      <c r="DY17" s="212"/>
      <c r="DZ17" s="212"/>
      <c r="EA17" s="212"/>
      <c r="EB17" s="212"/>
      <c r="EC17" s="212"/>
      <c r="ED17" s="212"/>
      <c r="EE17" s="212"/>
      <c r="EF17" s="212"/>
      <c r="EG17" s="212"/>
      <c r="EH17" s="212"/>
      <c r="EI17" s="212"/>
      <c r="EJ17" s="212"/>
      <c r="EK17" s="212"/>
      <c r="EL17" s="212"/>
      <c r="EM17" s="212"/>
      <c r="EN17" s="212"/>
      <c r="EO17" s="212"/>
      <c r="EP17" s="212"/>
      <c r="EQ17" s="212"/>
      <c r="ER17" s="212"/>
      <c r="ES17" s="212"/>
      <c r="ET17" s="212"/>
      <c r="EU17" s="212"/>
      <c r="EV17" s="212"/>
      <c r="EW17" s="212"/>
      <c r="EX17" s="212"/>
      <c r="EY17" s="212"/>
      <c r="EZ17" s="212"/>
      <c r="FA17" s="212"/>
      <c r="FB17" s="212"/>
      <c r="FC17" s="212"/>
      <c r="FD17" s="212"/>
      <c r="FE17" s="212"/>
      <c r="FF17" s="212"/>
      <c r="FG17" s="212"/>
      <c r="FH17" s="212"/>
      <c r="FI17" s="212"/>
      <c r="FJ17" s="212"/>
      <c r="FK17" s="212"/>
      <c r="FL17" s="212"/>
      <c r="FM17" s="212"/>
      <c r="FN17" s="212"/>
      <c r="FO17" s="212"/>
      <c r="FP17" s="212"/>
      <c r="FQ17" s="212"/>
      <c r="FR17" s="212"/>
      <c r="FS17" s="212"/>
      <c r="FT17" s="212"/>
      <c r="FU17" s="212"/>
      <c r="FV17" s="212"/>
      <c r="FW17" s="212"/>
      <c r="FX17" s="212"/>
      <c r="FY17" s="212"/>
      <c r="FZ17" s="212"/>
      <c r="GA17" s="212"/>
      <c r="GB17" s="212"/>
      <c r="GC17" s="212"/>
      <c r="GD17" s="212"/>
      <c r="GE17" s="212"/>
      <c r="GF17" s="212"/>
      <c r="GG17" s="212"/>
      <c r="GH17" s="212"/>
      <c r="GI17" s="212"/>
      <c r="GJ17" s="212"/>
      <c r="GK17" s="212"/>
      <c r="GL17" s="212"/>
      <c r="GM17" s="212"/>
      <c r="GN17" s="212"/>
      <c r="GO17" s="212"/>
      <c r="GP17" s="212"/>
      <c r="GQ17" s="212"/>
      <c r="GR17" s="212"/>
      <c r="GS17" s="212"/>
      <c r="GT17" s="212"/>
      <c r="GU17" s="212"/>
      <c r="GV17" s="212"/>
      <c r="GW17" s="212"/>
      <c r="GX17" s="212"/>
      <c r="GY17" s="212"/>
      <c r="GZ17" s="212"/>
      <c r="HA17" s="212"/>
      <c r="HB17" s="212"/>
      <c r="HC17" s="212"/>
      <c r="HD17" s="212"/>
      <c r="HE17" s="212"/>
      <c r="HF17" s="212"/>
      <c r="HG17" s="212"/>
      <c r="HH17" s="212"/>
      <c r="HI17" s="212"/>
      <c r="HJ17" s="212"/>
      <c r="HK17" s="212"/>
      <c r="HL17" s="212"/>
      <c r="HM17" s="212"/>
      <c r="HN17" s="212"/>
      <c r="HO17" s="212"/>
      <c r="HP17" s="212"/>
      <c r="HQ17" s="212"/>
      <c r="HR17" s="212"/>
      <c r="HS17" s="212"/>
      <c r="HT17" s="212"/>
      <c r="HU17" s="212"/>
      <c r="HV17" s="212"/>
      <c r="HW17" s="212"/>
      <c r="HX17" s="212"/>
      <c r="HY17" s="212"/>
      <c r="HZ17" s="212"/>
      <c r="IA17" s="212"/>
      <c r="IB17" s="212"/>
      <c r="IC17" s="212"/>
      <c r="ID17" s="212"/>
      <c r="IE17" s="212"/>
      <c r="IF17" s="212"/>
      <c r="IG17" s="212"/>
      <c r="IH17" s="212"/>
      <c r="II17" s="212"/>
      <c r="IJ17" s="212"/>
      <c r="IK17" s="212"/>
      <c r="IL17" s="212"/>
      <c r="IM17" s="212"/>
      <c r="IN17" s="212"/>
      <c r="IO17" s="212"/>
      <c r="IP17" s="212"/>
      <c r="IQ17" s="212"/>
      <c r="IR17" s="212"/>
      <c r="IS17" s="212"/>
      <c r="IT17" s="212"/>
      <c r="IU17" s="212"/>
      <c r="IV17" s="212"/>
      <c r="IW17" s="212"/>
      <c r="IX17" s="212"/>
      <c r="IY17" s="212"/>
      <c r="IZ17" s="212"/>
      <c r="JA17" s="212"/>
      <c r="JB17" s="212"/>
      <c r="JC17" s="212"/>
      <c r="JD17" s="212"/>
      <c r="JE17" s="212"/>
      <c r="JF17" s="212"/>
      <c r="JG17" s="212"/>
      <c r="JH17" s="212"/>
      <c r="JI17" s="212"/>
      <c r="JJ17" s="212"/>
      <c r="JK17" s="212"/>
      <c r="JL17" s="212"/>
      <c r="JM17" s="212"/>
      <c r="JN17" s="212"/>
      <c r="JO17" s="212"/>
      <c r="JP17" s="212"/>
      <c r="JQ17" s="212"/>
      <c r="JR17" s="212"/>
      <c r="JS17" s="212"/>
      <c r="JT17" s="212"/>
      <c r="JU17" s="212"/>
      <c r="JV17" s="212"/>
      <c r="JW17" s="212"/>
      <c r="JX17" s="212"/>
      <c r="JY17" s="212"/>
      <c r="JZ17" s="212"/>
      <c r="KA17" s="212"/>
      <c r="KB17" s="212"/>
      <c r="KC17" s="212"/>
      <c r="KD17" s="212"/>
      <c r="KE17" s="212"/>
      <c r="KF17" s="212"/>
      <c r="KG17" s="212"/>
      <c r="KH17" s="212"/>
      <c r="KI17" s="212"/>
      <c r="KJ17" s="212"/>
      <c r="KK17" s="212"/>
      <c r="KL17" s="212"/>
      <c r="KM17" s="212"/>
      <c r="KN17" s="212"/>
      <c r="KO17" s="212"/>
      <c r="KP17" s="212"/>
      <c r="KQ17" s="212"/>
      <c r="KR17" s="212"/>
      <c r="KS17" s="212"/>
      <c r="KT17" s="212"/>
      <c r="KU17" s="212"/>
      <c r="KV17" s="212"/>
      <c r="KW17" s="212"/>
      <c r="KX17" s="212"/>
      <c r="KY17" s="212"/>
      <c r="KZ17" s="212"/>
      <c r="LA17" s="212"/>
      <c r="LB17" s="212"/>
      <c r="LC17" s="212"/>
      <c r="LD17" s="212"/>
      <c r="LE17" s="212"/>
      <c r="LF17" s="212"/>
      <c r="LG17" s="212"/>
      <c r="LH17" s="212"/>
      <c r="LI17" s="212"/>
      <c r="LJ17" s="212"/>
      <c r="LK17" s="212"/>
      <c r="LL17" s="212"/>
      <c r="LM17" s="212"/>
      <c r="LN17" s="212"/>
      <c r="LO17" s="212"/>
      <c r="LP17" s="212"/>
      <c r="LQ17" s="212"/>
      <c r="LR17" s="212"/>
      <c r="LS17" s="212"/>
      <c r="LT17" s="212"/>
      <c r="LU17" s="212"/>
      <c r="LV17" s="212"/>
      <c r="LW17" s="212"/>
      <c r="LX17" s="212"/>
      <c r="LY17" s="212"/>
      <c r="LZ17" s="212"/>
      <c r="MA17" s="212"/>
      <c r="MB17" s="212"/>
      <c r="MC17" s="212"/>
      <c r="MD17" s="212"/>
      <c r="ME17" s="212"/>
      <c r="MF17" s="212"/>
      <c r="MG17" s="212"/>
      <c r="MH17" s="212"/>
      <c r="MI17" s="212"/>
      <c r="MJ17" s="212"/>
      <c r="MK17" s="212"/>
      <c r="ML17" s="212"/>
      <c r="MM17" s="212"/>
      <c r="MN17" s="212"/>
      <c r="MO17" s="212"/>
      <c r="MP17" s="212"/>
      <c r="MQ17" s="212"/>
      <c r="MR17" s="212"/>
      <c r="MS17" s="212"/>
      <c r="MT17" s="212"/>
      <c r="MU17" s="212"/>
      <c r="MV17" s="212"/>
      <c r="MW17" s="212"/>
      <c r="MX17" s="212"/>
      <c r="MY17" s="212"/>
      <c r="MZ17" s="212"/>
      <c r="NA17" s="212"/>
      <c r="NB17" s="212"/>
      <c r="NC17" s="212"/>
      <c r="ND17" s="212"/>
      <c r="NE17" s="212"/>
      <c r="NF17" s="212"/>
    </row>
    <row r="18" customFormat="false" ht="15" hidden="false" customHeight="false" outlineLevel="0" collapsed="false">
      <c r="A18" s="979" t="s">
        <v>1605</v>
      </c>
      <c r="B18" s="979" t="s">
        <v>409</v>
      </c>
      <c r="C18" s="482" t="n">
        <f aca="false">C17/C19</f>
        <v>0.00033213763783712</v>
      </c>
      <c r="D18" s="482" t="n">
        <f aca="false">D17/D19</f>
        <v>0.000336473755047106</v>
      </c>
      <c r="E18" s="482" t="e">
        <f aca="false">E17/E19</f>
        <v>#DIV/0!</v>
      </c>
      <c r="F18" s="482" t="e">
        <f aca="false">F17/F19</f>
        <v>#N/A</v>
      </c>
      <c r="G18" s="482" t="e">
        <f aca="false">G17/G19</f>
        <v>#DIV/0!</v>
      </c>
      <c r="H18" s="482" t="e">
        <f aca="false">H17/H19</f>
        <v>#N/A</v>
      </c>
      <c r="I18" s="482" t="e">
        <f aca="false">I17/I19</f>
        <v>#DIV/0!</v>
      </c>
      <c r="J18" s="482" t="e">
        <f aca="false">J17/J19</f>
        <v>#DIV/0!</v>
      </c>
      <c r="K18" s="482" t="e">
        <f aca="false">K17/K19</f>
        <v>#DIV/0!</v>
      </c>
      <c r="L18" s="482" t="e">
        <f aca="false">L17/L19</f>
        <v>#DIV/0!</v>
      </c>
      <c r="M18" s="482" t="e">
        <f aca="false">M17/M19</f>
        <v>#DIV/0!</v>
      </c>
      <c r="N18" s="482" t="e">
        <f aca="false">N17/N19</f>
        <v>#DIV/0!</v>
      </c>
      <c r="O18" s="482" t="e">
        <f aca="false">O17/O19</f>
        <v>#DIV/0!</v>
      </c>
      <c r="P18" s="482" t="e">
        <f aca="false">P17/P19</f>
        <v>#DIV/0!</v>
      </c>
      <c r="Q18" s="482" t="e">
        <f aca="false">Q17/Q19</f>
        <v>#DIV/0!</v>
      </c>
      <c r="R18" s="482" t="n">
        <f aca="false">R17/R19</f>
        <v>0.00033213763783712</v>
      </c>
      <c r="S18" s="482" t="e">
        <f aca="false">S17/S19</f>
        <v>#DIV/0!</v>
      </c>
      <c r="T18" s="482" t="e">
        <f aca="false">T17/T19</f>
        <v>#DIV/0!</v>
      </c>
      <c r="U18" s="482" t="e">
        <f aca="false">U17/U19</f>
        <v>#DIV/0!</v>
      </c>
      <c r="V18" s="482" t="e">
        <f aca="false">V17/V19</f>
        <v>#DIV/0!</v>
      </c>
      <c r="W18" s="482" t="e">
        <f aca="false">W17/W19</f>
        <v>#DIV/0!</v>
      </c>
      <c r="X18" s="482" t="e">
        <f aca="false">X17/X19</f>
        <v>#DIV/0!</v>
      </c>
      <c r="Y18" s="482" t="e">
        <f aca="false">Y17/Y19</f>
        <v>#DIV/0!</v>
      </c>
      <c r="Z18" s="482" t="e">
        <f aca="false">Z17/Z19</f>
        <v>#DIV/0!</v>
      </c>
      <c r="AA18" s="482" t="e">
        <f aca="false">AA17/AA19</f>
        <v>#DIV/0!</v>
      </c>
      <c r="AB18" s="482" t="e">
        <f aca="false">AB17/AB19</f>
        <v>#DIV/0!</v>
      </c>
      <c r="AC18" s="482" t="e">
        <f aca="false">AC17/AC19</f>
        <v>#DIV/0!</v>
      </c>
      <c r="AD18" s="482" t="e">
        <f aca="false">AD17/AD19</f>
        <v>#DIV/0!</v>
      </c>
      <c r="AE18" s="482" t="e">
        <f aca="false">AE17/AE19</f>
        <v>#DIV/0!</v>
      </c>
      <c r="AF18" s="482" t="e">
        <f aca="false">AF17/AF19</f>
        <v>#DIV/0!</v>
      </c>
      <c r="AG18" s="482" t="n">
        <f aca="false">AG17/AG19</f>
        <v>0.000468933177022274</v>
      </c>
      <c r="AH18" s="482"/>
      <c r="AI18" s="482" t="e">
        <f aca="false">AI17/AI19</f>
        <v>#N/A</v>
      </c>
      <c r="AJ18" s="482" t="e">
        <f aca="false">AJ17/AJ19</f>
        <v>#N/A</v>
      </c>
      <c r="AK18" s="212"/>
      <c r="AL18" s="212"/>
      <c r="AM18" s="212"/>
      <c r="AN18" s="212"/>
      <c r="AO18" s="212"/>
      <c r="AP18" s="212"/>
      <c r="AQ18" s="212"/>
      <c r="AR18" s="212"/>
      <c r="AS18" s="212"/>
      <c r="AT18" s="212"/>
      <c r="AU18" s="212"/>
      <c r="AV18" s="212"/>
      <c r="AW18" s="212"/>
      <c r="AX18" s="212"/>
      <c r="AY18" s="212"/>
      <c r="AZ18" s="212"/>
      <c r="BA18" s="212"/>
      <c r="BB18" s="212"/>
      <c r="BC18" s="212"/>
      <c r="BD18" s="212"/>
      <c r="BE18" s="212"/>
      <c r="BF18" s="212"/>
      <c r="BG18" s="212"/>
      <c r="BH18" s="212"/>
      <c r="BI18" s="212"/>
      <c r="BJ18" s="212"/>
      <c r="BK18" s="212"/>
      <c r="BL18" s="212"/>
      <c r="BM18" s="212"/>
      <c r="BN18" s="212"/>
      <c r="BO18" s="212"/>
      <c r="BP18" s="212"/>
      <c r="BQ18" s="212"/>
      <c r="BR18" s="212"/>
      <c r="BS18" s="212"/>
      <c r="BT18" s="212"/>
      <c r="BU18" s="212"/>
      <c r="BV18" s="212"/>
      <c r="BW18" s="212"/>
      <c r="BX18" s="212"/>
      <c r="BY18" s="212"/>
      <c r="BZ18" s="212"/>
      <c r="CA18" s="212"/>
      <c r="CB18" s="212"/>
      <c r="CC18" s="212"/>
      <c r="CD18" s="212"/>
      <c r="CE18" s="212"/>
      <c r="CF18" s="212"/>
      <c r="CG18" s="212"/>
      <c r="CH18" s="212"/>
      <c r="CI18" s="212"/>
      <c r="CJ18" s="212"/>
      <c r="CK18" s="212"/>
      <c r="CL18" s="212"/>
      <c r="CM18" s="212"/>
      <c r="CN18" s="212"/>
      <c r="CO18" s="212"/>
      <c r="CP18" s="212"/>
      <c r="CQ18" s="212"/>
      <c r="CR18" s="212"/>
      <c r="CS18" s="212"/>
      <c r="CT18" s="212"/>
      <c r="CU18" s="212"/>
      <c r="CV18" s="212"/>
      <c r="CW18" s="212"/>
      <c r="CX18" s="212"/>
      <c r="CY18" s="212"/>
      <c r="CZ18" s="212"/>
      <c r="DA18" s="212"/>
      <c r="DB18" s="212"/>
      <c r="DC18" s="212"/>
      <c r="DD18" s="212"/>
      <c r="DE18" s="212"/>
      <c r="DF18" s="212"/>
      <c r="DG18" s="212"/>
      <c r="DH18" s="212"/>
      <c r="DI18" s="212"/>
      <c r="DJ18" s="212"/>
      <c r="DK18" s="212"/>
      <c r="DL18" s="212"/>
      <c r="DM18" s="212"/>
      <c r="DN18" s="212"/>
      <c r="DO18" s="212"/>
      <c r="DP18" s="212"/>
      <c r="DQ18" s="212"/>
      <c r="DR18" s="212"/>
      <c r="DS18" s="212"/>
      <c r="DT18" s="212"/>
      <c r="DU18" s="212"/>
      <c r="DV18" s="212"/>
      <c r="DW18" s="212"/>
      <c r="DX18" s="212"/>
      <c r="DY18" s="212"/>
      <c r="DZ18" s="212"/>
      <c r="EA18" s="212"/>
      <c r="EB18" s="212"/>
      <c r="EC18" s="212"/>
      <c r="ED18" s="212"/>
      <c r="EE18" s="212"/>
      <c r="EF18" s="212"/>
      <c r="EG18" s="212"/>
      <c r="EH18" s="212"/>
      <c r="EI18" s="212"/>
      <c r="EJ18" s="212"/>
      <c r="EK18" s="212"/>
      <c r="EL18" s="212"/>
      <c r="EM18" s="212"/>
      <c r="EN18" s="212"/>
      <c r="EO18" s="212"/>
      <c r="EP18" s="212"/>
      <c r="EQ18" s="212"/>
      <c r="ER18" s="212"/>
      <c r="ES18" s="212"/>
      <c r="ET18" s="212"/>
      <c r="EU18" s="212"/>
      <c r="EV18" s="212"/>
      <c r="EW18" s="212"/>
      <c r="EX18" s="212"/>
      <c r="EY18" s="212"/>
      <c r="EZ18" s="212"/>
      <c r="FA18" s="212"/>
      <c r="FB18" s="212"/>
      <c r="FC18" s="212"/>
      <c r="FD18" s="212"/>
      <c r="FE18" s="212"/>
      <c r="FF18" s="212"/>
      <c r="FG18" s="212"/>
      <c r="FH18" s="212"/>
      <c r="FI18" s="212"/>
      <c r="FJ18" s="212"/>
      <c r="FK18" s="212"/>
      <c r="FL18" s="212"/>
      <c r="FM18" s="212"/>
      <c r="FN18" s="212"/>
      <c r="FO18" s="212"/>
      <c r="FP18" s="212"/>
      <c r="FQ18" s="212"/>
      <c r="FR18" s="212"/>
      <c r="FS18" s="212"/>
      <c r="FT18" s="212"/>
      <c r="FU18" s="212"/>
      <c r="FV18" s="212"/>
      <c r="FW18" s="212"/>
      <c r="FX18" s="212"/>
      <c r="FY18" s="212"/>
      <c r="FZ18" s="212"/>
      <c r="GA18" s="212"/>
      <c r="GB18" s="212"/>
      <c r="GC18" s="212"/>
      <c r="GD18" s="212"/>
      <c r="GE18" s="212"/>
      <c r="GF18" s="212"/>
      <c r="GG18" s="212"/>
      <c r="GH18" s="212"/>
      <c r="GI18" s="212"/>
      <c r="GJ18" s="212"/>
      <c r="GK18" s="212"/>
      <c r="GL18" s="212"/>
      <c r="GM18" s="212"/>
      <c r="GN18" s="212"/>
      <c r="GO18" s="212"/>
      <c r="GP18" s="212"/>
      <c r="GQ18" s="212"/>
      <c r="GR18" s="212"/>
      <c r="GS18" s="212"/>
      <c r="GT18" s="212"/>
      <c r="GU18" s="212"/>
      <c r="GV18" s="212"/>
      <c r="GW18" s="212"/>
      <c r="GX18" s="212"/>
      <c r="GY18" s="212"/>
      <c r="GZ18" s="212"/>
      <c r="HA18" s="212"/>
      <c r="HB18" s="212"/>
      <c r="HC18" s="212"/>
      <c r="HD18" s="212"/>
      <c r="HE18" s="212"/>
      <c r="HF18" s="212"/>
      <c r="HG18" s="212"/>
      <c r="HH18" s="212"/>
      <c r="HI18" s="212"/>
      <c r="HJ18" s="212"/>
      <c r="HK18" s="212"/>
      <c r="HL18" s="212"/>
      <c r="HM18" s="212"/>
      <c r="HN18" s="212"/>
      <c r="HO18" s="212"/>
      <c r="HP18" s="212"/>
      <c r="HQ18" s="212"/>
      <c r="HR18" s="212"/>
      <c r="HS18" s="212"/>
      <c r="HT18" s="212"/>
      <c r="HU18" s="212"/>
      <c r="HV18" s="212"/>
      <c r="HW18" s="212"/>
      <c r="HX18" s="212"/>
      <c r="HY18" s="212"/>
      <c r="HZ18" s="212"/>
      <c r="IA18" s="212"/>
      <c r="IB18" s="212"/>
      <c r="IC18" s="212"/>
      <c r="ID18" s="212"/>
      <c r="IE18" s="212"/>
      <c r="IF18" s="212"/>
      <c r="IG18" s="212"/>
      <c r="IH18" s="212"/>
      <c r="II18" s="212"/>
      <c r="IJ18" s="212"/>
      <c r="IK18" s="212"/>
      <c r="IL18" s="212"/>
      <c r="IM18" s="212"/>
      <c r="IN18" s="212"/>
      <c r="IO18" s="212"/>
      <c r="IP18" s="212"/>
      <c r="IQ18" s="212"/>
      <c r="IR18" s="212"/>
      <c r="IS18" s="212"/>
      <c r="IT18" s="212"/>
      <c r="IU18" s="212"/>
      <c r="IV18" s="212"/>
      <c r="IW18" s="212"/>
      <c r="IX18" s="212"/>
      <c r="IY18" s="212"/>
      <c r="IZ18" s="212"/>
      <c r="JA18" s="212"/>
      <c r="JB18" s="212"/>
      <c r="JC18" s="212"/>
      <c r="JD18" s="212"/>
      <c r="JE18" s="212"/>
      <c r="JF18" s="212"/>
      <c r="JG18" s="212"/>
      <c r="JH18" s="212"/>
      <c r="JI18" s="212"/>
      <c r="JJ18" s="212"/>
      <c r="JK18" s="212"/>
      <c r="JL18" s="212"/>
      <c r="JM18" s="212"/>
      <c r="JN18" s="212"/>
      <c r="JO18" s="212"/>
      <c r="JP18" s="212"/>
      <c r="JQ18" s="212"/>
      <c r="JR18" s="212"/>
      <c r="JS18" s="212"/>
      <c r="JT18" s="212"/>
      <c r="JU18" s="212"/>
      <c r="JV18" s="212"/>
      <c r="JW18" s="212"/>
      <c r="JX18" s="212"/>
      <c r="JY18" s="212"/>
      <c r="JZ18" s="212"/>
      <c r="KA18" s="212"/>
      <c r="KB18" s="212"/>
      <c r="KC18" s="212"/>
      <c r="KD18" s="212"/>
      <c r="KE18" s="212"/>
      <c r="KF18" s="212"/>
      <c r="KG18" s="212"/>
      <c r="KH18" s="212"/>
      <c r="KI18" s="212"/>
      <c r="KJ18" s="212"/>
      <c r="KK18" s="212"/>
      <c r="KL18" s="212"/>
      <c r="KM18" s="212"/>
      <c r="KN18" s="212"/>
      <c r="KO18" s="212"/>
      <c r="KP18" s="212"/>
      <c r="KQ18" s="212"/>
      <c r="KR18" s="212"/>
      <c r="KS18" s="212"/>
      <c r="KT18" s="212"/>
      <c r="KU18" s="212"/>
      <c r="KV18" s="212"/>
      <c r="KW18" s="212"/>
      <c r="KX18" s="212"/>
      <c r="KY18" s="212"/>
      <c r="KZ18" s="212"/>
      <c r="LA18" s="212"/>
      <c r="LB18" s="212"/>
      <c r="LC18" s="212"/>
      <c r="LD18" s="212"/>
      <c r="LE18" s="212"/>
      <c r="LF18" s="212"/>
      <c r="LG18" s="212"/>
      <c r="LH18" s="212"/>
      <c r="LI18" s="212"/>
      <c r="LJ18" s="212"/>
      <c r="LK18" s="212"/>
      <c r="LL18" s="212"/>
      <c r="LM18" s="212"/>
      <c r="LN18" s="212"/>
      <c r="LO18" s="212"/>
      <c r="LP18" s="212"/>
      <c r="LQ18" s="212"/>
      <c r="LR18" s="212"/>
      <c r="LS18" s="212"/>
      <c r="LT18" s="212"/>
      <c r="LU18" s="212"/>
      <c r="LV18" s="212"/>
      <c r="LW18" s="212"/>
      <c r="LX18" s="212"/>
      <c r="LY18" s="212"/>
      <c r="LZ18" s="212"/>
      <c r="MA18" s="212"/>
      <c r="MB18" s="212"/>
      <c r="MC18" s="212"/>
      <c r="MD18" s="212"/>
      <c r="ME18" s="212"/>
      <c r="MF18" s="212"/>
      <c r="MG18" s="212"/>
      <c r="MH18" s="212"/>
      <c r="MI18" s="212"/>
      <c r="MJ18" s="212"/>
      <c r="MK18" s="212"/>
      <c r="ML18" s="212"/>
      <c r="MM18" s="212"/>
      <c r="MN18" s="212"/>
      <c r="MO18" s="212"/>
      <c r="MP18" s="212"/>
      <c r="MQ18" s="212"/>
      <c r="MR18" s="212"/>
      <c r="MS18" s="212"/>
      <c r="MT18" s="212"/>
      <c r="MU18" s="212"/>
      <c r="MV18" s="212"/>
      <c r="MW18" s="212"/>
      <c r="MX18" s="212"/>
      <c r="MY18" s="212"/>
      <c r="MZ18" s="212"/>
      <c r="NA18" s="212"/>
      <c r="NB18" s="212"/>
      <c r="NC18" s="212"/>
      <c r="ND18" s="212"/>
      <c r="NE18" s="212"/>
      <c r="NF18" s="212"/>
    </row>
    <row r="19" customFormat="false" ht="15" hidden="false" customHeight="false" outlineLevel="0" collapsed="false">
      <c r="A19" s="979" t="s">
        <v>1606</v>
      </c>
      <c r="B19" s="979" t="s">
        <v>439</v>
      </c>
      <c r="C19" s="212" t="n">
        <f aca="false">HLOOKUP(C2,物流参数!$A$1:$FT$37,29)</f>
        <v>752.7</v>
      </c>
      <c r="D19" s="212" t="n">
        <f aca="false">HLOOKUP(D2,物流参数!$A$1:$FT$37,29)</f>
        <v>743</v>
      </c>
      <c r="E19" s="212" t="n">
        <f aca="false">HLOOKUP(E2,物流参数!$A$1:$FT$37,29)</f>
        <v>0</v>
      </c>
      <c r="F19" s="212" t="e">
        <f aca="false">HLOOKUP(F2,物流参数!$A$1:$FT$37,29)</f>
        <v>#N/A</v>
      </c>
      <c r="G19" s="212" t="n">
        <f aca="false">物流参数!FM29</f>
        <v>0</v>
      </c>
      <c r="H19" s="212" t="e">
        <f aca="false">HLOOKUP(H2,物流参数!$A$1:$FT$37,29)</f>
        <v>#N/A</v>
      </c>
      <c r="I19" s="212" t="n">
        <f aca="false">物流参数!FL28</f>
        <v>0</v>
      </c>
      <c r="J19" s="212" t="n">
        <f aca="false">HLOOKUP(J2,物流参数!$A$1:$FT$37,29)</f>
        <v>0</v>
      </c>
      <c r="K19" s="212" t="n">
        <f aca="false">HLOOKUP(K2,物流参数!$A$1:$FT$37,29)</f>
        <v>0</v>
      </c>
      <c r="L19" s="212" t="n">
        <f aca="false">物流参数!DR29</f>
        <v>0</v>
      </c>
      <c r="M19" s="212" t="n">
        <f aca="false">HLOOKUP(M2,物流参数!$A$1:$FT$37,29)</f>
        <v>0</v>
      </c>
      <c r="N19" s="212" t="n">
        <f aca="false">HLOOKUP(N2,物流参数!$A$1:$FT$37,29)</f>
        <v>0</v>
      </c>
      <c r="O19" s="212" t="n">
        <f aca="false">HLOOKUP(O2,物流参数!$A$1:$FT$37,29)</f>
        <v>0</v>
      </c>
      <c r="P19" s="212" t="n">
        <f aca="false">HLOOKUP(P2,物流参数!$A$1:$FT$37,29)</f>
        <v>0</v>
      </c>
      <c r="Q19" s="212" t="n">
        <f aca="false">HLOOKUP(Q2,物流参数!$A$1:$FT$37,29)</f>
        <v>0</v>
      </c>
      <c r="R19" s="212" t="n">
        <f aca="false">HLOOKUP(R2,物流参数!$A$1:$FT$37,29)</f>
        <v>752.7</v>
      </c>
      <c r="S19" s="212" t="n">
        <f aca="false">HLOOKUP(S2,物流参数!$A$1:$FT$37,29)</f>
        <v>0</v>
      </c>
      <c r="T19" s="212" t="n">
        <f aca="false">HLOOKUP(T2,物流参数!$A$1:$FT$37,29)</f>
        <v>0</v>
      </c>
      <c r="U19" s="212" t="n">
        <f aca="false">HLOOKUP(U2,物流参数!$A$1:$FT$37,29)</f>
        <v>0</v>
      </c>
      <c r="V19" s="212" t="n">
        <f aca="false">HLOOKUP(V2,物流参数!$A$1:$FT$37,29)</f>
        <v>0</v>
      </c>
      <c r="W19" s="212" t="n">
        <f aca="false">HLOOKUP(W2,物流参数!$A$1:$FT$37,29)</f>
        <v>0</v>
      </c>
      <c r="X19" s="212" t="n">
        <f aca="false">HLOOKUP(X2,物流参数!$A$1:$FT$37,29)</f>
        <v>0</v>
      </c>
      <c r="Y19" s="212" t="n">
        <f aca="false">HLOOKUP(Y2,物流参数!$A$1:$FT$37,29)</f>
        <v>0</v>
      </c>
      <c r="Z19" s="212" t="n">
        <f aca="false">HLOOKUP(Z2,物流参数!$A$1:$FT$37,29)</f>
        <v>0</v>
      </c>
      <c r="AA19" s="212" t="n">
        <f aca="false">HLOOKUP(AA2,物流参数!$A$1:$FT$37,29)</f>
        <v>0</v>
      </c>
      <c r="AB19" s="212" t="n">
        <f aca="false">HLOOKUP(AB2,物流参数!$A$1:$FT$37,29)</f>
        <v>0</v>
      </c>
      <c r="AC19" s="212" t="n">
        <f aca="false">HLOOKUP(AC2,物流参数!$A$1:$FT$37,29)</f>
        <v>0</v>
      </c>
      <c r="AD19" s="212" t="n">
        <f aca="false">HLOOKUP(AD2,物流参数!$A$1:$FT$37,29)</f>
        <v>0</v>
      </c>
      <c r="AE19" s="212" t="n">
        <f aca="false">HLOOKUP(AE2,物流参数!$A$1:$FT$37,29)</f>
        <v>0</v>
      </c>
      <c r="AF19" s="212" t="n">
        <f aca="false">HLOOKUP(AF2,物流参数!$A$1:$FT$37,29)</f>
        <v>0</v>
      </c>
      <c r="AG19" s="212" t="n">
        <f aca="false">HLOOKUP(AG2,物流参数!$A$1:$FT$37,29)</f>
        <v>85.3</v>
      </c>
      <c r="AH19" s="212"/>
      <c r="AI19" s="212" t="e">
        <f aca="false">HLOOKUP(AI2,物流参数!$FZ$1:$IA$37,29)</f>
        <v>#N/A</v>
      </c>
      <c r="AJ19" s="212" t="e">
        <f aca="false">HLOOKUP(AJ2,物流参数!$FZ$1:$IA$37,29)</f>
        <v>#N/A</v>
      </c>
      <c r="AK19" s="212"/>
      <c r="AL19" s="212"/>
      <c r="AM19" s="212"/>
      <c r="AN19" s="212"/>
      <c r="AO19" s="212"/>
      <c r="AP19" s="212"/>
      <c r="AQ19" s="212"/>
      <c r="AR19" s="212"/>
      <c r="AS19" s="212"/>
      <c r="AT19" s="212"/>
      <c r="AU19" s="212"/>
      <c r="AV19" s="212"/>
      <c r="AW19" s="212"/>
      <c r="AX19" s="212"/>
      <c r="AY19" s="212"/>
      <c r="AZ19" s="212"/>
      <c r="BA19" s="212"/>
      <c r="BB19" s="212"/>
      <c r="BC19" s="212"/>
      <c r="BD19" s="212"/>
      <c r="BE19" s="212"/>
      <c r="BF19" s="212"/>
      <c r="BG19" s="212"/>
      <c r="BH19" s="212"/>
      <c r="BI19" s="212"/>
      <c r="BJ19" s="212"/>
      <c r="BK19" s="212"/>
      <c r="BL19" s="212"/>
      <c r="BM19" s="212"/>
      <c r="BN19" s="212"/>
      <c r="BO19" s="212"/>
      <c r="BP19" s="212"/>
      <c r="BQ19" s="212"/>
      <c r="BR19" s="212"/>
      <c r="BS19" s="212"/>
      <c r="BT19" s="212"/>
      <c r="BU19" s="212"/>
      <c r="BV19" s="212"/>
      <c r="BW19" s="212"/>
      <c r="BX19" s="212"/>
      <c r="BY19" s="212"/>
      <c r="BZ19" s="212"/>
      <c r="CA19" s="212"/>
      <c r="CB19" s="212"/>
      <c r="CC19" s="212"/>
      <c r="CD19" s="212"/>
      <c r="CE19" s="212"/>
      <c r="CF19" s="212"/>
      <c r="CG19" s="212"/>
      <c r="CH19" s="212"/>
      <c r="CI19" s="212"/>
      <c r="CJ19" s="212"/>
      <c r="CK19" s="212"/>
      <c r="CL19" s="212"/>
      <c r="CM19" s="212"/>
      <c r="CN19" s="212"/>
      <c r="CO19" s="212"/>
      <c r="CP19" s="212"/>
      <c r="CQ19" s="212"/>
      <c r="CR19" s="212"/>
      <c r="CS19" s="212"/>
      <c r="CT19" s="212"/>
      <c r="CU19" s="212"/>
      <c r="CV19" s="212"/>
      <c r="CW19" s="212"/>
      <c r="CX19" s="212"/>
      <c r="CY19" s="212"/>
      <c r="CZ19" s="212"/>
      <c r="DA19" s="212"/>
      <c r="DB19" s="212"/>
      <c r="DC19" s="212"/>
      <c r="DD19" s="212"/>
      <c r="DE19" s="212"/>
      <c r="DF19" s="212"/>
      <c r="DG19" s="212"/>
      <c r="DH19" s="212"/>
      <c r="DI19" s="212"/>
      <c r="DJ19" s="212"/>
      <c r="DK19" s="212"/>
      <c r="DL19" s="212"/>
      <c r="DM19" s="212"/>
      <c r="DN19" s="212"/>
      <c r="DO19" s="212"/>
      <c r="DP19" s="212"/>
      <c r="DQ19" s="212"/>
      <c r="DR19" s="212"/>
      <c r="DS19" s="212"/>
      <c r="DT19" s="212"/>
      <c r="DU19" s="212"/>
      <c r="DV19" s="212"/>
      <c r="DW19" s="212"/>
      <c r="DX19" s="212"/>
      <c r="DY19" s="212"/>
      <c r="DZ19" s="212"/>
      <c r="EA19" s="212"/>
      <c r="EB19" s="212"/>
      <c r="EC19" s="212"/>
      <c r="ED19" s="212"/>
      <c r="EE19" s="212"/>
      <c r="EF19" s="212"/>
      <c r="EG19" s="212"/>
      <c r="EH19" s="212"/>
      <c r="EI19" s="212"/>
      <c r="EJ19" s="212"/>
      <c r="EK19" s="212"/>
      <c r="EL19" s="212"/>
      <c r="EM19" s="212"/>
      <c r="EN19" s="212"/>
      <c r="EO19" s="212"/>
      <c r="EP19" s="212"/>
      <c r="EQ19" s="212"/>
      <c r="ER19" s="212"/>
      <c r="ES19" s="212"/>
      <c r="ET19" s="212"/>
      <c r="EU19" s="212"/>
      <c r="EV19" s="212"/>
      <c r="EW19" s="212"/>
      <c r="EX19" s="212"/>
      <c r="EY19" s="212"/>
      <c r="EZ19" s="212"/>
      <c r="FA19" s="212"/>
      <c r="FB19" s="212"/>
      <c r="FC19" s="212"/>
      <c r="FD19" s="212"/>
      <c r="FE19" s="212"/>
      <c r="FF19" s="212"/>
      <c r="FG19" s="212"/>
      <c r="FH19" s="212"/>
      <c r="FI19" s="212"/>
      <c r="FJ19" s="212"/>
      <c r="FK19" s="212"/>
      <c r="FL19" s="212"/>
      <c r="FM19" s="212"/>
      <c r="FN19" s="212"/>
      <c r="FO19" s="212"/>
      <c r="FP19" s="212"/>
      <c r="FQ19" s="212"/>
      <c r="FR19" s="212"/>
      <c r="FS19" s="212"/>
      <c r="FT19" s="212"/>
      <c r="FU19" s="212"/>
      <c r="FV19" s="212"/>
      <c r="FW19" s="212"/>
      <c r="FX19" s="212"/>
      <c r="FY19" s="212"/>
      <c r="FZ19" s="212"/>
      <c r="GA19" s="212"/>
      <c r="GB19" s="212"/>
      <c r="GC19" s="212"/>
      <c r="GD19" s="212"/>
      <c r="GE19" s="212"/>
      <c r="GF19" s="212"/>
      <c r="GG19" s="212"/>
      <c r="GH19" s="212"/>
      <c r="GI19" s="212"/>
      <c r="GJ19" s="212"/>
      <c r="GK19" s="212"/>
      <c r="GL19" s="212"/>
      <c r="GM19" s="212"/>
      <c r="GN19" s="212"/>
      <c r="GO19" s="212"/>
      <c r="GP19" s="212"/>
      <c r="GQ19" s="212"/>
      <c r="GR19" s="212"/>
      <c r="GS19" s="212"/>
      <c r="GT19" s="212"/>
      <c r="GU19" s="212"/>
      <c r="GV19" s="212"/>
      <c r="GW19" s="212"/>
      <c r="GX19" s="212"/>
      <c r="GY19" s="212"/>
      <c r="GZ19" s="212"/>
      <c r="HA19" s="212"/>
      <c r="HB19" s="212"/>
      <c r="HC19" s="212"/>
      <c r="HD19" s="212"/>
      <c r="HE19" s="212"/>
      <c r="HF19" s="212"/>
      <c r="HG19" s="212"/>
      <c r="HH19" s="212"/>
      <c r="HI19" s="212"/>
      <c r="HJ19" s="212"/>
      <c r="HK19" s="212"/>
      <c r="HL19" s="212"/>
      <c r="HM19" s="212"/>
      <c r="HN19" s="212"/>
      <c r="HO19" s="212"/>
      <c r="HP19" s="212"/>
      <c r="HQ19" s="212"/>
      <c r="HR19" s="212"/>
      <c r="HS19" s="212"/>
      <c r="HT19" s="212"/>
      <c r="HU19" s="212"/>
      <c r="HV19" s="212"/>
      <c r="HW19" s="212"/>
      <c r="HX19" s="212"/>
      <c r="HY19" s="212"/>
      <c r="HZ19" s="212"/>
      <c r="IA19" s="212"/>
      <c r="IB19" s="212"/>
      <c r="IC19" s="212"/>
      <c r="ID19" s="212"/>
      <c r="IE19" s="212"/>
      <c r="IF19" s="212"/>
      <c r="IG19" s="212"/>
      <c r="IH19" s="212"/>
      <c r="II19" s="212"/>
      <c r="IJ19" s="212"/>
      <c r="IK19" s="212"/>
      <c r="IL19" s="212"/>
      <c r="IM19" s="212"/>
      <c r="IN19" s="212"/>
      <c r="IO19" s="212"/>
      <c r="IP19" s="212"/>
      <c r="IQ19" s="212"/>
      <c r="IR19" s="212"/>
      <c r="IS19" s="212"/>
      <c r="IT19" s="212"/>
      <c r="IU19" s="212"/>
      <c r="IV19" s="212"/>
      <c r="IW19" s="212"/>
      <c r="IX19" s="212"/>
      <c r="IY19" s="212"/>
      <c r="IZ19" s="212"/>
      <c r="JA19" s="212"/>
      <c r="JB19" s="212"/>
      <c r="JC19" s="212"/>
      <c r="JD19" s="212"/>
      <c r="JE19" s="212"/>
      <c r="JF19" s="212"/>
      <c r="JG19" s="212"/>
      <c r="JH19" s="212"/>
      <c r="JI19" s="212"/>
      <c r="JJ19" s="212"/>
      <c r="JK19" s="212"/>
      <c r="JL19" s="212"/>
      <c r="JM19" s="212"/>
      <c r="JN19" s="212"/>
      <c r="JO19" s="212"/>
      <c r="JP19" s="212"/>
      <c r="JQ19" s="212"/>
      <c r="JR19" s="212"/>
      <c r="JS19" s="212"/>
      <c r="JT19" s="212"/>
      <c r="JU19" s="212"/>
      <c r="JV19" s="212"/>
      <c r="JW19" s="212"/>
      <c r="JX19" s="212"/>
      <c r="JY19" s="212"/>
      <c r="JZ19" s="212"/>
      <c r="KA19" s="212"/>
      <c r="KB19" s="212"/>
      <c r="KC19" s="212"/>
      <c r="KD19" s="212"/>
      <c r="KE19" s="212"/>
      <c r="KF19" s="212"/>
      <c r="KG19" s="212"/>
      <c r="KH19" s="212"/>
      <c r="KI19" s="212"/>
      <c r="KJ19" s="212"/>
      <c r="KK19" s="212"/>
      <c r="KL19" s="212"/>
      <c r="KM19" s="212"/>
      <c r="KN19" s="212"/>
      <c r="KO19" s="212"/>
      <c r="KP19" s="212"/>
      <c r="KQ19" s="212"/>
      <c r="KR19" s="212"/>
      <c r="KS19" s="212"/>
      <c r="KT19" s="212"/>
      <c r="KU19" s="212"/>
      <c r="KV19" s="212"/>
      <c r="KW19" s="212"/>
      <c r="KX19" s="212"/>
      <c r="KY19" s="212"/>
      <c r="KZ19" s="212"/>
      <c r="LA19" s="212"/>
      <c r="LB19" s="212"/>
      <c r="LC19" s="212"/>
      <c r="LD19" s="212"/>
      <c r="LE19" s="212"/>
      <c r="LF19" s="212"/>
      <c r="LG19" s="212"/>
      <c r="LH19" s="212"/>
      <c r="LI19" s="212"/>
      <c r="LJ19" s="212"/>
      <c r="LK19" s="212"/>
      <c r="LL19" s="212"/>
      <c r="LM19" s="212"/>
      <c r="LN19" s="212"/>
      <c r="LO19" s="212"/>
      <c r="LP19" s="212"/>
      <c r="LQ19" s="212"/>
      <c r="LR19" s="212"/>
      <c r="LS19" s="212"/>
      <c r="LT19" s="212"/>
      <c r="LU19" s="212"/>
      <c r="LV19" s="212"/>
      <c r="LW19" s="212"/>
      <c r="LX19" s="212"/>
      <c r="LY19" s="212"/>
      <c r="LZ19" s="212"/>
      <c r="MA19" s="212"/>
      <c r="MB19" s="212"/>
      <c r="MC19" s="212"/>
      <c r="MD19" s="212"/>
      <c r="ME19" s="212"/>
      <c r="MF19" s="212"/>
      <c r="MG19" s="212"/>
      <c r="MH19" s="212"/>
      <c r="MI19" s="212"/>
      <c r="MJ19" s="212"/>
      <c r="MK19" s="212"/>
      <c r="ML19" s="212"/>
      <c r="MM19" s="212"/>
      <c r="MN19" s="212"/>
      <c r="MO19" s="212"/>
      <c r="MP19" s="212"/>
      <c r="MQ19" s="212"/>
      <c r="MR19" s="212"/>
      <c r="MS19" s="212"/>
      <c r="MT19" s="212"/>
      <c r="MU19" s="212"/>
      <c r="MV19" s="212"/>
      <c r="MW19" s="212"/>
      <c r="MX19" s="212"/>
      <c r="MY19" s="212"/>
      <c r="MZ19" s="212"/>
      <c r="NA19" s="212"/>
      <c r="NB19" s="212"/>
      <c r="NC19" s="212"/>
      <c r="ND19" s="212"/>
      <c r="NE19" s="212"/>
      <c r="NF19" s="212"/>
    </row>
    <row r="20" customFormat="false" ht="15" hidden="false" customHeight="false" outlineLevel="0" collapsed="false">
      <c r="A20" s="979" t="s">
        <v>1607</v>
      </c>
      <c r="B20" s="979" t="s">
        <v>1526</v>
      </c>
      <c r="C20" s="212" t="n">
        <f aca="false">HLOOKUP(C2,物流参数!$A$1:$FT$37,31)</f>
        <v>0</v>
      </c>
      <c r="D20" s="212" t="n">
        <f aca="false">HLOOKUP(D2,物流参数!$A$1:$FT$37,31)</f>
        <v>0</v>
      </c>
      <c r="E20" s="212" t="n">
        <f aca="false">HLOOKUP(E2,物流参数!$A$1:$FT$37,31)</f>
        <v>0</v>
      </c>
      <c r="F20" s="212" t="e">
        <f aca="false">HLOOKUP(F2,物流参数!$A$1:$FT$37,31)</f>
        <v>#N/A</v>
      </c>
      <c r="G20" s="212" t="n">
        <f aca="false">物流参数!FM31</f>
        <v>0</v>
      </c>
      <c r="H20" s="212" t="e">
        <f aca="false">HLOOKUP(H2,物流参数!$A$1:$FT$37,31)</f>
        <v>#N/A</v>
      </c>
      <c r="I20" s="212" t="n">
        <f aca="false">物流参数!FL31</f>
        <v>0</v>
      </c>
      <c r="J20" s="212" t="n">
        <f aca="false">HLOOKUP(J2,物流参数!$A$1:$FT$37,31)</f>
        <v>0</v>
      </c>
      <c r="K20" s="212" t="n">
        <f aca="false">HLOOKUP(K2,物流参数!$A$1:$FT$37,31)</f>
        <v>0</v>
      </c>
      <c r="L20" s="212" t="n">
        <f aca="false">物流参数!DR31</f>
        <v>0</v>
      </c>
      <c r="M20" s="212" t="n">
        <f aca="false">HLOOKUP(M2,物流参数!$A$1:$FT$37,31)</f>
        <v>0</v>
      </c>
      <c r="N20" s="212" t="n">
        <f aca="false">HLOOKUP(N2,物流参数!$A$1:$FT$37,31)</f>
        <v>0</v>
      </c>
      <c r="O20" s="212" t="n">
        <f aca="false">HLOOKUP(O2,物流参数!$A$1:$FT$37,31)</f>
        <v>0</v>
      </c>
      <c r="P20" s="212" t="n">
        <f aca="false">HLOOKUP(P2,物流参数!$A$1:$FT$37,31)</f>
        <v>0</v>
      </c>
      <c r="Q20" s="212" t="n">
        <f aca="false">HLOOKUP(Q2,物流参数!$A$1:$FT$37,31)</f>
        <v>0</v>
      </c>
      <c r="R20" s="212" t="n">
        <f aca="false">HLOOKUP(R2,物流参数!$A$1:$FT$37,31)</f>
        <v>0</v>
      </c>
      <c r="S20" s="212" t="n">
        <f aca="false">HLOOKUP(S2,物流参数!$A$1:$FT$37,31)</f>
        <v>0</v>
      </c>
      <c r="T20" s="212" t="n">
        <f aca="false">HLOOKUP(T2,物流参数!$A$1:$FT$37,31)</f>
        <v>0</v>
      </c>
      <c r="U20" s="212" t="n">
        <f aca="false">HLOOKUP(U2,物流参数!$A$1:$FT$37,31)</f>
        <v>0</v>
      </c>
      <c r="V20" s="212" t="n">
        <f aca="false">HLOOKUP(V2,物流参数!$A$1:$FT$37,31)</f>
        <v>0</v>
      </c>
      <c r="W20" s="212" t="n">
        <f aca="false">HLOOKUP(W2,物流参数!$A$1:$FT$37,31)</f>
        <v>0</v>
      </c>
      <c r="X20" s="212" t="n">
        <f aca="false">HLOOKUP(X2,物流参数!$A$1:$FT$37,31)</f>
        <v>0</v>
      </c>
      <c r="Y20" s="212" t="n">
        <f aca="false">HLOOKUP(Y2,物流参数!$A$1:$FT$37,31)</f>
        <v>0</v>
      </c>
      <c r="Z20" s="212" t="n">
        <f aca="false">HLOOKUP(Z2,物流参数!$A$1:$FT$37,31)</f>
        <v>0</v>
      </c>
      <c r="AA20" s="212" t="n">
        <f aca="false">HLOOKUP(AA2,物流参数!$A$1:$FT$37,31)</f>
        <v>0</v>
      </c>
      <c r="AB20" s="212" t="n">
        <f aca="false">HLOOKUP(AB2,物流参数!$A$1:$FT$37,31)</f>
        <v>0</v>
      </c>
      <c r="AC20" s="212" t="n">
        <f aca="false">HLOOKUP(AC2,物流参数!$A$1:$FT$37,31)</f>
        <v>0</v>
      </c>
      <c r="AD20" s="212" t="n">
        <f aca="false">HLOOKUP(AD2,物流参数!$A$1:$FT$37,31)</f>
        <v>0</v>
      </c>
      <c r="AE20" s="212" t="n">
        <f aca="false">HLOOKUP(AE2,物流参数!$A$1:$FT$37,31)</f>
        <v>0</v>
      </c>
      <c r="AF20" s="212" t="n">
        <f aca="false">HLOOKUP(AF2,物流参数!$A$1:$FT$37,31)</f>
        <v>0</v>
      </c>
      <c r="AG20" s="212" t="n">
        <f aca="false">HLOOKUP(AG2,物流参数!$A$1:$FT$37,31)</f>
        <v>0</v>
      </c>
      <c r="AH20" s="212"/>
      <c r="AI20" s="212" t="e">
        <f aca="false">HLOOKUP(AI2,物流参数!$FZ$1:$IA$37,31)</f>
        <v>#N/A</v>
      </c>
      <c r="AJ20" s="212" t="e">
        <f aca="false">HLOOKUP(AJ2,物流参数!$FZ$1:$IA$37,31)</f>
        <v>#N/A</v>
      </c>
      <c r="AK20" s="212"/>
      <c r="AL20" s="212"/>
      <c r="AM20" s="212"/>
      <c r="AN20" s="212"/>
      <c r="AO20" s="212"/>
      <c r="AP20" s="212"/>
      <c r="AQ20" s="212"/>
      <c r="AR20" s="212"/>
      <c r="AS20" s="212"/>
      <c r="AT20" s="212"/>
      <c r="AU20" s="212"/>
      <c r="AV20" s="212"/>
      <c r="AW20" s="212"/>
      <c r="AX20" s="212"/>
      <c r="AY20" s="212"/>
      <c r="AZ20" s="212"/>
      <c r="BA20" s="212"/>
      <c r="BB20" s="212"/>
      <c r="BC20" s="212"/>
      <c r="BD20" s="212"/>
      <c r="BE20" s="212"/>
      <c r="BF20" s="212"/>
      <c r="BG20" s="212"/>
      <c r="BH20" s="212"/>
      <c r="BI20" s="212"/>
      <c r="BJ20" s="212"/>
      <c r="BK20" s="212"/>
      <c r="BL20" s="212"/>
      <c r="BM20" s="212"/>
      <c r="BN20" s="212"/>
      <c r="BO20" s="212"/>
      <c r="BP20" s="212"/>
      <c r="BQ20" s="212"/>
      <c r="BR20" s="212"/>
      <c r="BS20" s="212"/>
      <c r="BT20" s="212"/>
      <c r="BU20" s="212"/>
      <c r="BV20" s="212"/>
      <c r="BW20" s="212"/>
      <c r="BX20" s="212"/>
      <c r="BY20" s="212"/>
      <c r="BZ20" s="212"/>
      <c r="CA20" s="212"/>
      <c r="CB20" s="212"/>
      <c r="CC20" s="212"/>
      <c r="CD20" s="212"/>
      <c r="CE20" s="212"/>
      <c r="CF20" s="212"/>
      <c r="CG20" s="212"/>
      <c r="CH20" s="212"/>
      <c r="CI20" s="212"/>
      <c r="CJ20" s="212"/>
      <c r="CK20" s="212"/>
      <c r="CL20" s="212"/>
      <c r="CM20" s="212"/>
      <c r="CN20" s="212"/>
      <c r="CO20" s="212"/>
      <c r="CP20" s="212"/>
      <c r="CQ20" s="212"/>
      <c r="CR20" s="212"/>
      <c r="CS20" s="212"/>
      <c r="CT20" s="212"/>
      <c r="CU20" s="212"/>
      <c r="CV20" s="212"/>
      <c r="CW20" s="212"/>
      <c r="CX20" s="212"/>
      <c r="CY20" s="212"/>
      <c r="CZ20" s="212"/>
      <c r="DA20" s="212"/>
      <c r="DB20" s="212"/>
      <c r="DC20" s="212"/>
      <c r="DD20" s="212"/>
      <c r="DE20" s="212"/>
      <c r="DF20" s="212"/>
      <c r="DG20" s="212"/>
      <c r="DH20" s="212"/>
      <c r="DI20" s="212"/>
      <c r="DJ20" s="212"/>
      <c r="DK20" s="212"/>
      <c r="DL20" s="212"/>
      <c r="DM20" s="212"/>
      <c r="DN20" s="212"/>
      <c r="DO20" s="212"/>
      <c r="DP20" s="212"/>
      <c r="DQ20" s="212"/>
      <c r="DR20" s="212"/>
      <c r="DS20" s="212"/>
      <c r="DT20" s="212"/>
      <c r="DU20" s="212"/>
      <c r="DV20" s="212"/>
      <c r="DW20" s="212"/>
      <c r="DX20" s="212"/>
      <c r="DY20" s="212"/>
      <c r="DZ20" s="212"/>
      <c r="EA20" s="212"/>
      <c r="EB20" s="212"/>
      <c r="EC20" s="212"/>
      <c r="ED20" s="212"/>
      <c r="EE20" s="212"/>
      <c r="EF20" s="212"/>
      <c r="EG20" s="212"/>
      <c r="EH20" s="212"/>
      <c r="EI20" s="212"/>
      <c r="EJ20" s="212"/>
      <c r="EK20" s="212"/>
      <c r="EL20" s="212"/>
      <c r="EM20" s="212"/>
      <c r="EN20" s="212"/>
      <c r="EO20" s="212"/>
      <c r="EP20" s="212"/>
      <c r="EQ20" s="212"/>
      <c r="ER20" s="212"/>
      <c r="ES20" s="212"/>
      <c r="ET20" s="212"/>
      <c r="EU20" s="212"/>
      <c r="EV20" s="212"/>
      <c r="EW20" s="212"/>
      <c r="EX20" s="212"/>
      <c r="EY20" s="212"/>
      <c r="EZ20" s="212"/>
      <c r="FA20" s="212"/>
      <c r="FB20" s="212"/>
      <c r="FC20" s="212"/>
      <c r="FD20" s="212"/>
      <c r="FE20" s="212"/>
      <c r="FF20" s="212"/>
      <c r="FG20" s="212"/>
      <c r="FH20" s="212"/>
      <c r="FI20" s="212"/>
      <c r="FJ20" s="212"/>
      <c r="FK20" s="212"/>
      <c r="FL20" s="212"/>
      <c r="FM20" s="212"/>
      <c r="FN20" s="212"/>
      <c r="FO20" s="212"/>
      <c r="FP20" s="212"/>
      <c r="FQ20" s="212"/>
      <c r="FR20" s="212"/>
      <c r="FS20" s="212"/>
      <c r="FT20" s="212"/>
      <c r="FU20" s="212"/>
      <c r="FV20" s="212"/>
      <c r="FW20" s="212"/>
      <c r="FX20" s="212"/>
      <c r="FY20" s="212"/>
      <c r="FZ20" s="212"/>
      <c r="GA20" s="212"/>
      <c r="GB20" s="212"/>
      <c r="GC20" s="212"/>
      <c r="GD20" s="212"/>
      <c r="GE20" s="212"/>
      <c r="GF20" s="212"/>
      <c r="GG20" s="212"/>
      <c r="GH20" s="212"/>
      <c r="GI20" s="212"/>
      <c r="GJ20" s="212"/>
      <c r="GK20" s="212"/>
      <c r="GL20" s="212"/>
      <c r="GM20" s="212"/>
      <c r="GN20" s="212"/>
      <c r="GO20" s="212"/>
      <c r="GP20" s="212"/>
      <c r="GQ20" s="212"/>
      <c r="GR20" s="212"/>
      <c r="GS20" s="212"/>
      <c r="GT20" s="212"/>
      <c r="GU20" s="212"/>
      <c r="GV20" s="212"/>
      <c r="GW20" s="212"/>
      <c r="GX20" s="212"/>
      <c r="GY20" s="212"/>
      <c r="GZ20" s="212"/>
      <c r="HA20" s="212"/>
      <c r="HB20" s="212"/>
      <c r="HC20" s="212"/>
      <c r="HD20" s="212"/>
      <c r="HE20" s="212"/>
      <c r="HF20" s="212"/>
      <c r="HG20" s="212"/>
      <c r="HH20" s="212"/>
      <c r="HI20" s="212"/>
      <c r="HJ20" s="212"/>
      <c r="HK20" s="212"/>
      <c r="HL20" s="212"/>
      <c r="HM20" s="212"/>
      <c r="HN20" s="212"/>
      <c r="HO20" s="212"/>
      <c r="HP20" s="212"/>
      <c r="HQ20" s="212"/>
      <c r="HR20" s="212"/>
      <c r="HS20" s="212"/>
      <c r="HT20" s="212"/>
      <c r="HU20" s="212"/>
      <c r="HV20" s="212"/>
      <c r="HW20" s="212"/>
      <c r="HX20" s="212"/>
      <c r="HY20" s="212"/>
      <c r="HZ20" s="212"/>
      <c r="IA20" s="212"/>
      <c r="IB20" s="212"/>
      <c r="IC20" s="212"/>
      <c r="ID20" s="212"/>
      <c r="IE20" s="212"/>
      <c r="IF20" s="212"/>
      <c r="IG20" s="212"/>
      <c r="IH20" s="212"/>
      <c r="II20" s="212"/>
      <c r="IJ20" s="212"/>
      <c r="IK20" s="212"/>
      <c r="IL20" s="212"/>
      <c r="IM20" s="212"/>
      <c r="IN20" s="212"/>
      <c r="IO20" s="212"/>
      <c r="IP20" s="212"/>
      <c r="IQ20" s="212"/>
      <c r="IR20" s="212"/>
      <c r="IS20" s="212"/>
      <c r="IT20" s="212"/>
      <c r="IU20" s="212"/>
      <c r="IV20" s="212"/>
      <c r="IW20" s="212"/>
      <c r="IX20" s="212"/>
      <c r="IY20" s="212"/>
      <c r="IZ20" s="212"/>
      <c r="JA20" s="212"/>
      <c r="JB20" s="212"/>
      <c r="JC20" s="212"/>
      <c r="JD20" s="212"/>
      <c r="JE20" s="212"/>
      <c r="JF20" s="212"/>
      <c r="JG20" s="212"/>
      <c r="JH20" s="212"/>
      <c r="JI20" s="212"/>
      <c r="JJ20" s="212"/>
      <c r="JK20" s="212"/>
      <c r="JL20" s="212"/>
      <c r="JM20" s="212"/>
      <c r="JN20" s="212"/>
      <c r="JO20" s="212"/>
      <c r="JP20" s="212"/>
      <c r="JQ20" s="212"/>
      <c r="JR20" s="212"/>
      <c r="JS20" s="212"/>
      <c r="JT20" s="212"/>
      <c r="JU20" s="212"/>
      <c r="JV20" s="212"/>
      <c r="JW20" s="212"/>
      <c r="JX20" s="212"/>
      <c r="JY20" s="212"/>
      <c r="JZ20" s="212"/>
      <c r="KA20" s="212"/>
      <c r="KB20" s="212"/>
      <c r="KC20" s="212"/>
      <c r="KD20" s="212"/>
      <c r="KE20" s="212"/>
      <c r="KF20" s="212"/>
      <c r="KG20" s="212"/>
      <c r="KH20" s="212"/>
      <c r="KI20" s="212"/>
      <c r="KJ20" s="212"/>
      <c r="KK20" s="212"/>
      <c r="KL20" s="212"/>
      <c r="KM20" s="212"/>
      <c r="KN20" s="212"/>
      <c r="KO20" s="212"/>
      <c r="KP20" s="212"/>
      <c r="KQ20" s="212"/>
      <c r="KR20" s="212"/>
      <c r="KS20" s="212"/>
      <c r="KT20" s="212"/>
      <c r="KU20" s="212"/>
      <c r="KV20" s="212"/>
      <c r="KW20" s="212"/>
      <c r="KX20" s="212"/>
      <c r="KY20" s="212"/>
      <c r="KZ20" s="212"/>
      <c r="LA20" s="212"/>
      <c r="LB20" s="212"/>
      <c r="LC20" s="212"/>
      <c r="LD20" s="212"/>
      <c r="LE20" s="212"/>
      <c r="LF20" s="212"/>
      <c r="LG20" s="212"/>
      <c r="LH20" s="212"/>
      <c r="LI20" s="212"/>
      <c r="LJ20" s="212"/>
      <c r="LK20" s="212"/>
      <c r="LL20" s="212"/>
      <c r="LM20" s="212"/>
      <c r="LN20" s="212"/>
      <c r="LO20" s="212"/>
      <c r="LP20" s="212"/>
      <c r="LQ20" s="212"/>
      <c r="LR20" s="212"/>
      <c r="LS20" s="212"/>
      <c r="LT20" s="212"/>
      <c r="LU20" s="212"/>
      <c r="LV20" s="212"/>
      <c r="LW20" s="212"/>
      <c r="LX20" s="212"/>
      <c r="LY20" s="212"/>
      <c r="LZ20" s="212"/>
      <c r="MA20" s="212"/>
      <c r="MB20" s="212"/>
      <c r="MC20" s="212"/>
      <c r="MD20" s="212"/>
      <c r="ME20" s="212"/>
      <c r="MF20" s="212"/>
      <c r="MG20" s="212"/>
      <c r="MH20" s="212"/>
      <c r="MI20" s="212"/>
      <c r="MJ20" s="212"/>
      <c r="MK20" s="212"/>
      <c r="ML20" s="212"/>
      <c r="MM20" s="212"/>
      <c r="MN20" s="212"/>
      <c r="MO20" s="212"/>
      <c r="MP20" s="212"/>
      <c r="MQ20" s="212"/>
      <c r="MR20" s="212"/>
      <c r="MS20" s="212"/>
      <c r="MT20" s="212"/>
      <c r="MU20" s="212"/>
      <c r="MV20" s="212"/>
      <c r="MW20" s="212"/>
      <c r="MX20" s="212"/>
      <c r="MY20" s="212"/>
      <c r="MZ20" s="212"/>
      <c r="NA20" s="212"/>
      <c r="NB20" s="212"/>
      <c r="NC20" s="212"/>
      <c r="ND20" s="212"/>
      <c r="NE20" s="212"/>
      <c r="NF20" s="212"/>
    </row>
    <row r="21" customFormat="false" ht="15" hidden="false" customHeight="false" outlineLevel="0" collapsed="false">
      <c r="A21" s="979" t="s">
        <v>1608</v>
      </c>
      <c r="C21" s="212" t="n">
        <f aca="false">HLOOKUP(C2,物流参数!$A$1:$FT$37,33)</f>
        <v>0</v>
      </c>
      <c r="D21" s="212" t="n">
        <f aca="false">HLOOKUP(D2,物流参数!$A$1:$FT$37,33)</f>
        <v>0</v>
      </c>
      <c r="E21" s="212" t="n">
        <f aca="false">HLOOKUP(E2,物流参数!$A$1:$FT$37,33)</f>
        <v>0</v>
      </c>
      <c r="F21" s="212" t="e">
        <f aca="false">HLOOKUP(F2,物流参数!$A$1:$FT$37,33)</f>
        <v>#N/A</v>
      </c>
      <c r="G21" s="212" t="n">
        <f aca="false">物流参数!FM33</f>
        <v>0</v>
      </c>
      <c r="H21" s="212" t="e">
        <f aca="false">HLOOKUP(H2,物流参数!$A$1:$FT$37,33)</f>
        <v>#N/A</v>
      </c>
      <c r="I21" s="212" t="n">
        <f aca="false">物流参数!FL33</f>
        <v>0</v>
      </c>
      <c r="J21" s="212" t="n">
        <f aca="false">HLOOKUP(J2,物流参数!$A$1:$FT$37,33)</f>
        <v>0</v>
      </c>
      <c r="K21" s="212" t="n">
        <f aca="false">HLOOKUP(K2,物流参数!$A$1:$FT$37,33)</f>
        <v>0</v>
      </c>
      <c r="L21" s="212" t="n">
        <f aca="false">物流参数!DR33</f>
        <v>0</v>
      </c>
      <c r="M21" s="212" t="n">
        <f aca="false">HLOOKUP(M2,物流参数!$A$1:$FT$37,33)</f>
        <v>0</v>
      </c>
      <c r="N21" s="212" t="n">
        <f aca="false">HLOOKUP(N2,物流参数!$A$1:$FT$37,33)</f>
        <v>0</v>
      </c>
      <c r="O21" s="212" t="n">
        <f aca="false">HLOOKUP(O2,物流参数!$A$1:$FT$37,33)</f>
        <v>0</v>
      </c>
      <c r="P21" s="212" t="n">
        <f aca="false">HLOOKUP(P2,物流参数!$A$1:$FT$37,33)</f>
        <v>0</v>
      </c>
      <c r="Q21" s="212" t="n">
        <f aca="false">HLOOKUP(Q2,物流参数!$A$1:$FT$37,33)</f>
        <v>0</v>
      </c>
      <c r="R21" s="212" t="n">
        <f aca="false">HLOOKUP(R2,物流参数!$A$1:$FT$37,33)</f>
        <v>0</v>
      </c>
      <c r="S21" s="212" t="n">
        <f aca="false">HLOOKUP(S2,物流参数!$A$1:$FT$37,33)</f>
        <v>0</v>
      </c>
      <c r="T21" s="212" t="n">
        <f aca="false">HLOOKUP(T2,物流参数!$A$1:$FT$37,33)</f>
        <v>0</v>
      </c>
      <c r="U21" s="212" t="n">
        <f aca="false">HLOOKUP(U2,物流参数!$A$1:$FT$37,33)</f>
        <v>0</v>
      </c>
      <c r="V21" s="212" t="n">
        <f aca="false">HLOOKUP(V2,物流参数!$A$1:$FT$37,33)</f>
        <v>0</v>
      </c>
      <c r="W21" s="212" t="n">
        <f aca="false">HLOOKUP(W2,物流参数!$A$1:$FT$37,33)</f>
        <v>0</v>
      </c>
      <c r="X21" s="212" t="n">
        <f aca="false">HLOOKUP(X2,物流参数!$A$1:$FT$37,33)</f>
        <v>0</v>
      </c>
      <c r="Y21" s="212" t="n">
        <f aca="false">HLOOKUP(Y2,物流参数!$A$1:$FT$37,33)</f>
        <v>0</v>
      </c>
      <c r="Z21" s="212" t="n">
        <f aca="false">HLOOKUP(Z2,物流参数!$A$1:$FT$37,33)</f>
        <v>0</v>
      </c>
      <c r="AA21" s="212" t="n">
        <f aca="false">HLOOKUP(AA2,物流参数!$A$1:$FT$37,33)</f>
        <v>0</v>
      </c>
      <c r="AB21" s="212" t="n">
        <f aca="false">HLOOKUP(AB2,物流参数!$A$1:$FT$37,33)</f>
        <v>0</v>
      </c>
      <c r="AC21" s="212" t="n">
        <f aca="false">HLOOKUP(AC2,物流参数!$A$1:$FT$37,33)</f>
        <v>0</v>
      </c>
      <c r="AD21" s="212" t="n">
        <f aca="false">HLOOKUP(AD2,物流参数!$A$1:$FT$37,33)</f>
        <v>0</v>
      </c>
      <c r="AE21" s="212" t="n">
        <f aca="false">HLOOKUP(AE2,物流参数!$A$1:$FT$37,33)</f>
        <v>0</v>
      </c>
      <c r="AF21" s="212" t="n">
        <f aca="false">HLOOKUP(AF2,物流参数!$A$1:$FT$37,33)</f>
        <v>0</v>
      </c>
      <c r="AG21" s="212" t="n">
        <f aca="false">HLOOKUP(AG2,物流参数!$A$1:$FT$37,33)</f>
        <v>0</v>
      </c>
      <c r="AH21" s="212"/>
      <c r="AI21" s="212" t="e">
        <f aca="false">HLOOKUP(AI2,物流参数!$FZ$1:$IA$37,33)</f>
        <v>#N/A</v>
      </c>
      <c r="AJ21" s="212" t="e">
        <f aca="false">HLOOKUP(AJ2,物流参数!$FZ$1:$IA$37,33)</f>
        <v>#N/A</v>
      </c>
      <c r="AK21" s="212"/>
      <c r="AL21" s="212"/>
      <c r="AM21" s="212"/>
      <c r="AN21" s="212"/>
      <c r="AO21" s="212"/>
      <c r="AP21" s="212"/>
      <c r="AQ21" s="212"/>
      <c r="AR21" s="212"/>
      <c r="AS21" s="212"/>
      <c r="AT21" s="212"/>
      <c r="AU21" s="212"/>
      <c r="AV21" s="212"/>
      <c r="AW21" s="212"/>
      <c r="AX21" s="212"/>
      <c r="AY21" s="212"/>
      <c r="AZ21" s="212"/>
      <c r="BA21" s="212"/>
      <c r="BB21" s="212"/>
      <c r="BC21" s="212"/>
      <c r="BD21" s="212"/>
      <c r="BE21" s="212"/>
      <c r="BF21" s="212"/>
      <c r="BG21" s="212"/>
      <c r="BH21" s="212"/>
      <c r="BI21" s="212"/>
      <c r="BJ21" s="212"/>
      <c r="BK21" s="212"/>
      <c r="BL21" s="212"/>
      <c r="BM21" s="212"/>
      <c r="BN21" s="212"/>
      <c r="BO21" s="212"/>
      <c r="BP21" s="212"/>
      <c r="BQ21" s="212"/>
      <c r="BR21" s="212"/>
      <c r="BS21" s="212"/>
      <c r="BT21" s="212"/>
      <c r="BU21" s="212"/>
      <c r="BV21" s="212"/>
      <c r="BW21" s="212"/>
      <c r="BX21" s="212"/>
      <c r="BY21" s="212"/>
      <c r="BZ21" s="212"/>
      <c r="CA21" s="212"/>
      <c r="CB21" s="212"/>
      <c r="CC21" s="212"/>
      <c r="CD21" s="212"/>
      <c r="CE21" s="212"/>
      <c r="CF21" s="212"/>
      <c r="CG21" s="212"/>
      <c r="CH21" s="212"/>
      <c r="CI21" s="212"/>
      <c r="CJ21" s="212"/>
      <c r="CK21" s="212"/>
      <c r="CL21" s="212"/>
      <c r="CM21" s="212"/>
      <c r="CN21" s="212"/>
      <c r="CO21" s="212"/>
      <c r="CP21" s="212"/>
      <c r="CQ21" s="212"/>
      <c r="CR21" s="212"/>
      <c r="CS21" s="212"/>
      <c r="CT21" s="212"/>
      <c r="CU21" s="212"/>
      <c r="CV21" s="212"/>
      <c r="CW21" s="212"/>
      <c r="CX21" s="212"/>
      <c r="CY21" s="212"/>
      <c r="CZ21" s="212"/>
      <c r="DA21" s="212"/>
      <c r="DB21" s="212"/>
      <c r="DC21" s="212"/>
      <c r="DD21" s="212"/>
      <c r="DE21" s="212"/>
      <c r="DF21" s="212"/>
      <c r="DG21" s="212"/>
      <c r="DH21" s="212"/>
      <c r="DI21" s="212"/>
      <c r="DJ21" s="212"/>
      <c r="DK21" s="212"/>
      <c r="DL21" s="212"/>
      <c r="DM21" s="212"/>
      <c r="DN21" s="212"/>
      <c r="DO21" s="212"/>
      <c r="DP21" s="212"/>
      <c r="DQ21" s="212"/>
      <c r="DR21" s="212"/>
      <c r="DS21" s="212"/>
      <c r="DT21" s="212"/>
      <c r="DU21" s="212"/>
      <c r="DV21" s="212"/>
      <c r="DW21" s="212"/>
      <c r="DX21" s="212"/>
      <c r="DY21" s="212"/>
      <c r="DZ21" s="212"/>
      <c r="EA21" s="212"/>
      <c r="EB21" s="212"/>
      <c r="EC21" s="212"/>
      <c r="ED21" s="212"/>
      <c r="EE21" s="212"/>
      <c r="EF21" s="212"/>
      <c r="EG21" s="212"/>
      <c r="EH21" s="212"/>
      <c r="EI21" s="212"/>
      <c r="EJ21" s="212"/>
      <c r="EK21" s="212"/>
      <c r="EL21" s="212"/>
      <c r="EM21" s="212"/>
      <c r="EN21" s="212"/>
      <c r="EO21" s="212"/>
      <c r="EP21" s="212"/>
      <c r="EQ21" s="212"/>
      <c r="ER21" s="212"/>
      <c r="ES21" s="212"/>
      <c r="ET21" s="212"/>
      <c r="EU21" s="212"/>
      <c r="EV21" s="212"/>
      <c r="EW21" s="212"/>
      <c r="EX21" s="212"/>
      <c r="EY21" s="212"/>
      <c r="EZ21" s="212"/>
      <c r="FA21" s="212"/>
      <c r="FB21" s="212"/>
      <c r="FC21" s="212"/>
      <c r="FD21" s="212"/>
      <c r="FE21" s="212"/>
      <c r="FF21" s="212"/>
      <c r="FG21" s="212"/>
      <c r="FH21" s="212"/>
      <c r="FI21" s="212"/>
      <c r="FJ21" s="212"/>
      <c r="FK21" s="212"/>
      <c r="FL21" s="212"/>
      <c r="FM21" s="212"/>
      <c r="FN21" s="212"/>
      <c r="FO21" s="212"/>
      <c r="FP21" s="212"/>
      <c r="FQ21" s="212"/>
      <c r="FR21" s="212"/>
      <c r="FS21" s="212"/>
      <c r="FT21" s="212"/>
      <c r="FU21" s="212"/>
      <c r="FV21" s="212"/>
      <c r="FW21" s="212"/>
      <c r="FX21" s="212"/>
      <c r="FY21" s="212"/>
      <c r="FZ21" s="212"/>
      <c r="GA21" s="212"/>
      <c r="GB21" s="212"/>
      <c r="GC21" s="212"/>
      <c r="GD21" s="212"/>
      <c r="GE21" s="212"/>
      <c r="GF21" s="212"/>
      <c r="GG21" s="212"/>
      <c r="GH21" s="212"/>
      <c r="GI21" s="212"/>
      <c r="GJ21" s="212"/>
      <c r="GK21" s="212"/>
      <c r="GL21" s="212"/>
      <c r="GM21" s="212"/>
      <c r="GN21" s="212"/>
      <c r="GO21" s="212"/>
      <c r="GP21" s="212"/>
      <c r="GQ21" s="212"/>
      <c r="GR21" s="212"/>
      <c r="GS21" s="212"/>
      <c r="GT21" s="212"/>
      <c r="GU21" s="212"/>
      <c r="GV21" s="212"/>
      <c r="GW21" s="212"/>
      <c r="GX21" s="212"/>
      <c r="GY21" s="212"/>
      <c r="GZ21" s="212"/>
      <c r="HA21" s="212"/>
      <c r="HB21" s="212"/>
      <c r="HC21" s="212"/>
      <c r="HD21" s="212"/>
      <c r="HE21" s="212"/>
      <c r="HF21" s="212"/>
      <c r="HG21" s="212"/>
      <c r="HH21" s="212"/>
      <c r="HI21" s="212"/>
      <c r="HJ21" s="212"/>
      <c r="HK21" s="212"/>
      <c r="HL21" s="212"/>
      <c r="HM21" s="212"/>
      <c r="HN21" s="212"/>
      <c r="HO21" s="212"/>
      <c r="HP21" s="212"/>
      <c r="HQ21" s="212"/>
      <c r="HR21" s="212"/>
      <c r="HS21" s="212"/>
      <c r="HT21" s="212"/>
      <c r="HU21" s="212"/>
      <c r="HV21" s="212"/>
      <c r="HW21" s="212"/>
      <c r="HX21" s="212"/>
      <c r="HY21" s="212"/>
      <c r="HZ21" s="212"/>
      <c r="IA21" s="212"/>
      <c r="IB21" s="212"/>
      <c r="IC21" s="212"/>
      <c r="ID21" s="212"/>
      <c r="IE21" s="212"/>
      <c r="IF21" s="212"/>
      <c r="IG21" s="212"/>
      <c r="IH21" s="212"/>
      <c r="II21" s="212"/>
      <c r="IJ21" s="212"/>
      <c r="IK21" s="212"/>
      <c r="IL21" s="212"/>
      <c r="IM21" s="212"/>
      <c r="IN21" s="212"/>
      <c r="IO21" s="212"/>
      <c r="IP21" s="212"/>
      <c r="IQ21" s="212"/>
      <c r="IR21" s="212"/>
      <c r="IS21" s="212"/>
      <c r="IT21" s="212"/>
      <c r="IU21" s="212"/>
      <c r="IV21" s="212"/>
      <c r="IW21" s="212"/>
      <c r="IX21" s="212"/>
      <c r="IY21" s="212"/>
      <c r="IZ21" s="212"/>
      <c r="JA21" s="212"/>
      <c r="JB21" s="212"/>
      <c r="JC21" s="212"/>
      <c r="JD21" s="212"/>
      <c r="JE21" s="212"/>
      <c r="JF21" s="212"/>
      <c r="JG21" s="212"/>
      <c r="JH21" s="212"/>
      <c r="JI21" s="212"/>
      <c r="JJ21" s="212"/>
      <c r="JK21" s="212"/>
      <c r="JL21" s="212"/>
      <c r="JM21" s="212"/>
      <c r="JN21" s="212"/>
      <c r="JO21" s="212"/>
      <c r="JP21" s="212"/>
      <c r="JQ21" s="212"/>
      <c r="JR21" s="212"/>
      <c r="JS21" s="212"/>
      <c r="JT21" s="212"/>
      <c r="JU21" s="212"/>
      <c r="JV21" s="212"/>
      <c r="JW21" s="212"/>
      <c r="JX21" s="212"/>
      <c r="JY21" s="212"/>
      <c r="JZ21" s="212"/>
      <c r="KA21" s="212"/>
      <c r="KB21" s="212"/>
      <c r="KC21" s="212"/>
      <c r="KD21" s="212"/>
      <c r="KE21" s="212"/>
      <c r="KF21" s="212"/>
      <c r="KG21" s="212"/>
      <c r="KH21" s="212"/>
      <c r="KI21" s="212"/>
      <c r="KJ21" s="212"/>
      <c r="KK21" s="212"/>
      <c r="KL21" s="212"/>
      <c r="KM21" s="212"/>
      <c r="KN21" s="212"/>
      <c r="KO21" s="212"/>
      <c r="KP21" s="212"/>
      <c r="KQ21" s="212"/>
      <c r="KR21" s="212"/>
      <c r="KS21" s="212"/>
      <c r="KT21" s="212"/>
      <c r="KU21" s="212"/>
      <c r="KV21" s="212"/>
      <c r="KW21" s="212"/>
      <c r="KX21" s="212"/>
      <c r="KY21" s="212"/>
      <c r="KZ21" s="212"/>
      <c r="LA21" s="212"/>
      <c r="LB21" s="212"/>
      <c r="LC21" s="212"/>
      <c r="LD21" s="212"/>
      <c r="LE21" s="212"/>
      <c r="LF21" s="212"/>
      <c r="LG21" s="212"/>
      <c r="LH21" s="212"/>
      <c r="LI21" s="212"/>
      <c r="LJ21" s="212"/>
      <c r="LK21" s="212"/>
      <c r="LL21" s="212"/>
      <c r="LM21" s="212"/>
      <c r="LN21" s="212"/>
      <c r="LO21" s="212"/>
      <c r="LP21" s="212"/>
      <c r="LQ21" s="212"/>
      <c r="LR21" s="212"/>
      <c r="LS21" s="212"/>
      <c r="LT21" s="212"/>
      <c r="LU21" s="212"/>
      <c r="LV21" s="212"/>
      <c r="LW21" s="212"/>
      <c r="LX21" s="212"/>
      <c r="LY21" s="212"/>
      <c r="LZ21" s="212"/>
      <c r="MA21" s="212"/>
      <c r="MB21" s="212"/>
      <c r="MC21" s="212"/>
      <c r="MD21" s="212"/>
      <c r="ME21" s="212"/>
      <c r="MF21" s="212"/>
      <c r="MG21" s="212"/>
      <c r="MH21" s="212"/>
      <c r="MI21" s="212"/>
      <c r="MJ21" s="212"/>
      <c r="MK21" s="212"/>
      <c r="ML21" s="212"/>
      <c r="MM21" s="212"/>
      <c r="MN21" s="212"/>
      <c r="MO21" s="212"/>
      <c r="MP21" s="212"/>
      <c r="MQ21" s="212"/>
      <c r="MR21" s="212"/>
      <c r="MS21" s="212"/>
      <c r="MT21" s="212"/>
      <c r="MU21" s="212"/>
      <c r="MV21" s="212"/>
      <c r="MW21" s="212"/>
      <c r="MX21" s="212"/>
      <c r="MY21" s="212"/>
      <c r="MZ21" s="212"/>
      <c r="NA21" s="212"/>
      <c r="NB21" s="212"/>
      <c r="NC21" s="212"/>
      <c r="ND21" s="212"/>
      <c r="NE21" s="212"/>
      <c r="NF21" s="212"/>
    </row>
    <row r="22" customFormat="false" ht="15" hidden="false" customHeight="false" outlineLevel="0" collapsed="false">
      <c r="A22" s="979" t="s">
        <v>1609</v>
      </c>
      <c r="B22" s="206" t="s">
        <v>357</v>
      </c>
      <c r="C22" s="212" t="n">
        <f aca="false">HLOOKUP(C2,物流参数!$A$1:$FT$37,35)</f>
        <v>0</v>
      </c>
      <c r="D22" s="212" t="n">
        <f aca="false">HLOOKUP(D2,物流参数!$A$1:$FT$37,35)</f>
        <v>0</v>
      </c>
      <c r="E22" s="212" t="n">
        <f aca="false">HLOOKUP(E2,物流参数!$A$1:$FT$37,35)</f>
        <v>0</v>
      </c>
      <c r="F22" s="212" t="e">
        <f aca="false">HLOOKUP(F2,物流参数!$A$1:$FT$37,35)</f>
        <v>#N/A</v>
      </c>
      <c r="G22" s="212" t="e">
        <f aca="false">F22</f>
        <v>#N/A</v>
      </c>
      <c r="H22" s="212" t="e">
        <f aca="false">HLOOKUP(H2,物流参数!$A$1:$FT$37,35)</f>
        <v>#N/A</v>
      </c>
      <c r="I22" s="212" t="e">
        <f aca="false">H22</f>
        <v>#N/A</v>
      </c>
      <c r="J22" s="212" t="n">
        <f aca="false">HLOOKUP(J2,物流参数!$A$1:$FT$37,35)</f>
        <v>0</v>
      </c>
      <c r="K22" s="212" t="n">
        <f aca="false">HLOOKUP(K2,物流参数!$A$1:$FT$37,35)</f>
        <v>0</v>
      </c>
      <c r="L22" s="212" t="n">
        <f aca="false">HLOOKUP(L2,物流参数!$A$1:$FT$37,35)</f>
        <v>0</v>
      </c>
      <c r="M22" s="212" t="n">
        <f aca="false">HLOOKUP(M2,物流参数!$A$1:$FT$37,35)</f>
        <v>0</v>
      </c>
      <c r="N22" s="212" t="n">
        <f aca="false">HLOOKUP(N2,物流参数!$A$1:$FT$37,35)</f>
        <v>0</v>
      </c>
      <c r="O22" s="212" t="n">
        <f aca="false">HLOOKUP(O2,物流参数!$A$1:$FT$37,35)</f>
        <v>0</v>
      </c>
      <c r="P22" s="212" t="n">
        <f aca="false">HLOOKUP(P2,物流参数!$A$1:$FT$37,35)</f>
        <v>0</v>
      </c>
      <c r="Q22" s="212" t="n">
        <f aca="false">HLOOKUP(Q2,物流参数!$A$1:$FT$37,35)</f>
        <v>0</v>
      </c>
      <c r="R22" s="212" t="n">
        <f aca="false">HLOOKUP(R2,物流参数!$A$1:$FT$37,35)</f>
        <v>0</v>
      </c>
      <c r="S22" s="581" t="n">
        <v>16</v>
      </c>
      <c r="T22" s="581" t="n">
        <v>16</v>
      </c>
      <c r="U22" s="212" t="n">
        <f aca="false">HLOOKUP(U2,物流参数!$A$1:$FT$37,35)</f>
        <v>0</v>
      </c>
      <c r="V22" s="581" t="n">
        <v>16</v>
      </c>
      <c r="W22" s="581" t="n">
        <v>16</v>
      </c>
      <c r="X22" s="212" t="n">
        <f aca="false">HLOOKUP(X2,物流参数!$A$1:$FT$37,35)</f>
        <v>0</v>
      </c>
      <c r="Y22" s="212" t="n">
        <f aca="false">HLOOKUP(Y2,物流参数!$A$1:$FT$37,35)</f>
        <v>0</v>
      </c>
      <c r="Z22" s="212" t="n">
        <f aca="false">HLOOKUP(Z2,物流参数!$A$1:$FT$37,35)</f>
        <v>0</v>
      </c>
      <c r="AA22" s="212" t="n">
        <f aca="false">HLOOKUP(AA2,物流参数!$A$1:$FT$37,35)</f>
        <v>0</v>
      </c>
      <c r="AB22" s="212" t="n">
        <f aca="false">HLOOKUP(AB2,物流参数!$A$1:$FT$37,35)</f>
        <v>0</v>
      </c>
      <c r="AC22" s="212" t="n">
        <f aca="false">HLOOKUP(AC2,物流参数!$A$1:$FT$37,35)</f>
        <v>0</v>
      </c>
      <c r="AD22" s="212" t="n">
        <f aca="false">HLOOKUP(AD2,物流参数!$A$1:$FT$37,35)</f>
        <v>0</v>
      </c>
      <c r="AE22" s="212" t="n">
        <f aca="false">HLOOKUP(AE2,物流参数!$A$1:$FT$37,35)</f>
        <v>0</v>
      </c>
      <c r="AF22" s="581" t="n">
        <v>11</v>
      </c>
      <c r="AG22" s="581" t="n">
        <v>11</v>
      </c>
      <c r="AH22" s="581"/>
      <c r="AI22" s="212" t="e">
        <f aca="false">HLOOKUP(AI2,物流参数!$FZ$1:$IA$37,35)</f>
        <v>#N/A</v>
      </c>
      <c r="AJ22" s="212" t="e">
        <f aca="false">HLOOKUP(AJ2,物流参数!$FZ$1:$IA$37,35)</f>
        <v>#N/A</v>
      </c>
      <c r="AK22" s="212"/>
      <c r="AL22" s="212"/>
      <c r="AM22" s="212"/>
      <c r="AN22" s="212"/>
      <c r="AO22" s="212"/>
      <c r="AP22" s="212"/>
      <c r="AQ22" s="212"/>
      <c r="AR22" s="212"/>
      <c r="AS22" s="212"/>
      <c r="AT22" s="212"/>
      <c r="AU22" s="212"/>
      <c r="AV22" s="212"/>
      <c r="AW22" s="212"/>
      <c r="AX22" s="212"/>
      <c r="AY22" s="212"/>
      <c r="AZ22" s="212"/>
      <c r="BA22" s="212"/>
      <c r="BB22" s="212"/>
      <c r="BC22" s="212"/>
      <c r="BD22" s="212"/>
      <c r="BE22" s="212"/>
      <c r="BF22" s="212"/>
      <c r="BG22" s="212"/>
      <c r="BH22" s="212"/>
      <c r="BI22" s="212"/>
      <c r="BJ22" s="212"/>
      <c r="BK22" s="212"/>
      <c r="BL22" s="212"/>
      <c r="BM22" s="212"/>
      <c r="BN22" s="212"/>
      <c r="BO22" s="212"/>
      <c r="BP22" s="212"/>
      <c r="BQ22" s="212"/>
      <c r="BR22" s="212"/>
      <c r="BS22" s="212"/>
      <c r="BT22" s="212"/>
      <c r="BU22" s="212"/>
      <c r="BV22" s="212"/>
      <c r="BW22" s="212"/>
      <c r="BX22" s="212"/>
      <c r="BY22" s="212"/>
      <c r="BZ22" s="212"/>
      <c r="CA22" s="212"/>
      <c r="CB22" s="212"/>
      <c r="CC22" s="212"/>
      <c r="CD22" s="212"/>
      <c r="CE22" s="212"/>
      <c r="CF22" s="212"/>
      <c r="CG22" s="212"/>
      <c r="CH22" s="212"/>
      <c r="CI22" s="212"/>
      <c r="CJ22" s="212"/>
      <c r="CK22" s="212"/>
      <c r="CL22" s="212"/>
      <c r="CM22" s="212"/>
      <c r="CN22" s="212"/>
      <c r="CO22" s="212"/>
      <c r="CP22" s="212"/>
      <c r="CQ22" s="212"/>
      <c r="CR22" s="212"/>
      <c r="CS22" s="212"/>
      <c r="CT22" s="212"/>
      <c r="CU22" s="212"/>
      <c r="CV22" s="212"/>
      <c r="CW22" s="212"/>
      <c r="CX22" s="212"/>
      <c r="CY22" s="212"/>
      <c r="CZ22" s="212"/>
      <c r="DA22" s="212"/>
      <c r="DB22" s="212"/>
      <c r="DC22" s="212"/>
      <c r="DD22" s="212"/>
      <c r="DE22" s="212"/>
      <c r="DF22" s="212"/>
      <c r="DG22" s="212"/>
      <c r="DH22" s="212"/>
      <c r="DI22" s="212"/>
      <c r="DJ22" s="212"/>
      <c r="DK22" s="212"/>
      <c r="DL22" s="212"/>
      <c r="DM22" s="212"/>
      <c r="DN22" s="212"/>
      <c r="DO22" s="212"/>
      <c r="DP22" s="212"/>
      <c r="DQ22" s="212"/>
      <c r="DR22" s="212"/>
      <c r="DS22" s="212"/>
      <c r="DT22" s="212"/>
      <c r="DU22" s="212"/>
      <c r="DV22" s="212"/>
      <c r="DW22" s="212"/>
      <c r="DX22" s="212"/>
      <c r="DY22" s="212"/>
      <c r="DZ22" s="212"/>
      <c r="EA22" s="212"/>
      <c r="EB22" s="212"/>
      <c r="EC22" s="212"/>
      <c r="ED22" s="212"/>
      <c r="EE22" s="212"/>
      <c r="EF22" s="212"/>
      <c r="EG22" s="212"/>
      <c r="EH22" s="212"/>
      <c r="EI22" s="212"/>
      <c r="EJ22" s="212"/>
      <c r="EK22" s="212"/>
      <c r="EL22" s="212"/>
      <c r="EM22" s="212"/>
      <c r="EN22" s="212"/>
      <c r="EO22" s="212"/>
      <c r="EP22" s="212"/>
      <c r="EQ22" s="212"/>
      <c r="ER22" s="212"/>
      <c r="ES22" s="212"/>
      <c r="ET22" s="212"/>
      <c r="EU22" s="212"/>
      <c r="EV22" s="212"/>
      <c r="EW22" s="212"/>
      <c r="EX22" s="212"/>
      <c r="EY22" s="212"/>
      <c r="EZ22" s="212"/>
      <c r="FA22" s="212"/>
      <c r="FB22" s="212"/>
      <c r="FC22" s="212"/>
      <c r="FD22" s="212"/>
      <c r="FE22" s="212"/>
      <c r="FF22" s="212"/>
      <c r="FG22" s="212"/>
      <c r="FH22" s="212"/>
      <c r="FI22" s="212"/>
      <c r="FJ22" s="212"/>
      <c r="FK22" s="212"/>
      <c r="FL22" s="212"/>
      <c r="FM22" s="212"/>
      <c r="FN22" s="212"/>
      <c r="FO22" s="212"/>
      <c r="FP22" s="212"/>
      <c r="FQ22" s="212"/>
      <c r="FR22" s="212"/>
      <c r="FS22" s="212"/>
      <c r="FT22" s="212"/>
      <c r="FU22" s="212"/>
      <c r="FV22" s="212"/>
      <c r="FW22" s="212"/>
      <c r="FX22" s="212"/>
      <c r="FY22" s="212"/>
      <c r="FZ22" s="212"/>
      <c r="GA22" s="212"/>
      <c r="GB22" s="212"/>
      <c r="GC22" s="212"/>
      <c r="GD22" s="212"/>
      <c r="GE22" s="212"/>
      <c r="GF22" s="212"/>
      <c r="GG22" s="212"/>
      <c r="GH22" s="212"/>
      <c r="GI22" s="212"/>
      <c r="GJ22" s="212"/>
      <c r="GK22" s="212"/>
      <c r="GL22" s="212"/>
      <c r="GM22" s="212"/>
      <c r="GN22" s="212"/>
      <c r="GO22" s="212"/>
      <c r="GP22" s="212"/>
      <c r="GQ22" s="212"/>
      <c r="GR22" s="212"/>
      <c r="GS22" s="212"/>
      <c r="GT22" s="212"/>
      <c r="GU22" s="212"/>
      <c r="GV22" s="212"/>
      <c r="GW22" s="212"/>
      <c r="GX22" s="212"/>
      <c r="GY22" s="212"/>
      <c r="GZ22" s="212"/>
      <c r="HA22" s="212"/>
      <c r="HB22" s="212"/>
      <c r="HC22" s="212"/>
      <c r="HD22" s="212"/>
      <c r="HE22" s="212"/>
      <c r="HF22" s="212"/>
      <c r="HG22" s="212"/>
      <c r="HH22" s="212"/>
      <c r="HI22" s="212"/>
      <c r="HJ22" s="212"/>
      <c r="HK22" s="212"/>
      <c r="HL22" s="212"/>
      <c r="HM22" s="212"/>
      <c r="HN22" s="212"/>
      <c r="HO22" s="212"/>
      <c r="HP22" s="212"/>
      <c r="HQ22" s="212"/>
      <c r="HR22" s="212"/>
      <c r="HS22" s="212"/>
      <c r="HT22" s="212"/>
      <c r="HU22" s="212"/>
      <c r="HV22" s="212"/>
      <c r="HW22" s="212"/>
      <c r="HX22" s="212"/>
      <c r="HY22" s="212"/>
      <c r="HZ22" s="212"/>
      <c r="IA22" s="212"/>
      <c r="IB22" s="212"/>
      <c r="IC22" s="212"/>
      <c r="ID22" s="212"/>
      <c r="IE22" s="212"/>
      <c r="IF22" s="212"/>
      <c r="IG22" s="212"/>
      <c r="IH22" s="212"/>
      <c r="II22" s="212"/>
      <c r="IJ22" s="212"/>
      <c r="IK22" s="212"/>
      <c r="IL22" s="212"/>
      <c r="IM22" s="212"/>
      <c r="IN22" s="212"/>
      <c r="IO22" s="212"/>
      <c r="IP22" s="212"/>
      <c r="IQ22" s="212"/>
      <c r="IR22" s="212"/>
      <c r="IS22" s="212"/>
      <c r="IT22" s="212"/>
      <c r="IU22" s="212"/>
      <c r="IV22" s="212"/>
      <c r="IW22" s="212"/>
      <c r="IX22" s="212"/>
      <c r="IY22" s="212"/>
      <c r="IZ22" s="212"/>
      <c r="JA22" s="212"/>
      <c r="JB22" s="212"/>
      <c r="JC22" s="212"/>
      <c r="JD22" s="212"/>
      <c r="JE22" s="212"/>
      <c r="JF22" s="212"/>
      <c r="JG22" s="212"/>
      <c r="JH22" s="212"/>
      <c r="JI22" s="212"/>
      <c r="JJ22" s="212"/>
      <c r="JK22" s="212"/>
      <c r="JL22" s="212"/>
      <c r="JM22" s="212"/>
      <c r="JN22" s="212"/>
      <c r="JO22" s="212"/>
      <c r="JP22" s="212"/>
      <c r="JQ22" s="212"/>
      <c r="JR22" s="212"/>
      <c r="JS22" s="212"/>
      <c r="JT22" s="212"/>
      <c r="JU22" s="212"/>
      <c r="JV22" s="212"/>
      <c r="JW22" s="212"/>
      <c r="JX22" s="212"/>
      <c r="JY22" s="212"/>
      <c r="JZ22" s="212"/>
      <c r="KA22" s="212"/>
      <c r="KB22" s="212"/>
      <c r="KC22" s="212"/>
      <c r="KD22" s="212"/>
      <c r="KE22" s="212"/>
      <c r="KF22" s="212"/>
      <c r="KG22" s="212"/>
      <c r="KH22" s="212"/>
      <c r="KI22" s="212"/>
      <c r="KJ22" s="212"/>
      <c r="KK22" s="212"/>
      <c r="KL22" s="212"/>
      <c r="KM22" s="212"/>
      <c r="KN22" s="212"/>
      <c r="KO22" s="212"/>
      <c r="KP22" s="212"/>
      <c r="KQ22" s="212"/>
      <c r="KR22" s="212"/>
      <c r="KS22" s="212"/>
      <c r="KT22" s="212"/>
      <c r="KU22" s="212"/>
      <c r="KV22" s="212"/>
      <c r="KW22" s="212"/>
      <c r="KX22" s="212"/>
      <c r="KY22" s="212"/>
      <c r="KZ22" s="212"/>
      <c r="LA22" s="212"/>
      <c r="LB22" s="212"/>
      <c r="LC22" s="212"/>
      <c r="LD22" s="212"/>
      <c r="LE22" s="212"/>
      <c r="LF22" s="212"/>
      <c r="LG22" s="212"/>
      <c r="LH22" s="212"/>
      <c r="LI22" s="212"/>
      <c r="LJ22" s="212"/>
      <c r="LK22" s="212"/>
      <c r="LL22" s="212"/>
      <c r="LM22" s="212"/>
      <c r="LN22" s="212"/>
      <c r="LO22" s="212"/>
      <c r="LP22" s="212"/>
      <c r="LQ22" s="212"/>
      <c r="LR22" s="212"/>
      <c r="LS22" s="212"/>
      <c r="LT22" s="212"/>
      <c r="LU22" s="212"/>
      <c r="LV22" s="212"/>
      <c r="LW22" s="212"/>
      <c r="LX22" s="212"/>
      <c r="LY22" s="212"/>
      <c r="LZ22" s="212"/>
      <c r="MA22" s="212"/>
      <c r="MB22" s="212"/>
      <c r="MC22" s="212"/>
      <c r="MD22" s="212"/>
      <c r="ME22" s="212"/>
      <c r="MF22" s="212"/>
      <c r="MG22" s="212"/>
      <c r="MH22" s="212"/>
      <c r="MI22" s="212"/>
      <c r="MJ22" s="212"/>
      <c r="MK22" s="212"/>
      <c r="ML22" s="212"/>
      <c r="MM22" s="212"/>
      <c r="MN22" s="212"/>
      <c r="MO22" s="212"/>
      <c r="MP22" s="212"/>
      <c r="MQ22" s="212"/>
      <c r="MR22" s="212"/>
      <c r="MS22" s="212"/>
      <c r="MT22" s="212"/>
      <c r="MU22" s="212"/>
      <c r="MV22" s="212"/>
      <c r="MW22" s="212"/>
      <c r="MX22" s="212"/>
      <c r="MY22" s="212"/>
      <c r="MZ22" s="212"/>
      <c r="NA22" s="212"/>
      <c r="NB22" s="212"/>
      <c r="NC22" s="212"/>
      <c r="ND22" s="212"/>
      <c r="NE22" s="212"/>
      <c r="NF22" s="212"/>
    </row>
    <row r="23" customFormat="false" ht="15" hidden="false" customHeight="false" outlineLevel="0" collapsed="false">
      <c r="A23" s="979"/>
      <c r="B23" s="979"/>
      <c r="C23" s="581"/>
      <c r="D23" s="581"/>
      <c r="E23" s="581"/>
      <c r="F23" s="581"/>
      <c r="G23" s="581"/>
      <c r="H23" s="581"/>
      <c r="I23" s="581"/>
      <c r="J23" s="581"/>
      <c r="K23" s="581"/>
      <c r="L23" s="581"/>
      <c r="M23" s="581"/>
      <c r="N23" s="581"/>
      <c r="O23" s="581"/>
      <c r="P23" s="581"/>
      <c r="Q23" s="581"/>
      <c r="R23" s="581"/>
      <c r="S23" s="581"/>
      <c r="T23" s="581"/>
      <c r="U23" s="581"/>
      <c r="V23" s="581"/>
      <c r="W23" s="581"/>
      <c r="X23" s="581"/>
      <c r="Y23" s="581"/>
      <c r="Z23" s="581"/>
      <c r="AA23" s="581"/>
      <c r="AB23" s="581"/>
      <c r="AC23" s="581"/>
      <c r="AD23" s="581"/>
      <c r="AE23" s="581"/>
      <c r="AF23" s="581"/>
      <c r="AG23" s="581"/>
      <c r="AH23" s="581"/>
    </row>
    <row r="24" customFormat="false" ht="15" hidden="false" customHeight="false" outlineLevel="0" collapsed="false">
      <c r="A24" s="991" t="s">
        <v>1610</v>
      </c>
      <c r="B24" s="243"/>
      <c r="C24" s="243"/>
      <c r="D24" s="243"/>
      <c r="E24" s="243"/>
      <c r="F24" s="243"/>
      <c r="G24" s="243"/>
      <c r="H24" s="243"/>
      <c r="I24" s="243"/>
      <c r="J24" s="243"/>
      <c r="K24" s="243"/>
      <c r="L24" s="243"/>
      <c r="M24" s="243"/>
      <c r="N24" s="243"/>
      <c r="O24" s="243"/>
      <c r="P24" s="243"/>
      <c r="Q24" s="243"/>
      <c r="R24" s="243"/>
      <c r="S24" s="243"/>
      <c r="T24" s="243"/>
      <c r="U24" s="243"/>
      <c r="V24" s="243"/>
      <c r="W24" s="243"/>
      <c r="X24" s="243"/>
      <c r="Y24" s="243"/>
      <c r="Z24" s="243"/>
      <c r="AA24" s="243"/>
      <c r="AB24" s="243"/>
      <c r="AC24" s="243"/>
      <c r="AD24" s="243"/>
      <c r="AE24" s="243"/>
      <c r="AF24" s="243"/>
      <c r="AG24" s="243"/>
      <c r="AH24" s="243"/>
      <c r="AI24" s="243"/>
      <c r="AJ24" s="243"/>
    </row>
    <row r="25" s="243" customFormat="true" ht="15" hidden="false" customHeight="false" outlineLevel="0" collapsed="false">
      <c r="A25" s="979" t="s">
        <v>1611</v>
      </c>
      <c r="B25" s="979"/>
      <c r="C25" s="992" t="e">
        <f aca="false">C41*C41/9.807*C39/4</f>
        <v>#N/A</v>
      </c>
      <c r="D25" s="992" t="n">
        <f aca="false">D41*D41/9.807*D39/4</f>
        <v>0.000145011194787544</v>
      </c>
      <c r="E25" s="992" t="e">
        <f aca="false">E41*E41/9.807*E39/4</f>
        <v>#DIV/0!</v>
      </c>
      <c r="F25" s="992" t="e">
        <f aca="false">F41*F41/9.807*F39/4</f>
        <v>#N/A</v>
      </c>
      <c r="G25" s="992" t="e">
        <f aca="false">G41*G41/9.807*G39/4</f>
        <v>#DIV/0!</v>
      </c>
      <c r="H25" s="992" t="e">
        <f aca="false">H41*H41/9.807*H39/4</f>
        <v>#N/A</v>
      </c>
      <c r="I25" s="992" t="e">
        <f aca="false">I41*I41/9.807*I39/4</f>
        <v>#DIV/0!</v>
      </c>
      <c r="J25" s="992" t="e">
        <f aca="false">J41*J41/9.807*J39/4</f>
        <v>#DIV/0!</v>
      </c>
      <c r="K25" s="992" t="e">
        <f aca="false">K41*K41/9.807*K39/4</f>
        <v>#DIV/0!</v>
      </c>
      <c r="L25" s="992" t="e">
        <f aca="false">L41*L41/9.807*L39/4</f>
        <v>#DIV/0!</v>
      </c>
      <c r="M25" s="992" t="e">
        <f aca="false">M41*M41/9.807*M39/4</f>
        <v>#DIV/0!</v>
      </c>
      <c r="N25" s="992" t="e">
        <f aca="false">N41*N41/9.807*N39/4</f>
        <v>#DIV/0!</v>
      </c>
      <c r="O25" s="992" t="e">
        <f aca="false">O41*O41/9.807*O39/4</f>
        <v>#DIV/0!</v>
      </c>
      <c r="P25" s="992" t="e">
        <f aca="false">P41*P41/9.807*P39/4</f>
        <v>#DIV/0!</v>
      </c>
      <c r="Q25" s="992" t="e">
        <f aca="false">Q41*Q41/9.807*Q39/4</f>
        <v>#DIV/0!</v>
      </c>
      <c r="R25" s="992" t="n">
        <f aca="false">R41*R41/9.807*R39/4</f>
        <v>9.21451806729248E-005</v>
      </c>
      <c r="S25" s="992" t="e">
        <f aca="false">S41*S41/9.807*S39/4</f>
        <v>#DIV/0!</v>
      </c>
      <c r="T25" s="992" t="e">
        <f aca="false">T41*T41/9.807*T39/4</f>
        <v>#DIV/0!</v>
      </c>
      <c r="U25" s="992" t="e">
        <f aca="false">U41*U41/9.807*U39/4</f>
        <v>#DIV/0!</v>
      </c>
      <c r="V25" s="992" t="e">
        <f aca="false">V41*V41/9.807*V39/4</f>
        <v>#DIV/0!</v>
      </c>
      <c r="W25" s="992" t="e">
        <f aca="false">W41*W41/9.807*W39/4</f>
        <v>#DIV/0!</v>
      </c>
      <c r="X25" s="992" t="e">
        <f aca="false">X41*X41/9.807*X39/4</f>
        <v>#DIV/0!</v>
      </c>
      <c r="Y25" s="992" t="e">
        <f aca="false">Y41*Y41/9.807*Y39/4</f>
        <v>#DIV/0!</v>
      </c>
      <c r="Z25" s="992" t="e">
        <f aca="false">Z41*Z41/9.807*Z39/4</f>
        <v>#DIV/0!</v>
      </c>
      <c r="AA25" s="992" t="e">
        <f aca="false">AA41*AA41/9.807*AA39/4</f>
        <v>#DIV/0!</v>
      </c>
      <c r="AB25" s="992" t="e">
        <f aca="false">AB41*AB41/9.807*AB39/4</f>
        <v>#DIV/0!</v>
      </c>
      <c r="AC25" s="992" t="e">
        <f aca="false">AC41*AC41/9.807*AC39/4</f>
        <v>#DIV/0!</v>
      </c>
      <c r="AD25" s="992" t="e">
        <f aca="false">AD41*AD41/9.807*AD39/4</f>
        <v>#DIV/0!</v>
      </c>
      <c r="AE25" s="992" t="e">
        <f aca="false">AE41*AE41/9.807*AE39/4</f>
        <v>#DIV/0!</v>
      </c>
      <c r="AF25" s="992" t="e">
        <f aca="false">AF41*AF41/9.807*AF39/4</f>
        <v>#DIV/0!</v>
      </c>
      <c r="AG25" s="992" t="n">
        <f aca="false">AG41*AG41/9.807*AG39/4</f>
        <v>0.00105798744255601</v>
      </c>
      <c r="AH25" s="992"/>
      <c r="AI25" s="992" t="e">
        <f aca="false">AI41*AI41/9.807*AI39/4</f>
        <v>#N/A</v>
      </c>
      <c r="AJ25" s="992" t="e">
        <f aca="false">AJ41*AJ41/9.807*AJ39/4</f>
        <v>#N/A</v>
      </c>
    </row>
    <row r="26" customFormat="false" ht="15" hidden="false" customHeight="false" outlineLevel="0" collapsed="false">
      <c r="A26" s="979" t="s">
        <v>1612</v>
      </c>
      <c r="B26" s="979"/>
      <c r="C26" s="993" t="e">
        <f aca="false">C15/(C15+C18)</f>
        <v>#N/A</v>
      </c>
      <c r="D26" s="993" t="n">
        <f aca="false">D15/(D15+D18)</f>
        <v>0.999990397031066</v>
      </c>
      <c r="E26" s="993" t="e">
        <f aca="false">E15/(E15+E18)</f>
        <v>#DIV/0!</v>
      </c>
      <c r="F26" s="993" t="e">
        <f aca="false">F15/(F15+F18)</f>
        <v>#N/A</v>
      </c>
      <c r="G26" s="993" t="e">
        <f aca="false">G15/(G15+G18)</f>
        <v>#DIV/0!</v>
      </c>
      <c r="H26" s="993" t="e">
        <f aca="false">H15/(H15+H18)</f>
        <v>#N/A</v>
      </c>
      <c r="I26" s="993" t="e">
        <f aca="false">I15/(I15+I18)</f>
        <v>#DIV/0!</v>
      </c>
      <c r="J26" s="993" t="e">
        <f aca="false">J15/(J15+J18)</f>
        <v>#DIV/0!</v>
      </c>
      <c r="K26" s="993" t="e">
        <f aca="false">K15/(K15+K18)</f>
        <v>#DIV/0!</v>
      </c>
      <c r="L26" s="993" t="e">
        <f aca="false">L15/(L15+L18)</f>
        <v>#DIV/0!</v>
      </c>
      <c r="M26" s="993" t="e">
        <f aca="false">M15/(M15+M18)</f>
        <v>#DIV/0!</v>
      </c>
      <c r="N26" s="993" t="e">
        <f aca="false">N15/(N15+N18)</f>
        <v>#DIV/0!</v>
      </c>
      <c r="O26" s="993" t="e">
        <f aca="false">O15/(O15+O18)</f>
        <v>#DIV/0!</v>
      </c>
      <c r="P26" s="993" t="e">
        <f aca="false">P15/(P15+P18)</f>
        <v>#DIV/0!</v>
      </c>
      <c r="Q26" s="993" t="e">
        <f aca="false">Q15/(Q15+Q18)</f>
        <v>#DIV/0!</v>
      </c>
      <c r="R26" s="993" t="n">
        <f aca="false">R15/(R15+R18)</f>
        <v>0.999990563375161</v>
      </c>
      <c r="S26" s="993" t="e">
        <f aca="false">S15/(S15+S18)</f>
        <v>#DIV/0!</v>
      </c>
      <c r="T26" s="993" t="e">
        <f aca="false">T15/(T15+T18)</f>
        <v>#DIV/0!</v>
      </c>
      <c r="U26" s="993" t="e">
        <f aca="false">U15/(U15+U18)</f>
        <v>#DIV/0!</v>
      </c>
      <c r="V26" s="993" t="e">
        <f aca="false">V15/(V15+V18)</f>
        <v>#DIV/0!</v>
      </c>
      <c r="W26" s="993" t="e">
        <f aca="false">W15/(W15+W18)</f>
        <v>#DIV/0!</v>
      </c>
      <c r="X26" s="993" t="e">
        <f aca="false">X15/(X15+X18)</f>
        <v>#DIV/0!</v>
      </c>
      <c r="Y26" s="993" t="e">
        <f aca="false">Y15/(Y15+Y18)</f>
        <v>#DIV/0!</v>
      </c>
      <c r="Z26" s="993" t="e">
        <f aca="false">Z15/(Z15+Z18)</f>
        <v>#DIV/0!</v>
      </c>
      <c r="AA26" s="993" t="e">
        <f aca="false">AA15/(AA15+AA18)</f>
        <v>#DIV/0!</v>
      </c>
      <c r="AB26" s="993" t="e">
        <f aca="false">AB15/(AB15+AB18)</f>
        <v>#DIV/0!</v>
      </c>
      <c r="AC26" s="993" t="e">
        <f aca="false">AC15/(AC15+AC18)</f>
        <v>#DIV/0!</v>
      </c>
      <c r="AD26" s="993" t="e">
        <f aca="false">AD15/(AD15+AD18)</f>
        <v>#DIV/0!</v>
      </c>
      <c r="AE26" s="993" t="e">
        <f aca="false">AE15/(AE15+AE18)</f>
        <v>#DIV/0!</v>
      </c>
      <c r="AF26" s="993" t="e">
        <f aca="false">AF15/(AF15+AF18)</f>
        <v>#DIV/0!</v>
      </c>
      <c r="AG26" s="993" t="n">
        <f aca="false">AG15/(AG15+AG18)</f>
        <v>0.999974254123589</v>
      </c>
      <c r="AH26" s="993"/>
      <c r="AI26" s="993" t="e">
        <f aca="false">AI15/(AI15+AI18)</f>
        <v>#N/A</v>
      </c>
      <c r="AJ26" s="993" t="e">
        <f aca="false">AJ15/(AJ15+AJ18)</f>
        <v>#N/A</v>
      </c>
    </row>
    <row r="27" customFormat="false" ht="15" hidden="false" customHeight="false" outlineLevel="0" collapsed="false">
      <c r="A27" s="979" t="s">
        <v>1613</v>
      </c>
      <c r="B27" s="979"/>
      <c r="C27" s="581" t="s">
        <v>1614</v>
      </c>
      <c r="D27" s="581" t="s">
        <v>1614</v>
      </c>
      <c r="E27" s="581" t="s">
        <v>1614</v>
      </c>
      <c r="F27" s="581" t="s">
        <v>1614</v>
      </c>
      <c r="G27" s="581" t="s">
        <v>1614</v>
      </c>
      <c r="H27" s="581" t="s">
        <v>1614</v>
      </c>
      <c r="I27" s="581" t="s">
        <v>1614</v>
      </c>
      <c r="J27" s="581" t="s">
        <v>1614</v>
      </c>
      <c r="K27" s="581" t="s">
        <v>1614</v>
      </c>
      <c r="L27" s="581" t="s">
        <v>1614</v>
      </c>
      <c r="M27" s="581" t="s">
        <v>1614</v>
      </c>
      <c r="N27" s="581" t="s">
        <v>1614</v>
      </c>
      <c r="O27" s="581" t="s">
        <v>1614</v>
      </c>
      <c r="P27" s="581" t="s">
        <v>1614</v>
      </c>
      <c r="Q27" s="581" t="s">
        <v>1614</v>
      </c>
      <c r="R27" s="581" t="s">
        <v>1614</v>
      </c>
      <c r="S27" s="581" t="s">
        <v>1614</v>
      </c>
      <c r="T27" s="581" t="s">
        <v>1614</v>
      </c>
      <c r="U27" s="581" t="s">
        <v>1614</v>
      </c>
      <c r="V27" s="581" t="s">
        <v>1614</v>
      </c>
      <c r="W27" s="581" t="s">
        <v>1614</v>
      </c>
      <c r="X27" s="581" t="s">
        <v>1615</v>
      </c>
      <c r="Y27" s="581" t="s">
        <v>1615</v>
      </c>
      <c r="Z27" s="581" t="s">
        <v>1615</v>
      </c>
      <c r="AA27" s="581" t="s">
        <v>1615</v>
      </c>
      <c r="AB27" s="581" t="s">
        <v>1615</v>
      </c>
      <c r="AC27" s="581" t="s">
        <v>1614</v>
      </c>
      <c r="AD27" s="581" t="s">
        <v>1614</v>
      </c>
      <c r="AE27" s="581" t="s">
        <v>1614</v>
      </c>
      <c r="AF27" s="581" t="s">
        <v>1614</v>
      </c>
      <c r="AG27" s="581" t="s">
        <v>1615</v>
      </c>
      <c r="AH27" s="581"/>
      <c r="AI27" s="581" t="s">
        <v>1614</v>
      </c>
      <c r="AJ27" s="581" t="s">
        <v>1614</v>
      </c>
    </row>
    <row r="28" customFormat="false" ht="15" hidden="false" customHeight="false" outlineLevel="0" collapsed="false">
      <c r="A28" s="979" t="s">
        <v>1616</v>
      </c>
      <c r="B28" s="979" t="s">
        <v>444</v>
      </c>
      <c r="C28" s="992" t="e">
        <f aca="false">0.0003537*C15*C39^-2</f>
        <v>#N/A</v>
      </c>
      <c r="D28" s="992" t="n">
        <f aca="false">0.0003537*D15*D39^-2</f>
        <v>0.137700035060382</v>
      </c>
      <c r="E28" s="992" t="n">
        <f aca="false">0.0003537*E15*E39^-2</f>
        <v>0.152148573248408</v>
      </c>
      <c r="F28" s="992" t="e">
        <f aca="false">0.0003537*F15*F39^-2</f>
        <v>#N/A</v>
      </c>
      <c r="G28" s="992" t="e">
        <f aca="false">0.0003537*G15*G39^-2</f>
        <v>#DIV/0!</v>
      </c>
      <c r="H28" s="992" t="e">
        <f aca="false">0.0003537*H15*H39^-2</f>
        <v>#N/A</v>
      </c>
      <c r="I28" s="992" t="e">
        <f aca="false">0.0003537*I15*I39^-2</f>
        <v>#DIV/0!</v>
      </c>
      <c r="J28" s="992" t="n">
        <f aca="false">0.0003537*J15*J39^-2</f>
        <v>0.111782625243728</v>
      </c>
      <c r="K28" s="992" t="e">
        <f aca="false">0.0003537*K15*K39^-2</f>
        <v>#DIV/0!</v>
      </c>
      <c r="L28" s="992" t="e">
        <f aca="false">0.0003537*L15*L39^-2</f>
        <v>#DIV/0!</v>
      </c>
      <c r="M28" s="992" t="e">
        <f aca="false">0.0003537*M15*M39^-2</f>
        <v>#DIV/0!</v>
      </c>
      <c r="N28" s="992" t="e">
        <f aca="false">0.0003537*N15*N39^-2</f>
        <v>#DIV/0!</v>
      </c>
      <c r="O28" s="992" t="n">
        <f aca="false">0.0003537*O15*O39^-2</f>
        <v>7.11306466132614</v>
      </c>
      <c r="P28" s="992" t="n">
        <f aca="false">0.0003537*P15*P39^-2</f>
        <v>0.0780791796116505</v>
      </c>
      <c r="Q28" s="992" t="n">
        <f aca="false">0.0003537*Q15*Q39^-2</f>
        <v>0.0573642952248861</v>
      </c>
      <c r="R28" s="992" t="n">
        <f aca="false">0.0003537*R15*R39^-2</f>
        <v>0.101623997829089</v>
      </c>
      <c r="S28" s="992" t="n">
        <f aca="false">0.0003537*S15*S39^-2</f>
        <v>0.122081409490334</v>
      </c>
      <c r="T28" s="992" t="n">
        <f aca="false">0.0003537*T15*T39^-2</f>
        <v>0.175797229666081</v>
      </c>
      <c r="U28" s="992" t="n">
        <f aca="false">0.0003537*U15*U39^-2</f>
        <v>0.0529643637545781</v>
      </c>
      <c r="V28" s="992" t="n">
        <f aca="false">0.0003537*V15*V39^-2</f>
        <v>0.450788042049934</v>
      </c>
      <c r="W28" s="992" t="n">
        <f aca="false">0.0003537*W15*W39^-2</f>
        <v>0.97789768079006</v>
      </c>
      <c r="X28" s="992" t="e">
        <f aca="false">0.0003537*X15*X39^-2</f>
        <v>#DIV/0!</v>
      </c>
      <c r="Y28" s="992" t="n">
        <f aca="false">0.0003537*Y15*Y39^-2</f>
        <v>0.0658816984497363</v>
      </c>
      <c r="Z28" s="992" t="n">
        <f aca="false">0.0003537*Z15*Z39^-2</f>
        <v>0.0658816984497363</v>
      </c>
      <c r="AA28" s="992" t="e">
        <f aca="false">0.0003537*AA15*AA39^-2</f>
        <v>#DIV/0!</v>
      </c>
      <c r="AB28" s="992" t="e">
        <f aca="false">0.0003537*AB15*AB39^-2</f>
        <v>#DIV/0!</v>
      </c>
      <c r="AC28" s="992" t="e">
        <f aca="false">0.0003537*AC15*AC39^-2</f>
        <v>#DIV/0!</v>
      </c>
      <c r="AD28" s="992" t="e">
        <f aca="false">0.0003537*AD15*AD39^-2</f>
        <v>#DIV/0!</v>
      </c>
      <c r="AE28" s="992" t="n">
        <f aca="false">0.0003537*AE15*AE39^-2</f>
        <v>0.0300218797323657</v>
      </c>
      <c r="AF28" s="992" t="e">
        <f aca="false">0.0003537*AF15*AF39^-2</f>
        <v>#DIV/0!</v>
      </c>
      <c r="AG28" s="992" t="n">
        <f aca="false">0.0003537*AG15*AG39^-2</f>
        <v>0.644209549569941</v>
      </c>
      <c r="AH28" s="992"/>
      <c r="AI28" s="992" t="e">
        <f aca="false">0.0003537*AI15*AI39^-2</f>
        <v>#N/A</v>
      </c>
      <c r="AJ28" s="992" t="e">
        <f aca="false">0.0003537*AJ15*AJ39^-2</f>
        <v>#N/A</v>
      </c>
    </row>
    <row r="29" customFormat="false" ht="15" hidden="false" customHeight="false" outlineLevel="0" collapsed="false">
      <c r="A29" s="979" t="s">
        <v>1617</v>
      </c>
      <c r="B29" s="979" t="s">
        <v>444</v>
      </c>
      <c r="C29" s="992" t="n">
        <f aca="false">0.0003537*C18*C39^-2</f>
        <v>1.30530091669988E-006</v>
      </c>
      <c r="D29" s="992" t="n">
        <f aca="false">0.0003537*D18*D39^-2</f>
        <v>1.32234185733513E-006</v>
      </c>
      <c r="E29" s="992" t="e">
        <f aca="false">0.0003537*E18*E39^-2</f>
        <v>#DIV/0!</v>
      </c>
      <c r="F29" s="992" t="e">
        <f aca="false">0.0003537*F18*F39^-2</f>
        <v>#N/A</v>
      </c>
      <c r="G29" s="992" t="e">
        <f aca="false">0.0003537*G18*G39^-2</f>
        <v>#DIV/0!</v>
      </c>
      <c r="H29" s="992" t="e">
        <f aca="false">0.0003537*H18*H39^-2</f>
        <v>#N/A</v>
      </c>
      <c r="I29" s="992" t="e">
        <f aca="false">0.0003537*I18*I39^-2</f>
        <v>#DIV/0!</v>
      </c>
      <c r="J29" s="992" t="e">
        <f aca="false">0.0003537*J18*J39^-2</f>
        <v>#DIV/0!</v>
      </c>
      <c r="K29" s="992" t="e">
        <f aca="false">0.0003537*K18*K39^-2</f>
        <v>#DIV/0!</v>
      </c>
      <c r="L29" s="992" t="e">
        <f aca="false">0.0003537*L18*L39^-2</f>
        <v>#DIV/0!</v>
      </c>
      <c r="M29" s="992" t="e">
        <f aca="false">0.0003537*M18*M39^-2</f>
        <v>#DIV/0!</v>
      </c>
      <c r="N29" s="992" t="e">
        <f aca="false">0.0003537*N18*N39^-2</f>
        <v>#DIV/0!</v>
      </c>
      <c r="O29" s="992" t="e">
        <f aca="false">0.0003537*O18*O39^-2</f>
        <v>#DIV/0!</v>
      </c>
      <c r="P29" s="992" t="e">
        <f aca="false">0.0003537*P18*P39^-2</f>
        <v>#DIV/0!</v>
      </c>
      <c r="Q29" s="992" t="e">
        <f aca="false">0.0003537*Q18*Q39^-2</f>
        <v>#DIV/0!</v>
      </c>
      <c r="R29" s="992" t="n">
        <f aca="false">0.0003537*R18*R39^-2</f>
        <v>9.58996591861137E-007</v>
      </c>
      <c r="S29" s="992" t="e">
        <f aca="false">0.0003537*S18*S39^-2</f>
        <v>#DIV/0!</v>
      </c>
      <c r="T29" s="992" t="e">
        <f aca="false">0.0003537*T18*T39^-2</f>
        <v>#DIV/0!</v>
      </c>
      <c r="U29" s="992" t="e">
        <f aca="false">0.0003537*U18*U39^-2</f>
        <v>#DIV/0!</v>
      </c>
      <c r="V29" s="992" t="e">
        <f aca="false">0.0003537*V18*V39^-2</f>
        <v>#DIV/0!</v>
      </c>
      <c r="W29" s="992" t="e">
        <f aca="false">0.0003537*W18*W39^-2</f>
        <v>#DIV/0!</v>
      </c>
      <c r="X29" s="992" t="e">
        <f aca="false">0.0003537*X18*X39^-2</f>
        <v>#DIV/0!</v>
      </c>
      <c r="Y29" s="992" t="e">
        <f aca="false">0.0003537*Y18*Y39^-2</f>
        <v>#DIV/0!</v>
      </c>
      <c r="Z29" s="992" t="e">
        <f aca="false">0.0003537*Z18*Z39^-2</f>
        <v>#DIV/0!</v>
      </c>
      <c r="AA29" s="992" t="e">
        <f aca="false">0.0003537*AA18*AA39^-2</f>
        <v>#DIV/0!</v>
      </c>
      <c r="AB29" s="992" t="e">
        <f aca="false">0.0003537*AB18*AB39^-2</f>
        <v>#DIV/0!</v>
      </c>
      <c r="AC29" s="992" t="e">
        <f aca="false">0.0003537*AC18*AC39^-2</f>
        <v>#DIV/0!</v>
      </c>
      <c r="AD29" s="992" t="e">
        <f aca="false">0.0003537*AD18*AD39^-2</f>
        <v>#DIV/0!</v>
      </c>
      <c r="AE29" s="992" t="e">
        <f aca="false">0.0003537*AE18*AE39^-2</f>
        <v>#DIV/0!</v>
      </c>
      <c r="AF29" s="992" t="e">
        <f aca="false">0.0003537*AF18*AF39^-2</f>
        <v>#DIV/0!</v>
      </c>
      <c r="AG29" s="992" t="n">
        <f aca="false">0.0003537*AG18*AG39^-2</f>
        <v>1.65861664712778E-005</v>
      </c>
      <c r="AH29" s="992"/>
      <c r="AI29" s="992" t="e">
        <f aca="false">0.0003537*AI18*AI39^-2</f>
        <v>#N/A</v>
      </c>
      <c r="AJ29" s="992" t="e">
        <f aca="false">0.0003537*AJ18*AJ39^-2</f>
        <v>#N/A</v>
      </c>
    </row>
    <row r="30" customFormat="false" ht="15" hidden="false" customHeight="false" outlineLevel="0" collapsed="false">
      <c r="A30" s="979" t="s">
        <v>1618</v>
      </c>
      <c r="B30" s="979" t="s">
        <v>1619</v>
      </c>
      <c r="C30" s="992" t="n">
        <f aca="false">C19*C29*C29/4</f>
        <v>3.20614537664408E-010</v>
      </c>
      <c r="D30" s="992" t="n">
        <f aca="false">D19*D29*D29/4</f>
        <v>3.24800218707941E-010</v>
      </c>
      <c r="E30" s="992" t="e">
        <f aca="false">E19*E29*E29/4</f>
        <v>#DIV/0!</v>
      </c>
      <c r="F30" s="992" t="e">
        <f aca="false">F19*F29*F29/4</f>
        <v>#N/A</v>
      </c>
      <c r="G30" s="992" t="e">
        <f aca="false">G19*G29*G29/4</f>
        <v>#DIV/0!</v>
      </c>
      <c r="H30" s="992" t="e">
        <f aca="false">H19*H29*H29/4</f>
        <v>#N/A</v>
      </c>
      <c r="I30" s="992" t="e">
        <f aca="false">I19*I29*I29/4</f>
        <v>#DIV/0!</v>
      </c>
      <c r="J30" s="992" t="e">
        <f aca="false">J19*J29*J29/4</f>
        <v>#DIV/0!</v>
      </c>
      <c r="K30" s="992" t="e">
        <f aca="false">K19*K29*K29/4</f>
        <v>#DIV/0!</v>
      </c>
      <c r="L30" s="992" t="e">
        <f aca="false">L19*L29*L29/4</f>
        <v>#DIV/0!</v>
      </c>
      <c r="M30" s="992" t="e">
        <f aca="false">M19*M29*M29/4</f>
        <v>#DIV/0!</v>
      </c>
      <c r="N30" s="992" t="e">
        <f aca="false">N19*N29*N29/4</f>
        <v>#DIV/0!</v>
      </c>
      <c r="O30" s="992" t="e">
        <f aca="false">O19*O29*O29/4</f>
        <v>#DIV/0!</v>
      </c>
      <c r="P30" s="992" t="e">
        <f aca="false">P19*P29*P29/4</f>
        <v>#DIV/0!</v>
      </c>
      <c r="Q30" s="992" t="e">
        <f aca="false">Q19*Q29*Q29/4</f>
        <v>#DIV/0!</v>
      </c>
      <c r="R30" s="992" t="n">
        <f aca="false">R19*R29*R29/4</f>
        <v>1.730597421129E-010</v>
      </c>
      <c r="S30" s="992" t="e">
        <f aca="false">S19*S29*S29/4</f>
        <v>#DIV/0!</v>
      </c>
      <c r="T30" s="992" t="e">
        <f aca="false">T19*T29*T29/4</f>
        <v>#DIV/0!</v>
      </c>
      <c r="U30" s="992" t="e">
        <f aca="false">U19*U29*U29/4</f>
        <v>#DIV/0!</v>
      </c>
      <c r="V30" s="992" t="e">
        <f aca="false">V19*V29*V29/4</f>
        <v>#DIV/0!</v>
      </c>
      <c r="W30" s="992" t="e">
        <f aca="false">W19*W29*W29/4</f>
        <v>#DIV/0!</v>
      </c>
      <c r="X30" s="992" t="e">
        <f aca="false">X19*X29*X29/4</f>
        <v>#DIV/0!</v>
      </c>
      <c r="Y30" s="992" t="e">
        <f aca="false">Y19*Y29*Y29/4</f>
        <v>#DIV/0!</v>
      </c>
      <c r="Z30" s="992" t="e">
        <f aca="false">Z19*Z29*Z29/4</f>
        <v>#DIV/0!</v>
      </c>
      <c r="AA30" s="992" t="e">
        <f aca="false">AA19*AA29*AA29/4</f>
        <v>#DIV/0!</v>
      </c>
      <c r="AB30" s="992" t="e">
        <f aca="false">AB19*AB29*AB29/4</f>
        <v>#DIV/0!</v>
      </c>
      <c r="AC30" s="992" t="e">
        <f aca="false">AC19*AC29*AC29/4</f>
        <v>#DIV/0!</v>
      </c>
      <c r="AD30" s="992" t="e">
        <f aca="false">AD19*AD29*AD29/4</f>
        <v>#DIV/0!</v>
      </c>
      <c r="AE30" s="992" t="e">
        <f aca="false">AE19*AE29*AE29/4</f>
        <v>#DIV/0!</v>
      </c>
      <c r="AF30" s="992" t="e">
        <f aca="false">AF19*AF29*AF29/4</f>
        <v>#DIV/0!</v>
      </c>
      <c r="AG30" s="992" t="n">
        <f aca="false">AG19*AG29*AG29/4</f>
        <v>5.86652708089097E-009</v>
      </c>
      <c r="AH30" s="992"/>
      <c r="AI30" s="992" t="e">
        <f aca="false">AI19*AI29*AI29/4</f>
        <v>#N/A</v>
      </c>
      <c r="AJ30" s="992" t="e">
        <f aca="false">AJ19*AJ29*AJ29/4</f>
        <v>#N/A</v>
      </c>
    </row>
    <row r="31" customFormat="false" ht="15" hidden="false" customHeight="false" outlineLevel="0" collapsed="false">
      <c r="A31" s="979" t="s">
        <v>1620</v>
      </c>
      <c r="B31" s="979" t="s">
        <v>1619</v>
      </c>
      <c r="C31" s="992" t="e">
        <f aca="false">C12*C28*C28/4</f>
        <v>#N/A</v>
      </c>
      <c r="D31" s="992" t="n">
        <f aca="false">D12*D28*D28/4</f>
        <v>0.121684140540008</v>
      </c>
      <c r="E31" s="992" t="n">
        <f aca="false">E12*E28*E28/4</f>
        <v>0.136290846360735</v>
      </c>
      <c r="F31" s="992" t="e">
        <f aca="false">F12*F28*F28/4</f>
        <v>#N/A</v>
      </c>
      <c r="G31" s="992" t="e">
        <f aca="false">G12*G28*G28/4</f>
        <v>#DIV/0!</v>
      </c>
      <c r="H31" s="992" t="e">
        <f aca="false">H12*H28*H28/4</f>
        <v>#N/A</v>
      </c>
      <c r="I31" s="992" t="e">
        <f aca="false">I12*I28*I28/4</f>
        <v>#DIV/0!</v>
      </c>
      <c r="J31" s="992" t="n">
        <f aca="false">J12*J28*J28/4</f>
        <v>0.0735664043663108</v>
      </c>
      <c r="K31" s="992" t="e">
        <f aca="false">K12*K28*K28/4</f>
        <v>#DIV/0!</v>
      </c>
      <c r="L31" s="992" t="e">
        <f aca="false">L12*L28*L28/4</f>
        <v>#DIV/0!</v>
      </c>
      <c r="M31" s="992" t="e">
        <f aca="false">M12*M28*M28/4</f>
        <v>#DIV/0!</v>
      </c>
      <c r="N31" s="992" t="e">
        <f aca="false">N12*N28*N28/4</f>
        <v>#DIV/0!</v>
      </c>
      <c r="O31" s="992" t="n">
        <f aca="false">O12*O28*O28/4</f>
        <v>99.6735070861274</v>
      </c>
      <c r="P31" s="992" t="n">
        <f aca="false">P12*P28*P28/4</f>
        <v>0.0627924903749323</v>
      </c>
      <c r="Q31" s="992" t="n">
        <f aca="false">Q12*Q28*Q28/4</f>
        <v>0.0338938223764732</v>
      </c>
      <c r="R31" s="992" t="n">
        <f aca="false">R12*R28*R28/4</f>
        <v>0.0660181406054955</v>
      </c>
      <c r="S31" s="992" t="n">
        <f aca="false">S12*S28*S28/4</f>
        <v>0.10600377923813</v>
      </c>
      <c r="T31" s="992" t="n">
        <f aca="false">T12*T28*T28/4</f>
        <v>0.219809436628187</v>
      </c>
      <c r="U31" s="992" t="n">
        <f aca="false">U12*U28*U28/4</f>
        <v>0.0239986898479177</v>
      </c>
      <c r="V31" s="992" t="n">
        <f aca="false">V12*V28*V28/4</f>
        <v>1.54642702588817</v>
      </c>
      <c r="W31" s="992" t="n">
        <f aca="false">W12*W28*W28/4</f>
        <v>7.50443770195721</v>
      </c>
      <c r="X31" s="992" t="e">
        <f aca="false">X12*X28*X28/4</f>
        <v>#DIV/0!</v>
      </c>
      <c r="Y31" s="992" t="n">
        <f aca="false">Y12*Y28*Y28/4</f>
        <v>0.0678946786968044</v>
      </c>
      <c r="Z31" s="992" t="n">
        <f aca="false">Z12*Z28*Z28/4</f>
        <v>0.0678946786968044</v>
      </c>
      <c r="AA31" s="992" t="e">
        <f aca="false">AA12*AA28*AA28/4</f>
        <v>#DIV/0!</v>
      </c>
      <c r="AB31" s="992" t="e">
        <f aca="false">AB12*AB28*AB28/4</f>
        <v>#DIV/0!</v>
      </c>
      <c r="AC31" s="992" t="e">
        <f aca="false">AC12*AC28*AC28/4</f>
        <v>#DIV/0!</v>
      </c>
      <c r="AD31" s="992" t="e">
        <f aca="false">AD12*AD28*AD28/4</f>
        <v>#DIV/0!</v>
      </c>
      <c r="AE31" s="992" t="n">
        <f aca="false">AE12*AE28*AE28/4</f>
        <v>0.015347111580022</v>
      </c>
      <c r="AF31" s="992" t="e">
        <f aca="false">AF12*AF28*AF28/4</f>
        <v>#DIV/0!</v>
      </c>
      <c r="AG31" s="992" t="n">
        <f aca="false">AG12*AG28*AG28/4</f>
        <v>4.58374064879724</v>
      </c>
      <c r="AH31" s="992"/>
      <c r="AI31" s="992" t="e">
        <f aca="false">AI12*AI28*AI28/4</f>
        <v>#N/A</v>
      </c>
      <c r="AJ31" s="992" t="e">
        <f aca="false">AJ12*AJ28*AJ28/4</f>
        <v>#N/A</v>
      </c>
    </row>
    <row r="32" customFormat="false" ht="15" hidden="false" customHeight="false" outlineLevel="0" collapsed="false">
      <c r="A32" s="979" t="s">
        <v>1621</v>
      </c>
      <c r="B32" s="979"/>
      <c r="C32" s="581" t="s">
        <v>1622</v>
      </c>
      <c r="D32" s="581" t="s">
        <v>1622</v>
      </c>
      <c r="E32" s="581" t="s">
        <v>1622</v>
      </c>
      <c r="F32" s="581" t="s">
        <v>1622</v>
      </c>
      <c r="G32" s="581" t="s">
        <v>1622</v>
      </c>
      <c r="H32" s="581" t="s">
        <v>1622</v>
      </c>
      <c r="I32" s="581" t="s">
        <v>1622</v>
      </c>
      <c r="J32" s="581" t="s">
        <v>1622</v>
      </c>
      <c r="K32" s="581" t="s">
        <v>1623</v>
      </c>
      <c r="L32" s="581" t="s">
        <v>1623</v>
      </c>
      <c r="M32" s="581" t="s">
        <v>1623</v>
      </c>
      <c r="N32" s="581" t="s">
        <v>1622</v>
      </c>
      <c r="O32" s="581" t="s">
        <v>1623</v>
      </c>
      <c r="P32" s="581" t="s">
        <v>1622</v>
      </c>
      <c r="Q32" s="581" t="s">
        <v>1622</v>
      </c>
      <c r="R32" s="581" t="s">
        <v>1622</v>
      </c>
      <c r="S32" s="581" t="s">
        <v>1622</v>
      </c>
      <c r="T32" s="581" t="s">
        <v>1622</v>
      </c>
      <c r="U32" s="581" t="s">
        <v>1623</v>
      </c>
      <c r="V32" s="581" t="s">
        <v>1622</v>
      </c>
      <c r="W32" s="581" t="s">
        <v>1622</v>
      </c>
      <c r="X32" s="581" t="s">
        <v>1623</v>
      </c>
      <c r="Y32" s="581" t="s">
        <v>1623</v>
      </c>
      <c r="Z32" s="581" t="s">
        <v>1623</v>
      </c>
      <c r="AA32" s="581" t="s">
        <v>1623</v>
      </c>
      <c r="AB32" s="581" t="s">
        <v>1622</v>
      </c>
      <c r="AC32" s="581" t="s">
        <v>1622</v>
      </c>
      <c r="AD32" s="581" t="s">
        <v>1623</v>
      </c>
      <c r="AE32" s="581" t="s">
        <v>1622</v>
      </c>
      <c r="AF32" s="581" t="s">
        <v>1622</v>
      </c>
      <c r="AG32" s="581" t="s">
        <v>1622</v>
      </c>
      <c r="AH32" s="581"/>
      <c r="AI32" s="581" t="s">
        <v>1623</v>
      </c>
      <c r="AJ32" s="581" t="s">
        <v>1622</v>
      </c>
    </row>
    <row r="33" s="27" customFormat="true" ht="15" hidden="false" customHeight="false" outlineLevel="0" collapsed="false">
      <c r="A33" s="979" t="s">
        <v>1624</v>
      </c>
      <c r="B33" s="979" t="s">
        <v>1625</v>
      </c>
      <c r="C33" s="985" t="e">
        <f aca="false">0.0003537*C11*C39^-2</f>
        <v>#N/A</v>
      </c>
      <c r="D33" s="985" t="n">
        <f aca="false">0.0003537*D11*D39^-2</f>
        <v>3.5347599</v>
      </c>
      <c r="E33" s="985" t="n">
        <f aca="false">0.0003537*E11*E39^-2</f>
        <v>3.5830989</v>
      </c>
      <c r="F33" s="985" t="e">
        <f aca="false">0.0003537*F11*F39^-2</f>
        <v>#N/A</v>
      </c>
      <c r="G33" s="985" t="n">
        <f aca="false">0.0003537*G11*G39^-2</f>
        <v>0</v>
      </c>
      <c r="H33" s="985" t="e">
        <f aca="false">0.0003537*H11*H39^-2</f>
        <v>#N/A</v>
      </c>
      <c r="I33" s="985" t="n">
        <f aca="false">0.0003537*I11*I39^-2</f>
        <v>0</v>
      </c>
      <c r="J33" s="985" t="n">
        <f aca="false">0.0003537*J11*J39^-2</f>
        <v>2.6324808244898</v>
      </c>
      <c r="K33" s="985" t="n">
        <f aca="false">0.0003537*K11*K39^-2</f>
        <v>0</v>
      </c>
      <c r="L33" s="985" t="n">
        <f aca="false">0.0003537*L11*L39^-2</f>
        <v>0</v>
      </c>
      <c r="M33" s="985" t="n">
        <f aca="false">0.0003537*M11*M39^-2</f>
        <v>0</v>
      </c>
      <c r="N33" s="985" t="n">
        <f aca="false">0.0003537*N11*N39^-2</f>
        <v>0</v>
      </c>
      <c r="O33" s="985" t="n">
        <f aca="false">0.0003537*O11*O39^-2</f>
        <v>56.05094953125</v>
      </c>
      <c r="P33" s="985" t="n">
        <f aca="false">0.0003537*P11*P39^-2</f>
        <v>3.2168622</v>
      </c>
      <c r="Q33" s="985" t="n">
        <f aca="false">0.0003537*Q11*Q39^-2</f>
        <v>2.36340896326531</v>
      </c>
      <c r="R33" s="985" t="n">
        <f aca="false">0.0003537*R11*R39^-2</f>
        <v>2.5985256244898</v>
      </c>
      <c r="S33" s="985" t="n">
        <f aca="false">0.0003537*S11*S39^-2</f>
        <v>3.4732161</v>
      </c>
      <c r="T33" s="985" t="n">
        <f aca="false">0.0003537*T11*T39^-2</f>
        <v>5.001431184</v>
      </c>
      <c r="U33" s="985" t="n">
        <f aca="false">0.0003537*U11*U39^-2</f>
        <v>1.81244052768166</v>
      </c>
      <c r="V33" s="985" t="n">
        <f aca="false">0.0003537*V11*V39^-2</f>
        <v>13.721988</v>
      </c>
      <c r="W33" s="985" t="n">
        <f aca="false">0.0003537*W11*W39^-2</f>
        <v>30.6962082</v>
      </c>
      <c r="X33" s="985" t="n">
        <f aca="false">0.0003537*X11*X39^-2</f>
        <v>0</v>
      </c>
      <c r="Y33" s="985" t="n">
        <f aca="false">0.0003537*Y11*Y39^-2</f>
        <v>4.122217872</v>
      </c>
      <c r="Z33" s="985" t="n">
        <f aca="false">0.0003537*Z11*Z39^-2</f>
        <v>4.122217872</v>
      </c>
      <c r="AA33" s="985" t="n">
        <f aca="false">0.0003537*AA11*AA39^-2</f>
        <v>0</v>
      </c>
      <c r="AB33" s="985" t="n">
        <f aca="false">0.0003537*AB11*AB39^-2</f>
        <v>0</v>
      </c>
      <c r="AC33" s="985" t="n">
        <f aca="false">0.0003537*AC11*AC39^-2</f>
        <v>0</v>
      </c>
      <c r="AD33" s="985" t="n">
        <f aca="false">0.0003537*AD11*AD39^-2</f>
        <v>0</v>
      </c>
      <c r="AE33" s="985" t="n">
        <f aca="false">0.0003537*AE11*AE39^-2</f>
        <v>2.04479022857143</v>
      </c>
      <c r="AF33" s="985" t="n">
        <f aca="false">0.0003537*AF11*AF39^-2</f>
        <v>0</v>
      </c>
      <c r="AG33" s="985" t="n">
        <f aca="false">0.0003537*AG11*AG39^-2</f>
        <v>28.4611779</v>
      </c>
      <c r="AH33" s="985"/>
      <c r="AI33" s="985" t="e">
        <f aca="false">0.0003537*AI11*AI39^-2</f>
        <v>#N/A</v>
      </c>
      <c r="AJ33" s="985" t="e">
        <f aca="false">0.0003537*AJ11*AJ39^-2</f>
        <v>#N/A</v>
      </c>
    </row>
    <row r="34" customFormat="false" ht="15" hidden="false" customHeight="false" outlineLevel="0" collapsed="false">
      <c r="A34" s="979" t="s">
        <v>1626</v>
      </c>
      <c r="B34" s="979" t="s">
        <v>1625</v>
      </c>
      <c r="C34" s="985" t="n">
        <f aca="false">0.0003537*C17*C39^-2</f>
        <v>0.0009825</v>
      </c>
      <c r="D34" s="985" t="n">
        <f aca="false">0.0003537*D17*D39^-2</f>
        <v>0.0009825</v>
      </c>
      <c r="E34" s="985" t="n">
        <f aca="false">0.0003537*E17*E39^-2</f>
        <v>0</v>
      </c>
      <c r="F34" s="985" t="e">
        <f aca="false">0.0003537*F17*F39^-2</f>
        <v>#N/A</v>
      </c>
      <c r="G34" s="985" t="n">
        <f aca="false">0.0003537*G17*G39^-2</f>
        <v>0</v>
      </c>
      <c r="H34" s="985" t="e">
        <f aca="false">0.0003537*H17*H39^-2</f>
        <v>#N/A</v>
      </c>
      <c r="I34" s="985" t="n">
        <f aca="false">0.0003537*I17*I39^-2</f>
        <v>0</v>
      </c>
      <c r="J34" s="985" t="n">
        <f aca="false">0.0003537*J17*J39^-2</f>
        <v>0</v>
      </c>
      <c r="K34" s="985" t="n">
        <f aca="false">0.0003537*K17*K39^-2</f>
        <v>0.001503225</v>
      </c>
      <c r="L34" s="985" t="n">
        <f aca="false">0.0003537*L17*L39^-2</f>
        <v>0.0004716</v>
      </c>
      <c r="M34" s="985" t="n">
        <f aca="false">0.0003537*M17*M39^-2</f>
        <v>0.0026724</v>
      </c>
      <c r="N34" s="985" t="n">
        <f aca="false">0.0003537*N17*N39^-2</f>
        <v>8.8425E-005</v>
      </c>
      <c r="O34" s="985" t="n">
        <f aca="false">0.0003537*O17*O39^-2</f>
        <v>0</v>
      </c>
      <c r="P34" s="985" t="n">
        <f aca="false">0.0003537*P17*P39^-2</f>
        <v>0</v>
      </c>
      <c r="Q34" s="985" t="n">
        <f aca="false">0.0003537*Q17*Q39^-2</f>
        <v>0</v>
      </c>
      <c r="R34" s="985" t="n">
        <f aca="false">0.0003537*R17*R39^-2</f>
        <v>0.000721836734693878</v>
      </c>
      <c r="S34" s="985" t="n">
        <f aca="false">0.0003537*S17*S39^-2</f>
        <v>0</v>
      </c>
      <c r="T34" s="985" t="n">
        <f aca="false">0.0003537*T17*T39^-2</f>
        <v>0</v>
      </c>
      <c r="U34" s="985" t="n">
        <f aca="false">0.0003537*U17*U39^-2</f>
        <v>0</v>
      </c>
      <c r="V34" s="985" t="n">
        <f aca="false">0.0003537*V17*V39^-2</f>
        <v>0</v>
      </c>
      <c r="W34" s="985" t="n">
        <f aca="false">0.0003537*W17*W39^-2</f>
        <v>0</v>
      </c>
      <c r="X34" s="985" t="n">
        <f aca="false">0.0003537*X17*X39^-2</f>
        <v>0.001245024</v>
      </c>
      <c r="Y34" s="985" t="n">
        <f aca="false">0.0003537*Y17*Y39^-2</f>
        <v>0</v>
      </c>
      <c r="Z34" s="985" t="n">
        <f aca="false">0.0003537*Z17*Z39^-2</f>
        <v>0</v>
      </c>
      <c r="AA34" s="985" t="n">
        <f aca="false">0.0003537*AA17*AA39^-2</f>
        <v>0.0003537</v>
      </c>
      <c r="AB34" s="985" t="n">
        <f aca="false">0.0003537*AB17*AB39^-2</f>
        <v>0.0003537</v>
      </c>
      <c r="AC34" s="985" t="n">
        <f aca="false">0.0003537*AC17*AC39^-2</f>
        <v>0.0003537</v>
      </c>
      <c r="AD34" s="985" t="n">
        <f aca="false">0.0003537*AD17*AD39^-2</f>
        <v>0.00194535</v>
      </c>
      <c r="AE34" s="985" t="n">
        <f aca="false">0.0003537*AE17*AE39^-2</f>
        <v>0</v>
      </c>
      <c r="AF34" s="985" t="n">
        <f aca="false">0.0003537*AF17*AF39^-2</f>
        <v>0.0017292</v>
      </c>
      <c r="AG34" s="985" t="n">
        <f aca="false">0.0003537*AG17*AG39^-2</f>
        <v>0.0014148</v>
      </c>
      <c r="AH34" s="985"/>
      <c r="AI34" s="985" t="e">
        <f aca="false">0.0003537*AI17*AI39^-2</f>
        <v>#N/A</v>
      </c>
      <c r="AJ34" s="985" t="e">
        <f aca="false">0.0003537*AJ17*AJ39^-2</f>
        <v>#N/A</v>
      </c>
    </row>
    <row r="35" customFormat="false" ht="15" hidden="false" customHeight="false" outlineLevel="0" collapsed="false">
      <c r="A35" s="979" t="s">
        <v>1627</v>
      </c>
      <c r="B35" s="979"/>
      <c r="C35" s="581" t="s">
        <v>1628</v>
      </c>
      <c r="D35" s="581" t="s">
        <v>1628</v>
      </c>
      <c r="E35" s="581" t="s">
        <v>1628</v>
      </c>
      <c r="F35" s="581" t="s">
        <v>1628</v>
      </c>
      <c r="G35" s="581" t="s">
        <v>1628</v>
      </c>
      <c r="H35" s="581" t="s">
        <v>1628</v>
      </c>
      <c r="I35" s="581" t="s">
        <v>1628</v>
      </c>
      <c r="J35" s="581" t="s">
        <v>1628</v>
      </c>
      <c r="K35" s="581" t="s">
        <v>1628</v>
      </c>
      <c r="L35" s="581" t="s">
        <v>1615</v>
      </c>
      <c r="M35" s="581" t="s">
        <v>1615</v>
      </c>
      <c r="N35" s="581" t="s">
        <v>1615</v>
      </c>
      <c r="O35" s="581" t="s">
        <v>1628</v>
      </c>
      <c r="P35" s="581" t="s">
        <v>1628</v>
      </c>
      <c r="Q35" s="581" t="s">
        <v>1628</v>
      </c>
      <c r="R35" s="581" t="s">
        <v>1628</v>
      </c>
      <c r="S35" s="581" t="s">
        <v>1628</v>
      </c>
      <c r="T35" s="581" t="s">
        <v>1628</v>
      </c>
      <c r="U35" s="581" t="s">
        <v>1615</v>
      </c>
      <c r="V35" s="581" t="s">
        <v>1629</v>
      </c>
      <c r="W35" s="581" t="s">
        <v>1629</v>
      </c>
      <c r="X35" s="581" t="s">
        <v>1615</v>
      </c>
      <c r="Y35" s="581" t="s">
        <v>1615</v>
      </c>
      <c r="Z35" s="581" t="s">
        <v>1615</v>
      </c>
      <c r="AA35" s="581" t="s">
        <v>1615</v>
      </c>
      <c r="AB35" s="581" t="s">
        <v>1615</v>
      </c>
      <c r="AC35" s="581" t="s">
        <v>1615</v>
      </c>
      <c r="AD35" s="581" t="s">
        <v>1628</v>
      </c>
      <c r="AE35" s="581" t="s">
        <v>1628</v>
      </c>
      <c r="AF35" s="581" t="s">
        <v>1628</v>
      </c>
      <c r="AG35" s="581" t="s">
        <v>1615</v>
      </c>
      <c r="AH35" s="581"/>
      <c r="AI35" s="581" t="s">
        <v>1628</v>
      </c>
      <c r="AJ35" s="581" t="s">
        <v>1615</v>
      </c>
    </row>
    <row r="36" s="27" customFormat="true" ht="15" hidden="false" customHeight="false" outlineLevel="0" collapsed="false">
      <c r="A36" s="979" t="s">
        <v>1630</v>
      </c>
      <c r="B36" s="979"/>
      <c r="C36" s="992" t="e">
        <f aca="false">(C12/1.2*C19/998)^0.5*(C20/1*(998/C19)^2)^(1/3)*73/C22*C34/C33</f>
        <v>#N/A</v>
      </c>
      <c r="D36" s="992" t="e">
        <f aca="false">(D12/1.2*D19/998)^0.5*(D20/1*(998/D19)^2)^(1/3)*73/D22*D34/D33</f>
        <v>#DIV/0!</v>
      </c>
      <c r="E36" s="992" t="e">
        <f aca="false">(E12/1.2*E19/998)^0.5*(E20/1*(998/E19)^2)^(1/3)*73/E22*E34/E33</f>
        <v>#DIV/0!</v>
      </c>
      <c r="F36" s="992" t="e">
        <f aca="false">(F12/1.2*F19/998)^0.5*(F20/1*(998/F19)^2)^(1/3)*73/F22*F34/F33</f>
        <v>#N/A</v>
      </c>
      <c r="G36" s="992" t="e">
        <f aca="false">(G12/1.2*G19/998)^0.5*(G20/1*(998/G19)^2)^(1/3)*73/G22*G34/G33</f>
        <v>#DIV/0!</v>
      </c>
      <c r="H36" s="992" t="e">
        <f aca="false">(H12/1.2*H19/998)^0.5*(H20/1*(998/H19)^2)^(1/3)*73/H22*H34/H33</f>
        <v>#N/A</v>
      </c>
      <c r="I36" s="992" t="e">
        <f aca="false">(I12/1.2*I19/998)^0.5*(I20/1*(998/I19)^2)^(1/3)*73/I22*I34/I33</f>
        <v>#DIV/0!</v>
      </c>
      <c r="J36" s="992" t="e">
        <f aca="false">(J12/1.2*J19/998)^0.5*(J20/1*(998/J19)^2)^(1/3)*73/J22*J34/J33</f>
        <v>#DIV/0!</v>
      </c>
      <c r="K36" s="992" t="e">
        <f aca="false">(K12/1.2*K19/998)^0.5*(K20/1*(998/K19)^2)^(1/3)*73/K22*K34/K33</f>
        <v>#DIV/0!</v>
      </c>
      <c r="L36" s="992" t="e">
        <f aca="false">(L12/1.2*L19/998)^0.5*(L20/1*(998/L19)^2)^(1/3)*73/L22*L34/L33</f>
        <v>#DIV/0!</v>
      </c>
      <c r="M36" s="992" t="e">
        <f aca="false">(M12/1.2*M19/998)^0.5*(M20/1*(998/M19)^2)^(1/3)*73/M22*M34/M33</f>
        <v>#DIV/0!</v>
      </c>
      <c r="N36" s="992" t="e">
        <f aca="false">(N12/1.2*N19/998)^0.5*(N20/1*(998/N19)^2)^(1/3)*73/N22*N34/N33</f>
        <v>#DIV/0!</v>
      </c>
      <c r="O36" s="992" t="e">
        <f aca="false">(O12/1.2*O19/998)^0.5*(O20/1*(998/O19)^2)^(1/3)*73/O22*O34/O33</f>
        <v>#DIV/0!</v>
      </c>
      <c r="P36" s="992" t="e">
        <f aca="false">(P12/1.2*P19/998)^0.5*(P20/1*(998/P19)^2)^(1/3)*73/P22*P34/P33</f>
        <v>#DIV/0!</v>
      </c>
      <c r="Q36" s="992" t="e">
        <f aca="false">(Q12/1.2*Q19/998)^0.5*(Q20/1*(998/Q19)^2)^(1/3)*73/Q22*Q34/Q33</f>
        <v>#DIV/0!</v>
      </c>
      <c r="R36" s="992" t="e">
        <f aca="false">(R12/1.2*R19/998)^0.5*(R20/1*(998/R19)^2)^(1/3)*73/R22*R34/R33</f>
        <v>#DIV/0!</v>
      </c>
      <c r="S36" s="992" t="e">
        <f aca="false">(S12/1.2*S19/998)^0.5*(S20/1*(998/S19)^2)^(1/3)*73/S22*S34/S33</f>
        <v>#DIV/0!</v>
      </c>
      <c r="T36" s="992" t="e">
        <f aca="false">(T12/1.2*T19/998)^0.5*(T20/1*(998/T19)^2)^(1/3)*73/T22*T34/T33</f>
        <v>#DIV/0!</v>
      </c>
      <c r="U36" s="992" t="e">
        <f aca="false">(U12/1.2*U19/998)^0.5*(U20/1*(998/U19)^2)^(1/3)*73/U22*U34/U33</f>
        <v>#DIV/0!</v>
      </c>
      <c r="V36" s="992" t="e">
        <f aca="false">(V12/1.2*V19/998)^0.5*(V20/1*(998/V19)^2)^(1/3)*73/V22*V34/V33</f>
        <v>#DIV/0!</v>
      </c>
      <c r="W36" s="992" t="e">
        <f aca="false">(W12/1.2*W19/998)^0.5*(W20/1*(998/W19)^2)^(1/3)*73/W22*W34/W33</f>
        <v>#DIV/0!</v>
      </c>
      <c r="X36" s="992" t="e">
        <f aca="false">(X12/1.2*X19/998)^0.5*(X20/1*(998/X19)^2)^(1/3)*73/X22*X34/X33</f>
        <v>#DIV/0!</v>
      </c>
      <c r="Y36" s="992" t="e">
        <f aca="false">(Y12/1.2*Y19/998)^0.5*(Y20/1*(998/Y19)^2)^(1/3)*73/Y22*Y34/Y33</f>
        <v>#DIV/0!</v>
      </c>
      <c r="Z36" s="992" t="e">
        <f aca="false">(Z12/1.2*Z19/998)^0.5*(Z20/1*(998/Z19)^2)^(1/3)*73/Z22*Z34/Z33</f>
        <v>#DIV/0!</v>
      </c>
      <c r="AA36" s="992" t="e">
        <f aca="false">(AA12/1.2*AA19/998)^0.5*(AA20/1*(998/AA19)^2)^(1/3)*73/AA22*AA34/AA33</f>
        <v>#DIV/0!</v>
      </c>
      <c r="AB36" s="992" t="e">
        <f aca="false">(AB12/1.2*AB19/998)^0.5*(AB20/1*(998/AB19)^2)^(1/3)*73/AB22*AB34/AB33</f>
        <v>#DIV/0!</v>
      </c>
      <c r="AC36" s="992" t="e">
        <f aca="false">(AC12/1.2*AC19/998)^0.5*(AC20/1*(998/AC19)^2)^(1/3)*73/AC22*AC34/AC33</f>
        <v>#DIV/0!</v>
      </c>
      <c r="AD36" s="992" t="e">
        <f aca="false">(AD12/1.2*AD19/998)^0.5*(AD20/1*(998/AD19)^2)^(1/3)*73/AD22*AD34/AD33</f>
        <v>#DIV/0!</v>
      </c>
      <c r="AE36" s="992" t="e">
        <f aca="false">(AE12/1.2*AE19/998)^0.5*(AE20/1*(998/AE19)^2)^(1/3)*73/AE22*AE34/AE33</f>
        <v>#DIV/0!</v>
      </c>
      <c r="AF36" s="992" t="e">
        <f aca="false">(AF12/1.2*AF19/998)^0.5*(AF20/1*(998/AF19)^2)^(1/3)*73/AF22*AF34/AF33</f>
        <v>#DIV/0!</v>
      </c>
      <c r="AG36" s="992" t="n">
        <f aca="false">(AG12/1.2*AG19/998)^0.5*(AG20/1*(998/AG19)^2)^(1/3)*73/AG22*AG34/AG33</f>
        <v>0</v>
      </c>
      <c r="AH36" s="992"/>
      <c r="AI36" s="992" t="e">
        <f aca="false">(AI12/1.2*AI19/998)^0.5*(AI20/1*(998/AI19)^2)^(1/3)*73/AI22*AI34/AI33</f>
        <v>#N/A</v>
      </c>
      <c r="AJ36" s="992" t="e">
        <f aca="false">(AJ12/1.2*AJ19/998)^0.5*(AJ20/1*(998/AJ19)^2)^(1/3)*73/AJ22*AJ34/AJ33</f>
        <v>#N/A</v>
      </c>
    </row>
    <row r="37" customFormat="false" ht="15" hidden="false" customHeight="false" outlineLevel="0" collapsed="false">
      <c r="A37" s="979" t="s">
        <v>1631</v>
      </c>
      <c r="B37" s="979"/>
      <c r="C37" s="992" t="e">
        <f aca="false">C33/(C12/1.2*C19/998)^0.5</f>
        <v>#N/A</v>
      </c>
      <c r="D37" s="992" t="n">
        <f aca="false">D33/(D12/1.2*D19/998)^0.5</f>
        <v>0.885744515664315</v>
      </c>
      <c r="E37" s="992" t="e">
        <f aca="false">E33/(E12/1.2*E19/998)^0.5</f>
        <v>#DIV/0!</v>
      </c>
      <c r="F37" s="992" t="e">
        <f aca="false">F33/(F12/1.2*F19/998)^0.5</f>
        <v>#N/A</v>
      </c>
      <c r="G37" s="992" t="e">
        <f aca="false">G33/(G12/1.2*G19/998)^0.5</f>
        <v>#DIV/0!</v>
      </c>
      <c r="H37" s="992" t="e">
        <f aca="false">H33/(H12/1.2*H19/998)^0.5</f>
        <v>#N/A</v>
      </c>
      <c r="I37" s="992" t="e">
        <f aca="false">I33/(I12/1.2*I19/998)^0.5</f>
        <v>#DIV/0!</v>
      </c>
      <c r="J37" s="992" t="e">
        <f aca="false">J33/(J12/1.2*J19/998)^0.5</f>
        <v>#DIV/0!</v>
      </c>
      <c r="K37" s="992" t="e">
        <f aca="false">K33/(K12/1.2*K19/998)^0.5</f>
        <v>#DIV/0!</v>
      </c>
      <c r="L37" s="992" t="e">
        <f aca="false">L33/(L12/1.2*L19/998)^0.5</f>
        <v>#DIV/0!</v>
      </c>
      <c r="M37" s="992" t="e">
        <f aca="false">M33/(M12/1.2*M19/998)^0.5</f>
        <v>#DIV/0!</v>
      </c>
      <c r="N37" s="992" t="e">
        <f aca="false">N33/(N12/1.2*N19/998)^0.5</f>
        <v>#DIV/0!</v>
      </c>
      <c r="O37" s="992" t="e">
        <f aca="false">O33/(O12/1.2*O19/998)^0.5</f>
        <v>#DIV/0!</v>
      </c>
      <c r="P37" s="992" t="e">
        <f aca="false">P33/(P12/1.2*P19/998)^0.5</f>
        <v>#DIV/0!</v>
      </c>
      <c r="Q37" s="992" t="e">
        <f aca="false">Q33/(Q12/1.2*Q19/998)^0.5</f>
        <v>#DIV/0!</v>
      </c>
      <c r="R37" s="992" t="n">
        <f aca="false">R33/(R12/1.2*R19/998)^0.5</f>
        <v>0.648196341462918</v>
      </c>
      <c r="S37" s="992" t="e">
        <f aca="false">S33/(S12/1.2*S19/998)^0.5</f>
        <v>#DIV/0!</v>
      </c>
      <c r="T37" s="992" t="e">
        <f aca="false">T33/(T12/1.2*T19/998)^0.5</f>
        <v>#DIV/0!</v>
      </c>
      <c r="U37" s="992" t="e">
        <f aca="false">U33/(U12/1.2*U19/998)^0.5</f>
        <v>#DIV/0!</v>
      </c>
      <c r="V37" s="992" t="e">
        <f aca="false">V33/(V12/1.2*V19/998)^0.5</f>
        <v>#DIV/0!</v>
      </c>
      <c r="W37" s="992" t="e">
        <f aca="false">W33/(W12/1.2*W19/998)^0.5</f>
        <v>#DIV/0!</v>
      </c>
      <c r="X37" s="992" t="e">
        <f aca="false">X33/(X12/1.2*X19/998)^0.5</f>
        <v>#DIV/0!</v>
      </c>
      <c r="Y37" s="992" t="e">
        <f aca="false">Y33/(Y12/1.2*Y19/998)^0.5</f>
        <v>#DIV/0!</v>
      </c>
      <c r="Z37" s="992" t="e">
        <f aca="false">Z33/(Z12/1.2*Z19/998)^0.5</f>
        <v>#DIV/0!</v>
      </c>
      <c r="AA37" s="992" t="e">
        <f aca="false">AA33/(AA12/1.2*AA19/998)^0.5</f>
        <v>#DIV/0!</v>
      </c>
      <c r="AB37" s="992" t="e">
        <f aca="false">AB33/(AB12/1.2*AB19/998)^0.5</f>
        <v>#DIV/0!</v>
      </c>
      <c r="AC37" s="992" t="e">
        <f aca="false">AC33/(AC12/1.2*AC19/998)^0.5</f>
        <v>#DIV/0!</v>
      </c>
      <c r="AD37" s="992" t="e">
        <f aca="false">AD33/(AD12/1.2*AD19/998)^0.5</f>
        <v>#DIV/0!</v>
      </c>
      <c r="AE37" s="992" t="e">
        <f aca="false">AE33/(AE12/1.2*AE19/998)^0.5</f>
        <v>#DIV/0!</v>
      </c>
      <c r="AF37" s="992" t="e">
        <f aca="false">AF33/(AF12/1.2*AF19/998)^0.5</f>
        <v>#DIV/0!</v>
      </c>
      <c r="AG37" s="992" t="n">
        <f aca="false">AG33/(AG12/1.2*AG19/998)^0.5</f>
        <v>16.0443228425127</v>
      </c>
      <c r="AH37" s="992"/>
      <c r="AI37" s="992" t="e">
        <f aca="false">AI33/(AI12/1.2*AI19/998)^0.5</f>
        <v>#N/A</v>
      </c>
      <c r="AJ37" s="992" t="e">
        <f aca="false">AJ33/(AJ12/1.2*AJ19/998)^0.5</f>
        <v>#N/A</v>
      </c>
    </row>
    <row r="38" customFormat="false" ht="15" hidden="false" customHeight="false" outlineLevel="0" collapsed="false">
      <c r="A38" s="979" t="s">
        <v>1632</v>
      </c>
      <c r="B38" s="979"/>
      <c r="C38" s="581" t="s">
        <v>1622</v>
      </c>
      <c r="D38" s="581" t="s">
        <v>1622</v>
      </c>
      <c r="E38" s="581" t="s">
        <v>1622</v>
      </c>
      <c r="F38" s="581" t="s">
        <v>1622</v>
      </c>
      <c r="G38" s="581" t="s">
        <v>1622</v>
      </c>
      <c r="H38" s="581" t="s">
        <v>1633</v>
      </c>
      <c r="I38" s="581" t="s">
        <v>1622</v>
      </c>
      <c r="J38" s="581" t="s">
        <v>1633</v>
      </c>
      <c r="K38" s="581" t="s">
        <v>1622</v>
      </c>
      <c r="L38" s="581" t="s">
        <v>1622</v>
      </c>
      <c r="M38" s="581" t="s">
        <v>1622</v>
      </c>
      <c r="N38" s="581" t="s">
        <v>1622</v>
      </c>
      <c r="O38" s="581" t="s">
        <v>1634</v>
      </c>
      <c r="P38" s="581" t="s">
        <v>1622</v>
      </c>
      <c r="Q38" s="581" t="s">
        <v>1633</v>
      </c>
      <c r="R38" s="581" t="s">
        <v>1622</v>
      </c>
      <c r="S38" s="581" t="s">
        <v>1633</v>
      </c>
      <c r="T38" s="581" t="s">
        <v>1633</v>
      </c>
      <c r="U38" s="581" t="s">
        <v>1635</v>
      </c>
      <c r="V38" s="581" t="s">
        <v>1622</v>
      </c>
      <c r="W38" s="581" t="s">
        <v>1622</v>
      </c>
      <c r="X38" s="581" t="s">
        <v>1636</v>
      </c>
      <c r="Y38" s="581" t="s">
        <v>1635</v>
      </c>
      <c r="Z38" s="581" t="s">
        <v>1635</v>
      </c>
      <c r="AA38" s="581" t="s">
        <v>1635</v>
      </c>
      <c r="AB38" s="581" t="s">
        <v>1635</v>
      </c>
      <c r="AC38" s="581" t="s">
        <v>1635</v>
      </c>
      <c r="AD38" s="581" t="s">
        <v>1635</v>
      </c>
      <c r="AE38" s="581" t="s">
        <v>1633</v>
      </c>
      <c r="AF38" s="581" t="s">
        <v>1622</v>
      </c>
      <c r="AG38" s="581" t="s">
        <v>1635</v>
      </c>
      <c r="AH38" s="581"/>
      <c r="AI38" s="581" t="s">
        <v>1622</v>
      </c>
      <c r="AJ38" s="581" t="s">
        <v>1622</v>
      </c>
    </row>
    <row r="39" s="277" customFormat="true" ht="15" hidden="false" customHeight="false" outlineLevel="0" collapsed="false">
      <c r="A39" s="994" t="s">
        <v>1637</v>
      </c>
      <c r="B39" s="994" t="s">
        <v>420</v>
      </c>
      <c r="C39" s="995" t="n">
        <v>0.3</v>
      </c>
      <c r="D39" s="995" t="n">
        <v>0.3</v>
      </c>
      <c r="E39" s="995" t="n">
        <v>0.3</v>
      </c>
      <c r="F39" s="995" t="n">
        <v>0.3</v>
      </c>
      <c r="G39" s="995" t="n">
        <v>0.25</v>
      </c>
      <c r="H39" s="995" t="n">
        <v>0.25</v>
      </c>
      <c r="I39" s="995" t="n">
        <v>0.25</v>
      </c>
      <c r="J39" s="995" t="n">
        <v>0.35</v>
      </c>
      <c r="K39" s="995" t="n">
        <v>0.2</v>
      </c>
      <c r="L39" s="995" t="n">
        <v>0.15</v>
      </c>
      <c r="M39" s="995" t="n">
        <v>0.15</v>
      </c>
      <c r="N39" s="995" t="n">
        <v>0.8</v>
      </c>
      <c r="O39" s="995" t="n">
        <v>0.08</v>
      </c>
      <c r="P39" s="995" t="n">
        <v>0.3</v>
      </c>
      <c r="Q39" s="996" t="n">
        <v>0.35</v>
      </c>
      <c r="R39" s="996" t="n">
        <v>0.35</v>
      </c>
      <c r="S39" s="995" t="n">
        <v>0.3</v>
      </c>
      <c r="T39" s="995" t="n">
        <v>0.25</v>
      </c>
      <c r="U39" s="997" t="n">
        <f aca="false">单相流管径核算!AB21</f>
        <v>0.408</v>
      </c>
      <c r="V39" s="995" t="n">
        <v>0.15</v>
      </c>
      <c r="W39" s="995" t="n">
        <v>0.1</v>
      </c>
      <c r="X39" s="995" t="n">
        <v>0.25</v>
      </c>
      <c r="Y39" s="997" t="n">
        <f aca="false">Z39</f>
        <v>0.25</v>
      </c>
      <c r="Z39" s="995" t="n">
        <f aca="false">X39</f>
        <v>0.25</v>
      </c>
      <c r="AA39" s="995" t="n">
        <v>0.2</v>
      </c>
      <c r="AB39" s="997" t="n">
        <f aca="false">AA39</f>
        <v>0.2</v>
      </c>
      <c r="AC39" s="997" t="n">
        <f aca="false">AB39</f>
        <v>0.2</v>
      </c>
      <c r="AD39" s="995" t="n">
        <v>0.2</v>
      </c>
      <c r="AE39" s="995" t="n">
        <v>0.35</v>
      </c>
      <c r="AF39" s="995" t="n">
        <v>0.15</v>
      </c>
      <c r="AG39" s="995" t="n">
        <v>0.1</v>
      </c>
      <c r="AH39" s="995"/>
      <c r="AI39" s="995" t="n">
        <v>0.2</v>
      </c>
      <c r="AJ39" s="995" t="n">
        <v>0.15</v>
      </c>
    </row>
    <row r="40" s="243" customFormat="true" ht="15" hidden="false" customHeight="false" outlineLevel="0" collapsed="false">
      <c r="A40" s="979" t="s">
        <v>1638</v>
      </c>
      <c r="B40" s="979" t="s">
        <v>444</v>
      </c>
      <c r="C40" s="992" t="n">
        <f aca="false">122.47*C9^-0.5</f>
        <v>4.46394422683754</v>
      </c>
      <c r="D40" s="992" t="n">
        <f aca="false">122.47*D9^-0.5</f>
        <v>6.06413465627038</v>
      </c>
      <c r="E40" s="992" t="n">
        <f aca="false">122.47*E9^-0.5</f>
        <v>5.01311922838226</v>
      </c>
      <c r="F40" s="992" t="e">
        <f aca="false">122.47*F9^-0.5</f>
        <v>#N/A</v>
      </c>
      <c r="G40" s="992" t="e">
        <f aca="false">122.47*G9^-0.5</f>
        <v>#NUM!</v>
      </c>
      <c r="H40" s="992" t="e">
        <f aca="false">122.47*H9^-0.5</f>
        <v>#N/A</v>
      </c>
      <c r="I40" s="992" t="e">
        <f aca="false">122.47*I9^-0.5</f>
        <v>#NUM!</v>
      </c>
      <c r="J40" s="992" t="n">
        <f aca="false">122.47*J9^-0.5</f>
        <v>5.01311922838226</v>
      </c>
      <c r="K40" s="992" t="e">
        <f aca="false">122.47*K9^-0.5</f>
        <v>#NUM!</v>
      </c>
      <c r="L40" s="992" t="n">
        <f aca="false">122.47*L9^-0.5</f>
        <v>6.26570026965279</v>
      </c>
      <c r="M40" s="992" t="e">
        <f aca="false">122.47*M9^-0.5</f>
        <v>#NUM!</v>
      </c>
      <c r="N40" s="992" t="e">
        <f aca="false">122.47*N9^-0.5</f>
        <v>#NUM!</v>
      </c>
      <c r="O40" s="992" t="n">
        <f aca="false">122.47*O9^-0.5</f>
        <v>6.33218038336854</v>
      </c>
      <c r="P40" s="992" t="n">
        <f aca="false">122.47*P9^-0.5</f>
        <v>5.85511899614403</v>
      </c>
      <c r="Q40" s="992" t="n">
        <f aca="false">122.47*Q9^-0.5</f>
        <v>5.85511899614403</v>
      </c>
      <c r="R40" s="992" t="n">
        <f aca="false">122.47*R9^-0.5</f>
        <v>6.06413465627038</v>
      </c>
      <c r="S40" s="992" t="n">
        <f aca="false">122.47*S9^-0.5</f>
        <v>5.1596625203005</v>
      </c>
      <c r="T40" s="992" t="n">
        <f aca="false">122.47*T9^-0.5</f>
        <v>5.1596625203005</v>
      </c>
      <c r="U40" s="992" t="n">
        <f aca="false">122.47*U9^-0.5</f>
        <v>7.10332165709958</v>
      </c>
      <c r="V40" s="992" t="n">
        <f aca="false">122.47*V9^-0.5</f>
        <v>6.70698571933343</v>
      </c>
      <c r="W40" s="992" t="n">
        <f aca="false">122.47*W9^-0.5</f>
        <v>6.98086951255657</v>
      </c>
      <c r="X40" s="992" t="e">
        <f aca="false">122.47*X9^-0.5</f>
        <v>#NUM!</v>
      </c>
      <c r="Y40" s="992" t="n">
        <f aca="false">122.47*Y9^-0.5</f>
        <v>7.11517979925963</v>
      </c>
      <c r="Z40" s="992" t="n">
        <f aca="false">122.47*Z9^-0.5</f>
        <v>7.11517979925963</v>
      </c>
      <c r="AA40" s="992" t="n">
        <f aca="false">122.47*AA9^-0.5</f>
        <v>36.448759062567</v>
      </c>
      <c r="AB40" s="992" t="n">
        <f aca="false">122.47*AB9^-0.5</f>
        <v>36.448759062567</v>
      </c>
      <c r="AC40" s="992" t="n">
        <f aca="false">122.47*AC9^-0.5</f>
        <v>6.3315033801449</v>
      </c>
      <c r="AD40" s="992" t="e">
        <f aca="false">122.47*AD9^-0.5</f>
        <v>#NUM!</v>
      </c>
      <c r="AE40" s="992" t="n">
        <f aca="false">122.47*AE9^-0.5</f>
        <v>8.32320780620688</v>
      </c>
      <c r="AF40" s="992" t="e">
        <f aca="false">122.47*AF9^-0.5</f>
        <v>#NUM!</v>
      </c>
      <c r="AG40" s="992" t="n">
        <f aca="false">122.47*AG9^-0.5</f>
        <v>7.13968188619819</v>
      </c>
      <c r="AH40" s="992"/>
      <c r="AI40" s="992" t="e">
        <f aca="false">122.47*AI9^-0.5</f>
        <v>#N/A</v>
      </c>
      <c r="AJ40" s="992" t="e">
        <f aca="false">122.47*AJ9^-0.5</f>
        <v>#N/A</v>
      </c>
    </row>
    <row r="41" customFormat="false" ht="15" hidden="false" customHeight="false" outlineLevel="0" collapsed="false">
      <c r="A41" s="979" t="s">
        <v>1639</v>
      </c>
      <c r="B41" s="979" t="s">
        <v>444</v>
      </c>
      <c r="C41" s="992" t="e">
        <f aca="false">0.0003537*(C15+C18)*C39^(-2)</f>
        <v>#N/A</v>
      </c>
      <c r="D41" s="992" t="n">
        <f aca="false">0.0003537*(D15+D18)*D39^(-2)</f>
        <v>0.137701357402239</v>
      </c>
      <c r="E41" s="992" t="e">
        <f aca="false">0.0003537*(E15+E18)*E39^(-2)</f>
        <v>#DIV/0!</v>
      </c>
      <c r="F41" s="992" t="e">
        <f aca="false">0.0003537*(F15+F18)*F39^(-2)</f>
        <v>#N/A</v>
      </c>
      <c r="G41" s="992" t="e">
        <f aca="false">0.0003537*(G15+G18)*G39^(-2)</f>
        <v>#DIV/0!</v>
      </c>
      <c r="H41" s="992" t="e">
        <f aca="false">0.0003537*(H15+H18)*H39^(-2)</f>
        <v>#N/A</v>
      </c>
      <c r="I41" s="992" t="e">
        <f aca="false">0.0003537*(I15+I18)*I39^(-2)</f>
        <v>#DIV/0!</v>
      </c>
      <c r="J41" s="992" t="e">
        <f aca="false">0.0003537*(J15+J18)*J39^(-2)</f>
        <v>#DIV/0!</v>
      </c>
      <c r="K41" s="992" t="e">
        <f aca="false">0.0003537*(K15+K18)*K39^(-2)</f>
        <v>#DIV/0!</v>
      </c>
      <c r="L41" s="992" t="e">
        <f aca="false">0.0003537*(L15+L18)*L39^(-2)</f>
        <v>#DIV/0!</v>
      </c>
      <c r="M41" s="992" t="e">
        <f aca="false">0.0003537*(M15+M18)*M39^(-2)</f>
        <v>#DIV/0!</v>
      </c>
      <c r="N41" s="992" t="e">
        <f aca="false">0.0003537*(N15+N18)*N39^(-2)</f>
        <v>#DIV/0!</v>
      </c>
      <c r="O41" s="992" t="e">
        <f aca="false">0.0003537*(O15+O18)*O39^(-2)</f>
        <v>#DIV/0!</v>
      </c>
      <c r="P41" s="992" t="e">
        <f aca="false">0.0003537*(P15+P18)*P39^(-2)</f>
        <v>#DIV/0!</v>
      </c>
      <c r="Q41" s="992" t="e">
        <f aca="false">0.0003537*(Q15+Q18)*Q39^(-2)</f>
        <v>#DIV/0!</v>
      </c>
      <c r="R41" s="992" t="n">
        <f aca="false">0.0003537*(R15+R18)*R39^(-2)</f>
        <v>0.10162495682568</v>
      </c>
      <c r="S41" s="992" t="e">
        <f aca="false">0.0003537*(S15+S18)*S39^(-2)</f>
        <v>#DIV/0!</v>
      </c>
      <c r="T41" s="992" t="e">
        <f aca="false">0.0003537*(T15+T18)*T39^(-2)</f>
        <v>#DIV/0!</v>
      </c>
      <c r="U41" s="992" t="e">
        <f aca="false">0.0003537*(U15+U18)*U39^(-2)</f>
        <v>#DIV/0!</v>
      </c>
      <c r="V41" s="992" t="e">
        <f aca="false">0.0003537*(V15+V18)*V39^(-2)</f>
        <v>#DIV/0!</v>
      </c>
      <c r="W41" s="992" t="e">
        <f aca="false">0.0003537*(W15+W18)*W39^(-2)</f>
        <v>#DIV/0!</v>
      </c>
      <c r="X41" s="992" t="e">
        <f aca="false">0.0003537*(X15+X18)*X39^(-2)</f>
        <v>#DIV/0!</v>
      </c>
      <c r="Y41" s="992" t="e">
        <f aca="false">0.0003537*(Y15+Y18)*Y39^(-2)</f>
        <v>#DIV/0!</v>
      </c>
      <c r="Z41" s="992" t="e">
        <f aca="false">0.0003537*(Z15+Z18)*Z39^(-2)</f>
        <v>#DIV/0!</v>
      </c>
      <c r="AA41" s="992" t="e">
        <f aca="false">0.0003537*(AA15+AA18)*AA39^(-2)</f>
        <v>#DIV/0!</v>
      </c>
      <c r="AB41" s="992" t="e">
        <f aca="false">0.0003537*(AB15+AB18)*AB39^(-2)</f>
        <v>#DIV/0!</v>
      </c>
      <c r="AC41" s="992" t="e">
        <f aca="false">0.0003537*(AC15+AC18)*AC39^(-2)</f>
        <v>#DIV/0!</v>
      </c>
      <c r="AD41" s="992" t="e">
        <f aca="false">0.0003537*(AD15+AD18)*AD39^(-2)</f>
        <v>#DIV/0!</v>
      </c>
      <c r="AE41" s="992" t="e">
        <f aca="false">0.0003537*(AE15+AE18)*AE39^(-2)</f>
        <v>#DIV/0!</v>
      </c>
      <c r="AF41" s="992" t="e">
        <f aca="false">0.0003537*(AF15+AF18)*AF39^(-2)</f>
        <v>#DIV/0!</v>
      </c>
      <c r="AG41" s="992" t="n">
        <f aca="false">0.0003537*(AG15+AG18)*AG39^(-2)</f>
        <v>0.644226135736412</v>
      </c>
      <c r="AH41" s="992"/>
      <c r="AI41" s="992" t="e">
        <f aca="false">0.0003537*(AI15+AI18)*AI39^(-2)</f>
        <v>#N/A</v>
      </c>
      <c r="AJ41" s="992" t="e">
        <f aca="false">0.0003537*(AJ15+AJ18)*AJ39^(-2)</f>
        <v>#N/A</v>
      </c>
    </row>
    <row r="42" customFormat="false" ht="15" hidden="false" customHeight="false" outlineLevel="0" collapsed="false">
      <c r="A42" s="979" t="s">
        <v>1640</v>
      </c>
      <c r="B42" s="979"/>
      <c r="C42" s="998" t="e">
        <f aca="false">IF(C41&gt;C40,"是","否")</f>
        <v>#N/A</v>
      </c>
      <c r="D42" s="998" t="str">
        <f aca="false">IF(D41&gt;D40,"是","否")</f>
        <v>否</v>
      </c>
      <c r="E42" s="998" t="e">
        <f aca="false">IF(E41&gt;E40,"是","否")</f>
        <v>#DIV/0!</v>
      </c>
      <c r="F42" s="998" t="e">
        <f aca="false">IF(F41&gt;F40,"是","否")</f>
        <v>#N/A</v>
      </c>
      <c r="G42" s="998" t="e">
        <f aca="false">IF(G41&gt;G40,"是","否")</f>
        <v>#NUM!</v>
      </c>
      <c r="H42" s="998" t="e">
        <f aca="false">IF(H41&gt;H40,"是","否")</f>
        <v>#N/A</v>
      </c>
      <c r="I42" s="998" t="e">
        <f aca="false">IF(I41&gt;I40,"是","否")</f>
        <v>#NUM!</v>
      </c>
      <c r="J42" s="998" t="e">
        <f aca="false">IF(J41&gt;J40,"是","否")</f>
        <v>#DIV/0!</v>
      </c>
      <c r="K42" s="998" t="e">
        <f aca="false">IF(K41&gt;K40,"是","否")</f>
        <v>#NUM!</v>
      </c>
      <c r="L42" s="998" t="e">
        <f aca="false">IF(L41&gt;L40,"是","否")</f>
        <v>#DIV/0!</v>
      </c>
      <c r="M42" s="998" t="e">
        <f aca="false">IF(M41&gt;M40,"是","否")</f>
        <v>#NUM!</v>
      </c>
      <c r="N42" s="998" t="e">
        <f aca="false">IF(N41&gt;N40,"是","否")</f>
        <v>#NUM!</v>
      </c>
      <c r="O42" s="998" t="e">
        <f aca="false">IF(O41&gt;O40,"是","否")</f>
        <v>#DIV/0!</v>
      </c>
      <c r="P42" s="998" t="e">
        <f aca="false">IF(P41&gt;P40,"是","否")</f>
        <v>#DIV/0!</v>
      </c>
      <c r="Q42" s="998" t="e">
        <f aca="false">IF(Q41&gt;Q40,"是","否")</f>
        <v>#DIV/0!</v>
      </c>
      <c r="R42" s="998" t="str">
        <f aca="false">IF(R41&gt;R40,"是","否")</f>
        <v>否</v>
      </c>
      <c r="S42" s="998" t="e">
        <f aca="false">IF(S41&gt;S40,"是","否")</f>
        <v>#DIV/0!</v>
      </c>
      <c r="T42" s="998" t="e">
        <f aca="false">IF(T41&gt;T40,"是","否")</f>
        <v>#DIV/0!</v>
      </c>
      <c r="U42" s="998" t="e">
        <f aca="false">IF(U41&gt;U40,"是","否")</f>
        <v>#DIV/0!</v>
      </c>
      <c r="V42" s="998" t="e">
        <f aca="false">IF(V41&gt;V40,"是","否")</f>
        <v>#DIV/0!</v>
      </c>
      <c r="W42" s="998" t="e">
        <f aca="false">IF(W41&gt;W40,"是","否")</f>
        <v>#DIV/0!</v>
      </c>
      <c r="X42" s="998" t="e">
        <f aca="false">IF(X41&gt;X40,"是","否")</f>
        <v>#NUM!</v>
      </c>
      <c r="Y42" s="998" t="e">
        <f aca="false">IF(Y41&gt;Y40,"是","否")</f>
        <v>#DIV/0!</v>
      </c>
      <c r="Z42" s="998" t="e">
        <f aca="false">IF(Z41&gt;Z40,"是","否")</f>
        <v>#DIV/0!</v>
      </c>
      <c r="AA42" s="998" t="e">
        <f aca="false">IF(AA41&gt;AA40,"是","否")</f>
        <v>#DIV/0!</v>
      </c>
      <c r="AB42" s="998" t="e">
        <f aca="false">IF(AB41&gt;AB40,"是","否")</f>
        <v>#DIV/0!</v>
      </c>
      <c r="AC42" s="998" t="e">
        <f aca="false">IF(AC41&gt;AC40,"是","否")</f>
        <v>#DIV/0!</v>
      </c>
      <c r="AD42" s="998" t="e">
        <f aca="false">IF(AD41&gt;AD40,"是","否")</f>
        <v>#NUM!</v>
      </c>
      <c r="AE42" s="998" t="e">
        <f aca="false">IF(AE41&gt;AE40,"是","否")</f>
        <v>#DIV/0!</v>
      </c>
      <c r="AF42" s="998" t="e">
        <f aca="false">IF(AF41&gt;AF40,"是","否")</f>
        <v>#NUM!</v>
      </c>
      <c r="AG42" s="998" t="str">
        <f aca="false">IF(AG41&gt;AG40,"是","否")</f>
        <v>否</v>
      </c>
      <c r="AH42" s="998"/>
      <c r="AI42" s="998" t="e">
        <f aca="false">IF(AI41&gt;AI40,"是","否")</f>
        <v>#N/A</v>
      </c>
      <c r="AJ42" s="998" t="e">
        <f aca="false">IF(AJ41&gt;AJ40,"是","否")</f>
        <v>#N/A</v>
      </c>
    </row>
    <row r="43" customFormat="false" ht="15" hidden="false" customHeight="false" outlineLevel="0" collapsed="false">
      <c r="A43" s="979" t="s">
        <v>1641</v>
      </c>
      <c r="B43" s="979"/>
      <c r="C43" s="999" t="str">
        <f aca="false">IF((C7-C8)&gt;0.3*C7,"是","否")</f>
        <v>否</v>
      </c>
      <c r="D43" s="999" t="str">
        <f aca="false">IF((D7-D8)&gt;0.3*D7,"是","否")</f>
        <v>否</v>
      </c>
      <c r="E43" s="999" t="str">
        <f aca="false">IF((E7-E8)&gt;0.3*E7,"是","否")</f>
        <v>否</v>
      </c>
      <c r="F43" s="999" t="e">
        <f aca="false">IF((F7-F8)&gt;0.3*F7,"是","否")</f>
        <v>#N/A</v>
      </c>
      <c r="G43" s="999" t="str">
        <f aca="false">IF((G7-G8)&gt;0.3*G7,"是","否")</f>
        <v>是</v>
      </c>
      <c r="H43" s="999" t="e">
        <f aca="false">IF((H7-H8)&gt;0.3*H7,"是","否")</f>
        <v>#N/A</v>
      </c>
      <c r="I43" s="999" t="str">
        <f aca="false">IF((I7-I8)&gt;0.3*I7,"是","否")</f>
        <v>是</v>
      </c>
      <c r="J43" s="999" t="str">
        <f aca="false">IF((J7-J8)&gt;0.3*J7,"是","否")</f>
        <v>否</v>
      </c>
      <c r="K43" s="999" t="str">
        <f aca="false">IF((K7-K8)&gt;0.3*K7,"是","否")</f>
        <v>否</v>
      </c>
      <c r="L43" s="999" t="str">
        <f aca="false">IF((L7-L8)&gt;0.3*L7,"是","否")</f>
        <v>否</v>
      </c>
      <c r="M43" s="999" t="str">
        <f aca="false">IF((M7-M8)&gt;0.3*M7,"是","否")</f>
        <v>否</v>
      </c>
      <c r="N43" s="999" t="str">
        <f aca="false">IF((N7-N8)&gt;0.3*N7,"是","否")</f>
        <v>否</v>
      </c>
      <c r="O43" s="999" t="str">
        <f aca="false">IF((O7-O8)&gt;0.3*O7,"是","否")</f>
        <v>否</v>
      </c>
      <c r="P43" s="999" t="str">
        <f aca="false">IF((P7-P8)&gt;0.3*P7,"是","否")</f>
        <v>否</v>
      </c>
      <c r="Q43" s="999" t="str">
        <f aca="false">IF((Q7-Q8)&gt;0.3*Q7,"是","否")</f>
        <v>否</v>
      </c>
      <c r="R43" s="999" t="str">
        <f aca="false">IF((R7-R8)&gt;0.3*R7,"是","否")</f>
        <v>否</v>
      </c>
      <c r="S43" s="999" t="str">
        <f aca="false">IF((S7-S8)&gt;0.3*S7,"是","否")</f>
        <v>否</v>
      </c>
      <c r="T43" s="999" t="str">
        <f aca="false">IF((T7-T8)&gt;0.3*T7,"是","否")</f>
        <v>否</v>
      </c>
      <c r="U43" s="999" t="str">
        <f aca="false">IF((U7-U8)&gt;0.3*U7,"是","否")</f>
        <v>否</v>
      </c>
      <c r="V43" s="999" t="str">
        <f aca="false">IF((V7-V8)&gt;0.3*V7,"是","否")</f>
        <v>否</v>
      </c>
      <c r="W43" s="999" t="str">
        <f aca="false">IF((W7-W8)&gt;0.3*W7,"是","否")</f>
        <v>否</v>
      </c>
      <c r="X43" s="999" t="str">
        <f aca="false">IF((X7-X8)&gt;0.3*X7,"是","否")</f>
        <v>否</v>
      </c>
      <c r="Y43" s="999" t="str">
        <f aca="false">IF((Y7-Y8)&gt;0.3*Y7,"是","否")</f>
        <v>否</v>
      </c>
      <c r="Z43" s="999" t="str">
        <f aca="false">IF((Z7-Z8)&gt;0.3*Z7,"是","否")</f>
        <v>否</v>
      </c>
      <c r="AA43" s="999" t="str">
        <f aca="false">IF((AA7-AA8)&gt;0.3*AA7,"是","否")</f>
        <v>否</v>
      </c>
      <c r="AB43" s="999" t="str">
        <f aca="false">IF((AB7-AB8)&gt;0.3*AB7,"是","否")</f>
        <v>否</v>
      </c>
      <c r="AC43" s="999" t="str">
        <f aca="false">IF((AC7-AC8)&gt;0.3*AC7,"是","否")</f>
        <v>否</v>
      </c>
      <c r="AD43" s="999" t="str">
        <f aca="false">IF((AD7-AD8)&gt;0.3*AD7,"是","否")</f>
        <v>否</v>
      </c>
      <c r="AE43" s="999" t="str">
        <f aca="false">IF((AE7-AE8)&gt;0.3*AE7,"是","否")</f>
        <v>否</v>
      </c>
      <c r="AF43" s="999" t="str">
        <f aca="false">IF((AF7-AF8)&gt;0.3*AF7,"是","否")</f>
        <v>否</v>
      </c>
      <c r="AG43" s="999" t="str">
        <f aca="false">IF((AG7-AG8)&gt;0.3*AG7,"是","否")</f>
        <v>否</v>
      </c>
      <c r="AH43" s="999"/>
      <c r="AI43" s="999" t="e">
        <f aca="false">IF((AI7-AI8)&gt;0.3*AI7,"是","否")</f>
        <v>#N/A</v>
      </c>
      <c r="AJ43" s="999" t="e">
        <f aca="false">IF((AJ7-AJ8)&gt;0.3*AJ7,"是","否")</f>
        <v>#N/A</v>
      </c>
    </row>
    <row r="44" customFormat="false" ht="15" hidden="false" customHeight="false" outlineLevel="0" collapsed="false">
      <c r="A44" s="979" t="s">
        <v>1642</v>
      </c>
      <c r="B44" s="979"/>
      <c r="C44" s="992" t="e">
        <f aca="false">0.75*(C14*C8*1000000/C49*C12)^0.5</f>
        <v>#N/A</v>
      </c>
      <c r="D44" s="992" t="n">
        <f aca="false">0.75*(D14*D8*1000000/D49*D12)^0.5</f>
        <v>257415.33655987</v>
      </c>
      <c r="E44" s="992" t="n">
        <f aca="false">0.75*(E14*E8*1000000/E49*E12)^0.5</f>
        <v>61.6582237215767</v>
      </c>
      <c r="F44" s="992" t="e">
        <f aca="false">0.75*(F14*F8*1000000/F49*F12)^0.5</f>
        <v>#N/A</v>
      </c>
      <c r="G44" s="992" t="e">
        <f aca="false">0.75*(G14*G8*1000000/G49*G12)^0.5</f>
        <v>#DIV/0!</v>
      </c>
      <c r="H44" s="992" t="e">
        <f aca="false">0.75*(H14*H8*1000000/H49*H12)^0.5</f>
        <v>#N/A</v>
      </c>
      <c r="I44" s="992" t="e">
        <f aca="false">0.75*(I14*I8*1000000/I49*I12)^0.5</f>
        <v>#DIV/0!</v>
      </c>
      <c r="J44" s="992" t="n">
        <f aca="false">0.75*(J14*J8*1000000/J49*J12)^0.5</f>
        <v>485.879366625606</v>
      </c>
      <c r="K44" s="992" t="e">
        <f aca="false">0.75*(K14*K8*1000000/K49*K12)^0.5</f>
        <v>#DIV/0!</v>
      </c>
      <c r="L44" s="992" t="e">
        <f aca="false">0.75*(L14*L8*1000000/L49*L12)^0.5</f>
        <v>#DIV/0!</v>
      </c>
      <c r="M44" s="992" t="e">
        <f aca="false">0.75*(M14*M8*1000000/M49*M12)^0.5</f>
        <v>#DIV/0!</v>
      </c>
      <c r="N44" s="992" t="e">
        <f aca="false">0.75*(N14*N8*1000000/N49*N12)^0.5</f>
        <v>#DIV/0!</v>
      </c>
      <c r="O44" s="992" t="n">
        <f aca="false">0.75*(O14*O8*1000000/O49*O12)^0.5</f>
        <v>22505.692779828</v>
      </c>
      <c r="P44" s="992" t="n">
        <f aca="false">0.75*(P14*P8*1000000/P49*P12)^0.5</f>
        <v>32200.8672243466</v>
      </c>
      <c r="Q44" s="992" t="n">
        <f aca="false">0.75*(Q14*Q8*1000000/Q49*Q12)^0.5</f>
        <v>32154.7733625974</v>
      </c>
      <c r="R44" s="992" t="n">
        <f aca="false">0.75*(R14*R8*1000000/R49*R12)^0.5</f>
        <v>252954.413922383</v>
      </c>
      <c r="S44" s="992" t="n">
        <f aca="false">0.75*(S14*S8*1000000/S49*S12)^0.5</f>
        <v>18309.8188310262</v>
      </c>
      <c r="T44" s="992" t="n">
        <f aca="false">0.75*(T14*T8*1000000/T49*T12)^0.5</f>
        <v>18309.8188310262</v>
      </c>
      <c r="U44" s="992" t="n">
        <f aca="false">0.75*(U14*U8*1000000/U49*U12)^0.5</f>
        <v>297886.24327753</v>
      </c>
      <c r="V44" s="992" t="n">
        <f aca="false">0.75*(V14*V8*1000000/V49*V12)^0.5</f>
        <v>283503.263766927</v>
      </c>
      <c r="W44" s="992" t="n">
        <f aca="false">0.75*(W14*W8*1000000/W49*W12)^0.5</f>
        <v>312557.189719138</v>
      </c>
      <c r="X44" s="992" t="e">
        <f aca="false">0.75*(X14*X8*1000000/X49*X12)^0.5</f>
        <v>#DIV/0!</v>
      </c>
      <c r="Y44" s="992" t="n">
        <f aca="false">0.75*(Y14*Y8*1000000/Y49*Y12)^0.5</f>
        <v>5295.64670271724</v>
      </c>
      <c r="Z44" s="992" t="n">
        <f aca="false">0.75*(Z14*Z8*1000000/Z49*Z12)^0.5</f>
        <v>21389.434994291</v>
      </c>
      <c r="AA44" s="992" t="e">
        <f aca="false">0.75*(AA14*AA8*1000000/AA49*AA12)^0.5</f>
        <v>#DIV/0!</v>
      </c>
      <c r="AB44" s="992" t="e">
        <f aca="false">0.75*(AB14*AB8*1000000/AB49*AB12)^0.5</f>
        <v>#DIV/0!</v>
      </c>
      <c r="AC44" s="992" t="e">
        <f aca="false">0.75*(AC14*AC8*1000000/AC49*AC12)^0.5</f>
        <v>#DIV/0!</v>
      </c>
      <c r="AD44" s="992" t="e">
        <f aca="false">0.75*(AD14*AD8*1000000/AD49*AD12)^0.5</f>
        <v>#DIV/0!</v>
      </c>
      <c r="AE44" s="992" t="n">
        <f aca="false">0.75*(AE14*AE8*1000000/AE49*AE12)^0.5</f>
        <v>41038.7442721814</v>
      </c>
      <c r="AF44" s="992" t="e">
        <f aca="false">0.75*(AF14*AF8*1000000/AF49*AF12)^0.5</f>
        <v>#DIV/0!</v>
      </c>
      <c r="AG44" s="992" t="n">
        <f aca="false">0.75*(AG14*AG8*1000000/AG49*AG12)^0.5</f>
        <v>159088.793473674</v>
      </c>
      <c r="AH44" s="992"/>
      <c r="AI44" s="992" t="e">
        <f aca="false">0.75*(AI14*AI8*1000000/AI49*AI12)^0.5</f>
        <v>#N/A</v>
      </c>
      <c r="AJ44" s="992" t="e">
        <f aca="false">0.75*(AJ14*AJ8*1000000/AJ49*AJ12)^0.5</f>
        <v>#N/A</v>
      </c>
    </row>
    <row r="45" customFormat="false" ht="15" hidden="false" customHeight="false" outlineLevel="0" collapsed="false">
      <c r="A45" s="979" t="s">
        <v>1643</v>
      </c>
      <c r="B45" s="979" t="s">
        <v>1625</v>
      </c>
      <c r="C45" s="985" t="e">
        <f aca="false">0.0003537*(C11+C17)*C39^(-2)</f>
        <v>#N/A</v>
      </c>
      <c r="D45" s="985" t="n">
        <f aca="false">0.0003537*(D11+D17)*D39^(-2)</f>
        <v>3.5357424</v>
      </c>
      <c r="E45" s="985" t="n">
        <f aca="false">0.0003537*(E11+E17)*E39^(-2)</f>
        <v>3.5830989</v>
      </c>
      <c r="F45" s="985" t="e">
        <f aca="false">0.0003537*(F11+F17)*F39^(-2)</f>
        <v>#N/A</v>
      </c>
      <c r="G45" s="985" t="n">
        <f aca="false">0.0003537*(G11+G17)*G39^(-2)</f>
        <v>0</v>
      </c>
      <c r="H45" s="985" t="e">
        <f aca="false">0.0003537*(H11+H17)*H39^(-2)</f>
        <v>#N/A</v>
      </c>
      <c r="I45" s="985" t="n">
        <f aca="false">0.0003537*(I11+I17)*I39^(-2)</f>
        <v>0</v>
      </c>
      <c r="J45" s="985" t="n">
        <f aca="false">0.0003537*(J11+J17)*J39^(-2)</f>
        <v>2.6324808244898</v>
      </c>
      <c r="K45" s="985" t="n">
        <f aca="false">0.0003537*(K11+K17)*K39^(-2)</f>
        <v>0.001503225</v>
      </c>
      <c r="L45" s="985" t="n">
        <f aca="false">0.0003537*(L11+L17)*L39^(-2)</f>
        <v>0.0004716</v>
      </c>
      <c r="M45" s="985" t="n">
        <f aca="false">0.0003537*(M11+M17)*M39^(-2)</f>
        <v>0.0026724</v>
      </c>
      <c r="N45" s="985" t="n">
        <f aca="false">0.0003537*(N11+N17)*N39^(-2)</f>
        <v>8.8425E-005</v>
      </c>
      <c r="O45" s="985" t="n">
        <f aca="false">0.0003537*(O11+O17)*O39^(-2)</f>
        <v>56.05094953125</v>
      </c>
      <c r="P45" s="985" t="n">
        <f aca="false">0.0003537*(P11+P17)*P39^(-2)</f>
        <v>3.2168622</v>
      </c>
      <c r="Q45" s="985" t="n">
        <f aca="false">0.0003537*(Q11+Q17)*Q39^(-2)</f>
        <v>2.36340896326531</v>
      </c>
      <c r="R45" s="985" t="n">
        <f aca="false">0.0003537*(R11+R17)*R39^(-2)</f>
        <v>2.59924746122449</v>
      </c>
      <c r="S45" s="985" t="n">
        <f aca="false">0.0003537*(S11+S17)*S39^(-2)</f>
        <v>3.4732161</v>
      </c>
      <c r="T45" s="985" t="n">
        <f aca="false">0.0003537*(T11+T17)*T39^(-2)</f>
        <v>5.001431184</v>
      </c>
      <c r="U45" s="985" t="n">
        <f aca="false">0.0003537*(U11+U17)*U39^(-2)</f>
        <v>1.81244052768166</v>
      </c>
      <c r="V45" s="985" t="n">
        <f aca="false">0.0003537*(V11+V17)*V39^(-2)</f>
        <v>13.721988</v>
      </c>
      <c r="W45" s="985" t="n">
        <f aca="false">0.0003537*(W11+W17)*W39^(-2)</f>
        <v>30.6962082</v>
      </c>
      <c r="X45" s="985" t="n">
        <f aca="false">0.0003537*(X11+X17)*X39^(-2)</f>
        <v>0.001245024</v>
      </c>
      <c r="Y45" s="985" t="n">
        <f aca="false">0.0003537*(Y11+Y17)*Y39^(-2)</f>
        <v>4.122217872</v>
      </c>
      <c r="Z45" s="985" t="n">
        <f aca="false">0.0003537*(Z11+Z17)*Z39^(-2)</f>
        <v>4.122217872</v>
      </c>
      <c r="AA45" s="985" t="n">
        <f aca="false">0.0003537*(AA11+AA17)*AA39^(-2)</f>
        <v>0.0003537</v>
      </c>
      <c r="AB45" s="985" t="n">
        <f aca="false">0.0003537*(AB11+AB17)*AB39^(-2)</f>
        <v>0.0003537</v>
      </c>
      <c r="AC45" s="985" t="n">
        <f aca="false">0.0003537*(AC11+AC17)*AC39^(-2)</f>
        <v>0.0003537</v>
      </c>
      <c r="AD45" s="985" t="n">
        <f aca="false">0.0003537*(AD11+AD17)*AD39^(-2)</f>
        <v>0.00194535</v>
      </c>
      <c r="AE45" s="985" t="n">
        <f aca="false">0.0003537*(AE11+AE17)*AE39^(-2)</f>
        <v>2.04479022857143</v>
      </c>
      <c r="AF45" s="985" t="n">
        <f aca="false">0.0003537*(AF11+AF17)*AF39^(-2)</f>
        <v>0.0017292</v>
      </c>
      <c r="AG45" s="985" t="n">
        <f aca="false">0.0003537*(AG11+AG17)*AG39^(-2)</f>
        <v>28.4625927</v>
      </c>
      <c r="AH45" s="985"/>
      <c r="AI45" s="985" t="e">
        <f aca="false">0.0003537*(AI11+AI17)*AI39^(-2)</f>
        <v>#N/A</v>
      </c>
      <c r="AJ45" s="985" t="e">
        <f aca="false">0.0003537*(AJ11+AJ17)*AJ39^(-2)</f>
        <v>#N/A</v>
      </c>
    </row>
    <row r="46" s="27" customFormat="true" ht="15" hidden="false" customHeight="false" outlineLevel="0" collapsed="false">
      <c r="A46" s="979" t="s">
        <v>1644</v>
      </c>
      <c r="B46" s="979"/>
      <c r="C46" s="998" t="str">
        <f aca="false">IF(C43="否","不考虑",IF(0.75*C44&gt;C45,"是","否"))</f>
        <v>不考虑</v>
      </c>
      <c r="D46" s="998" t="str">
        <f aca="false">IF(D43="否","不考虑",IF(0.75*D44&gt;D45,"是","否"))</f>
        <v>不考虑</v>
      </c>
      <c r="E46" s="998" t="str">
        <f aca="false">IF(E43="否","不考虑",IF(0.75*E44&gt;E45,"是","否"))</f>
        <v>不考虑</v>
      </c>
      <c r="F46" s="998" t="e">
        <f aca="false">IF(F43="否","不考虑",IF(0.75*F44&gt;F45,"是","否"))</f>
        <v>#N/A</v>
      </c>
      <c r="G46" s="998" t="e">
        <f aca="false">IF(G43="否","不考虑",IF(0.75*G44&gt;G45,"是","否"))</f>
        <v>#DIV/0!</v>
      </c>
      <c r="H46" s="998" t="e">
        <f aca="false">IF(H43="否","不考虑",IF(0.75*H44&gt;H45,"是","否"))</f>
        <v>#N/A</v>
      </c>
      <c r="I46" s="998" t="e">
        <f aca="false">IF(I43="否","不考虑",IF(0.75*I44&gt;I45,"是","否"))</f>
        <v>#DIV/0!</v>
      </c>
      <c r="J46" s="998" t="str">
        <f aca="false">IF(J43="否","不考虑",IF(0.75*J44&gt;J45,"是","否"))</f>
        <v>不考虑</v>
      </c>
      <c r="K46" s="998" t="str">
        <f aca="false">IF(K43="否","不考虑",IF(0.75*K44&gt;K45,"是","否"))</f>
        <v>不考虑</v>
      </c>
      <c r="L46" s="998" t="str">
        <f aca="false">IF(L43="否","不考虑",IF(0.75*L44&gt;L45,"是","否"))</f>
        <v>不考虑</v>
      </c>
      <c r="M46" s="998" t="str">
        <f aca="false">IF(M43="否","不考虑",IF(0.75*M44&gt;M45,"是","否"))</f>
        <v>不考虑</v>
      </c>
      <c r="N46" s="998" t="str">
        <f aca="false">IF(N43="否","不考虑",IF(0.75*N44&gt;N45,"是","否"))</f>
        <v>不考虑</v>
      </c>
      <c r="O46" s="998" t="str">
        <f aca="false">IF(O43="否","不考虑",IF(0.75*O44&gt;O45,"是","否"))</f>
        <v>不考虑</v>
      </c>
      <c r="P46" s="998" t="str">
        <f aca="false">IF(P43="否","不考虑",IF(0.75*P44&gt;P45,"是","否"))</f>
        <v>不考虑</v>
      </c>
      <c r="Q46" s="998" t="str">
        <f aca="false">IF(Q43="否","不考虑",IF(0.75*Q44&gt;Q45,"是","否"))</f>
        <v>不考虑</v>
      </c>
      <c r="R46" s="998" t="str">
        <f aca="false">IF(R43="否","不考虑",IF(0.75*R44&gt;R45,"是","否"))</f>
        <v>不考虑</v>
      </c>
      <c r="S46" s="998" t="str">
        <f aca="false">IF(S43="否","不考虑",IF(0.75*S44&gt;S45,"是","否"))</f>
        <v>不考虑</v>
      </c>
      <c r="T46" s="998" t="str">
        <f aca="false">IF(T43="否","不考虑",IF(0.75*T44&gt;T45,"是","否"))</f>
        <v>不考虑</v>
      </c>
      <c r="U46" s="998" t="str">
        <f aca="false">IF(U43="否","不考虑",IF(0.75*U44&gt;U45,"是","否"))</f>
        <v>不考虑</v>
      </c>
      <c r="V46" s="998" t="str">
        <f aca="false">IF(V43="否","不考虑",IF(0.75*V44&gt;V45,"是","否"))</f>
        <v>不考虑</v>
      </c>
      <c r="W46" s="998" t="str">
        <f aca="false">IF(W43="否","不考虑",IF(0.75*W44&gt;W45,"是","否"))</f>
        <v>不考虑</v>
      </c>
      <c r="X46" s="998" t="str">
        <f aca="false">IF(X43="否","不考虑",IF(0.75*X44&gt;X45,"是","否"))</f>
        <v>不考虑</v>
      </c>
      <c r="Y46" s="998" t="str">
        <f aca="false">IF(Y43="否","不考虑",IF(0.75*Y44&gt;Y45,"是","否"))</f>
        <v>不考虑</v>
      </c>
      <c r="Z46" s="998" t="str">
        <f aca="false">IF(Z43="否","不考虑",IF(0.75*Z44&gt;Z45,"是","否"))</f>
        <v>不考虑</v>
      </c>
      <c r="AA46" s="998" t="str">
        <f aca="false">IF(AA43="否","不考虑",IF(0.75*AA44&gt;AA45,"是","否"))</f>
        <v>不考虑</v>
      </c>
      <c r="AB46" s="998" t="str">
        <f aca="false">IF(AB43="否","不考虑",IF(0.75*AB44&gt;AB45,"是","否"))</f>
        <v>不考虑</v>
      </c>
      <c r="AC46" s="998" t="str">
        <f aca="false">IF(AC43="否","不考虑",IF(0.75*AC44&gt;AC45,"是","否"))</f>
        <v>不考虑</v>
      </c>
      <c r="AD46" s="998" t="str">
        <f aca="false">IF(AD43="否","不考虑",IF(0.75*AD44&gt;AD45,"是","否"))</f>
        <v>不考虑</v>
      </c>
      <c r="AE46" s="998" t="str">
        <f aca="false">IF(AE43="否","不考虑",IF(0.75*AE44&gt;AE45,"是","否"))</f>
        <v>不考虑</v>
      </c>
      <c r="AF46" s="998" t="str">
        <f aca="false">IF(AF43="否","不考虑",IF(0.75*AF44&gt;AF45,"是","否"))</f>
        <v>不考虑</v>
      </c>
      <c r="AG46" s="998" t="str">
        <f aca="false">IF(AG43="否","不考虑",IF(0.75*AG44&gt;AG45,"是","否"))</f>
        <v>不考虑</v>
      </c>
      <c r="AH46" s="998"/>
      <c r="AI46" s="998" t="e">
        <f aca="false">IF(AI43="否","不考虑",IF(0.75*AI44&gt;AI45,"是","否"))</f>
        <v>#N/A</v>
      </c>
      <c r="AJ46" s="998" t="e">
        <f aca="false">IF(AJ43="否","不考虑",IF(0.75*AJ44&gt;AJ45,"是","否"))</f>
        <v>#N/A</v>
      </c>
    </row>
    <row r="47" customFormat="false" ht="15" hidden="false" customHeight="false" outlineLevel="0" collapsed="false">
      <c r="A47" s="1000" t="s">
        <v>629</v>
      </c>
      <c r="B47" s="1000"/>
      <c r="C47" s="1001" t="e">
        <f aca="false">IF(AND(C32&lt;&gt;"块状流",C42="否"),"核算通过","请再次核对")</f>
        <v>#N/A</v>
      </c>
      <c r="D47" s="1001" t="str">
        <f aca="false">IF(AND(D32&lt;&gt;"块状流",D42="否"),"核算通过","请再次核对")</f>
        <v>核算通过</v>
      </c>
      <c r="E47" s="1001" t="e">
        <f aca="false">IF(AND(E32&lt;&gt;"块状流",E42="否"),"核算通过","请再次核对")</f>
        <v>#DIV/0!</v>
      </c>
      <c r="F47" s="1001" t="e">
        <f aca="false">IF(AND(F32&lt;&gt;"块状流",F42="否"),"核算通过","请再次核对")</f>
        <v>#N/A</v>
      </c>
      <c r="G47" s="1001" t="e">
        <f aca="false">IF(AND(G32&lt;&gt;"块状流",G42="否"),"核算通过","请再次核对")</f>
        <v>#NUM!</v>
      </c>
      <c r="H47" s="1001" t="e">
        <f aca="false">IF(AND(H32&lt;&gt;"块状流",H42="否"),"核算通过","请再次核对")</f>
        <v>#N/A</v>
      </c>
      <c r="I47" s="1001" t="e">
        <f aca="false">IF(AND(I32&lt;&gt;"块状流",I42="否"),"核算通过","请再次核对")</f>
        <v>#NUM!</v>
      </c>
      <c r="J47" s="1001" t="e">
        <f aca="false">IF(AND(J32&lt;&gt;"块状流",J42="否"),"核算通过","请再次核对")</f>
        <v>#DIV/0!</v>
      </c>
      <c r="K47" s="1001" t="e">
        <f aca="false">IF(AND(K32&lt;&gt;"块状流",K42="否"),"核算通过","请再次核对")</f>
        <v>#NUM!</v>
      </c>
      <c r="L47" s="1001" t="e">
        <f aca="false">IF(AND(L32&lt;&gt;"块状流",L42="否"),"核算通过","请再次核对")</f>
        <v>#DIV/0!</v>
      </c>
      <c r="M47" s="1001" t="e">
        <f aca="false">IF(AND(M32&lt;&gt;"块状流",M42="否"),"核算通过","请再次核对")</f>
        <v>#NUM!</v>
      </c>
      <c r="N47" s="1001" t="e">
        <f aca="false">IF(AND(N32&lt;&gt;"块状流",N42="否"),"核算通过","请再次核对")</f>
        <v>#NUM!</v>
      </c>
      <c r="O47" s="1001" t="e">
        <f aca="false">IF(AND(O32&lt;&gt;"块状流",O42="否"),"核算通过","请再次核对")</f>
        <v>#DIV/0!</v>
      </c>
      <c r="P47" s="1001" t="e">
        <f aca="false">IF(AND(P32&lt;&gt;"块状流",P42="否"),"核算通过","请再次核对")</f>
        <v>#DIV/0!</v>
      </c>
      <c r="Q47" s="1001" t="e">
        <f aca="false">IF(AND(Q32&lt;&gt;"块状流",Q42="否"),"核算通过","请再次核对")</f>
        <v>#DIV/0!</v>
      </c>
      <c r="R47" s="1001" t="str">
        <f aca="false">IF(AND(R32&lt;&gt;"块状流",R42="否"),"核算通过","请再次核对")</f>
        <v>核算通过</v>
      </c>
      <c r="S47" s="1001" t="e">
        <f aca="false">IF(AND(S32&lt;&gt;"块状流",S42="否"),"核算通过","请再次核对")</f>
        <v>#DIV/0!</v>
      </c>
      <c r="T47" s="1001" t="e">
        <f aca="false">IF(AND(T32&lt;&gt;"块状流",T42="否"),"核算通过","请再次核对")</f>
        <v>#DIV/0!</v>
      </c>
      <c r="U47" s="1001" t="e">
        <f aca="false">IF(AND(U32&lt;&gt;"块状流",U42="否"),"核算通过","请再次核对")</f>
        <v>#DIV/0!</v>
      </c>
      <c r="V47" s="1001" t="e">
        <f aca="false">IF(AND(V32&lt;&gt;"块状流",V42="否"),"核算通过","请再次核对")</f>
        <v>#DIV/0!</v>
      </c>
      <c r="W47" s="1001" t="e">
        <f aca="false">IF(AND(W32&lt;&gt;"块状流",W42="否"),"核算通过","请再次核对")</f>
        <v>#DIV/0!</v>
      </c>
      <c r="X47" s="1001" t="e">
        <f aca="false">IF(AND(X32&lt;&gt;"块状流",X42="否"),"核算通过","请再次核对")</f>
        <v>#NUM!</v>
      </c>
      <c r="Y47" s="1001" t="e">
        <f aca="false">IF(AND(Y32&lt;&gt;"块状流",Y42="否"),"核算通过","请再次核对")</f>
        <v>#DIV/0!</v>
      </c>
      <c r="Z47" s="1001" t="e">
        <f aca="false">IF(AND(Z32&lt;&gt;"块状流",Z42="否"),"核算通过","请再次核对")</f>
        <v>#DIV/0!</v>
      </c>
      <c r="AA47" s="1001" t="e">
        <f aca="false">IF(AND(AA32&lt;&gt;"块状流",AA42="否"),"核算通过","请再次核对")</f>
        <v>#DIV/0!</v>
      </c>
      <c r="AB47" s="1001" t="e">
        <f aca="false">IF(AND(AB32&lt;&gt;"块状流",AB42="否"),"核算通过","请再次核对")</f>
        <v>#DIV/0!</v>
      </c>
      <c r="AC47" s="1001" t="e">
        <f aca="false">IF(AND(AC32&lt;&gt;"块状流",AC42="否"),"核算通过","请再次核对")</f>
        <v>#DIV/0!</v>
      </c>
      <c r="AD47" s="1001" t="e">
        <f aca="false">IF(AND(AD32&lt;&gt;"块状流",AD42="否"),"核算通过","请再次核对")</f>
        <v>#NUM!</v>
      </c>
      <c r="AE47" s="1001" t="e">
        <f aca="false">IF(AND(AE32&lt;&gt;"块状流",AE42="否"),"核算通过","请再次核对")</f>
        <v>#DIV/0!</v>
      </c>
      <c r="AF47" s="1001" t="e">
        <f aca="false">IF(AND(AF32&lt;&gt;"块状流",AF42="否"),"核算通过","请再次核对")</f>
        <v>#NUM!</v>
      </c>
      <c r="AG47" s="1001" t="str">
        <f aca="false">IF(AND(AG32&lt;&gt;"块状流",AG42="否"),"核算通过","请再次核对")</f>
        <v>核算通过</v>
      </c>
      <c r="AH47" s="1001"/>
      <c r="AI47" s="1001" t="e">
        <f aca="false">IF(AND(AI32&lt;&gt;"块状流",AI42="否"),"核算通过","请再次核对")</f>
        <v>#N/A</v>
      </c>
      <c r="AJ47" s="1001" t="e">
        <f aca="false">IF(AND(AJ32&lt;&gt;"块状流",AJ42="否"),"核算通过","请再次核对")</f>
        <v>#N/A</v>
      </c>
    </row>
    <row r="48" customFormat="false" ht="15" hidden="false" customHeight="false" outlineLevel="0" collapsed="false">
      <c r="A48" s="1002" t="s">
        <v>1645</v>
      </c>
      <c r="B48" s="979"/>
      <c r="C48" s="581"/>
      <c r="D48" s="581"/>
      <c r="E48" s="581"/>
      <c r="F48" s="581"/>
      <c r="G48" s="581"/>
      <c r="H48" s="581"/>
      <c r="I48" s="581"/>
      <c r="J48" s="581"/>
      <c r="K48" s="581"/>
      <c r="L48" s="581"/>
      <c r="M48" s="581"/>
      <c r="N48" s="581"/>
      <c r="O48" s="581"/>
      <c r="P48" s="581"/>
      <c r="Q48" s="581"/>
      <c r="R48" s="581"/>
      <c r="S48" s="581"/>
      <c r="T48" s="581"/>
      <c r="U48" s="581"/>
      <c r="V48" s="581"/>
      <c r="W48" s="581"/>
      <c r="X48" s="581"/>
      <c r="Y48" s="581"/>
      <c r="Z48" s="581"/>
      <c r="AA48" s="581"/>
      <c r="AB48" s="581"/>
      <c r="AC48" s="581"/>
      <c r="AD48" s="581"/>
      <c r="AE48" s="581"/>
      <c r="AF48" s="581"/>
      <c r="AG48" s="581"/>
      <c r="AH48" s="581"/>
      <c r="AI48" s="581"/>
      <c r="AJ48" s="581"/>
    </row>
    <row r="49" s="27" customFormat="true" ht="15" hidden="false" customHeight="false" outlineLevel="0" collapsed="false">
      <c r="A49" s="979" t="s">
        <v>1646</v>
      </c>
      <c r="B49" s="979"/>
      <c r="C49" s="985" t="e">
        <f aca="false">C11/(C11+C17)</f>
        <v>#N/A</v>
      </c>
      <c r="D49" s="985" t="n">
        <f aca="false">D11/(D11+D17)</f>
        <v>0.999722123421661</v>
      </c>
      <c r="E49" s="985" t="n">
        <f aca="false">E11/(E11+E17)</f>
        <v>1</v>
      </c>
      <c r="F49" s="985" t="e">
        <f aca="false">F11/(F11+F17)</f>
        <v>#N/A</v>
      </c>
      <c r="G49" s="985" t="e">
        <f aca="false">G11/(G11+G17)</f>
        <v>#DIV/0!</v>
      </c>
      <c r="H49" s="985" t="e">
        <f aca="false">H11/(H11+H17)</f>
        <v>#N/A</v>
      </c>
      <c r="I49" s="985" t="e">
        <f aca="false">I11/(I11+I17)</f>
        <v>#DIV/0!</v>
      </c>
      <c r="J49" s="985" t="n">
        <f aca="false">J11/(J11+J17)</f>
        <v>1</v>
      </c>
      <c r="K49" s="985" t="n">
        <f aca="false">K11/(K11+K17)</f>
        <v>0</v>
      </c>
      <c r="L49" s="985" t="n">
        <f aca="false">L11/(L11+L17)</f>
        <v>0</v>
      </c>
      <c r="M49" s="985" t="n">
        <f aca="false">M11/(M11+M17)</f>
        <v>0</v>
      </c>
      <c r="N49" s="985" t="n">
        <f aca="false">N11/(N11+N17)</f>
        <v>0</v>
      </c>
      <c r="O49" s="985" t="n">
        <f aca="false">O11/(O11+O17)</f>
        <v>1</v>
      </c>
      <c r="P49" s="985" t="n">
        <f aca="false">P11/(P11+P17)</f>
        <v>1</v>
      </c>
      <c r="Q49" s="985" t="n">
        <f aca="false">Q11/(Q11+Q17)</f>
        <v>1</v>
      </c>
      <c r="R49" s="985" t="n">
        <f aca="false">R11/(R11+R17)</f>
        <v>0.999722290106863</v>
      </c>
      <c r="S49" s="985" t="n">
        <f aca="false">S11/(S11+S17)</f>
        <v>1</v>
      </c>
      <c r="T49" s="985" t="n">
        <f aca="false">T11/(T11+T17)</f>
        <v>1</v>
      </c>
      <c r="U49" s="985" t="n">
        <f aca="false">U11/(U11+U17)</f>
        <v>1</v>
      </c>
      <c r="V49" s="985" t="n">
        <f aca="false">V11/(V11+V17)</f>
        <v>1</v>
      </c>
      <c r="W49" s="985" t="n">
        <f aca="false">W11/(W11+W17)</f>
        <v>1</v>
      </c>
      <c r="X49" s="985" t="n">
        <f aca="false">X11/(X11+X17)</f>
        <v>0</v>
      </c>
      <c r="Y49" s="985" t="n">
        <f aca="false">Y11/(Y11+Y17)</f>
        <v>1</v>
      </c>
      <c r="Z49" s="985" t="n">
        <f aca="false">Z11/(Z11+Z17)</f>
        <v>1</v>
      </c>
      <c r="AA49" s="985" t="n">
        <f aca="false">AA11/(AA11+AA17)</f>
        <v>0</v>
      </c>
      <c r="AB49" s="985" t="n">
        <f aca="false">AB11/(AB11+AB17)</f>
        <v>0</v>
      </c>
      <c r="AC49" s="985" t="n">
        <f aca="false">AC11/(AC11+AC17)</f>
        <v>0</v>
      </c>
      <c r="AD49" s="985" t="n">
        <f aca="false">AD11/(AD11+AD17)</f>
        <v>0</v>
      </c>
      <c r="AE49" s="985" t="n">
        <f aca="false">AE11/(AE11+AE17)</f>
        <v>1</v>
      </c>
      <c r="AF49" s="985" t="n">
        <f aca="false">AF11/(AF11+AF17)</f>
        <v>0</v>
      </c>
      <c r="AG49" s="985" t="n">
        <f aca="false">AG11/(AG11+AG17)</f>
        <v>0.999950292652011</v>
      </c>
      <c r="AH49" s="985"/>
      <c r="AI49" s="985" t="e">
        <f aca="false">AI11/(AI11+AI17)</f>
        <v>#N/A</v>
      </c>
      <c r="AJ49" s="985" t="e">
        <f aca="false">AJ11/(AJ11+AJ17)</f>
        <v>#N/A</v>
      </c>
    </row>
    <row r="50" s="27" customFormat="true" ht="15" hidden="false" customHeight="false" outlineLevel="0" collapsed="false">
      <c r="A50" s="27" t="s">
        <v>1647</v>
      </c>
      <c r="B50" s="27" t="s">
        <v>1648</v>
      </c>
      <c r="C50" s="1003" t="e">
        <f aca="false">(C13*C26+(1-C26)*C20)/1000</f>
        <v>#N/A</v>
      </c>
      <c r="D50" s="1003" t="n">
        <f aca="false">(D13*D26+(1-D26)*D20)/1000</f>
        <v>0.0164298422232204</v>
      </c>
      <c r="E50" s="1003" t="e">
        <f aca="false">(E13*E26+(1-E26)*E20)/1000</f>
        <v>#DIV/0!</v>
      </c>
      <c r="F50" s="1003" t="e">
        <f aca="false">(F13*F26+(1-F26)*F20)/1000</f>
        <v>#N/A</v>
      </c>
      <c r="G50" s="1003" t="e">
        <f aca="false">(G13*G26+(1-G26)*G20)/1000</f>
        <v>#DIV/0!</v>
      </c>
      <c r="H50" s="1003" t="e">
        <f aca="false">(H13*H26+(1-H26)*H20)/1000</f>
        <v>#N/A</v>
      </c>
      <c r="I50" s="1003" t="e">
        <f aca="false">(I13*I26+(1-I26)*I20)/1000</f>
        <v>#DIV/0!</v>
      </c>
      <c r="J50" s="1003" t="e">
        <f aca="false">(J13*J26+(1-J26)*J20)/1000</f>
        <v>#DIV/0!</v>
      </c>
      <c r="K50" s="1003" t="e">
        <f aca="false">(K13*K26+(1-K26)*K20)/1000</f>
        <v>#DIV/0!</v>
      </c>
      <c r="L50" s="1003" t="e">
        <f aca="false">(L13*L26+(1-L26)*L20)/1000</f>
        <v>#DIV/0!</v>
      </c>
      <c r="M50" s="1003" t="e">
        <f aca="false">(M13*M26+(1-M26)*M20)/1000</f>
        <v>#DIV/0!</v>
      </c>
      <c r="N50" s="1003" t="e">
        <f aca="false">(N13*N26+(1-N26)*N20)/1000</f>
        <v>#DIV/0!</v>
      </c>
      <c r="O50" s="1003" t="e">
        <f aca="false">(O13*O26+(1-O26)*O20)/1000</f>
        <v>#DIV/0!</v>
      </c>
      <c r="P50" s="1003" t="e">
        <f aca="false">(P13*P26+(1-P26)*P20)/1000</f>
        <v>#DIV/0!</v>
      </c>
      <c r="Q50" s="1003" t="e">
        <f aca="false">(Q13*Q26+(1-Q26)*Q20)/1000</f>
        <v>#DIV/0!</v>
      </c>
      <c r="R50" s="1003" t="n">
        <f aca="false">(R13*R26+(1-R26)*R20)/1000</f>
        <v>0.0175098347646991</v>
      </c>
      <c r="S50" s="1003" t="e">
        <f aca="false">(S13*S26+(1-S26)*S20)/1000</f>
        <v>#DIV/0!</v>
      </c>
      <c r="T50" s="1003" t="e">
        <f aca="false">(T13*T26+(1-T26)*T20)/1000</f>
        <v>#DIV/0!</v>
      </c>
      <c r="U50" s="1003" t="e">
        <f aca="false">(U13*U26+(1-U26)*U20)/1000</f>
        <v>#DIV/0!</v>
      </c>
      <c r="V50" s="1003" t="e">
        <f aca="false">(V13*V26+(1-V26)*V20)/1000</f>
        <v>#DIV/0!</v>
      </c>
      <c r="W50" s="1003" t="e">
        <f aca="false">(W13*W26+(1-W26)*W20)/1000</f>
        <v>#DIV/0!</v>
      </c>
      <c r="X50" s="1003" t="e">
        <f aca="false">(X13*X26+(1-X26)*X20)/1000</f>
        <v>#DIV/0!</v>
      </c>
      <c r="Y50" s="1003" t="e">
        <f aca="false">(Y13*Y26+(1-Y26)*Y20)/1000</f>
        <v>#DIV/0!</v>
      </c>
      <c r="Z50" s="1003" t="e">
        <f aca="false">(Z13*Z26+(1-Z26)*Z20)/1000</f>
        <v>#DIV/0!</v>
      </c>
      <c r="AA50" s="1003" t="e">
        <f aca="false">(AA13*AA26+(1-AA26)*AA20)/1000</f>
        <v>#DIV/0!</v>
      </c>
      <c r="AB50" s="1003" t="e">
        <f aca="false">(AB13*AB26+(1-AB26)*AB20)/1000</f>
        <v>#DIV/0!</v>
      </c>
      <c r="AC50" s="1003" t="e">
        <f aca="false">(AC13*AC26+(1-AC26)*AC20)/1000</f>
        <v>#DIV/0!</v>
      </c>
      <c r="AD50" s="1003" t="e">
        <f aca="false">(AD13*AD26+(1-AD26)*AD20)/1000</f>
        <v>#DIV/0!</v>
      </c>
      <c r="AE50" s="1003" t="e">
        <f aca="false">(AE13*AE26+(1-AE26)*AE20)/1000</f>
        <v>#DIV/0!</v>
      </c>
      <c r="AF50" s="1003" t="e">
        <f aca="false">(AF13*AF26+(1-AF26)*AF20)/1000</f>
        <v>#DIV/0!</v>
      </c>
      <c r="AG50" s="1003" t="n">
        <f aca="false">(AG13*AG26+(1-AG26)*AG20)/1000</f>
        <v>0.00898976854457107</v>
      </c>
      <c r="AH50" s="1003"/>
      <c r="AI50" s="1003" t="e">
        <f aca="false">(AI13*AI26+(1-AI26)*AI20)/1000</f>
        <v>#N/A</v>
      </c>
      <c r="AJ50" s="1003" t="e">
        <f aca="false">(AJ13*AJ26+(1-AJ26)*AJ20)/1000</f>
        <v>#N/A</v>
      </c>
    </row>
    <row r="51" customFormat="false" ht="15" hidden="false" customHeight="false" outlineLevel="0" collapsed="false">
      <c r="A51" s="27" t="s">
        <v>1649</v>
      </c>
      <c r="B51" s="27" t="s">
        <v>1650</v>
      </c>
      <c r="C51" s="1003" t="e">
        <f aca="false">1/C12*C49+1/C19*(1-C49)</f>
        <v>#N/A</v>
      </c>
      <c r="D51" s="1003" t="n">
        <f aca="false">1/D12*D49+1/D19*(1-D49)</f>
        <v>0.0389455287812368</v>
      </c>
      <c r="E51" s="1003" t="e">
        <f aca="false">1/E12*E49+1/E19*(1-E49)</f>
        <v>#DIV/0!</v>
      </c>
      <c r="F51" s="1003" t="e">
        <f aca="false">1/F12*F49+1/F19*(1-F49)</f>
        <v>#N/A</v>
      </c>
      <c r="G51" s="1003" t="e">
        <f aca="false">1/G12*G49+1/G19*(1-G49)</f>
        <v>#DIV/0!</v>
      </c>
      <c r="H51" s="1003" t="e">
        <f aca="false">1/H12*H49+1/H19*(1-H49)</f>
        <v>#N/A</v>
      </c>
      <c r="I51" s="1003" t="e">
        <f aca="false">1/I12*I49+1/I19*(1-I49)</f>
        <v>#DIV/0!</v>
      </c>
      <c r="J51" s="1003" t="e">
        <f aca="false">1/J12*J49+1/J19*(1-J49)</f>
        <v>#DIV/0!</v>
      </c>
      <c r="K51" s="1003" t="e">
        <f aca="false">1/K12*K49+1/K19*(1-K49)</f>
        <v>#DIV/0!</v>
      </c>
      <c r="L51" s="1003" t="e">
        <f aca="false">1/L12*L49+1/L19*(1-L49)</f>
        <v>#DIV/0!</v>
      </c>
      <c r="M51" s="1003" t="e">
        <f aca="false">1/M12*M49+1/M19*(1-M49)</f>
        <v>#DIV/0!</v>
      </c>
      <c r="N51" s="1003" t="e">
        <f aca="false">1/N12*N49+1/N19*(1-N49)</f>
        <v>#DIV/0!</v>
      </c>
      <c r="O51" s="1003" t="e">
        <f aca="false">1/O12*O49+1/O19*(1-O49)</f>
        <v>#DIV/0!</v>
      </c>
      <c r="P51" s="1003" t="e">
        <f aca="false">1/P12*P49+1/P19*(1-P49)</f>
        <v>#DIV/0!</v>
      </c>
      <c r="Q51" s="1003" t="e">
        <f aca="false">1/Q12*Q49+1/Q19*(1-Q49)</f>
        <v>#DIV/0!</v>
      </c>
      <c r="R51" s="1003" t="n">
        <f aca="false">1/R12*R49+1/R19*(1-R49)</f>
        <v>0.0390978382557718</v>
      </c>
      <c r="S51" s="1003" t="e">
        <f aca="false">1/S12*S49+1/S19*(1-S49)</f>
        <v>#DIV/0!</v>
      </c>
      <c r="T51" s="1003" t="e">
        <f aca="false">1/T12*T49+1/T19*(1-T49)</f>
        <v>#DIV/0!</v>
      </c>
      <c r="U51" s="1003" t="e">
        <f aca="false">1/U12*U49+1/U19*(1-U49)</f>
        <v>#DIV/0!</v>
      </c>
      <c r="V51" s="1003" t="e">
        <f aca="false">1/V12*V49+1/V19*(1-V49)</f>
        <v>#DIV/0!</v>
      </c>
      <c r="W51" s="1003" t="e">
        <f aca="false">1/W12*W49+1/W19*(1-W49)</f>
        <v>#DIV/0!</v>
      </c>
      <c r="X51" s="1003" t="e">
        <f aca="false">1/X12*X49+1/X19*(1-X49)</f>
        <v>#DIV/0!</v>
      </c>
      <c r="Y51" s="1003" t="e">
        <f aca="false">1/Y12*Y49+1/Y19*(1-Y49)</f>
        <v>#DIV/0!</v>
      </c>
      <c r="Z51" s="1003" t="e">
        <f aca="false">1/Z12*Z49+1/Z19*(1-Z49)</f>
        <v>#DIV/0!</v>
      </c>
      <c r="AA51" s="1003" t="e">
        <f aca="false">1/AA12*AA49+1/AA19*(1-AA49)</f>
        <v>#DIV/0!</v>
      </c>
      <c r="AB51" s="1003" t="e">
        <f aca="false">1/AB12*AB49+1/AB19*(1-AB49)</f>
        <v>#DIV/0!</v>
      </c>
      <c r="AC51" s="1003" t="e">
        <f aca="false">1/AC12*AC49+1/AC19*(1-AC49)</f>
        <v>#DIV/0!</v>
      </c>
      <c r="AD51" s="1003" t="e">
        <f aca="false">1/AD12*AD49+1/AD19*(1-AD49)</f>
        <v>#DIV/0!</v>
      </c>
      <c r="AE51" s="1003" t="e">
        <f aca="false">1/AE12*AE49+1/AE19*(1-AE49)</f>
        <v>#DIV/0!</v>
      </c>
      <c r="AF51" s="1003" t="e">
        <f aca="false">1/AF12*AF49+1/AF19*(1-AF49)</f>
        <v>#DIV/0!</v>
      </c>
      <c r="AG51" s="1003" t="n">
        <f aca="false">1/AG12*AG49+1/AG19*(1-AG49)</f>
        <v>0.0226341339500113</v>
      </c>
      <c r="AH51" s="1003"/>
      <c r="AI51" s="1003" t="e">
        <f aca="false">1/AI12*AI49+1/AI19*(1-AI49)</f>
        <v>#N/A</v>
      </c>
      <c r="AJ51" s="1003" t="e">
        <f aca="false">1/AJ12*AJ49+1/AJ19*(1-AJ49)</f>
        <v>#N/A</v>
      </c>
    </row>
    <row r="52" customFormat="false" ht="15" hidden="false" customHeight="false" outlineLevel="0" collapsed="false">
      <c r="A52" s="27" t="s">
        <v>1651</v>
      </c>
      <c r="C52" s="206" t="e">
        <f aca="false">C45*C39/C50</f>
        <v>#N/A</v>
      </c>
      <c r="D52" s="206" t="n">
        <f aca="false">D45*D39/D50</f>
        <v>64.5607368341537</v>
      </c>
      <c r="E52" s="206" t="e">
        <f aca="false">E45*E39/E50</f>
        <v>#DIV/0!</v>
      </c>
      <c r="F52" s="206" t="e">
        <f aca="false">F45*F39/F50</f>
        <v>#N/A</v>
      </c>
      <c r="G52" s="206" t="e">
        <f aca="false">G45*G39/G50</f>
        <v>#DIV/0!</v>
      </c>
      <c r="H52" s="206" t="e">
        <f aca="false">H45*H39/H50</f>
        <v>#N/A</v>
      </c>
      <c r="I52" s="206" t="e">
        <f aca="false">I45*I39/I50</f>
        <v>#DIV/0!</v>
      </c>
      <c r="J52" s="206" t="e">
        <f aca="false">J45*J39/J50</f>
        <v>#DIV/0!</v>
      </c>
      <c r="K52" s="206" t="e">
        <f aca="false">K45*K39/K50</f>
        <v>#DIV/0!</v>
      </c>
      <c r="L52" s="206" t="e">
        <f aca="false">L45*L39/L50</f>
        <v>#DIV/0!</v>
      </c>
      <c r="M52" s="206" t="e">
        <f aca="false">M45*M39/M50</f>
        <v>#DIV/0!</v>
      </c>
      <c r="N52" s="206" t="e">
        <f aca="false">N45*N39/N50</f>
        <v>#DIV/0!</v>
      </c>
      <c r="O52" s="206" t="e">
        <f aca="false">O45*O39/O50</f>
        <v>#DIV/0!</v>
      </c>
      <c r="P52" s="206" t="e">
        <f aca="false">P45*P39/P50</f>
        <v>#DIV/0!</v>
      </c>
      <c r="Q52" s="206" t="e">
        <f aca="false">Q45*Q39/Q50</f>
        <v>#DIV/0!</v>
      </c>
      <c r="R52" s="206" t="n">
        <f aca="false">R45*R39/R50</f>
        <v>51.9557507911301</v>
      </c>
      <c r="S52" s="206" t="e">
        <f aca="false">S45*S39/S50</f>
        <v>#DIV/0!</v>
      </c>
      <c r="T52" s="206" t="e">
        <f aca="false">T45*T39/T50</f>
        <v>#DIV/0!</v>
      </c>
      <c r="U52" s="206" t="e">
        <f aca="false">U45*U39/U50</f>
        <v>#DIV/0!</v>
      </c>
      <c r="V52" s="206" t="e">
        <f aca="false">V45*V39/V50</f>
        <v>#DIV/0!</v>
      </c>
      <c r="W52" s="206" t="e">
        <f aca="false">W45*W39/W50</f>
        <v>#DIV/0!</v>
      </c>
      <c r="X52" s="206" t="e">
        <f aca="false">X45*X39/X50</f>
        <v>#DIV/0!</v>
      </c>
      <c r="Y52" s="206" t="e">
        <f aca="false">Y45*Y39/Y50</f>
        <v>#DIV/0!</v>
      </c>
      <c r="Z52" s="206" t="e">
        <f aca="false">Z45*Z39/Z50</f>
        <v>#DIV/0!</v>
      </c>
      <c r="AA52" s="206" t="e">
        <f aca="false">AA45*AA39/AA50</f>
        <v>#DIV/0!</v>
      </c>
      <c r="AB52" s="206" t="e">
        <f aca="false">AB45*AB39/AB50</f>
        <v>#DIV/0!</v>
      </c>
      <c r="AC52" s="206" t="e">
        <f aca="false">AC45*AC39/AC50</f>
        <v>#DIV/0!</v>
      </c>
      <c r="AD52" s="206" t="e">
        <f aca="false">AD45*AD39/AD50</f>
        <v>#DIV/0!</v>
      </c>
      <c r="AE52" s="206" t="e">
        <f aca="false">AE45*AE39/AE50</f>
        <v>#DIV/0!</v>
      </c>
      <c r="AF52" s="206" t="e">
        <f aca="false">AF45*AF39/AF50</f>
        <v>#DIV/0!</v>
      </c>
      <c r="AG52" s="206" t="n">
        <f aca="false">AG45*AG39/AG50</f>
        <v>316.610962327707</v>
      </c>
      <c r="AI52" s="206" t="e">
        <f aca="false">AI45*AI39/AI50</f>
        <v>#N/A</v>
      </c>
      <c r="AJ52" s="206" t="e">
        <f aca="false">AJ45*AJ39/AJ50</f>
        <v>#N/A</v>
      </c>
    </row>
    <row r="53" customFormat="false" ht="15" hidden="false" customHeight="false" outlineLevel="0" collapsed="false">
      <c r="A53" s="27" t="s">
        <v>1652</v>
      </c>
      <c r="C53" s="206" t="e">
        <f aca="false">IF(C52&lt;=2000,64/C52,IF(2000&lt;C52&lt;=4000,0.3164*C52^(-0.25),0.16*C52^(-0.16)))</f>
        <v>#N/A</v>
      </c>
      <c r="D53" s="206" t="n">
        <f aca="false">IF(D52&lt;=2000,64/D52,IF(2000&lt;D52&lt;=4000,0.3164*D52^(-0.25),0.16*D52^(-0.16)))</f>
        <v>0.991314584348779</v>
      </c>
      <c r="E53" s="206" t="e">
        <f aca="false">IF(E52&lt;=2000,64/E52,IF(2000&lt;E52&lt;=4000,0.3164*E52^(-0.25),0.16*E52^(-0.16)))</f>
        <v>#DIV/0!</v>
      </c>
      <c r="F53" s="206" t="e">
        <f aca="false">IF(F52&lt;=2000,64/F52,IF(2000&lt;F52&lt;=4000,0.3164*F52^(-0.25),0.16*F52^(-0.16)))</f>
        <v>#N/A</v>
      </c>
      <c r="G53" s="206" t="e">
        <f aca="false">IF(G52&lt;=2000,64/G52,IF(2000&lt;G52&lt;=4000,0.3164*G52^(-0.25),0.16*G52^(-0.16)))</f>
        <v>#DIV/0!</v>
      </c>
      <c r="H53" s="206" t="e">
        <f aca="false">IF(H52&lt;=2000,64/H52,IF(2000&lt;H52&lt;=4000,0.3164*H52^(-0.25),0.16*H52^(-0.16)))</f>
        <v>#N/A</v>
      </c>
      <c r="I53" s="206" t="e">
        <f aca="false">IF(I52&lt;=2000,64/I52,IF(2000&lt;I52&lt;=4000,0.3164*I52^(-0.25),0.16*I52^(-0.16)))</f>
        <v>#DIV/0!</v>
      </c>
      <c r="J53" s="206" t="e">
        <f aca="false">IF(J52&lt;=2000,64/J52,IF(2000&lt;J52&lt;=4000,0.3164*J52^(-0.25),0.16*J52^(-0.16)))</f>
        <v>#DIV/0!</v>
      </c>
      <c r="K53" s="206" t="e">
        <f aca="false">IF(K52&lt;=2000,64/K52,IF(2000&lt;K52&lt;=4000,0.3164*K52^(-0.25),0.16*K52^(-0.16)))</f>
        <v>#DIV/0!</v>
      </c>
      <c r="L53" s="206" t="e">
        <f aca="false">IF(L52&lt;=2000,64/L52,IF(2000&lt;L52&lt;=4000,0.3164*L52^(-0.25),0.16*L52^(-0.16)))</f>
        <v>#DIV/0!</v>
      </c>
      <c r="M53" s="206" t="e">
        <f aca="false">IF(M52&lt;=2000,64/M52,IF(2000&lt;M52&lt;=4000,0.3164*M52^(-0.25),0.16*M52^(-0.16)))</f>
        <v>#DIV/0!</v>
      </c>
      <c r="N53" s="206" t="e">
        <f aca="false">IF(N52&lt;=2000,64/N52,IF(2000&lt;N52&lt;=4000,0.3164*N52^(-0.25),0.16*N52^(-0.16)))</f>
        <v>#DIV/0!</v>
      </c>
      <c r="O53" s="206" t="e">
        <f aca="false">IF(O52&lt;=2000,64/O52,IF(2000&lt;O52&lt;=4000,0.3164*O52^(-0.25),0.16*O52^(-0.16)))</f>
        <v>#DIV/0!</v>
      </c>
      <c r="P53" s="206" t="e">
        <f aca="false">IF(P52&lt;=2000,64/P52,IF(2000&lt;P52&lt;=4000,0.3164*P52^(-0.25),0.16*P52^(-0.16)))</f>
        <v>#DIV/0!</v>
      </c>
      <c r="Q53" s="206" t="e">
        <f aca="false">IF(Q52&lt;=2000,64/Q52,IF(2000&lt;Q52&lt;=4000,0.3164*Q52^(-0.25),0.16*Q52^(-0.16)))</f>
        <v>#DIV/0!</v>
      </c>
      <c r="R53" s="206" t="n">
        <f aca="false">IF(R52&lt;=2000,64/R52,IF(2000&lt;R52&lt;=4000,0.3164*R52^(-0.25),0.16*R52^(-0.16)))</f>
        <v>1.23181744129326</v>
      </c>
      <c r="S53" s="206" t="e">
        <f aca="false">IF(S52&lt;=2000,64/S52,IF(2000&lt;S52&lt;=4000,0.3164*S52^(-0.25),0.16*S52^(-0.16)))</f>
        <v>#DIV/0!</v>
      </c>
      <c r="T53" s="206" t="e">
        <f aca="false">IF(T52&lt;=2000,64/T52,IF(2000&lt;T52&lt;=4000,0.3164*T52^(-0.25),0.16*T52^(-0.16)))</f>
        <v>#DIV/0!</v>
      </c>
      <c r="U53" s="206" t="e">
        <f aca="false">IF(U52&lt;=2000,64/U52,IF(2000&lt;U52&lt;=4000,0.3164*U52^(-0.25),0.16*U52^(-0.16)))</f>
        <v>#DIV/0!</v>
      </c>
      <c r="V53" s="206" t="e">
        <f aca="false">IF(V52&lt;=2000,64/V52,IF(2000&lt;V52&lt;=4000,0.3164*V52^(-0.25),0.16*V52^(-0.16)))</f>
        <v>#DIV/0!</v>
      </c>
      <c r="W53" s="206" t="e">
        <f aca="false">IF(W52&lt;=2000,64/W52,IF(2000&lt;W52&lt;=4000,0.3164*W52^(-0.25),0.16*W52^(-0.16)))</f>
        <v>#DIV/0!</v>
      </c>
      <c r="X53" s="206" t="e">
        <f aca="false">IF(X52&lt;=2000,64/X52,IF(2000&lt;X52&lt;=4000,0.3164*X52^(-0.25),0.16*X52^(-0.16)))</f>
        <v>#DIV/0!</v>
      </c>
      <c r="Y53" s="206" t="e">
        <f aca="false">IF(Y52&lt;=2000,64/Y52,IF(2000&lt;Y52&lt;=4000,0.3164*Y52^(-0.25),0.16*Y52^(-0.16)))</f>
        <v>#DIV/0!</v>
      </c>
      <c r="Z53" s="206" t="e">
        <f aca="false">IF(Z52&lt;=2000,64/Z52,IF(2000&lt;Z52&lt;=4000,0.3164*Z52^(-0.25),0.16*Z52^(-0.16)))</f>
        <v>#DIV/0!</v>
      </c>
      <c r="AA53" s="206" t="e">
        <f aca="false">IF(AA52&lt;=2000,64/AA52,IF(2000&lt;AA52&lt;=4000,0.3164*AA52^(-0.25),0.16*AA52^(-0.16)))</f>
        <v>#DIV/0!</v>
      </c>
      <c r="AB53" s="206" t="e">
        <f aca="false">IF(AB52&lt;=2000,64/AB52,IF(2000&lt;AB52&lt;=4000,0.3164*AB52^(-0.25),0.16*AB52^(-0.16)))</f>
        <v>#DIV/0!</v>
      </c>
      <c r="AC53" s="206" t="e">
        <f aca="false">IF(AC52&lt;=2000,64/AC52,IF(2000&lt;AC52&lt;=4000,0.3164*AC52^(-0.25),0.16*AC52^(-0.16)))</f>
        <v>#DIV/0!</v>
      </c>
      <c r="AD53" s="206" t="e">
        <f aca="false">IF(AD52&lt;=2000,64/AD52,IF(2000&lt;AD52&lt;=4000,0.3164*AD52^(-0.25),0.16*AD52^(-0.16)))</f>
        <v>#DIV/0!</v>
      </c>
      <c r="AE53" s="206" t="e">
        <f aca="false">IF(AE52&lt;=2000,64/AE52,IF(2000&lt;AE52&lt;=4000,0.3164*AE52^(-0.25),0.16*AE52^(-0.16)))</f>
        <v>#DIV/0!</v>
      </c>
      <c r="AF53" s="206" t="e">
        <f aca="false">IF(AF52&lt;=2000,64/AF52,IF(2000&lt;AF52&lt;=4000,0.3164*AF52^(-0.25),0.16*AF52^(-0.16)))</f>
        <v>#DIV/0!</v>
      </c>
      <c r="AG53" s="206" t="n">
        <f aca="false">IF(AG52&lt;=2000,64/AG52,IF(2000&lt;AG52&lt;=4000,0.3164*AG52^(-0.25),0.16*AG52^(-0.16)))</f>
        <v>0.202140821434215</v>
      </c>
      <c r="AI53" s="206" t="e">
        <f aca="false">IF(AI52&lt;=2000,64/AI52,IF(2000&lt;AI52&lt;=4000,0.3164*AI52^(-0.25),0.16*AI52^(-0.16)))</f>
        <v>#N/A</v>
      </c>
      <c r="AJ53" s="206" t="e">
        <f aca="false">IF(AJ52&lt;=2000,64/AJ52,IF(2000&lt;AJ52&lt;=4000,0.3164*AJ52^(-0.25),0.16*AJ52^(-0.16)))</f>
        <v>#N/A</v>
      </c>
    </row>
    <row r="54" customFormat="false" ht="15" hidden="false" customHeight="false" outlineLevel="0" collapsed="false">
      <c r="A54" s="27" t="s">
        <v>1653</v>
      </c>
      <c r="B54" s="27" t="s">
        <v>420</v>
      </c>
      <c r="C54" s="1004" t="n">
        <v>100</v>
      </c>
      <c r="D54" s="1004" t="n">
        <v>100</v>
      </c>
      <c r="E54" s="1004" t="n">
        <v>100</v>
      </c>
      <c r="F54" s="1004" t="n">
        <v>100</v>
      </c>
      <c r="G54" s="1004" t="n">
        <v>100</v>
      </c>
      <c r="H54" s="1004" t="n">
        <v>100</v>
      </c>
      <c r="I54" s="1004" t="n">
        <v>100</v>
      </c>
      <c r="J54" s="1004" t="n">
        <v>100</v>
      </c>
      <c r="K54" s="1004" t="n">
        <v>100</v>
      </c>
      <c r="L54" s="1004" t="n">
        <v>100</v>
      </c>
      <c r="M54" s="1004" t="n">
        <v>100</v>
      </c>
      <c r="N54" s="1004" t="n">
        <v>100</v>
      </c>
      <c r="O54" s="1004" t="n">
        <v>100</v>
      </c>
      <c r="P54" s="1004" t="n">
        <v>100</v>
      </c>
      <c r="Q54" s="1004" t="n">
        <v>100</v>
      </c>
      <c r="R54" s="1004" t="n">
        <v>100</v>
      </c>
      <c r="S54" s="1004" t="n">
        <v>100</v>
      </c>
      <c r="T54" s="1004" t="n">
        <v>100</v>
      </c>
      <c r="U54" s="1004" t="n">
        <v>100</v>
      </c>
      <c r="V54" s="1004" t="n">
        <v>100</v>
      </c>
      <c r="W54" s="1004" t="n">
        <v>100</v>
      </c>
      <c r="X54" s="1004" t="n">
        <v>100</v>
      </c>
      <c r="Y54" s="1004" t="n">
        <v>100</v>
      </c>
      <c r="Z54" s="1004" t="n">
        <v>100</v>
      </c>
      <c r="AA54" s="1004" t="n">
        <v>100</v>
      </c>
      <c r="AB54" s="1004" t="n">
        <v>100</v>
      </c>
      <c r="AC54" s="1004" t="n">
        <v>100</v>
      </c>
      <c r="AD54" s="1004" t="n">
        <v>100</v>
      </c>
      <c r="AE54" s="1004" t="n">
        <v>100</v>
      </c>
      <c r="AF54" s="1004" t="n">
        <v>100</v>
      </c>
      <c r="AG54" s="1004" t="n">
        <v>100</v>
      </c>
      <c r="AH54" s="1004"/>
      <c r="AI54" s="1004" t="n">
        <v>100</v>
      </c>
      <c r="AJ54" s="1004" t="n">
        <v>100</v>
      </c>
    </row>
    <row r="55" s="277" customFormat="true" ht="15" hidden="false" customHeight="false" outlineLevel="0" collapsed="false">
      <c r="A55" s="1005" t="s">
        <v>1654</v>
      </c>
      <c r="B55" s="1005" t="s">
        <v>1655</v>
      </c>
      <c r="C55" s="1006" t="e">
        <f aca="false">C53*C54/C39*C51*C45^2/2/1000</f>
        <v>#N/A</v>
      </c>
      <c r="D55" s="1006" t="n">
        <f aca="false">D53*D54/D39*D51*D45^2/2/1000</f>
        <v>0.0804413004814959</v>
      </c>
      <c r="E55" s="1006" t="e">
        <f aca="false">E53*E54/E39*E51*E45^2/2/1000</f>
        <v>#DIV/0!</v>
      </c>
      <c r="F55" s="1006" t="e">
        <f aca="false">F53*F54/F39*F51*F45^2/2/1000</f>
        <v>#N/A</v>
      </c>
      <c r="G55" s="1006" t="e">
        <f aca="false">G53*G54/G39*G51*G45^2/2/1000</f>
        <v>#DIV/0!</v>
      </c>
      <c r="H55" s="1006" t="e">
        <f aca="false">H53*H54/H39*H51*H45^2/2/1000</f>
        <v>#N/A</v>
      </c>
      <c r="I55" s="1006" t="e">
        <f aca="false">I53*I54/I39*I51*I45^2/2/1000</f>
        <v>#DIV/0!</v>
      </c>
      <c r="J55" s="1006" t="e">
        <f aca="false">J53*J54/J39*J51*J45^2/2/1000</f>
        <v>#DIV/0!</v>
      </c>
      <c r="K55" s="1006" t="e">
        <f aca="false">K53*K54/K39*K51*K45^2/2/1000</f>
        <v>#DIV/0!</v>
      </c>
      <c r="L55" s="1006" t="e">
        <f aca="false">L53*L54/L39*L51*L45^2/2/1000</f>
        <v>#DIV/0!</v>
      </c>
      <c r="M55" s="1006" t="e">
        <f aca="false">M53*M54/M39*M51*M45^2/2/1000</f>
        <v>#DIV/0!</v>
      </c>
      <c r="N55" s="1006" t="e">
        <f aca="false">N53*N54/N39*N51*N45^2/2/1000</f>
        <v>#DIV/0!</v>
      </c>
      <c r="O55" s="1006" t="e">
        <f aca="false">O53*O54/O39*O51*O45^2/2/1000</f>
        <v>#DIV/0!</v>
      </c>
      <c r="P55" s="1006" t="e">
        <f aca="false">P53*P54/P39*P51*P45^2/2/1000</f>
        <v>#DIV/0!</v>
      </c>
      <c r="Q55" s="1006" t="e">
        <f aca="false">Q53*Q54/Q39*Q51*Q45^2/2/1000</f>
        <v>#DIV/0!</v>
      </c>
      <c r="R55" s="1006" t="n">
        <f aca="false">R53*R54/R39*R51*R45^2/2/1000</f>
        <v>0.046483231398853</v>
      </c>
      <c r="S55" s="1006" t="e">
        <f aca="false">S53*S54/S39*S51*S45^2/2/1000</f>
        <v>#DIV/0!</v>
      </c>
      <c r="T55" s="1006" t="e">
        <f aca="false">T53*T54/T39*T51*T45^2/2/1000</f>
        <v>#DIV/0!</v>
      </c>
      <c r="U55" s="1006" t="e">
        <f aca="false">U53*U54/U39*U51*U45^2/2/1000</f>
        <v>#DIV/0!</v>
      </c>
      <c r="V55" s="1006" t="e">
        <f aca="false">V53*V54/V39*V51*V45^2/2/1000</f>
        <v>#DIV/0!</v>
      </c>
      <c r="W55" s="1006" t="e">
        <f aca="false">W53*W54/W39*W51*W45^2/2/1000</f>
        <v>#DIV/0!</v>
      </c>
      <c r="X55" s="1006" t="e">
        <f aca="false">X53*X54/X39*X51*X45^2/2/1000</f>
        <v>#DIV/0!</v>
      </c>
      <c r="Y55" s="1006" t="e">
        <f aca="false">Y53*Y54/Y39*Y51*Y45^2/2/1000</f>
        <v>#DIV/0!</v>
      </c>
      <c r="Z55" s="1006" t="e">
        <f aca="false">Z53*Z54/Z39*Z51*Z45^2/2/1000</f>
        <v>#DIV/0!</v>
      </c>
      <c r="AA55" s="1006" t="e">
        <f aca="false">AA53*AA54/AA39*AA51*AA45^2/2/1000</f>
        <v>#DIV/0!</v>
      </c>
      <c r="AB55" s="1006" t="e">
        <f aca="false">AB53*AB54/AB39*AB51*AB45^2/2/1000</f>
        <v>#DIV/0!</v>
      </c>
      <c r="AC55" s="1006" t="e">
        <f aca="false">AC53*AC54/AC39*AC51*AC45^2/2/1000</f>
        <v>#DIV/0!</v>
      </c>
      <c r="AD55" s="1006" t="e">
        <f aca="false">AD53*AD54/AD39*AD51*AD45^2/2/1000</f>
        <v>#DIV/0!</v>
      </c>
      <c r="AE55" s="1006" t="e">
        <f aca="false">AE53*AE54/AE39*AE51*AE45^2/2/1000</f>
        <v>#DIV/0!</v>
      </c>
      <c r="AF55" s="1006" t="e">
        <f aca="false">AF53*AF54/AF39*AF51*AF45^2/2/1000</f>
        <v>#DIV/0!</v>
      </c>
      <c r="AG55" s="1006" t="n">
        <f aca="false">AG53*AG54/AG39*AG51*AG45^2/2/1000</f>
        <v>1.85326203220281</v>
      </c>
      <c r="AH55" s="1006"/>
      <c r="AI55" s="1006" t="e">
        <f aca="false">AI53*AI54/AI39*AI51*AI45^2/2/1000</f>
        <v>#N/A</v>
      </c>
      <c r="AJ55" s="1006" t="e">
        <f aca="false">AJ53*AJ54/AJ39*AJ51*AJ45^2/2/1000</f>
        <v>#N/A</v>
      </c>
    </row>
    <row r="56" customFormat="false" ht="15" hidden="false" customHeight="false" outlineLevel="0" collapsed="false">
      <c r="A56" s="991" t="s">
        <v>1656</v>
      </c>
    </row>
    <row r="57" s="277" customFormat="true" ht="15" hidden="false" customHeight="false" outlineLevel="0" collapsed="false">
      <c r="A57" s="1005" t="s">
        <v>1657</v>
      </c>
      <c r="C57" s="277" t="n">
        <v>0.731</v>
      </c>
      <c r="D57" s="277" t="n">
        <v>0.789</v>
      </c>
      <c r="E57" s="277" t="n">
        <v>0.803</v>
      </c>
      <c r="F57" s="277" t="n">
        <v>0.827</v>
      </c>
      <c r="G57" s="277" t="n">
        <v>0.815</v>
      </c>
      <c r="H57" s="277" t="n">
        <v>0.813</v>
      </c>
      <c r="I57" s="277" t="n">
        <v>0.832</v>
      </c>
      <c r="J57" s="277" t="n">
        <v>0.8</v>
      </c>
      <c r="K57" s="277" t="n">
        <v>0.723</v>
      </c>
      <c r="L57" s="277" t="n">
        <v>0.782</v>
      </c>
      <c r="M57" s="277" t="n">
        <v>0.789</v>
      </c>
      <c r="N57" s="277" t="n">
        <v>0.96</v>
      </c>
      <c r="O57" s="1005" t="n">
        <v>0.936</v>
      </c>
      <c r="P57" s="277" t="n">
        <v>0.803</v>
      </c>
      <c r="Q57" s="277" t="n">
        <v>0.864</v>
      </c>
      <c r="R57" s="277" t="n">
        <v>0.783</v>
      </c>
      <c r="S57" s="1005" t="n">
        <v>0.871</v>
      </c>
      <c r="T57" s="277" t="n">
        <v>0.835</v>
      </c>
      <c r="U57" s="277" t="n">
        <v>0.56</v>
      </c>
      <c r="V57" s="277" t="n">
        <v>0.816</v>
      </c>
      <c r="W57" s="277" t="n">
        <v>0.815</v>
      </c>
      <c r="X57" s="277" t="n">
        <v>0.162</v>
      </c>
      <c r="Y57" s="1005" t="n">
        <v>0.188</v>
      </c>
      <c r="Z57" s="277" t="n">
        <v>0.212</v>
      </c>
      <c r="AA57" s="277" t="n">
        <v>0.045</v>
      </c>
      <c r="AB57" s="277" t="n">
        <v>0.421</v>
      </c>
      <c r="AC57" s="277" t="n">
        <v>0.532</v>
      </c>
      <c r="AD57" s="277" t="n">
        <v>0.535</v>
      </c>
      <c r="AE57" s="277" t="n">
        <v>0.924</v>
      </c>
      <c r="AF57" s="277" t="n">
        <v>0.585</v>
      </c>
      <c r="AG57" s="277" t="n">
        <v>0.556</v>
      </c>
      <c r="AI57" s="277" t="n">
        <v>0.787</v>
      </c>
      <c r="AJ57" s="277" t="n">
        <v>0.8</v>
      </c>
    </row>
    <row r="58" customFormat="false" ht="15" hidden="false" customHeight="false" outlineLevel="0" collapsed="false">
      <c r="A58" s="27" t="s">
        <v>1658</v>
      </c>
      <c r="C58" s="206" t="e">
        <f aca="false">(C39*C45/(C57*C13/1000+(1-C57)*C20/1000))^(1/6)*((C51*C45)^2/10/C39)^(1/8)*(1-C26)^(-1/4)</f>
        <v>#N/A</v>
      </c>
      <c r="D58" s="206" t="n">
        <f aca="false">(D39*D45/(D57*D13/1000+(1-D57)*D20/1000))^(1/6)*((D51*D45)^2/10/D39)^(1/8)*(1-D26)^(-1/4)</f>
        <v>19.8750197226042</v>
      </c>
      <c r="E58" s="206" t="e">
        <f aca="false">(E39*E45/(E57*E13/1000+(1-E57)*E20/1000))^(1/6)*((E51*E45)^2/10/E39)^(1/8)*(1-E26)^(-1/4)</f>
        <v>#DIV/0!</v>
      </c>
      <c r="F58" s="206" t="e">
        <f aca="false">(F39*F45/(F57*F13/1000+(1-F57)*F20/1000))^(1/6)*((F51*F45)^2/10/F39)^(1/8)*(1-F26)^(-1/4)</f>
        <v>#N/A</v>
      </c>
      <c r="G58" s="206" t="e">
        <f aca="false">(G39*G45/(G57*G13/1000+(1-G57)*G20/1000))^(1/6)*((G51*G45)^2/10/G39)^(1/8)*(1-G26)^(-1/4)</f>
        <v>#DIV/0!</v>
      </c>
      <c r="H58" s="206" t="e">
        <f aca="false">(H39*H45/(H57*H13/1000+(1-H57)*H20/1000))^(1/6)*((H51*H45)^2/10/H39)^(1/8)*(1-H26)^(-1/4)</f>
        <v>#N/A</v>
      </c>
      <c r="I58" s="206" t="e">
        <f aca="false">(I39*I45/(I57*I13/1000+(1-I57)*I20/1000))^(1/6)*((I51*I45)^2/10/I39)^(1/8)*(1-I26)^(-1/4)</f>
        <v>#DIV/0!</v>
      </c>
      <c r="J58" s="206" t="e">
        <f aca="false">(J39*J45/(J57*J13/1000+(1-J57)*J20/1000))^(1/6)*((J51*J45)^2/10/J39)^(1/8)*(1-J26)^(-1/4)</f>
        <v>#DIV/0!</v>
      </c>
      <c r="K58" s="206" t="e">
        <f aca="false">(K39*K45/(K57*K13/1000+(1-K57)*K20/1000))^(1/6)*((K51*K45)^2/10/K39)^(1/8)*(1-K26)^(-1/4)</f>
        <v>#DIV/0!</v>
      </c>
      <c r="L58" s="206" t="e">
        <f aca="false">(L39*L45/(L57*L13/1000+(1-L57)*L20/1000))^(1/6)*((L51*L45)^2/10/L39)^(1/8)*(1-L26)^(-1/4)</f>
        <v>#DIV/0!</v>
      </c>
      <c r="M58" s="206" t="e">
        <f aca="false">(M39*M45/(M57*M13/1000+(1-M57)*M20/1000))^(1/6)*((M51*M45)^2/10/M39)^(1/8)*(1-M26)^(-1/4)</f>
        <v>#DIV/0!</v>
      </c>
      <c r="N58" s="206" t="e">
        <f aca="false">(N39*N45/(N57*N13/1000+(1-N57)*N20/1000))^(1/6)*((N51*N45)^2/10/N39)^(1/8)*(1-N26)^(-1/4)</f>
        <v>#DIV/0!</v>
      </c>
      <c r="O58" s="206" t="e">
        <f aca="false">(O39*O45/(O57*O13/1000+(1-O57)*O20/1000))^(1/6)*((O51*O45)^2/10/O39)^(1/8)*(1-O26)^(-1/4)</f>
        <v>#DIV/0!</v>
      </c>
      <c r="P58" s="206" t="e">
        <f aca="false">(P39*P45/(P57*P13/1000+(1-P57)*P20/1000))^(1/6)*((P51*P45)^2/10/P39)^(1/8)*(1-P26)^(-1/4)</f>
        <v>#DIV/0!</v>
      </c>
      <c r="Q58" s="206" t="e">
        <f aca="false">(Q39*Q45/(Q57*Q13/1000+(1-Q57)*Q20/1000))^(1/6)*((Q51*Q45)^2/10/Q39)^(1/8)*(1-Q26)^(-1/4)</f>
        <v>#DIV/0!</v>
      </c>
      <c r="R58" s="206" t="n">
        <f aca="false">(R39*R45/(R57*R13/1000+(1-R57)*R20/1000))^(1/6)*((R51*R45)^2/10/R39)^(1/8)*(1-R26)^(-1/4)</f>
        <v>17.5259691547619</v>
      </c>
      <c r="S58" s="206" t="e">
        <f aca="false">(S39*S45/(S57*S13/1000+(1-S57)*S20/1000))^(1/6)*((S51*S45)^2/10/S39)^(1/8)*(1-S26)^(-1/4)</f>
        <v>#DIV/0!</v>
      </c>
      <c r="T58" s="206" t="e">
        <f aca="false">(T39*T45/(T57*T13/1000+(1-T57)*T20/1000))^(1/6)*((T51*T45)^2/10/T39)^(1/8)*(1-T26)^(-1/4)</f>
        <v>#DIV/0!</v>
      </c>
      <c r="U58" s="206" t="e">
        <f aca="false">(U39*U45/(U57*U13/1000+(1-U57)*U20/1000))^(1/6)*((U51*U45)^2/10/U39)^(1/8)*(1-U26)^(-1/4)</f>
        <v>#DIV/0!</v>
      </c>
      <c r="V58" s="206" t="e">
        <f aca="false">(V39*V45/(V57*V13/1000+(1-V57)*V20/1000))^(1/6)*((V51*V45)^2/10/V39)^(1/8)*(1-V26)^(-1/4)</f>
        <v>#DIV/0!</v>
      </c>
      <c r="W58" s="206" t="e">
        <f aca="false">(W39*W45/(W57*W13/1000+(1-W57)*W20/1000))^(1/6)*((W51*W45)^2/10/W39)^(1/8)*(1-W26)^(-1/4)</f>
        <v>#DIV/0!</v>
      </c>
      <c r="X58" s="206" t="e">
        <f aca="false">(X39*X45/(X57*X13/1000+(1-X57)*X20/1000))^(1/6)*((X51*X45)^2/10/X39)^(1/8)*(1-X26)^(-1/4)</f>
        <v>#DIV/0!</v>
      </c>
      <c r="Y58" s="206" t="e">
        <f aca="false">(Y39*Y45/(Y57*Y13/1000+(1-Y57)*Y20/1000))^(1/6)*((Y51*Y45)^2/10/Y39)^(1/8)*(1-Y26)^(-1/4)</f>
        <v>#DIV/0!</v>
      </c>
      <c r="Z58" s="206" t="e">
        <f aca="false">(Z39*Z45/(Z57*Z13/1000+(1-Z57)*Z20/1000))^(1/6)*((Z51*Z45)^2/10/Z39)^(1/8)*(1-Z26)^(-1/4)</f>
        <v>#DIV/0!</v>
      </c>
      <c r="AA58" s="206" t="e">
        <f aca="false">(AA39*AA45/(AA57*AA13/1000+(1-AA57)*AA20/1000))^(1/6)*((AA51*AA45)^2/10/AA39)^(1/8)*(1-AA26)^(-1/4)</f>
        <v>#DIV/0!</v>
      </c>
      <c r="AB58" s="206" t="e">
        <f aca="false">(AB39*AB45/(AB57*AB13/1000+(1-AB57)*AB20/1000))^(1/6)*((AB51*AB45)^2/10/AB39)^(1/8)*(1-AB26)^(-1/4)</f>
        <v>#DIV/0!</v>
      </c>
      <c r="AC58" s="206" t="e">
        <f aca="false">(AC39*AC45/(AC57*AC13/1000+(1-AC57)*AC20/1000))^(1/6)*((AC51*AC45)^2/10/AC39)^(1/8)*(1-AC26)^(-1/4)</f>
        <v>#DIV/0!</v>
      </c>
      <c r="AD58" s="206" t="e">
        <f aca="false">(AD39*AD45/(AD57*AD13/1000+(1-AD57)*AD20/1000))^(1/6)*((AD51*AD45)^2/10/AD39)^(1/8)*(1-AD26)^(-1/4)</f>
        <v>#DIV/0!</v>
      </c>
      <c r="AE58" s="206" t="e">
        <f aca="false">(AE39*AE45/(AE57*AE13/1000+(1-AE57)*AE20/1000))^(1/6)*((AE51*AE45)^2/10/AE39)^(1/8)*(1-AE26)^(-1/4)</f>
        <v>#DIV/0!</v>
      </c>
      <c r="AF58" s="206" t="e">
        <f aca="false">(AF39*AF45/(AF57*AF13/1000+(1-AF57)*AF20/1000))^(1/6)*((AF51*AF45)^2/10/AF39)^(1/8)*(1-AF26)^(-1/4)</f>
        <v>#DIV/0!</v>
      </c>
      <c r="AG58" s="206" t="n">
        <f aca="false">(AG39*AG45/(AG57*AG13/1000+(1-AG57)*AG20/1000))^(1/6)*((AG51*AG45)^2/10/AG39)^(1/8)*(1-AG26)^(-1/4)</f>
        <v>36.2095110739759</v>
      </c>
      <c r="AI58" s="206" t="e">
        <f aca="false">(AI39*AI45/(AI57*AI13/1000+(1-AI57)*AI20/1000))^(1/6)*((AI51*AI45)^2/10/AI39)^(1/8)*(1-AI26)^(-1/4)</f>
        <v>#N/A</v>
      </c>
      <c r="AJ58" s="206" t="e">
        <f aca="false">(AJ39*AJ45/(AJ57*AJ13/1000+(1-AJ57)*AJ20/1000))^(1/6)*((AJ51*AJ45)^2/10/AJ39)^(1/8)*(1-AJ26)^(-1/4)</f>
        <v>#N/A</v>
      </c>
    </row>
    <row r="59" customFormat="false" ht="15" hidden="false" customHeight="false" outlineLevel="0" collapsed="false">
      <c r="A59" s="27" t="s">
        <v>1659</v>
      </c>
      <c r="C59" s="27" t="e">
        <f aca="false">IF(C58&lt;10,-0.16367+0.31037*C58-0.03525*C58^2+0.001366*C58^3,0.75545+0.003585*C58-0.1436*C58^2/10000)</f>
        <v>#N/A</v>
      </c>
      <c r="D59" s="27" t="n">
        <f aca="false">IF(D58&lt;10,-0.16367+0.31037*D58-0.03525*D58^2+0.001366*D58^3,0.75545+0.003585*D58-0.1436*D58^2/10000)</f>
        <v>0.821029510072671</v>
      </c>
      <c r="E59" s="27" t="e">
        <f aca="false">IF(E58&lt;10,-0.16367+0.31037*E58-0.03525*E58^2+0.001366*E58^3,0.75545+0.003585*E58-0.1436*E58^2/10000)</f>
        <v>#DIV/0!</v>
      </c>
      <c r="F59" s="27" t="e">
        <f aca="false">IF(F58&lt;10,-0.16367+0.31037*F58-0.03525*F58^2+0.001366*F58^3,0.75545+0.003585*F58-0.1436*F58^2/10000)</f>
        <v>#N/A</v>
      </c>
      <c r="G59" s="27" t="e">
        <f aca="false">IF(G58&lt;10,-0.16367+0.31037*G58-0.03525*G58^2+0.001366*G58^3,0.75545+0.003585*G58-0.1436*G58^2/10000)</f>
        <v>#DIV/0!</v>
      </c>
      <c r="H59" s="27" t="e">
        <f aca="false">IF(H58&lt;10,-0.16367+0.31037*H58-0.03525*H58^2+0.001366*H58^3,0.75545+0.003585*H58-0.1436*H58^2/10000)</f>
        <v>#N/A</v>
      </c>
      <c r="I59" s="27" t="e">
        <f aca="false">IF(I58&lt;10,-0.16367+0.31037*I58-0.03525*I58^2+0.001366*I58^3,0.75545+0.003585*I58-0.1436*I58^2/10000)</f>
        <v>#DIV/0!</v>
      </c>
      <c r="J59" s="27" t="e">
        <f aca="false">IF(J58&lt;10,-0.16367+0.31037*J58-0.03525*J58^2+0.001366*J58^3,0.75545+0.003585*J58-0.1436*J58^2/10000)</f>
        <v>#DIV/0!</v>
      </c>
      <c r="K59" s="27" t="e">
        <f aca="false">IF(K58&lt;10,-0.16367+0.31037*K58-0.03525*K58^2+0.001366*K58^3,0.75545+0.003585*K58-0.1436*K58^2/10000)</f>
        <v>#DIV/0!</v>
      </c>
      <c r="L59" s="27" t="e">
        <f aca="false">IF(L58&lt;10,-0.16367+0.31037*L58-0.03525*L58^2+0.001366*L58^3,0.75545+0.003585*L58-0.1436*L58^2/10000)</f>
        <v>#DIV/0!</v>
      </c>
      <c r="M59" s="27" t="e">
        <f aca="false">IF(M58&lt;10,-0.16367+0.31037*M58-0.03525*M58^2+0.001366*M58^3,0.75545+0.003585*M58-0.1436*M58^2/10000)</f>
        <v>#DIV/0!</v>
      </c>
      <c r="N59" s="27" t="e">
        <f aca="false">IF(N58&lt;10,-0.16367+0.31037*N58-0.03525*N58^2+0.001366*N58^3,0.75545+0.003585*N58-0.1436*N58^2/10000)</f>
        <v>#DIV/0!</v>
      </c>
      <c r="O59" s="27" t="e">
        <f aca="false">IF(O58&lt;10,-0.16367+0.31037*O58-0.03525*O58^2+0.001366*O58^3,0.75545+0.003585*O58-0.1436*O58^2/10000)</f>
        <v>#DIV/0!</v>
      </c>
      <c r="P59" s="27" t="e">
        <f aca="false">IF(P58&lt;10,-0.16367+0.31037*P58-0.03525*P58^2+0.001366*P58^3,0.75545+0.003585*P58-0.1436*P58^2/10000)</f>
        <v>#DIV/0!</v>
      </c>
      <c r="Q59" s="27" t="e">
        <f aca="false">IF(Q58&lt;10,-0.16367+0.31037*Q58-0.03525*Q58^2+0.001366*Q58^3,0.75545+0.003585*Q58-0.1436*Q58^2/10000)</f>
        <v>#DIV/0!</v>
      </c>
      <c r="R59" s="27" t="n">
        <f aca="false">IF(R58&lt;10,-0.16367+0.31037*R58-0.03525*R58^2+0.001366*R58^3,0.75545+0.003585*R58-0.1436*R58^2/10000)</f>
        <v>0.813869787638297</v>
      </c>
      <c r="S59" s="27" t="e">
        <f aca="false">IF(S58&lt;10,-0.16367+0.31037*S58-0.03525*S58^2+0.001366*S58^3,0.75545+0.003585*S58-0.1436*S58^2/10000)</f>
        <v>#DIV/0!</v>
      </c>
      <c r="T59" s="27" t="e">
        <f aca="false">IF(T58&lt;10,-0.16367+0.31037*T58-0.03525*T58^2+0.001366*T58^3,0.75545+0.003585*T58-0.1436*T58^2/10000)</f>
        <v>#DIV/0!</v>
      </c>
      <c r="U59" s="27" t="e">
        <f aca="false">IF(U58&lt;10,-0.16367+0.31037*U58-0.03525*U58^2+0.001366*U58^3,0.75545+0.003585*U58-0.1436*U58^2/10000)</f>
        <v>#DIV/0!</v>
      </c>
      <c r="V59" s="27" t="e">
        <f aca="false">IF(V58&lt;10,-0.16367+0.31037*V58-0.03525*V58^2+0.001366*V58^3,0.75545+0.003585*V58-0.1436*V58^2/10000)</f>
        <v>#DIV/0!</v>
      </c>
      <c r="W59" s="27" t="e">
        <f aca="false">IF(W58&lt;10,-0.16367+0.31037*W58-0.03525*W58^2+0.001366*W58^3,0.75545+0.003585*W58-0.1436*W58^2/10000)</f>
        <v>#DIV/0!</v>
      </c>
      <c r="X59" s="27" t="e">
        <f aca="false">IF(X58&lt;10,-0.16367+0.31037*X58-0.03525*X58^2+0.001366*X58^3,0.75545+0.003585*X58-0.1436*X58^2/10000)</f>
        <v>#DIV/0!</v>
      </c>
      <c r="Y59" s="27" t="e">
        <f aca="false">IF(Y58&lt;10,-0.16367+0.31037*Y58-0.03525*Y58^2+0.001366*Y58^3,0.75545+0.003585*Y58-0.1436*Y58^2/10000)</f>
        <v>#DIV/0!</v>
      </c>
      <c r="Z59" s="27" t="e">
        <f aca="false">IF(Z58&lt;10,-0.16367+0.31037*Z58-0.03525*Z58^2+0.001366*Z58^3,0.75545+0.003585*Z58-0.1436*Z58^2/10000)</f>
        <v>#DIV/0!</v>
      </c>
      <c r="AA59" s="27" t="e">
        <f aca="false">IF(AA58&lt;10,-0.16367+0.31037*AA58-0.03525*AA58^2+0.001366*AA58^3,0.75545+0.003585*AA58-0.1436*AA58^2/10000)</f>
        <v>#DIV/0!</v>
      </c>
      <c r="AB59" s="27" t="e">
        <f aca="false">IF(AB58&lt;10,-0.16367+0.31037*AB58-0.03525*AB58^2+0.001366*AB58^3,0.75545+0.003585*AB58-0.1436*AB58^2/10000)</f>
        <v>#DIV/0!</v>
      </c>
      <c r="AC59" s="27" t="e">
        <f aca="false">IF(AC58&lt;10,-0.16367+0.31037*AC58-0.03525*AC58^2+0.001366*AC58^3,0.75545+0.003585*AC58-0.1436*AC58^2/10000)</f>
        <v>#DIV/0!</v>
      </c>
      <c r="AD59" s="27" t="e">
        <f aca="false">IF(AD58&lt;10,-0.16367+0.31037*AD58-0.03525*AD58^2+0.001366*AD58^3,0.75545+0.003585*AD58-0.1436*AD58^2/10000)</f>
        <v>#DIV/0!</v>
      </c>
      <c r="AE59" s="27" t="e">
        <f aca="false">IF(AE58&lt;10,-0.16367+0.31037*AE58-0.03525*AE58^2+0.001366*AE58^3,0.75545+0.003585*AE58-0.1436*AE58^2/10000)</f>
        <v>#DIV/0!</v>
      </c>
      <c r="AF59" s="27" t="e">
        <f aca="false">IF(AF58&lt;10,-0.16367+0.31037*AF58-0.03525*AF58^2+0.001366*AF58^3,0.75545+0.003585*AF58-0.1436*AF58^2/10000)</f>
        <v>#DIV/0!</v>
      </c>
      <c r="AG59" s="27" t="n">
        <f aca="false">IF(AG58&lt;10,-0.16367+0.31037*AG58-0.03525*AG58^2+0.001366*AG58^3,0.75545+0.003585*AG58-0.1436*AG58^2/10000)</f>
        <v>0.866433289179976</v>
      </c>
      <c r="AH59" s="27"/>
      <c r="AI59" s="27" t="e">
        <f aca="false">IF(AI58&lt;10,-0.16367+0.31037*AI58-0.03525*AI58^2+0.001366*AI58^3,0.75545+0.003585*AI58-0.1436*AI58^2/10000)</f>
        <v>#N/A</v>
      </c>
      <c r="AJ59" s="27" t="e">
        <f aca="false">IF(AJ58&lt;10,-0.16367+0.31037*AJ58-0.03525*AJ58^2+0.001366*AJ58^3,0.75545+0.003585*AJ58-0.1436*AJ58^2/10000)</f>
        <v>#N/A</v>
      </c>
    </row>
    <row r="60" s="277" customFormat="true" ht="15" hidden="false" customHeight="false" outlineLevel="0" collapsed="false">
      <c r="A60" s="1005" t="s">
        <v>1660</v>
      </c>
      <c r="C60" s="277" t="e">
        <f aca="false">C59*C26</f>
        <v>#N/A</v>
      </c>
      <c r="D60" s="277" t="n">
        <f aca="false">D59*D26</f>
        <v>0.821021625751791</v>
      </c>
      <c r="E60" s="277" t="e">
        <f aca="false">E59*E26</f>
        <v>#DIV/0!</v>
      </c>
      <c r="F60" s="277" t="e">
        <f aca="false">F59*F26</f>
        <v>#N/A</v>
      </c>
      <c r="G60" s="277" t="e">
        <f aca="false">G59*G26</f>
        <v>#DIV/0!</v>
      </c>
      <c r="H60" s="277" t="e">
        <f aca="false">H59*H26</f>
        <v>#N/A</v>
      </c>
      <c r="I60" s="277" t="e">
        <f aca="false">I59*I26</f>
        <v>#DIV/0!</v>
      </c>
      <c r="J60" s="277" t="e">
        <f aca="false">J59*J26</f>
        <v>#DIV/0!</v>
      </c>
      <c r="K60" s="277" t="e">
        <f aca="false">K59*K26</f>
        <v>#DIV/0!</v>
      </c>
      <c r="L60" s="277" t="e">
        <f aca="false">L59*L26</f>
        <v>#DIV/0!</v>
      </c>
      <c r="M60" s="277" t="e">
        <f aca="false">M59*M26</f>
        <v>#DIV/0!</v>
      </c>
      <c r="N60" s="277" t="e">
        <f aca="false">N59*N26</f>
        <v>#DIV/0!</v>
      </c>
      <c r="O60" s="277" t="e">
        <f aca="false">O59*O26</f>
        <v>#DIV/0!</v>
      </c>
      <c r="P60" s="277" t="e">
        <f aca="false">P59*P26</f>
        <v>#DIV/0!</v>
      </c>
      <c r="Q60" s="277" t="e">
        <f aca="false">Q59*Q26</f>
        <v>#DIV/0!</v>
      </c>
      <c r="R60" s="277" t="n">
        <f aca="false">R59*R26</f>
        <v>0.813862107454444</v>
      </c>
      <c r="S60" s="277" t="e">
        <f aca="false">S59*S26</f>
        <v>#DIV/0!</v>
      </c>
      <c r="T60" s="277" t="e">
        <f aca="false">T59*T26</f>
        <v>#DIV/0!</v>
      </c>
      <c r="U60" s="277" t="e">
        <f aca="false">U59*U26</f>
        <v>#DIV/0!</v>
      </c>
      <c r="V60" s="277" t="e">
        <f aca="false">V59*V26</f>
        <v>#DIV/0!</v>
      </c>
      <c r="W60" s="277" t="e">
        <f aca="false">W59*W26</f>
        <v>#DIV/0!</v>
      </c>
      <c r="X60" s="277" t="e">
        <f aca="false">X59*X26</f>
        <v>#DIV/0!</v>
      </c>
      <c r="Y60" s="277" t="e">
        <f aca="false">Y59*Y26</f>
        <v>#DIV/0!</v>
      </c>
      <c r="Z60" s="277" t="e">
        <f aca="false">Z59*Z26</f>
        <v>#DIV/0!</v>
      </c>
      <c r="AA60" s="277" t="e">
        <f aca="false">AA59*AA26</f>
        <v>#DIV/0!</v>
      </c>
      <c r="AB60" s="277" t="e">
        <f aca="false">AB59*AB26</f>
        <v>#DIV/0!</v>
      </c>
      <c r="AC60" s="277" t="e">
        <f aca="false">AC59*AC26</f>
        <v>#DIV/0!</v>
      </c>
      <c r="AD60" s="277" t="e">
        <f aca="false">AD59*AD26</f>
        <v>#DIV/0!</v>
      </c>
      <c r="AE60" s="277" t="e">
        <f aca="false">AE59*AE26</f>
        <v>#DIV/0!</v>
      </c>
      <c r="AF60" s="277" t="e">
        <f aca="false">AF59*AF26</f>
        <v>#DIV/0!</v>
      </c>
      <c r="AG60" s="277" t="n">
        <f aca="false">AG59*AG26</f>
        <v>0.866410982095595</v>
      </c>
      <c r="AI60" s="277" t="e">
        <f aca="false">AI59*AI26</f>
        <v>#N/A</v>
      </c>
      <c r="AJ60" s="277" t="e">
        <f aca="false">AJ59*AJ26</f>
        <v>#N/A</v>
      </c>
    </row>
    <row r="61" customFormat="false" ht="15" hidden="false" customHeight="false" outlineLevel="0" collapsed="false">
      <c r="A61" s="27" t="s">
        <v>1661</v>
      </c>
      <c r="C61" s="1007" t="e">
        <f aca="false">IF(ABS(C60-C57)/C57&gt;=0.005,"请重新假定截面含气率","核算通过")</f>
        <v>#N/A</v>
      </c>
      <c r="D61" s="1007" t="str">
        <f aca="false">IF(ABS(D60-D57)/D57&gt;=0.005,"请重新假定截面含气率","核算通过")</f>
        <v>请重新假定截面含气率</v>
      </c>
      <c r="E61" s="1007" t="e">
        <f aca="false">IF(ABS(E60-E57)/E57&gt;=0.005,"请重新假定截面含气率","核算通过")</f>
        <v>#DIV/0!</v>
      </c>
      <c r="F61" s="1007" t="e">
        <f aca="false">IF(ABS(F60-F57)/F57&gt;=0.005,"请重新假定截面含气率","核算通过")</f>
        <v>#N/A</v>
      </c>
      <c r="G61" s="1007" t="e">
        <f aca="false">IF(ABS(G60-G57)/G57&gt;=0.005,"请重新假定截面含气率","核算通过")</f>
        <v>#DIV/0!</v>
      </c>
      <c r="H61" s="1007" t="e">
        <f aca="false">IF(ABS(H60-H57)/H57&gt;=0.005,"请重新假定截面含气率","核算通过")</f>
        <v>#N/A</v>
      </c>
      <c r="I61" s="1007" t="e">
        <f aca="false">IF(ABS(I60-I57)/I57&gt;=0.005,"请重新假定截面含气率","核算通过")</f>
        <v>#DIV/0!</v>
      </c>
      <c r="J61" s="1007" t="e">
        <f aca="false">IF(ABS(J60-J57)/J57&gt;=0.005,"请重新假定截面含气率","核算通过")</f>
        <v>#DIV/0!</v>
      </c>
      <c r="K61" s="1007" t="e">
        <f aca="false">IF(ABS(K60-K57)/K57&gt;=0.005,"请重新假定截面含气率","核算通过")</f>
        <v>#DIV/0!</v>
      </c>
      <c r="L61" s="1007" t="e">
        <f aca="false">IF(ABS(L60-L57)/L57&gt;=0.005,"请重新假定截面含气率","核算通过")</f>
        <v>#DIV/0!</v>
      </c>
      <c r="M61" s="1007" t="e">
        <f aca="false">IF(ABS(M60-M57)/M57&gt;=0.005,"请重新假定截面含气率","核算通过")</f>
        <v>#DIV/0!</v>
      </c>
      <c r="N61" s="1007" t="e">
        <f aca="false">IF(ABS(N60-N57)/N57&gt;=0.005,"请重新假定截面含气率","核算通过")</f>
        <v>#DIV/0!</v>
      </c>
      <c r="O61" s="1007" t="e">
        <f aca="false">IF(ABS(O60-O57)/O57&gt;=0.005,"请重新假定截面含气率","核算通过")</f>
        <v>#DIV/0!</v>
      </c>
      <c r="P61" s="1007" t="e">
        <f aca="false">IF(ABS(P60-P57)/P57&gt;=0.005,"请重新假定截面含气率","核算通过")</f>
        <v>#DIV/0!</v>
      </c>
      <c r="Q61" s="1007" t="e">
        <f aca="false">IF(ABS(Q60-Q57)/Q57&gt;=0.005,"请重新假定截面含气率","核算通过")</f>
        <v>#DIV/0!</v>
      </c>
      <c r="R61" s="1007" t="str">
        <f aca="false">IF(ABS(R60-R57)/R57&gt;=0.005,"请重新假定截面含气率","核算通过")</f>
        <v>请重新假定截面含气率</v>
      </c>
      <c r="S61" s="1007" t="e">
        <f aca="false">IF(ABS(S60-S57)/S57&gt;=0.005,"请重新假定截面含气率","核算通过")</f>
        <v>#DIV/0!</v>
      </c>
      <c r="T61" s="1007" t="e">
        <f aca="false">IF(ABS(T60-T57)/T57&gt;=0.005,"请重新假定截面含气率","核算通过")</f>
        <v>#DIV/0!</v>
      </c>
      <c r="U61" s="1007" t="e">
        <f aca="false">IF(ABS(U60-U57)/U57&gt;=0.005,"请重新假定截面含气率","核算通过")</f>
        <v>#DIV/0!</v>
      </c>
      <c r="V61" s="1007" t="e">
        <f aca="false">IF(ABS(V60-V57)/V57&gt;=0.005,"请重新假定截面含气率","核算通过")</f>
        <v>#DIV/0!</v>
      </c>
      <c r="W61" s="1007" t="e">
        <f aca="false">IF(ABS(W60-W57)/W57&gt;=0.005,"请重新假定截面含气率","核算通过")</f>
        <v>#DIV/0!</v>
      </c>
      <c r="X61" s="1007" t="e">
        <f aca="false">IF(ABS(X60-X57)/X57&gt;=0.005,"请重新假定截面含气率","核算通过")</f>
        <v>#DIV/0!</v>
      </c>
      <c r="Y61" s="1007" t="e">
        <f aca="false">IF(ABS(Y60-Y57)/Y57&gt;=0.005,"请重新假定截面含气率","核算通过")</f>
        <v>#DIV/0!</v>
      </c>
      <c r="Z61" s="1007" t="e">
        <f aca="false">IF(ABS(Z60-Z57)/Z57&gt;=0.005,"请重新假定截面含气率","核算通过")</f>
        <v>#DIV/0!</v>
      </c>
      <c r="AA61" s="1007" t="e">
        <f aca="false">IF(ABS(AA60-AA57)/AA57&gt;=0.005,"请重新假定截面含气率","核算通过")</f>
        <v>#DIV/0!</v>
      </c>
      <c r="AB61" s="1007" t="e">
        <f aca="false">IF(ABS(AB60-AB57)/AB57&gt;=0.005,"请重新假定截面含气率","核算通过")</f>
        <v>#DIV/0!</v>
      </c>
      <c r="AC61" s="1007" t="e">
        <f aca="false">IF(ABS(AC60-AC57)/AC57&gt;=0.005,"请重新假定截面含气率","核算通过")</f>
        <v>#DIV/0!</v>
      </c>
      <c r="AD61" s="1007" t="e">
        <f aca="false">IF(ABS(AD60-AD57)/AD57&gt;=0.005,"请重新假定截面含气率","核算通过")</f>
        <v>#DIV/0!</v>
      </c>
      <c r="AE61" s="1007" t="e">
        <f aca="false">IF(ABS(AE60-AE57)/AE57&gt;=0.005,"请重新假定截面含气率","核算通过")</f>
        <v>#DIV/0!</v>
      </c>
      <c r="AF61" s="1007" t="e">
        <f aca="false">IF(ABS(AF60-AF57)/AF57&gt;=0.005,"请重新假定截面含气率","核算通过")</f>
        <v>#DIV/0!</v>
      </c>
      <c r="AG61" s="1007" t="str">
        <f aca="false">IF(ABS(AG60-AG57)/AG57&gt;=0.005,"请重新假定截面含气率","核算通过")</f>
        <v>请重新假定截面含气率</v>
      </c>
      <c r="AH61" s="1007"/>
      <c r="AI61" s="1007" t="e">
        <f aca="false">IF(ABS(AI60-AI57)/AI57&gt;=0.005,"请重新假定截面含气率","核算通过")</f>
        <v>#N/A</v>
      </c>
      <c r="AJ61" s="1007" t="e">
        <f aca="false">IF(ABS(AJ60-AJ57)/AJ57&gt;=0.005,"请重新假定截面含气率","核算通过")</f>
        <v>#N/A</v>
      </c>
    </row>
    <row r="62" s="243" customFormat="true" ht="15" hidden="false" customHeight="false" outlineLevel="0" collapsed="false">
      <c r="A62" s="991" t="s">
        <v>1662</v>
      </c>
    </row>
    <row r="63" customFormat="false" ht="15" hidden="false" customHeight="false" outlineLevel="0" collapsed="false">
      <c r="A63" s="27" t="s">
        <v>1663</v>
      </c>
      <c r="C63" s="206" t="e">
        <f aca="false">1-LN(1-C26)*(1.281+0.478*LN(1-C26)+0.444*(LN(1-C26))^2+0.094*(LN(1-C26))^3+0.00843*(LN(1-C26))^4)^(-1)</f>
        <v>#N/A</v>
      </c>
      <c r="D63" s="206" t="n">
        <f aca="false">1-LN(1-D26)*(1.281+0.478*LN(1-D26)+0.444*(LN(1-D26))^2+0.094*(LN(1-D26))^3+0.00843*(LN(1-D26))^4)^(-1)</f>
        <v>1.1917237279147</v>
      </c>
      <c r="E63" s="206" t="e">
        <f aca="false">1-LN(1-E26)*(1.281+0.478*LN(1-E26)+0.444*(LN(1-E26))^2+0.094*(LN(1-E26))^3+0.00843*(LN(1-E26))^4)^(-1)</f>
        <v>#DIV/0!</v>
      </c>
      <c r="F63" s="206" t="e">
        <f aca="false">1-LN(1-F26)*(1.281+0.478*LN(1-F26)+0.444*(LN(1-F26))^2+0.094*(LN(1-F26))^3+0.00843*(LN(1-F26))^4)^(-1)</f>
        <v>#N/A</v>
      </c>
      <c r="G63" s="206" t="e">
        <f aca="false">1-LN(1-G26)*(1.281+0.478*LN(1-G26)+0.444*(LN(1-G26))^2+0.094*(LN(1-G26))^3+0.00843*(LN(1-G26))^4)^(-1)</f>
        <v>#DIV/0!</v>
      </c>
      <c r="H63" s="206" t="e">
        <f aca="false">1-LN(1-H26)*(1.281+0.478*LN(1-H26)+0.444*(LN(1-H26))^2+0.094*(LN(1-H26))^3+0.00843*(LN(1-H26))^4)^(-1)</f>
        <v>#N/A</v>
      </c>
      <c r="I63" s="206" t="e">
        <f aca="false">1-LN(1-I26)*(1.281+0.478*LN(1-I26)+0.444*(LN(1-I26))^2+0.094*(LN(1-I26))^3+0.00843*(LN(1-I26))^4)^(-1)</f>
        <v>#DIV/0!</v>
      </c>
      <c r="J63" s="206" t="e">
        <f aca="false">1-LN(1-J26)*(1.281+0.478*LN(1-J26)+0.444*(LN(1-J26))^2+0.094*(LN(1-J26))^3+0.00843*(LN(1-J26))^4)^(-1)</f>
        <v>#DIV/0!</v>
      </c>
      <c r="K63" s="206" t="e">
        <f aca="false">1-LN(1-K26)*(1.281+0.478*LN(1-K26)+0.444*(LN(1-K26))^2+0.094*(LN(1-K26))^3+0.00843*(LN(1-K26))^4)^(-1)</f>
        <v>#DIV/0!</v>
      </c>
      <c r="L63" s="206" t="e">
        <f aca="false">1-LN(1-L26)*(1.281+0.478*LN(1-L26)+0.444*(LN(1-L26))^2+0.094*(LN(1-L26))^3+0.00843*(LN(1-L26))^4)^(-1)</f>
        <v>#DIV/0!</v>
      </c>
      <c r="M63" s="206" t="e">
        <f aca="false">1-LN(1-M26)*(1.281+0.478*LN(1-M26)+0.444*(LN(1-M26))^2+0.094*(LN(1-M26))^3+0.00843*(LN(1-M26))^4)^(-1)</f>
        <v>#DIV/0!</v>
      </c>
      <c r="N63" s="206" t="e">
        <f aca="false">1-LN(1-N26)*(1.281+0.478*LN(1-N26)+0.444*(LN(1-N26))^2+0.094*(LN(1-N26))^3+0.00843*(LN(1-N26))^4)^(-1)</f>
        <v>#DIV/0!</v>
      </c>
      <c r="O63" s="206" t="e">
        <f aca="false">1-LN(1-O26)*(1.281+0.478*LN(1-O26)+0.444*(LN(1-O26))^2+0.094*(LN(1-O26))^3+0.00843*(LN(1-O26))^4)^(-1)</f>
        <v>#DIV/0!</v>
      </c>
      <c r="P63" s="206" t="e">
        <f aca="false">1-LN(1-P26)*(1.281+0.478*LN(1-P26)+0.444*(LN(1-P26))^2+0.094*(LN(1-P26))^3+0.00843*(LN(1-P26))^4)^(-1)</f>
        <v>#DIV/0!</v>
      </c>
      <c r="Q63" s="206" t="e">
        <f aca="false">1-LN(1-Q26)*(1.281+0.478*LN(1-Q26)+0.444*(LN(1-Q26))^2+0.094*(LN(1-Q26))^3+0.00843*(LN(1-Q26))^4)^(-1)</f>
        <v>#DIV/0!</v>
      </c>
      <c r="R63" s="206" t="n">
        <f aca="false">1-LN(1-R26)*(1.281+0.478*LN(1-R26)+0.444*(LN(1-R26))^2+0.094*(LN(1-R26))^3+0.00843*(LN(1-R26))^4)^(-1)</f>
        <v>1.19067508741545</v>
      </c>
      <c r="S63" s="206" t="e">
        <f aca="false">1-LN(1-S26)*(1.281+0.478*LN(1-S26)+0.444*(LN(1-S26))^2+0.094*(LN(1-S26))^3+0.00843*(LN(1-S26))^4)^(-1)</f>
        <v>#DIV/0!</v>
      </c>
      <c r="T63" s="206" t="e">
        <f aca="false">1-LN(1-T26)*(1.281+0.478*LN(1-T26)+0.444*(LN(1-T26))^2+0.094*(LN(1-T26))^3+0.00843*(LN(1-T26))^4)^(-1)</f>
        <v>#DIV/0!</v>
      </c>
      <c r="U63" s="206" t="e">
        <f aca="false">1-LN(1-U26)*(1.281+0.478*LN(1-U26)+0.444*(LN(1-U26))^2+0.094*(LN(1-U26))^3+0.00843*(LN(1-U26))^4)^(-1)</f>
        <v>#DIV/0!</v>
      </c>
      <c r="V63" s="206" t="e">
        <f aca="false">1-LN(1-V26)*(1.281+0.478*LN(1-V26)+0.444*(LN(1-V26))^2+0.094*(LN(1-V26))^3+0.00843*(LN(1-V26))^4)^(-1)</f>
        <v>#DIV/0!</v>
      </c>
      <c r="W63" s="206" t="e">
        <f aca="false">1-LN(1-W26)*(1.281+0.478*LN(1-W26)+0.444*(LN(1-W26))^2+0.094*(LN(1-W26))^3+0.00843*(LN(1-W26))^4)^(-1)</f>
        <v>#DIV/0!</v>
      </c>
      <c r="X63" s="206" t="e">
        <f aca="false">1-LN(1-X26)*(1.281+0.478*LN(1-X26)+0.444*(LN(1-X26))^2+0.094*(LN(1-X26))^3+0.00843*(LN(1-X26))^4)^(-1)</f>
        <v>#DIV/0!</v>
      </c>
      <c r="Y63" s="206" t="e">
        <f aca="false">1-LN(1-Y26)*(1.281+0.478*LN(1-Y26)+0.444*(LN(1-Y26))^2+0.094*(LN(1-Y26))^3+0.00843*(LN(1-Y26))^4)^(-1)</f>
        <v>#DIV/0!</v>
      </c>
      <c r="Z63" s="206" t="e">
        <f aca="false">1-LN(1-Z26)*(1.281+0.478*LN(1-Z26)+0.444*(LN(1-Z26))^2+0.094*(LN(1-Z26))^3+0.00843*(LN(1-Z26))^4)^(-1)</f>
        <v>#DIV/0!</v>
      </c>
      <c r="AA63" s="206" t="e">
        <f aca="false">1-LN(1-AA26)*(1.281+0.478*LN(1-AA26)+0.444*(LN(1-AA26))^2+0.094*(LN(1-AA26))^3+0.00843*(LN(1-AA26))^4)^(-1)</f>
        <v>#DIV/0!</v>
      </c>
      <c r="AB63" s="206" t="e">
        <f aca="false">1-LN(1-AB26)*(1.281+0.478*LN(1-AB26)+0.444*(LN(1-AB26))^2+0.094*(LN(1-AB26))^3+0.00843*(LN(1-AB26))^4)^(-1)</f>
        <v>#DIV/0!</v>
      </c>
      <c r="AC63" s="206" t="e">
        <f aca="false">1-LN(1-AC26)*(1.281+0.478*LN(1-AC26)+0.444*(LN(1-AC26))^2+0.094*(LN(1-AC26))^3+0.00843*(LN(1-AC26))^4)^(-1)</f>
        <v>#DIV/0!</v>
      </c>
      <c r="AD63" s="206" t="e">
        <f aca="false">1-LN(1-AD26)*(1.281+0.478*LN(1-AD26)+0.444*(LN(1-AD26))^2+0.094*(LN(1-AD26))^3+0.00843*(LN(1-AD26))^4)^(-1)</f>
        <v>#DIV/0!</v>
      </c>
      <c r="AE63" s="206" t="e">
        <f aca="false">1-LN(1-AE26)*(1.281+0.478*LN(1-AE26)+0.444*(LN(1-AE26))^2+0.094*(LN(1-AE26))^3+0.00843*(LN(1-AE26))^4)^(-1)</f>
        <v>#DIV/0!</v>
      </c>
      <c r="AF63" s="206" t="e">
        <f aca="false">1-LN(1-AF26)*(1.281+0.478*LN(1-AF26)+0.444*(LN(1-AF26))^2+0.094*(LN(1-AF26))^3+0.00843*(LN(1-AF26))^4)^(-1)</f>
        <v>#DIV/0!</v>
      </c>
      <c r="AG63" s="206" t="n">
        <f aca="false">1-LN(1-AG26)*(1.281+0.478*LN(1-AG26)+0.444*(LN(1-AG26))^2+0.094*(LN(1-AG26))^3+0.00843*(LN(1-AG26))^4)^(-1)</f>
        <v>1.26413948445503</v>
      </c>
      <c r="AI63" s="206" t="e">
        <f aca="false">1-LN(1-AI26)*(1.281+0.478*LN(1-AI26)+0.444*(LN(1-AI26))^2+0.094*(LN(1-AI26))^3+0.00843*(LN(1-AI26))^4)^(-1)</f>
        <v>#N/A</v>
      </c>
      <c r="AJ63" s="206" t="e">
        <f aca="false">1-LN(1-AJ26)*(1.281+0.478*LN(1-AJ26)+0.444*(LN(1-AJ26))^2+0.094*(LN(1-AJ26))^3+0.00843*(LN(1-AJ26))^4)^(-1)</f>
        <v>#N/A</v>
      </c>
    </row>
    <row r="64" customFormat="false" ht="15" hidden="false" customHeight="false" outlineLevel="0" collapsed="false">
      <c r="A64" s="27" t="s">
        <v>1664</v>
      </c>
      <c r="C64" s="206" t="e">
        <f aca="false">C51*C26^2*C12/C60+C51*(1-C26)^2*C19/(1-C60)</f>
        <v>#N/A</v>
      </c>
      <c r="D64" s="206" t="n">
        <f aca="false">D51*D26^2*D12/D60+D51*(1-D26)^2*D19/(1-D60)</f>
        <v>1.2176445832917</v>
      </c>
      <c r="E64" s="206" t="e">
        <f aca="false">E51*E26^2*E12/E60+E51*(1-E26)^2*E19/(1-E60)</f>
        <v>#DIV/0!</v>
      </c>
      <c r="F64" s="206" t="e">
        <f aca="false">F51*F26^2*F12/F60+F51*(1-F26)^2*F19/(1-F60)</f>
        <v>#N/A</v>
      </c>
      <c r="G64" s="206" t="e">
        <f aca="false">G51*G26^2*G12/G60+G51*(1-G26)^2*G19/(1-G60)</f>
        <v>#DIV/0!</v>
      </c>
      <c r="H64" s="206" t="e">
        <f aca="false">H51*H26^2*H12/H60+H51*(1-H26)^2*H19/(1-H60)</f>
        <v>#N/A</v>
      </c>
      <c r="I64" s="206" t="e">
        <f aca="false">I51*I26^2*I12/I60+I51*(1-I26)^2*I19/(1-I60)</f>
        <v>#DIV/0!</v>
      </c>
      <c r="J64" s="206" t="e">
        <f aca="false">J51*J26^2*J12/J60+J51*(1-J26)^2*J19/(1-J60)</f>
        <v>#DIV/0!</v>
      </c>
      <c r="K64" s="206" t="e">
        <f aca="false">K51*K26^2*K12/K60+K51*(1-K26)^2*K19/(1-K60)</f>
        <v>#DIV/0!</v>
      </c>
      <c r="L64" s="206" t="e">
        <f aca="false">L51*L26^2*L12/L60+L51*(1-L26)^2*L19/(1-L60)</f>
        <v>#DIV/0!</v>
      </c>
      <c r="M64" s="206" t="e">
        <f aca="false">M51*M26^2*M12/M60+M51*(1-M26)^2*M19/(1-M60)</f>
        <v>#DIV/0!</v>
      </c>
      <c r="N64" s="206" t="e">
        <f aca="false">N51*N26^2*N12/N60+N51*(1-N26)^2*N19/(1-N60)</f>
        <v>#DIV/0!</v>
      </c>
      <c r="O64" s="206" t="e">
        <f aca="false">O51*O26^2*O12/O60+O51*(1-O26)^2*O19/(1-O60)</f>
        <v>#DIV/0!</v>
      </c>
      <c r="P64" s="206" t="e">
        <f aca="false">P51*P26^2*P12/P60+P51*(1-P26)^2*P19/(1-P60)</f>
        <v>#DIV/0!</v>
      </c>
      <c r="Q64" s="206" t="e">
        <f aca="false">Q51*Q26^2*Q12/Q60+Q51*(1-Q26)^2*Q19/(1-Q60)</f>
        <v>#DIV/0!</v>
      </c>
      <c r="R64" s="206" t="n">
        <f aca="false">R51*R26^2*R12/R60+R51*(1-R26)^2*R19/(1-R60)</f>
        <v>1.22835657097726</v>
      </c>
      <c r="S64" s="206" t="e">
        <f aca="false">S51*S26^2*S12/S60+S51*(1-S26)^2*S19/(1-S60)</f>
        <v>#DIV/0!</v>
      </c>
      <c r="T64" s="206" t="e">
        <f aca="false">T51*T26^2*T12/T60+T51*(1-T26)^2*T19/(1-T60)</f>
        <v>#DIV/0!</v>
      </c>
      <c r="U64" s="206" t="e">
        <f aca="false">U51*U26^2*U12/U60+U51*(1-U26)^2*U19/(1-U60)</f>
        <v>#DIV/0!</v>
      </c>
      <c r="V64" s="206" t="e">
        <f aca="false">V51*V26^2*V12/V60+V51*(1-V26)^2*V19/(1-V60)</f>
        <v>#DIV/0!</v>
      </c>
      <c r="W64" s="206" t="e">
        <f aca="false">W51*W26^2*W12/W60+W51*(1-W26)^2*W19/(1-W60)</f>
        <v>#DIV/0!</v>
      </c>
      <c r="X64" s="206" t="e">
        <f aca="false">X51*X26^2*X12/X60+X51*(1-X26)^2*X19/(1-X60)</f>
        <v>#DIV/0!</v>
      </c>
      <c r="Y64" s="206" t="e">
        <f aca="false">Y51*Y26^2*Y12/Y60+Y51*(1-Y26)^2*Y19/(1-Y60)</f>
        <v>#DIV/0!</v>
      </c>
      <c r="Z64" s="206" t="e">
        <f aca="false">Z51*Z26^2*Z12/Z60+Z51*(1-Z26)^2*Z19/(1-Z60)</f>
        <v>#DIV/0!</v>
      </c>
      <c r="AA64" s="206" t="e">
        <f aca="false">AA51*AA26^2*AA12/AA60+AA51*(1-AA26)^2*AA19/(1-AA60)</f>
        <v>#DIV/0!</v>
      </c>
      <c r="AB64" s="206" t="e">
        <f aca="false">AB51*AB26^2*AB12/AB60+AB51*(1-AB26)^2*AB19/(1-AB60)</f>
        <v>#DIV/0!</v>
      </c>
      <c r="AC64" s="206" t="e">
        <f aca="false">AC51*AC26^2*AC12/AC60+AC51*(1-AC26)^2*AC19/(1-AC60)</f>
        <v>#DIV/0!</v>
      </c>
      <c r="AD64" s="206" t="e">
        <f aca="false">AD51*AD26^2*AD12/AD60+AD51*(1-AD26)^2*AD19/(1-AD60)</f>
        <v>#DIV/0!</v>
      </c>
      <c r="AE64" s="206" t="e">
        <f aca="false">AE51*AE26^2*AE12/AE60+AE51*(1-AE26)^2*AE19/(1-AE60)</f>
        <v>#DIV/0!</v>
      </c>
      <c r="AF64" s="206" t="e">
        <f aca="false">AF51*AF26^2*AF12/AF60+AF51*(1-AF26)^2*AF19/(1-AF60)</f>
        <v>#DIV/0!</v>
      </c>
      <c r="AG64" s="206" t="n">
        <f aca="false">AG51*AG26^2*AG12/AG60+AG51*(1-AG26)^2*AG19/(1-AG60)</f>
        <v>1.15409958670757</v>
      </c>
      <c r="AI64" s="206" t="e">
        <f aca="false">AI51*AI26^2*AI12/AI60+AI51*(1-AI26)^2*AI19/(1-AI60)</f>
        <v>#N/A</v>
      </c>
      <c r="AJ64" s="206" t="e">
        <f aca="false">AJ51*AJ26^2*AJ12/AJ60+AJ51*(1-AJ26)^2*AJ19/(1-AJ60)</f>
        <v>#N/A</v>
      </c>
    </row>
    <row r="65" customFormat="false" ht="15" hidden="false" customHeight="false" outlineLevel="0" collapsed="false">
      <c r="A65" s="27" t="s">
        <v>1665</v>
      </c>
      <c r="C65" s="206" t="e">
        <f aca="false">C52*C64</f>
        <v>#N/A</v>
      </c>
      <c r="D65" s="206" t="n">
        <f aca="false">D52*D64</f>
        <v>78.6120314994283</v>
      </c>
      <c r="E65" s="206" t="e">
        <f aca="false">E52*E64</f>
        <v>#DIV/0!</v>
      </c>
      <c r="F65" s="206" t="e">
        <f aca="false">F52*F64</f>
        <v>#N/A</v>
      </c>
      <c r="G65" s="206" t="e">
        <f aca="false">G52*G64</f>
        <v>#DIV/0!</v>
      </c>
      <c r="H65" s="206" t="e">
        <f aca="false">H52*H64</f>
        <v>#N/A</v>
      </c>
      <c r="I65" s="206" t="e">
        <f aca="false">I52*I64</f>
        <v>#DIV/0!</v>
      </c>
      <c r="J65" s="206" t="e">
        <f aca="false">J52*J64</f>
        <v>#DIV/0!</v>
      </c>
      <c r="K65" s="206" t="e">
        <f aca="false">K52*K64</f>
        <v>#DIV/0!</v>
      </c>
      <c r="L65" s="206" t="e">
        <f aca="false">L52*L64</f>
        <v>#DIV/0!</v>
      </c>
      <c r="M65" s="206" t="e">
        <f aca="false">M52*M64</f>
        <v>#DIV/0!</v>
      </c>
      <c r="N65" s="206" t="e">
        <f aca="false">N52*N64</f>
        <v>#DIV/0!</v>
      </c>
      <c r="O65" s="206" t="e">
        <f aca="false">O52*O64</f>
        <v>#DIV/0!</v>
      </c>
      <c r="P65" s="206" t="e">
        <f aca="false">P52*P64</f>
        <v>#DIV/0!</v>
      </c>
      <c r="Q65" s="206" t="e">
        <f aca="false">Q52*Q64</f>
        <v>#DIV/0!</v>
      </c>
      <c r="R65" s="206" t="n">
        <f aca="false">R52*R64</f>
        <v>63.8201878843419</v>
      </c>
      <c r="S65" s="206" t="e">
        <f aca="false">S52*S64</f>
        <v>#DIV/0!</v>
      </c>
      <c r="T65" s="206" t="e">
        <f aca="false">T52*T64</f>
        <v>#DIV/0!</v>
      </c>
      <c r="U65" s="206" t="e">
        <f aca="false">U52*U64</f>
        <v>#DIV/0!</v>
      </c>
      <c r="V65" s="206" t="e">
        <f aca="false">V52*V64</f>
        <v>#DIV/0!</v>
      </c>
      <c r="W65" s="206" t="e">
        <f aca="false">W52*W64</f>
        <v>#DIV/0!</v>
      </c>
      <c r="X65" s="206" t="e">
        <f aca="false">X52*X64</f>
        <v>#DIV/0!</v>
      </c>
      <c r="Y65" s="206" t="e">
        <f aca="false">Y52*Y64</f>
        <v>#DIV/0!</v>
      </c>
      <c r="Z65" s="206" t="e">
        <f aca="false">Z52*Z64</f>
        <v>#DIV/0!</v>
      </c>
      <c r="AA65" s="206" t="e">
        <f aca="false">AA52*AA64</f>
        <v>#DIV/0!</v>
      </c>
      <c r="AB65" s="206" t="e">
        <f aca="false">AB52*AB64</f>
        <v>#DIV/0!</v>
      </c>
      <c r="AC65" s="206" t="e">
        <f aca="false">AC52*AC64</f>
        <v>#DIV/0!</v>
      </c>
      <c r="AD65" s="206" t="e">
        <f aca="false">AD52*AD64</f>
        <v>#DIV/0!</v>
      </c>
      <c r="AE65" s="206" t="e">
        <f aca="false">AE52*AE64</f>
        <v>#DIV/0!</v>
      </c>
      <c r="AF65" s="206" t="e">
        <f aca="false">AF52*AF64</f>
        <v>#DIV/0!</v>
      </c>
      <c r="AG65" s="206" t="n">
        <f aca="false">AG52*AG64</f>
        <v>365.400580769492</v>
      </c>
      <c r="AI65" s="206" t="e">
        <f aca="false">AI52*AI64</f>
        <v>#N/A</v>
      </c>
      <c r="AJ65" s="206" t="e">
        <f aca="false">AJ52*AJ64</f>
        <v>#N/A</v>
      </c>
    </row>
    <row r="66" customFormat="false" ht="15" hidden="false" customHeight="false" outlineLevel="0" collapsed="false">
      <c r="A66" s="27" t="s">
        <v>1666</v>
      </c>
      <c r="C66" s="206" t="e">
        <f aca="false">0.0014+0.125*C65^(-0.32)</f>
        <v>#N/A</v>
      </c>
      <c r="D66" s="206" t="n">
        <f aca="false">0.0014+0.125*D65^(-0.32)</f>
        <v>0.0323281203584608</v>
      </c>
      <c r="E66" s="206" t="e">
        <f aca="false">0.0014+0.125*E65^(-0.32)</f>
        <v>#DIV/0!</v>
      </c>
      <c r="F66" s="206" t="e">
        <f aca="false">0.0014+0.125*F65^(-0.32)</f>
        <v>#N/A</v>
      </c>
      <c r="G66" s="206" t="e">
        <f aca="false">0.0014+0.125*G65^(-0.32)</f>
        <v>#DIV/0!</v>
      </c>
      <c r="H66" s="206" t="e">
        <f aca="false">0.0014+0.125*H65^(-0.32)</f>
        <v>#N/A</v>
      </c>
      <c r="I66" s="206" t="e">
        <f aca="false">0.0014+0.125*I65^(-0.32)</f>
        <v>#DIV/0!</v>
      </c>
      <c r="J66" s="206" t="e">
        <f aca="false">0.0014+0.125*J65^(-0.32)</f>
        <v>#DIV/0!</v>
      </c>
      <c r="K66" s="206" t="e">
        <f aca="false">0.0014+0.125*K65^(-0.32)</f>
        <v>#DIV/0!</v>
      </c>
      <c r="L66" s="206" t="e">
        <f aca="false">0.0014+0.125*L65^(-0.32)</f>
        <v>#DIV/0!</v>
      </c>
      <c r="M66" s="206" t="e">
        <f aca="false">0.0014+0.125*M65^(-0.32)</f>
        <v>#DIV/0!</v>
      </c>
      <c r="N66" s="206" t="e">
        <f aca="false">0.0014+0.125*N65^(-0.32)</f>
        <v>#DIV/0!</v>
      </c>
      <c r="O66" s="206" t="e">
        <f aca="false">0.0014+0.125*O65^(-0.32)</f>
        <v>#DIV/0!</v>
      </c>
      <c r="P66" s="206" t="e">
        <f aca="false">0.0014+0.125*P65^(-0.32)</f>
        <v>#DIV/0!</v>
      </c>
      <c r="Q66" s="206" t="e">
        <f aca="false">0.0014+0.125*Q65^(-0.32)</f>
        <v>#DIV/0!</v>
      </c>
      <c r="R66" s="206" t="n">
        <f aca="false">0.0014+0.125*R65^(-0.32)</f>
        <v>0.0344615665576921</v>
      </c>
      <c r="S66" s="206" t="e">
        <f aca="false">0.0014+0.125*S65^(-0.32)</f>
        <v>#DIV/0!</v>
      </c>
      <c r="T66" s="206" t="e">
        <f aca="false">0.0014+0.125*T65^(-0.32)</f>
        <v>#DIV/0!</v>
      </c>
      <c r="U66" s="206" t="e">
        <f aca="false">0.0014+0.125*U65^(-0.32)</f>
        <v>#DIV/0!</v>
      </c>
      <c r="V66" s="206" t="e">
        <f aca="false">0.0014+0.125*V65^(-0.32)</f>
        <v>#DIV/0!</v>
      </c>
      <c r="W66" s="206" t="e">
        <f aca="false">0.0014+0.125*W65^(-0.32)</f>
        <v>#DIV/0!</v>
      </c>
      <c r="X66" s="206" t="e">
        <f aca="false">0.0014+0.125*X65^(-0.32)</f>
        <v>#DIV/0!</v>
      </c>
      <c r="Y66" s="206" t="e">
        <f aca="false">0.0014+0.125*Y65^(-0.32)</f>
        <v>#DIV/0!</v>
      </c>
      <c r="Z66" s="206" t="e">
        <f aca="false">0.0014+0.125*Z65^(-0.32)</f>
        <v>#DIV/0!</v>
      </c>
      <c r="AA66" s="206" t="e">
        <f aca="false">0.0014+0.125*AA65^(-0.32)</f>
        <v>#DIV/0!</v>
      </c>
      <c r="AB66" s="206" t="e">
        <f aca="false">0.0014+0.125*AB65^(-0.32)</f>
        <v>#DIV/0!</v>
      </c>
      <c r="AC66" s="206" t="e">
        <f aca="false">0.0014+0.125*AC65^(-0.32)</f>
        <v>#DIV/0!</v>
      </c>
      <c r="AD66" s="206" t="e">
        <f aca="false">0.0014+0.125*AD65^(-0.32)</f>
        <v>#DIV/0!</v>
      </c>
      <c r="AE66" s="206" t="e">
        <f aca="false">0.0014+0.125*AE65^(-0.32)</f>
        <v>#DIV/0!</v>
      </c>
      <c r="AF66" s="206" t="e">
        <f aca="false">0.0014+0.125*AF65^(-0.32)</f>
        <v>#DIV/0!</v>
      </c>
      <c r="AG66" s="206" t="n">
        <f aca="false">0.0014+0.125*AG65^(-0.32)</f>
        <v>0.0203157627541525</v>
      </c>
      <c r="AI66" s="206" t="e">
        <f aca="false">0.0014+0.125*AI65^(-0.32)</f>
        <v>#N/A</v>
      </c>
      <c r="AJ66" s="206" t="e">
        <f aca="false">0.0014+0.125*AJ65^(-0.32)</f>
        <v>#N/A</v>
      </c>
    </row>
    <row r="67" customFormat="false" ht="15" hidden="false" customHeight="false" outlineLevel="0" collapsed="false">
      <c r="A67" s="27" t="s">
        <v>1667</v>
      </c>
      <c r="C67" s="206" t="e">
        <f aca="false">4*C66</f>
        <v>#N/A</v>
      </c>
      <c r="D67" s="206" t="n">
        <f aca="false">4*D66</f>
        <v>0.129312481433843</v>
      </c>
      <c r="E67" s="206" t="e">
        <f aca="false">4*E66</f>
        <v>#DIV/0!</v>
      </c>
      <c r="F67" s="206" t="e">
        <f aca="false">4*F66</f>
        <v>#N/A</v>
      </c>
      <c r="G67" s="206" t="e">
        <f aca="false">4*G66</f>
        <v>#DIV/0!</v>
      </c>
      <c r="H67" s="206" t="e">
        <f aca="false">4*H66</f>
        <v>#N/A</v>
      </c>
      <c r="I67" s="206" t="e">
        <f aca="false">4*I66</f>
        <v>#DIV/0!</v>
      </c>
      <c r="J67" s="206" t="e">
        <f aca="false">4*J66</f>
        <v>#DIV/0!</v>
      </c>
      <c r="K67" s="206" t="e">
        <f aca="false">4*K66</f>
        <v>#DIV/0!</v>
      </c>
      <c r="L67" s="206" t="e">
        <f aca="false">4*L66</f>
        <v>#DIV/0!</v>
      </c>
      <c r="M67" s="206" t="e">
        <f aca="false">4*M66</f>
        <v>#DIV/0!</v>
      </c>
      <c r="N67" s="206" t="e">
        <f aca="false">4*N66</f>
        <v>#DIV/0!</v>
      </c>
      <c r="O67" s="206" t="e">
        <f aca="false">4*O66</f>
        <v>#DIV/0!</v>
      </c>
      <c r="P67" s="206" t="e">
        <f aca="false">4*P66</f>
        <v>#DIV/0!</v>
      </c>
      <c r="Q67" s="206" t="e">
        <f aca="false">4*Q66</f>
        <v>#DIV/0!</v>
      </c>
      <c r="R67" s="206" t="n">
        <f aca="false">4*R66</f>
        <v>0.137846266230768</v>
      </c>
      <c r="S67" s="206" t="e">
        <f aca="false">4*S66</f>
        <v>#DIV/0!</v>
      </c>
      <c r="T67" s="206" t="e">
        <f aca="false">4*T66</f>
        <v>#DIV/0!</v>
      </c>
      <c r="U67" s="206" t="e">
        <f aca="false">4*U66</f>
        <v>#DIV/0!</v>
      </c>
      <c r="V67" s="206" t="e">
        <f aca="false">4*V66</f>
        <v>#DIV/0!</v>
      </c>
      <c r="W67" s="206" t="e">
        <f aca="false">4*W66</f>
        <v>#DIV/0!</v>
      </c>
      <c r="X67" s="206" t="e">
        <f aca="false">4*X66</f>
        <v>#DIV/0!</v>
      </c>
      <c r="Y67" s="206" t="e">
        <f aca="false">4*Y66</f>
        <v>#DIV/0!</v>
      </c>
      <c r="Z67" s="206" t="e">
        <f aca="false">4*Z66</f>
        <v>#DIV/0!</v>
      </c>
      <c r="AA67" s="206" t="e">
        <f aca="false">4*AA66</f>
        <v>#DIV/0!</v>
      </c>
      <c r="AB67" s="206" t="e">
        <f aca="false">4*AB66</f>
        <v>#DIV/0!</v>
      </c>
      <c r="AC67" s="206" t="e">
        <f aca="false">4*AC66</f>
        <v>#DIV/0!</v>
      </c>
      <c r="AD67" s="206" t="e">
        <f aca="false">4*AD66</f>
        <v>#DIV/0!</v>
      </c>
      <c r="AE67" s="206" t="e">
        <f aca="false">4*AE66</f>
        <v>#DIV/0!</v>
      </c>
      <c r="AF67" s="206" t="e">
        <f aca="false">4*AF66</f>
        <v>#DIV/0!</v>
      </c>
      <c r="AG67" s="206" t="n">
        <f aca="false">4*AG66</f>
        <v>0.0812630510166101</v>
      </c>
      <c r="AI67" s="206" t="e">
        <f aca="false">4*AI66</f>
        <v>#N/A</v>
      </c>
      <c r="AJ67" s="206" t="e">
        <f aca="false">4*AJ66</f>
        <v>#N/A</v>
      </c>
    </row>
    <row r="68" customFormat="false" ht="15" hidden="false" customHeight="false" outlineLevel="0" collapsed="false">
      <c r="A68" s="27" t="s">
        <v>1668</v>
      </c>
      <c r="B68" s="27" t="s">
        <v>1522</v>
      </c>
      <c r="C68" s="206" t="e">
        <f aca="false">C12*C60+C19*(1-C60)</f>
        <v>#N/A</v>
      </c>
      <c r="D68" s="206" t="n">
        <f aca="false">D12*D60+D19*(1-D60)</f>
        <v>154.056557199468</v>
      </c>
      <c r="E68" s="206" t="e">
        <f aca="false">E12*E60+E19*(1-E60)</f>
        <v>#DIV/0!</v>
      </c>
      <c r="F68" s="206" t="e">
        <f aca="false">F12*F60+F19*(1-F60)</f>
        <v>#N/A</v>
      </c>
      <c r="G68" s="206" t="e">
        <f aca="false">G12*G60+G19*(1-G60)</f>
        <v>#DIV/0!</v>
      </c>
      <c r="H68" s="206" t="e">
        <f aca="false">H12*H60+H19*(1-H60)</f>
        <v>#N/A</v>
      </c>
      <c r="I68" s="206" t="e">
        <f aca="false">I12*I60+I19*(1-I60)</f>
        <v>#DIV/0!</v>
      </c>
      <c r="J68" s="206" t="e">
        <f aca="false">J12*J60+J19*(1-J60)</f>
        <v>#DIV/0!</v>
      </c>
      <c r="K68" s="206" t="e">
        <f aca="false">K12*K60+K19*(1-K60)</f>
        <v>#DIV/0!</v>
      </c>
      <c r="L68" s="206" t="e">
        <f aca="false">L12*L60+L19*(1-L60)</f>
        <v>#DIV/0!</v>
      </c>
      <c r="M68" s="206" t="e">
        <f aca="false">M12*M60+M19*(1-M60)</f>
        <v>#DIV/0!</v>
      </c>
      <c r="N68" s="206" t="e">
        <f aca="false">N12*N60+N19*(1-N60)</f>
        <v>#DIV/0!</v>
      </c>
      <c r="O68" s="206" t="e">
        <f aca="false">O12*O60+O19*(1-O60)</f>
        <v>#DIV/0!</v>
      </c>
      <c r="P68" s="206" t="e">
        <f aca="false">P12*P60+P19*(1-P60)</f>
        <v>#DIV/0!</v>
      </c>
      <c r="Q68" s="206" t="e">
        <f aca="false">Q12*Q60+Q19*(1-Q60)</f>
        <v>#DIV/0!</v>
      </c>
      <c r="R68" s="206" t="n">
        <f aca="false">R12*R60+R19*(1-R60)</f>
        <v>160.91644580665</v>
      </c>
      <c r="S68" s="206" t="e">
        <f aca="false">S12*S60+S19*(1-S60)</f>
        <v>#DIV/0!</v>
      </c>
      <c r="T68" s="206" t="e">
        <f aca="false">T12*T60+T19*(1-T60)</f>
        <v>#DIV/0!</v>
      </c>
      <c r="U68" s="206" t="e">
        <f aca="false">U12*U60+U19*(1-U60)</f>
        <v>#DIV/0!</v>
      </c>
      <c r="V68" s="206" t="e">
        <f aca="false">V12*V60+V19*(1-V60)</f>
        <v>#DIV/0!</v>
      </c>
      <c r="W68" s="206" t="e">
        <f aca="false">W12*W60+W19*(1-W60)</f>
        <v>#DIV/0!</v>
      </c>
      <c r="X68" s="206" t="e">
        <f aca="false">X12*X60+X19*(1-X60)</f>
        <v>#DIV/0!</v>
      </c>
      <c r="Y68" s="206" t="e">
        <f aca="false">Y12*Y60+Y19*(1-Y60)</f>
        <v>#DIV/0!</v>
      </c>
      <c r="Z68" s="206" t="e">
        <f aca="false">Z12*Z60+Z19*(1-Z60)</f>
        <v>#DIV/0!</v>
      </c>
      <c r="AA68" s="206" t="e">
        <f aca="false">AA12*AA60+AA19*(1-AA60)</f>
        <v>#DIV/0!</v>
      </c>
      <c r="AB68" s="206" t="e">
        <f aca="false">AB12*AB60+AB19*(1-AB60)</f>
        <v>#DIV/0!</v>
      </c>
      <c r="AC68" s="206" t="e">
        <f aca="false">AC12*AC60+AC19*(1-AC60)</f>
        <v>#DIV/0!</v>
      </c>
      <c r="AD68" s="206" t="e">
        <f aca="false">AD12*AD60+AD19*(1-AD60)</f>
        <v>#DIV/0!</v>
      </c>
      <c r="AE68" s="206" t="e">
        <f aca="false">AE12*AE60+AE19*(1-AE60)</f>
        <v>#DIV/0!</v>
      </c>
      <c r="AF68" s="206" t="e">
        <f aca="false">AF12*AF60+AF19*(1-AF60)</f>
        <v>#DIV/0!</v>
      </c>
      <c r="AG68" s="206" t="n">
        <f aca="false">AG12*AG60+AG19*(1-AG60)</f>
        <v>49.6731804162291</v>
      </c>
      <c r="AI68" s="206" t="e">
        <f aca="false">AI12*AI60+AI19*(1-AI60)</f>
        <v>#N/A</v>
      </c>
      <c r="AJ68" s="206" t="e">
        <f aca="false">AJ12*AJ60+AJ19*(1-AJ60)</f>
        <v>#N/A</v>
      </c>
    </row>
    <row r="69" customFormat="false" ht="15" hidden="false" customHeight="false" outlineLevel="0" collapsed="false">
      <c r="A69" s="27" t="s">
        <v>1669</v>
      </c>
      <c r="B69" s="27" t="s">
        <v>420</v>
      </c>
      <c r="C69" s="0" t="n">
        <v>0</v>
      </c>
      <c r="D69" s="0" t="n">
        <v>0</v>
      </c>
      <c r="E69" s="0" t="n">
        <v>0</v>
      </c>
      <c r="F69" s="0" t="n">
        <v>0</v>
      </c>
      <c r="G69" s="0" t="n">
        <v>1</v>
      </c>
      <c r="H69" s="0" t="n">
        <v>0</v>
      </c>
      <c r="I69" s="0" t="n">
        <v>0</v>
      </c>
      <c r="J69" s="0" t="n">
        <v>0</v>
      </c>
      <c r="K69" s="0" t="n">
        <v>0</v>
      </c>
      <c r="L69" s="0" t="n">
        <v>0</v>
      </c>
      <c r="M69" s="0" t="n">
        <v>0</v>
      </c>
      <c r="N69" s="0" t="n">
        <v>0</v>
      </c>
      <c r="O69" s="0" t="n">
        <v>0</v>
      </c>
      <c r="P69" s="0" t="n">
        <v>0</v>
      </c>
      <c r="Q69" s="0" t="n">
        <v>0</v>
      </c>
      <c r="R69" s="0" t="n">
        <v>0</v>
      </c>
      <c r="S69" s="0" t="n">
        <v>0</v>
      </c>
      <c r="T69" s="0" t="n">
        <v>0</v>
      </c>
      <c r="U69" s="0" t="n">
        <v>0</v>
      </c>
      <c r="V69" s="0" t="n">
        <v>0</v>
      </c>
      <c r="W69" s="0" t="n">
        <v>0</v>
      </c>
      <c r="X69" s="0" t="n">
        <v>0</v>
      </c>
      <c r="Y69" s="0" t="n">
        <v>0</v>
      </c>
      <c r="Z69" s="0" t="n">
        <v>0</v>
      </c>
      <c r="AA69" s="0" t="n">
        <v>0</v>
      </c>
      <c r="AB69" s="0" t="n">
        <v>0</v>
      </c>
      <c r="AC69" s="0" t="n">
        <v>0</v>
      </c>
      <c r="AD69" s="0" t="n">
        <v>0</v>
      </c>
      <c r="AE69" s="0" t="n">
        <v>0</v>
      </c>
      <c r="AF69" s="0" t="n">
        <v>0</v>
      </c>
      <c r="AG69" s="0" t="n">
        <v>0</v>
      </c>
      <c r="AI69" s="0" t="n">
        <v>0</v>
      </c>
      <c r="AJ69" s="0" t="n">
        <v>0</v>
      </c>
    </row>
    <row r="70" customFormat="false" ht="15" hidden="false" customHeight="false" outlineLevel="0" collapsed="false">
      <c r="A70" s="26" t="s">
        <v>1670</v>
      </c>
      <c r="B70" s="26" t="s">
        <v>1650</v>
      </c>
      <c r="C70" s="1008" t="e">
        <f aca="false">C51</f>
        <v>#N/A</v>
      </c>
      <c r="D70" s="1008" t="n">
        <f aca="false">D51</f>
        <v>0.0389455287812368</v>
      </c>
      <c r="E70" s="1008" t="e">
        <f aca="false">E51</f>
        <v>#DIV/0!</v>
      </c>
      <c r="F70" s="1008" t="e">
        <f aca="false">F51</f>
        <v>#N/A</v>
      </c>
      <c r="G70" s="1008" t="e">
        <f aca="false">G51</f>
        <v>#DIV/0!</v>
      </c>
      <c r="H70" s="1008" t="e">
        <f aca="false">H51</f>
        <v>#N/A</v>
      </c>
      <c r="I70" s="1008" t="e">
        <f aca="false">I51</f>
        <v>#DIV/0!</v>
      </c>
      <c r="J70" s="1008" t="e">
        <f aca="false">J51</f>
        <v>#DIV/0!</v>
      </c>
      <c r="K70" s="1008" t="e">
        <f aca="false">K51</f>
        <v>#DIV/0!</v>
      </c>
      <c r="L70" s="1008" t="e">
        <f aca="false">L51</f>
        <v>#DIV/0!</v>
      </c>
      <c r="M70" s="1008" t="e">
        <f aca="false">M51</f>
        <v>#DIV/0!</v>
      </c>
      <c r="N70" s="1008" t="e">
        <f aca="false">N51</f>
        <v>#DIV/0!</v>
      </c>
      <c r="O70" s="1008" t="e">
        <f aca="false">O51</f>
        <v>#DIV/0!</v>
      </c>
      <c r="P70" s="1008" t="e">
        <f aca="false">P51</f>
        <v>#DIV/0!</v>
      </c>
      <c r="Q70" s="1008" t="e">
        <f aca="false">Q51</f>
        <v>#DIV/0!</v>
      </c>
      <c r="R70" s="1008" t="n">
        <f aca="false">R51</f>
        <v>0.0390978382557718</v>
      </c>
      <c r="S70" s="1008" t="e">
        <f aca="false">S51</f>
        <v>#DIV/0!</v>
      </c>
      <c r="T70" s="1008" t="e">
        <f aca="false">T51</f>
        <v>#DIV/0!</v>
      </c>
      <c r="U70" s="1008" t="e">
        <f aca="false">U51</f>
        <v>#DIV/0!</v>
      </c>
      <c r="V70" s="1008" t="e">
        <f aca="false">V51</f>
        <v>#DIV/0!</v>
      </c>
      <c r="W70" s="1008" t="e">
        <f aca="false">W51</f>
        <v>#DIV/0!</v>
      </c>
      <c r="X70" s="1008" t="e">
        <f aca="false">X51</f>
        <v>#DIV/0!</v>
      </c>
      <c r="Y70" s="1008" t="e">
        <f aca="false">Y51</f>
        <v>#DIV/0!</v>
      </c>
      <c r="Z70" s="1008" t="e">
        <f aca="false">Z51</f>
        <v>#DIV/0!</v>
      </c>
      <c r="AA70" s="1008" t="e">
        <f aca="false">AA51</f>
        <v>#DIV/0!</v>
      </c>
      <c r="AB70" s="1008" t="e">
        <f aca="false">AB51</f>
        <v>#DIV/0!</v>
      </c>
      <c r="AC70" s="1008" t="e">
        <f aca="false">AC51</f>
        <v>#DIV/0!</v>
      </c>
      <c r="AD70" s="1008" t="e">
        <f aca="false">AD51</f>
        <v>#DIV/0!</v>
      </c>
      <c r="AE70" s="1008" t="e">
        <f aca="false">AE51</f>
        <v>#DIV/0!</v>
      </c>
      <c r="AF70" s="1008" t="e">
        <f aca="false">AF51</f>
        <v>#DIV/0!</v>
      </c>
      <c r="AG70" s="1008" t="n">
        <f aca="false">AG51</f>
        <v>0.0226341339500113</v>
      </c>
      <c r="AH70" s="1008"/>
      <c r="AI70" s="1008" t="e">
        <f aca="false">AI51</f>
        <v>#N/A</v>
      </c>
      <c r="AJ70" s="1008" t="e">
        <f aca="false">AJ51</f>
        <v>#N/A</v>
      </c>
    </row>
    <row r="71" customFormat="false" ht="15" hidden="false" customHeight="false" outlineLevel="0" collapsed="false">
      <c r="A71" s="26" t="s">
        <v>1671</v>
      </c>
      <c r="B71" s="26" t="s">
        <v>1650</v>
      </c>
      <c r="C71" s="1008" t="e">
        <f aca="false">C70</f>
        <v>#N/A</v>
      </c>
      <c r="D71" s="1008" t="n">
        <f aca="false">D70</f>
        <v>0.0389455287812368</v>
      </c>
      <c r="E71" s="1008" t="e">
        <f aca="false">E70</f>
        <v>#DIV/0!</v>
      </c>
      <c r="F71" s="1008" t="e">
        <f aca="false">F70</f>
        <v>#N/A</v>
      </c>
      <c r="G71" s="1008" t="e">
        <f aca="false">G70</f>
        <v>#DIV/0!</v>
      </c>
      <c r="H71" s="1008" t="e">
        <f aca="false">H70</f>
        <v>#N/A</v>
      </c>
      <c r="I71" s="1008" t="e">
        <f aca="false">I70</f>
        <v>#DIV/0!</v>
      </c>
      <c r="J71" s="1008" t="e">
        <f aca="false">J70</f>
        <v>#DIV/0!</v>
      </c>
      <c r="K71" s="1008" t="e">
        <f aca="false">K70</f>
        <v>#DIV/0!</v>
      </c>
      <c r="L71" s="1008" t="e">
        <f aca="false">L70</f>
        <v>#DIV/0!</v>
      </c>
      <c r="M71" s="1008" t="e">
        <f aca="false">M70</f>
        <v>#DIV/0!</v>
      </c>
      <c r="N71" s="1008" t="e">
        <f aca="false">N70</f>
        <v>#DIV/0!</v>
      </c>
      <c r="O71" s="1008" t="e">
        <f aca="false">O70</f>
        <v>#DIV/0!</v>
      </c>
      <c r="P71" s="1008" t="e">
        <f aca="false">P70</f>
        <v>#DIV/0!</v>
      </c>
      <c r="Q71" s="1008" t="e">
        <f aca="false">Q70</f>
        <v>#DIV/0!</v>
      </c>
      <c r="R71" s="1008" t="n">
        <f aca="false">R70</f>
        <v>0.0390978382557718</v>
      </c>
      <c r="S71" s="1008" t="e">
        <f aca="false">S70</f>
        <v>#DIV/0!</v>
      </c>
      <c r="T71" s="1008" t="e">
        <f aca="false">T70</f>
        <v>#DIV/0!</v>
      </c>
      <c r="U71" s="1008" t="e">
        <f aca="false">U70</f>
        <v>#DIV/0!</v>
      </c>
      <c r="V71" s="1008" t="e">
        <f aca="false">V70</f>
        <v>#DIV/0!</v>
      </c>
      <c r="W71" s="1008" t="e">
        <f aca="false">W70</f>
        <v>#DIV/0!</v>
      </c>
      <c r="X71" s="1008" t="e">
        <f aca="false">X70</f>
        <v>#DIV/0!</v>
      </c>
      <c r="Y71" s="1008" t="e">
        <f aca="false">Y70</f>
        <v>#DIV/0!</v>
      </c>
      <c r="Z71" s="1008" t="e">
        <f aca="false">Z70</f>
        <v>#DIV/0!</v>
      </c>
      <c r="AA71" s="1008" t="e">
        <f aca="false">AA70</f>
        <v>#DIV/0!</v>
      </c>
      <c r="AB71" s="1008" t="e">
        <f aca="false">AB70</f>
        <v>#DIV/0!</v>
      </c>
      <c r="AC71" s="1008" t="e">
        <f aca="false">AC70</f>
        <v>#DIV/0!</v>
      </c>
      <c r="AD71" s="1008" t="e">
        <f aca="false">AD70</f>
        <v>#DIV/0!</v>
      </c>
      <c r="AE71" s="1008" t="e">
        <f aca="false">AE70</f>
        <v>#DIV/0!</v>
      </c>
      <c r="AF71" s="1008" t="e">
        <f aca="false">AF70</f>
        <v>#DIV/0!</v>
      </c>
      <c r="AG71" s="1008" t="n">
        <f aca="false">AG70</f>
        <v>0.0226341339500113</v>
      </c>
      <c r="AH71" s="1008"/>
      <c r="AI71" s="1008" t="e">
        <f aca="false">AI70</f>
        <v>#N/A</v>
      </c>
      <c r="AJ71" s="1008" t="e">
        <f aca="false">AJ70</f>
        <v>#N/A</v>
      </c>
    </row>
    <row r="72" s="243" customFormat="true" ht="15" hidden="false" customHeight="false" outlineLevel="0" collapsed="false">
      <c r="A72" s="370" t="s">
        <v>1672</v>
      </c>
      <c r="B72" s="370" t="s">
        <v>1655</v>
      </c>
      <c r="C72" s="243" t="e">
        <f aca="false">C63*C64*C67*C54/C39*C45^2*C51/2/1000</f>
        <v>#N/A</v>
      </c>
      <c r="D72" s="243" t="n">
        <f aca="false">D63*D64*D67*D54/D39*D45^2*D51/2/1000</f>
        <v>0.0152266428355916</v>
      </c>
      <c r="E72" s="243" t="e">
        <f aca="false">E63*E64*E67*E54/E39*E45^2*E51/2/1000</f>
        <v>#DIV/0!</v>
      </c>
      <c r="F72" s="243" t="e">
        <f aca="false">F63*F64*F67*F54/F39*F45^2*F51/2/1000</f>
        <v>#N/A</v>
      </c>
      <c r="G72" s="243" t="e">
        <f aca="false">G63*G64*G67*G54/G39*G45^2*G51/2/1000</f>
        <v>#DIV/0!</v>
      </c>
      <c r="H72" s="243" t="e">
        <f aca="false">H63*H64*H67*H54/H39*H45^2*H51/2/1000</f>
        <v>#N/A</v>
      </c>
      <c r="I72" s="243" t="e">
        <f aca="false">I63*I64*I67*I54/I39*I45^2*I51/2/1000</f>
        <v>#DIV/0!</v>
      </c>
      <c r="J72" s="243" t="e">
        <f aca="false">J63*J64*J67*J54/J39*J45^2*J51/2/1000</f>
        <v>#DIV/0!</v>
      </c>
      <c r="K72" s="243" t="e">
        <f aca="false">K63*K64*K67*K54/K39*K45^2*K51/2/1000</f>
        <v>#DIV/0!</v>
      </c>
      <c r="L72" s="243" t="e">
        <f aca="false">L63*L64*L67*L54/L39*L45^2*L51/2/1000</f>
        <v>#DIV/0!</v>
      </c>
      <c r="M72" s="243" t="e">
        <f aca="false">M63*M64*M67*M54/M39*M45^2*M51/2/1000</f>
        <v>#DIV/0!</v>
      </c>
      <c r="N72" s="243" t="e">
        <f aca="false">N63*N64*N67*N54/N39*N45^2*N51/2/1000</f>
        <v>#DIV/0!</v>
      </c>
      <c r="O72" s="243" t="e">
        <f aca="false">O63*O64*O67*O54/O39*O45^2*O51/2/1000</f>
        <v>#DIV/0!</v>
      </c>
      <c r="P72" s="243" t="e">
        <f aca="false">P63*P64*P67*P54/P39*P45^2*P51/2/1000</f>
        <v>#DIV/0!</v>
      </c>
      <c r="Q72" s="243" t="e">
        <f aca="false">Q63*Q64*Q67*Q54/Q39*Q45^2*Q51/2/1000</f>
        <v>#DIV/0!</v>
      </c>
      <c r="R72" s="243" t="n">
        <f aca="false">R63*R64*R67*R54/R39*R45^2*R51/2/1000</f>
        <v>0.00760786311575965</v>
      </c>
      <c r="S72" s="243" t="e">
        <f aca="false">S63*S64*S67*S54/S39*S45^2*S51/2/1000</f>
        <v>#DIV/0!</v>
      </c>
      <c r="T72" s="243" t="e">
        <f aca="false">T63*T64*T67*T54/T39*T45^2*T51/2/1000</f>
        <v>#DIV/0!</v>
      </c>
      <c r="U72" s="243" t="e">
        <f aca="false">U63*U64*U67*U54/U39*U45^2*U51/2/1000</f>
        <v>#DIV/0!</v>
      </c>
      <c r="V72" s="243" t="e">
        <f aca="false">V63*V64*V67*V54/V39*V45^2*V51/2/1000</f>
        <v>#DIV/0!</v>
      </c>
      <c r="W72" s="243" t="e">
        <f aca="false">W63*W64*W67*W54/W39*W45^2*W51/2/1000</f>
        <v>#DIV/0!</v>
      </c>
      <c r="X72" s="243" t="e">
        <f aca="false">X63*X64*X67*X54/X39*X45^2*X51/2/1000</f>
        <v>#DIV/0!</v>
      </c>
      <c r="Y72" s="243" t="e">
        <f aca="false">Y63*Y64*Y67*Y54/Y39*Y45^2*Y51/2/1000</f>
        <v>#DIV/0!</v>
      </c>
      <c r="Z72" s="243" t="e">
        <f aca="false">Z63*Z64*Z67*Z54/Z39*Z45^2*Z51/2/1000</f>
        <v>#DIV/0!</v>
      </c>
      <c r="AA72" s="243" t="e">
        <f aca="false">AA63*AA64*AA67*AA54/AA39*AA45^2*AA51/2/1000</f>
        <v>#DIV/0!</v>
      </c>
      <c r="AB72" s="243" t="e">
        <f aca="false">AB63*AB64*AB67*AB54/AB39*AB45^2*AB51/2/1000</f>
        <v>#DIV/0!</v>
      </c>
      <c r="AC72" s="243" t="e">
        <f aca="false">AC63*AC64*AC67*AC54/AC39*AC45^2*AC51/2/1000</f>
        <v>#DIV/0!</v>
      </c>
      <c r="AD72" s="243" t="e">
        <f aca="false">AD63*AD64*AD67*AD54/AD39*AD45^2*AD51/2/1000</f>
        <v>#DIV/0!</v>
      </c>
      <c r="AE72" s="243" t="e">
        <f aca="false">AE63*AE64*AE67*AE54/AE39*AE45^2*AE51/2/1000</f>
        <v>#DIV/0!</v>
      </c>
      <c r="AF72" s="243" t="e">
        <f aca="false">AF63*AF64*AF67*AF54/AF39*AF45^2*AF51/2/1000</f>
        <v>#DIV/0!</v>
      </c>
      <c r="AG72" s="243" t="n">
        <f aca="false">AG63*AG64*AG67*AG54/AG39*AG45^2*AG51/2/1000</f>
        <v>1.08696161583809</v>
      </c>
      <c r="AI72" s="243" t="e">
        <f aca="false">AI63*AI64*AI67*AI54/AI39*AI45^2*AI51/2/1000</f>
        <v>#N/A</v>
      </c>
      <c r="AJ72" s="243" t="e">
        <f aca="false">AJ63*AJ64*AJ67*AJ54/AJ39*AJ45^2*AJ51/2/1000</f>
        <v>#N/A</v>
      </c>
    </row>
    <row r="73" customFormat="false" ht="15" hidden="false" customHeight="false" outlineLevel="0" collapsed="false">
      <c r="A73" s="26" t="s">
        <v>1673</v>
      </c>
      <c r="B73" s="26" t="s">
        <v>1655</v>
      </c>
      <c r="C73" s="26" t="e">
        <f aca="false">IF((C7-C8)&lt;C7*1000*0.1,C45^2*(C70-C71)/1000,"请分段计算")</f>
        <v>#N/A</v>
      </c>
      <c r="D73" s="26" t="n">
        <f aca="false">IF((D7-D8)&lt;D7*1000*0.1,D45^2*(D70-D71)/1000,"请分段计算")</f>
        <v>0</v>
      </c>
      <c r="E73" s="26" t="e">
        <f aca="false">IF((E7-E8)&lt;E7*1000*0.1,E45^2*(E70-E71)/1000,"请分段计算")</f>
        <v>#DIV/0!</v>
      </c>
      <c r="F73" s="26" t="e">
        <f aca="false">IF((F7-F8)&lt;F7*1000*0.1,F45^2*(F70-F71)/1000,"请分段计算")</f>
        <v>#N/A</v>
      </c>
      <c r="G73" s="26" t="str">
        <f aca="false">IF((G7-G8)&lt;G7*1000*0.1,G45^2*(G70-G71)/1000,"请分段计算")</f>
        <v>请分段计算</v>
      </c>
      <c r="H73" s="26" t="e">
        <f aca="false">IF((H7-H8)&lt;H7*1000*0.1,H45^2*(H70-H71)/1000,"请分段计算")</f>
        <v>#N/A</v>
      </c>
      <c r="I73" s="26" t="str">
        <f aca="false">IF((I7-I8)&lt;I7*1000*0.1,I45^2*(I70-I71)/1000,"请分段计算")</f>
        <v>请分段计算</v>
      </c>
      <c r="J73" s="26" t="e">
        <f aca="false">IF((J7-J8)&lt;J7*1000*0.1,J45^2*(J70-J71)/1000,"请分段计算")</f>
        <v>#DIV/0!</v>
      </c>
      <c r="K73" s="26" t="e">
        <f aca="false">IF((K7-K8)&lt;K7*1000*0.1,K45^2*(K70-K71)/1000,"请分段计算")</f>
        <v>#DIV/0!</v>
      </c>
      <c r="L73" s="26" t="e">
        <f aca="false">IF((L7-L8)&lt;L7*1000*0.1,L45^2*(L70-L71)/1000,"请分段计算")</f>
        <v>#DIV/0!</v>
      </c>
      <c r="M73" s="26" t="e">
        <f aca="false">IF((M7-M8)&lt;M7*1000*0.1,M45^2*(M70-M71)/1000,"请分段计算")</f>
        <v>#DIV/0!</v>
      </c>
      <c r="N73" s="26" t="e">
        <f aca="false">IF((N7-N8)&lt;N7*1000*0.1,N45^2*(N70-N71)/1000,"请分段计算")</f>
        <v>#DIV/0!</v>
      </c>
      <c r="O73" s="26" t="e">
        <f aca="false">IF((O7-O8)&lt;O7*1000*0.1,O45^2*(O70-O71)/1000,"请分段计算")</f>
        <v>#DIV/0!</v>
      </c>
      <c r="P73" s="26" t="e">
        <f aca="false">IF((P7-P8)&lt;P7*1000*0.1,P45^2*(P70-P71)/1000,"请分段计算")</f>
        <v>#DIV/0!</v>
      </c>
      <c r="Q73" s="26" t="e">
        <f aca="false">IF((Q7-Q8)&lt;Q7*1000*0.1,Q45^2*(Q70-Q71)/1000,"请分段计算")</f>
        <v>#DIV/0!</v>
      </c>
      <c r="R73" s="26" t="n">
        <f aca="false">IF((R7-R8)&lt;R7*1000*0.1,R45^2*(R70-R71)/1000,"请分段计算")</f>
        <v>0</v>
      </c>
      <c r="S73" s="26" t="e">
        <f aca="false">IF((S7-S8)&lt;S7*1000*0.1,S45^2*(S70-S71)/1000,"请分段计算")</f>
        <v>#DIV/0!</v>
      </c>
      <c r="T73" s="26" t="e">
        <f aca="false">IF((T7-T8)&lt;T7*1000*0.1,T45^2*(T70-T71)/1000,"请分段计算")</f>
        <v>#DIV/0!</v>
      </c>
      <c r="U73" s="26" t="e">
        <f aca="false">IF((U7-U8)&lt;U7*1000*0.1,U45^2*(U70-U71)/1000,"请分段计算")</f>
        <v>#DIV/0!</v>
      </c>
      <c r="V73" s="26" t="e">
        <f aca="false">IF((V7-V8)&lt;V7*1000*0.1,V45^2*(V70-V71)/1000,"请分段计算")</f>
        <v>#DIV/0!</v>
      </c>
      <c r="W73" s="26" t="e">
        <f aca="false">IF((W7-W8)&lt;W7*1000*0.1,W45^2*(W70-W71)/1000,"请分段计算")</f>
        <v>#DIV/0!</v>
      </c>
      <c r="X73" s="26" t="e">
        <f aca="false">IF((X7-X8)&lt;X7*1000*0.1,X45^2*(X70-X71)/1000,"请分段计算")</f>
        <v>#DIV/0!</v>
      </c>
      <c r="Y73" s="26" t="e">
        <f aca="false">IF((Y7-Y8)&lt;Y7*1000*0.1,Y45^2*(Y70-Y71)/1000,"请分段计算")</f>
        <v>#DIV/0!</v>
      </c>
      <c r="Z73" s="26" t="e">
        <f aca="false">IF((Z7-Z8)&lt;Z7*1000*0.1,Z45^2*(Z70-Z71)/1000,"请分段计算")</f>
        <v>#DIV/0!</v>
      </c>
      <c r="AA73" s="26" t="e">
        <f aca="false">IF((AA7-AA8)&lt;AA7*1000*0.1,AA45^2*(AA70-AA71)/1000,"请分段计算")</f>
        <v>#DIV/0!</v>
      </c>
      <c r="AB73" s="26" t="e">
        <f aca="false">IF((AB7-AB8)&lt;AB7*1000*0.1,AB45^2*(AB70-AB71)/1000,"请分段计算")</f>
        <v>#DIV/0!</v>
      </c>
      <c r="AC73" s="26" t="e">
        <f aca="false">IF((AC7-AC8)&lt;AC7*1000*0.1,AC45^2*(AC70-AC71)/1000,"请分段计算")</f>
        <v>#DIV/0!</v>
      </c>
      <c r="AD73" s="26" t="e">
        <f aca="false">IF((AD7-AD8)&lt;AD7*1000*0.1,AD45^2*(AD70-AD71)/1000,"请分段计算")</f>
        <v>#DIV/0!</v>
      </c>
      <c r="AE73" s="26" t="e">
        <f aca="false">IF((AE7-AE8)&lt;AE7*1000*0.1,AE45^2*(AE70-AE71)/1000,"请分段计算")</f>
        <v>#DIV/0!</v>
      </c>
      <c r="AF73" s="26" t="e">
        <f aca="false">IF((AF7-AF8)&lt;AF7*1000*0.1,AF45^2*(AF70-AF71)/1000,"请分段计算")</f>
        <v>#DIV/0!</v>
      </c>
      <c r="AG73" s="26" t="n">
        <f aca="false">IF((AG7-AG8)&lt;AG7*1000*0.1,AG45^2*(AG70-AG71)/1000,"请分段计算")</f>
        <v>0</v>
      </c>
      <c r="AH73" s="26"/>
      <c r="AI73" s="26" t="e">
        <f aca="false">IF((AI7-AI8)&lt;AI7*1000*0.1,AI45^2*(AI70-AI71)/1000,"请分段计算")</f>
        <v>#N/A</v>
      </c>
      <c r="AJ73" s="26" t="e">
        <f aca="false">IF((AJ7-AJ8)&lt;AJ7*1000*0.1,AJ45^2*(AJ70-AJ71)/1000,"请分段计算")</f>
        <v>#N/A</v>
      </c>
    </row>
    <row r="74" customFormat="false" ht="15" hidden="false" customHeight="false" outlineLevel="0" collapsed="false">
      <c r="A74" s="27" t="s">
        <v>1674</v>
      </c>
      <c r="B74" s="27" t="s">
        <v>1655</v>
      </c>
      <c r="C74" s="206" t="e">
        <f aca="false">C68*C69*10/1000</f>
        <v>#N/A</v>
      </c>
      <c r="D74" s="206" t="n">
        <f aca="false">D68*D69*10/1000</f>
        <v>0</v>
      </c>
      <c r="E74" s="206" t="e">
        <f aca="false">E68*E69*10/1000</f>
        <v>#DIV/0!</v>
      </c>
      <c r="F74" s="206" t="e">
        <f aca="false">F68*F69*10/1000</f>
        <v>#N/A</v>
      </c>
      <c r="G74" s="206" t="e">
        <f aca="false">G68*G69*10/1000</f>
        <v>#DIV/0!</v>
      </c>
      <c r="H74" s="206" t="e">
        <f aca="false">H68*H69*10/1000</f>
        <v>#N/A</v>
      </c>
      <c r="I74" s="206" t="e">
        <f aca="false">I68*I69*10/1000</f>
        <v>#DIV/0!</v>
      </c>
      <c r="J74" s="206" t="e">
        <f aca="false">J68*J69*10/1000</f>
        <v>#DIV/0!</v>
      </c>
      <c r="K74" s="206" t="e">
        <f aca="false">K68*K69*10/1000</f>
        <v>#DIV/0!</v>
      </c>
      <c r="L74" s="206" t="e">
        <f aca="false">L68*L69*10/1000</f>
        <v>#DIV/0!</v>
      </c>
      <c r="M74" s="206" t="e">
        <f aca="false">M68*M69*10/1000</f>
        <v>#DIV/0!</v>
      </c>
      <c r="N74" s="206" t="e">
        <f aca="false">N68*N69*10/1000</f>
        <v>#DIV/0!</v>
      </c>
      <c r="O74" s="206" t="e">
        <f aca="false">O68*O69*10/1000</f>
        <v>#DIV/0!</v>
      </c>
      <c r="P74" s="206" t="e">
        <f aca="false">P68*P69*10/1000</f>
        <v>#DIV/0!</v>
      </c>
      <c r="Q74" s="206" t="e">
        <f aca="false">Q68*Q69*10/1000</f>
        <v>#DIV/0!</v>
      </c>
      <c r="R74" s="206" t="n">
        <f aca="false">R68*R69*10/1000</f>
        <v>0</v>
      </c>
      <c r="S74" s="206" t="e">
        <f aca="false">S68*S69*10/1000</f>
        <v>#DIV/0!</v>
      </c>
      <c r="T74" s="206" t="e">
        <f aca="false">T68*T69*10/1000</f>
        <v>#DIV/0!</v>
      </c>
      <c r="U74" s="206" t="e">
        <f aca="false">U68*U69*10/1000</f>
        <v>#DIV/0!</v>
      </c>
      <c r="V74" s="206" t="e">
        <f aca="false">V68*V69*10/1000</f>
        <v>#DIV/0!</v>
      </c>
      <c r="W74" s="206" t="e">
        <f aca="false">W68*W69*10/1000</f>
        <v>#DIV/0!</v>
      </c>
      <c r="X74" s="206" t="e">
        <f aca="false">X68*X69*10/1000</f>
        <v>#DIV/0!</v>
      </c>
      <c r="Y74" s="206" t="e">
        <f aca="false">Y68*Y69*10/1000</f>
        <v>#DIV/0!</v>
      </c>
      <c r="Z74" s="206" t="e">
        <f aca="false">Z68*Z69*10/1000</f>
        <v>#DIV/0!</v>
      </c>
      <c r="AA74" s="206" t="e">
        <f aca="false">AA68*AA69*10/1000</f>
        <v>#DIV/0!</v>
      </c>
      <c r="AB74" s="206" t="e">
        <f aca="false">AB68*AB69*10/1000</f>
        <v>#DIV/0!</v>
      </c>
      <c r="AC74" s="206" t="e">
        <f aca="false">AC68*AC69*10/1000</f>
        <v>#DIV/0!</v>
      </c>
      <c r="AD74" s="206" t="e">
        <f aca="false">AD68*AD69*10/1000</f>
        <v>#DIV/0!</v>
      </c>
      <c r="AE74" s="206" t="e">
        <f aca="false">AE68*AE69*10/1000</f>
        <v>#DIV/0!</v>
      </c>
      <c r="AF74" s="206" t="e">
        <f aca="false">AF68*AF69*10/1000</f>
        <v>#DIV/0!</v>
      </c>
      <c r="AG74" s="206" t="n">
        <f aca="false">AG68*AG69*10/1000</f>
        <v>0</v>
      </c>
      <c r="AI74" s="206" t="e">
        <f aca="false">AI68*AI69*10/1000</f>
        <v>#N/A</v>
      </c>
      <c r="AJ74" s="206" t="e">
        <f aca="false">AJ68*AJ69*10/1000</f>
        <v>#N/A</v>
      </c>
    </row>
    <row r="75" s="277" customFormat="true" ht="15" hidden="false" customHeight="false" outlineLevel="0" collapsed="false">
      <c r="A75" s="1005" t="s">
        <v>1675</v>
      </c>
      <c r="B75" s="1005" t="s">
        <v>1655</v>
      </c>
      <c r="C75" s="277" t="e">
        <f aca="false">1.3*(C72+C73+C74)</f>
        <v>#N/A</v>
      </c>
      <c r="D75" s="277" t="n">
        <f aca="false">1.3*(D72+D73+D74)</f>
        <v>0.0197946356862691</v>
      </c>
      <c r="E75" s="277" t="e">
        <f aca="false">1.3*(E72+E73+E74)</f>
        <v>#DIV/0!</v>
      </c>
      <c r="F75" s="277" t="e">
        <f aca="false">1.3*(F72+F73+F74)</f>
        <v>#N/A</v>
      </c>
      <c r="G75" s="277" t="e">
        <f aca="false">1.3*(G72+G73+G74)</f>
        <v>#VALUE!</v>
      </c>
      <c r="H75" s="277" t="e">
        <f aca="false">1.3*(H72+H73+H74)</f>
        <v>#N/A</v>
      </c>
      <c r="I75" s="277" t="e">
        <f aca="false">1.3*(I72+I73+I74)</f>
        <v>#VALUE!</v>
      </c>
      <c r="J75" s="277" t="e">
        <f aca="false">1.3*(J72+J73+J74)</f>
        <v>#DIV/0!</v>
      </c>
      <c r="K75" s="277" t="e">
        <f aca="false">1.3*(K72+K73+K74)</f>
        <v>#DIV/0!</v>
      </c>
      <c r="L75" s="277" t="e">
        <f aca="false">1.3*(L72+L73+L74)</f>
        <v>#DIV/0!</v>
      </c>
      <c r="M75" s="277" t="e">
        <f aca="false">1.3*(M72+M73+M74)</f>
        <v>#DIV/0!</v>
      </c>
      <c r="N75" s="277" t="e">
        <f aca="false">1.3*(N72+N73+N74)</f>
        <v>#DIV/0!</v>
      </c>
      <c r="O75" s="277" t="e">
        <f aca="false">1.3*(O72+O73+O74)</f>
        <v>#DIV/0!</v>
      </c>
      <c r="P75" s="277" t="e">
        <f aca="false">1.3*(P72+P73+P74)</f>
        <v>#DIV/0!</v>
      </c>
      <c r="Q75" s="277" t="e">
        <f aca="false">1.3*(Q72+Q73+Q74)</f>
        <v>#DIV/0!</v>
      </c>
      <c r="R75" s="277" t="n">
        <f aca="false">1.3*(R72+R73+R74)</f>
        <v>0.00989022205048755</v>
      </c>
      <c r="S75" s="277" t="e">
        <f aca="false">1.3*(S72+S73+S74)</f>
        <v>#DIV/0!</v>
      </c>
      <c r="T75" s="277" t="e">
        <f aca="false">1.3*(T72+T73+T74)</f>
        <v>#DIV/0!</v>
      </c>
      <c r="U75" s="277" t="e">
        <f aca="false">1.3*(U72+U73+U74)</f>
        <v>#DIV/0!</v>
      </c>
      <c r="V75" s="277" t="e">
        <f aca="false">1.3*(V72+V73+V74)</f>
        <v>#DIV/0!</v>
      </c>
      <c r="W75" s="277" t="e">
        <f aca="false">1.3*(W72+W73+W74)</f>
        <v>#DIV/0!</v>
      </c>
      <c r="X75" s="277" t="e">
        <f aca="false">1.3*(X72+X73+X74)</f>
        <v>#DIV/0!</v>
      </c>
      <c r="Y75" s="277" t="e">
        <f aca="false">1.3*(Y72+Y73+Y74)</f>
        <v>#DIV/0!</v>
      </c>
      <c r="Z75" s="277" t="e">
        <f aca="false">1.3*(Z72+Z73+Z74)</f>
        <v>#DIV/0!</v>
      </c>
      <c r="AA75" s="277" t="e">
        <f aca="false">1.3*(AA72+AA73+AA74)</f>
        <v>#DIV/0!</v>
      </c>
      <c r="AB75" s="277" t="e">
        <f aca="false">1.3*(AB72+AB73+AB74)</f>
        <v>#DIV/0!</v>
      </c>
      <c r="AC75" s="277" t="e">
        <f aca="false">1.3*(AC72+AC73+AC74)</f>
        <v>#DIV/0!</v>
      </c>
      <c r="AD75" s="277" t="e">
        <f aca="false">1.3*(AD72+AD73+AD74)</f>
        <v>#DIV/0!</v>
      </c>
      <c r="AE75" s="277" t="e">
        <f aca="false">1.3*(AE72+AE73+AE74)</f>
        <v>#DIV/0!</v>
      </c>
      <c r="AF75" s="277" t="e">
        <f aca="false">1.3*(AF72+AF73+AF74)</f>
        <v>#DIV/0!</v>
      </c>
      <c r="AG75" s="277" t="n">
        <f aca="false">1.3*(AG72+AG73+AG74)</f>
        <v>1.41305010058952</v>
      </c>
      <c r="AI75" s="277" t="e">
        <f aca="false">1.3*(AI72+AI73+AI74)</f>
        <v>#N/A</v>
      </c>
      <c r="AJ75" s="277" t="e">
        <f aca="false">1.3*(AJ72+AJ73+AJ74)</f>
        <v>#N/A</v>
      </c>
    </row>
    <row r="76" customFormat="false" ht="15" hidden="false" customHeight="false" outlineLevel="0" collapsed="false">
      <c r="A76" s="1002" t="s">
        <v>1676</v>
      </c>
      <c r="B76" s="979"/>
      <c r="C76" s="992"/>
      <c r="D76" s="992"/>
      <c r="E76" s="992"/>
      <c r="F76" s="992"/>
      <c r="G76" s="992"/>
      <c r="H76" s="992"/>
      <c r="I76" s="992"/>
      <c r="J76" s="992"/>
      <c r="K76" s="992"/>
      <c r="L76" s="992"/>
      <c r="M76" s="992"/>
      <c r="N76" s="992"/>
      <c r="O76" s="992"/>
      <c r="P76" s="992"/>
      <c r="Q76" s="992"/>
      <c r="R76" s="992"/>
      <c r="S76" s="992"/>
      <c r="T76" s="992"/>
      <c r="U76" s="992"/>
      <c r="V76" s="992"/>
      <c r="W76" s="992"/>
      <c r="X76" s="992"/>
      <c r="Y76" s="992"/>
      <c r="Z76" s="992"/>
      <c r="AA76" s="992"/>
      <c r="AB76" s="992"/>
      <c r="AC76" s="992"/>
      <c r="AD76" s="992"/>
      <c r="AE76" s="992"/>
      <c r="AF76" s="992"/>
      <c r="AG76" s="992"/>
      <c r="AH76" s="992"/>
      <c r="AI76" s="992"/>
      <c r="AJ76" s="992"/>
    </row>
    <row r="77" customFormat="false" ht="15" hidden="false" customHeight="false" outlineLevel="0" collapsed="false">
      <c r="A77" s="27" t="s">
        <v>68</v>
      </c>
      <c r="C77" s="1007" t="e">
        <f aca="false">IF((C7-C8)*1000&gt;=C75,"核算通过","请重新选取管径")</f>
        <v>#N/A</v>
      </c>
      <c r="D77" s="1007" t="str">
        <f aca="false">IF((D7-D8)*1000&gt;=D75,"核算通过","请重新选取管径")</f>
        <v>核算通过</v>
      </c>
      <c r="E77" s="1007" t="e">
        <f aca="false">IF((E7-E8)*1000&gt;=E75,"核算通过","请重新选取管径")</f>
        <v>#DIV/0!</v>
      </c>
      <c r="F77" s="1007" t="e">
        <f aca="false">IF((F7-F8)*1000&gt;=F75,"核算通过","请重新选取管径")</f>
        <v>#N/A</v>
      </c>
      <c r="G77" s="1007" t="e">
        <f aca="false">IF((G7-G8)*1000&gt;=G75,"核算通过","请重新选取管径")</f>
        <v>#VALUE!</v>
      </c>
      <c r="H77" s="1007" t="e">
        <f aca="false">IF((H7-H8)*1000&gt;=H75,"核算通过","请重新选取管径")</f>
        <v>#N/A</v>
      </c>
      <c r="I77" s="1007" t="e">
        <f aca="false">IF((I7-I8)*1000&gt;=I75,"核算通过","请重新选取管径")</f>
        <v>#VALUE!</v>
      </c>
      <c r="J77" s="1007" t="e">
        <f aca="false">IF((J7-J8)*1000&gt;=J75,"核算通过","请重新选取管径")</f>
        <v>#DIV/0!</v>
      </c>
      <c r="K77" s="1007" t="e">
        <f aca="false">IF((K7-K8)*1000&gt;=K75,"核算通过","请重新选取管径")</f>
        <v>#DIV/0!</v>
      </c>
      <c r="L77" s="1007" t="e">
        <f aca="false">IF((L7-L8)*1000&gt;=L75,"核算通过","请重新选取管径")</f>
        <v>#DIV/0!</v>
      </c>
      <c r="M77" s="1007" t="e">
        <f aca="false">IF((M7-M8)*1000&gt;=M75,"核算通过","请重新选取管径")</f>
        <v>#DIV/0!</v>
      </c>
      <c r="N77" s="1007" t="e">
        <f aca="false">IF((N7-N8)*1000&gt;=N75,"核算通过","请重新选取管径")</f>
        <v>#DIV/0!</v>
      </c>
      <c r="O77" s="1007" t="e">
        <f aca="false">IF((O7-O8)*1000&gt;=O75,"核算通过","请重新选取管径")</f>
        <v>#DIV/0!</v>
      </c>
      <c r="P77" s="1007" t="e">
        <f aca="false">IF((P7-P8)*1000&gt;=P75,"核算通过","请重新选取管径")</f>
        <v>#DIV/0!</v>
      </c>
      <c r="Q77" s="1007" t="e">
        <f aca="false">IF((Q7-Q8)*1000&gt;=Q75,"核算通过","请重新选取管径")</f>
        <v>#DIV/0!</v>
      </c>
      <c r="R77" s="1007" t="str">
        <f aca="false">IF((R7-R8)*1000&gt;=R75,"核算通过","请重新选取管径")</f>
        <v>核算通过</v>
      </c>
      <c r="S77" s="1007" t="e">
        <f aca="false">IF((S7-S8)*1000&gt;=S75,"核算通过","请重新选取管径")</f>
        <v>#DIV/0!</v>
      </c>
      <c r="T77" s="1007" t="e">
        <f aca="false">IF((T7-T8)*1000&gt;=T75,"核算通过","请重新选取管径")</f>
        <v>#DIV/0!</v>
      </c>
      <c r="U77" s="1007" t="e">
        <f aca="false">IF((U7-U8)*1000&gt;=U75,"核算通过","请重新选取管径")</f>
        <v>#DIV/0!</v>
      </c>
      <c r="V77" s="1007" t="e">
        <f aca="false">IF((V7-V8)*1000&gt;=V75,"核算通过","请重新选取管径")</f>
        <v>#DIV/0!</v>
      </c>
      <c r="W77" s="1007" t="e">
        <f aca="false">IF((W7-W8)*1000&gt;=W75,"核算通过","请重新选取管径")</f>
        <v>#DIV/0!</v>
      </c>
      <c r="X77" s="1007" t="e">
        <f aca="false">IF((X7-X8)*1000&gt;=X75,"核算通过","请重新选取管径")</f>
        <v>#DIV/0!</v>
      </c>
      <c r="Y77" s="1007" t="e">
        <f aca="false">IF((Y7-Y8)*1000&gt;=Y75,"核算通过","请重新选取管径")</f>
        <v>#DIV/0!</v>
      </c>
      <c r="Z77" s="1007" t="e">
        <f aca="false">IF((Z7-Z8)*1000&gt;=Z75,"核算通过","请重新选取管径")</f>
        <v>#DIV/0!</v>
      </c>
      <c r="AA77" s="1007" t="e">
        <f aca="false">IF((AA7-AA8)*1000&gt;=AA75,"核算通过","请重新选取管径")</f>
        <v>#DIV/0!</v>
      </c>
      <c r="AB77" s="1007" t="e">
        <f aca="false">IF((AB7-AB8)*1000&gt;=AB75,"核算通过","请重新选取管径")</f>
        <v>#DIV/0!</v>
      </c>
      <c r="AC77" s="1007" t="e">
        <f aca="false">IF((AC7-AC8)*1000&gt;=AC75,"核算通过","请重新选取管径")</f>
        <v>#DIV/0!</v>
      </c>
      <c r="AD77" s="1007" t="e">
        <f aca="false">IF((AD7-AD8)*1000&gt;=AD75,"核算通过","请重新选取管径")</f>
        <v>#DIV/0!</v>
      </c>
      <c r="AE77" s="1007" t="e">
        <f aca="false">IF((AE7-AE8)*1000&gt;=AE75,"核算通过","请重新选取管径")</f>
        <v>#DIV/0!</v>
      </c>
      <c r="AF77" s="1007" t="e">
        <f aca="false">IF((AF7-AF8)*1000&gt;=AF75,"核算通过","请重新选取管径")</f>
        <v>#DIV/0!</v>
      </c>
      <c r="AG77" s="1007" t="str">
        <f aca="false">IF((AG7-AG8)*1000&gt;=AG75,"核算通过","请重新选取管径")</f>
        <v>核算通过</v>
      </c>
      <c r="AH77" s="1007"/>
      <c r="AI77" s="1007" t="e">
        <f aca="false">IF((AI7-AI8)*1000&gt;=AI75,"核算通过","请重新选取管径")</f>
        <v>#N/A</v>
      </c>
      <c r="AJ77" s="1007" t="e">
        <f aca="false">IF((AJ7-AJ8)*1000&gt;=AJ75,"核算通过","请重新选取管径")</f>
        <v>#N/A</v>
      </c>
    </row>
    <row r="78" customFormat="false" ht="15" hidden="false" customHeight="false" outlineLevel="0" collapsed="false">
      <c r="A78" s="27" t="s">
        <v>1677</v>
      </c>
      <c r="C78" s="1007" t="e">
        <f aca="false">IF(C75&gt;=C55,"方法正确","请重新选择合适方法")</f>
        <v>#N/A</v>
      </c>
      <c r="D78" s="1007" t="str">
        <f aca="false">IF(D75&gt;=D55,"方法正确","请重新选择合适方法")</f>
        <v>请重新选择合适方法</v>
      </c>
      <c r="E78" s="1007" t="e">
        <f aca="false">IF(E75&gt;=E55,"方法正确","请重新选择合适方法")</f>
        <v>#DIV/0!</v>
      </c>
      <c r="F78" s="1007" t="e">
        <f aca="false">IF(F75&gt;=F55,"方法正确","请重新选择合适方法")</f>
        <v>#N/A</v>
      </c>
      <c r="G78" s="1007" t="e">
        <f aca="false">IF(G75&gt;=G55,"方法正确","请重新选择合适方法")</f>
        <v>#DIV/0!</v>
      </c>
      <c r="H78" s="1007" t="e">
        <f aca="false">IF(H75&gt;=H55,"方法正确","请重新选择合适方法")</f>
        <v>#N/A</v>
      </c>
      <c r="I78" s="1007" t="e">
        <f aca="false">IF(I75&gt;=I55,"方法正确","请重新选择合适方法")</f>
        <v>#DIV/0!</v>
      </c>
      <c r="J78" s="1007" t="e">
        <f aca="false">IF(J75&gt;=J55,"方法正确","请重新选择合适方法")</f>
        <v>#DIV/0!</v>
      </c>
      <c r="K78" s="1007" t="e">
        <f aca="false">IF(K75&gt;=K55,"方法正确","请重新选择合适方法")</f>
        <v>#DIV/0!</v>
      </c>
      <c r="L78" s="1007" t="e">
        <f aca="false">IF(L75&gt;=L55,"方法正确","请重新选择合适方法")</f>
        <v>#DIV/0!</v>
      </c>
      <c r="M78" s="1007" t="e">
        <f aca="false">IF(M75&gt;=M55,"方法正确","请重新选择合适方法")</f>
        <v>#DIV/0!</v>
      </c>
      <c r="N78" s="1007" t="e">
        <f aca="false">IF(N75&gt;=N55,"方法正确","请重新选择合适方法")</f>
        <v>#DIV/0!</v>
      </c>
      <c r="O78" s="1007" t="e">
        <f aca="false">IF(O75&gt;=O55,"方法正确","请重新选择合适方法")</f>
        <v>#DIV/0!</v>
      </c>
      <c r="P78" s="1007" t="e">
        <f aca="false">IF(P75&gt;=P55,"方法正确","请重新选择合适方法")</f>
        <v>#DIV/0!</v>
      </c>
      <c r="Q78" s="1007" t="e">
        <f aca="false">IF(Q75&gt;=Q55,"方法正确","请重新选择合适方法")</f>
        <v>#DIV/0!</v>
      </c>
      <c r="R78" s="1007" t="str">
        <f aca="false">IF(R75&gt;=R55,"方法正确","请重新选择合适方法")</f>
        <v>请重新选择合适方法</v>
      </c>
      <c r="S78" s="1007" t="e">
        <f aca="false">IF(S75&gt;=S55,"方法正确","请重新选择合适方法")</f>
        <v>#DIV/0!</v>
      </c>
      <c r="T78" s="1007" t="e">
        <f aca="false">IF(T75&gt;=T55,"方法正确","请重新选择合适方法")</f>
        <v>#DIV/0!</v>
      </c>
      <c r="U78" s="1007" t="e">
        <f aca="false">IF(U75&gt;=U55,"方法正确","请重新选择合适方法")</f>
        <v>#DIV/0!</v>
      </c>
      <c r="V78" s="1007" t="e">
        <f aca="false">IF(V75&gt;=V55,"方法正确","请重新选择合适方法")</f>
        <v>#DIV/0!</v>
      </c>
      <c r="W78" s="1007" t="e">
        <f aca="false">IF(W75&gt;=W55,"方法正确","请重新选择合适方法")</f>
        <v>#DIV/0!</v>
      </c>
      <c r="X78" s="1007" t="e">
        <f aca="false">IF(X75&gt;=X55,"方法正确","请重新选择合适方法")</f>
        <v>#DIV/0!</v>
      </c>
      <c r="Y78" s="1007" t="e">
        <f aca="false">IF(Y75&gt;=Y55,"方法正确","请重新选择合适方法")</f>
        <v>#DIV/0!</v>
      </c>
      <c r="Z78" s="1007" t="e">
        <f aca="false">IF(Z75&gt;=Z55,"方法正确","请重新选择合适方法")</f>
        <v>#DIV/0!</v>
      </c>
      <c r="AA78" s="1007" t="e">
        <f aca="false">IF(AA75&gt;=AA55,"方法正确","请重新选择合适方法")</f>
        <v>#DIV/0!</v>
      </c>
      <c r="AB78" s="1007" t="e">
        <f aca="false">IF(AB75&gt;=AB55,"方法正确","请重新选择合适方法")</f>
        <v>#DIV/0!</v>
      </c>
      <c r="AC78" s="1007" t="e">
        <f aca="false">IF(AC75&gt;=AC55,"方法正确","请重新选择合适方法")</f>
        <v>#DIV/0!</v>
      </c>
      <c r="AD78" s="1007" t="e">
        <f aca="false">IF(AD75&gt;=AD55,"方法正确","请重新选择合适方法")</f>
        <v>#DIV/0!</v>
      </c>
      <c r="AE78" s="1007" t="e">
        <f aca="false">IF(AE75&gt;=AE55,"方法正确","请重新选择合适方法")</f>
        <v>#DIV/0!</v>
      </c>
      <c r="AF78" s="1007" t="e">
        <f aca="false">IF(AF75&gt;=AF55,"方法正确","请重新选择合适方法")</f>
        <v>#DIV/0!</v>
      </c>
      <c r="AG78" s="1007" t="str">
        <f aca="false">IF(AG75&gt;=AG55,"方法正确","请重新选择合适方法")</f>
        <v>请重新选择合适方法</v>
      </c>
      <c r="AH78" s="1007"/>
      <c r="AI78" s="1007" t="e">
        <f aca="false">IF(AI75&gt;=AI55,"方法正确","请重新选择合适方法")</f>
        <v>#N/A</v>
      </c>
      <c r="AJ78" s="1007" t="e">
        <f aca="false">IF(AJ75&gt;=AJ55,"方法正确","请重新选择合适方法")</f>
        <v>#N/A</v>
      </c>
    </row>
    <row r="79" customFormat="false" ht="15" hidden="false" customHeight="false" outlineLevel="0" collapsed="false">
      <c r="A79" s="973" t="s">
        <v>1540</v>
      </c>
      <c r="B79" s="973" t="s">
        <v>1372</v>
      </c>
      <c r="C79" s="973" t="str">
        <f aca="false">CONCATENATE("管径DN",C39*1000)</f>
        <v>管径DN300</v>
      </c>
      <c r="D79" s="973" t="str">
        <f aca="false">CONCATENATE("管径DN",D39*1000)</f>
        <v>管径DN300</v>
      </c>
      <c r="E79" s="973" t="str">
        <f aca="false">CONCATENATE("管径DN",E39*1000)</f>
        <v>管径DN300</v>
      </c>
      <c r="F79" s="973" t="str">
        <f aca="false">CONCATENATE("管径DN",F39*1000)</f>
        <v>管径DN300</v>
      </c>
      <c r="G79" s="973" t="str">
        <f aca="false">CONCATENATE("管径DN",G39*1000)</f>
        <v>管径DN250</v>
      </c>
      <c r="H79" s="973" t="str">
        <f aca="false">CONCATENATE("管径DN",H39*1000)</f>
        <v>管径DN250</v>
      </c>
      <c r="I79" s="973" t="str">
        <f aca="false">CONCATENATE("管径DN",I39*1000)</f>
        <v>管径DN250</v>
      </c>
      <c r="J79" s="973" t="str">
        <f aca="false">CONCATENATE("管径DN",J39*1000)</f>
        <v>管径DN350</v>
      </c>
      <c r="K79" s="973" t="str">
        <f aca="false">CONCATENATE("管径DN",K39*1000)</f>
        <v>管径DN200</v>
      </c>
      <c r="L79" s="973" t="str">
        <f aca="false">CONCATENATE("管径DN",L39*1000)</f>
        <v>管径DN150</v>
      </c>
      <c r="M79" s="973" t="str">
        <f aca="false">CONCATENATE("管径DN",M39*1000)</f>
        <v>管径DN150</v>
      </c>
      <c r="N79" s="973" t="str">
        <f aca="false">CONCATENATE("管径DN",N39*1000)</f>
        <v>管径DN800</v>
      </c>
      <c r="O79" s="973" t="str">
        <f aca="false">CONCATENATE("管径DN",O39*1000)</f>
        <v>管径DN80</v>
      </c>
      <c r="P79" s="973" t="str">
        <f aca="false">CONCATENATE("管径DN",P39*1000)</f>
        <v>管径DN300</v>
      </c>
      <c r="Q79" s="973" t="str">
        <f aca="false">CONCATENATE("管径DN",Q39*1000)</f>
        <v>管径DN350</v>
      </c>
      <c r="R79" s="973" t="str">
        <f aca="false">CONCATENATE("管径DN",R39*1000)</f>
        <v>管径DN350</v>
      </c>
      <c r="S79" s="973" t="str">
        <f aca="false">CONCATENATE("管径DN",S39*1000)</f>
        <v>管径DN300</v>
      </c>
      <c r="T79" s="973" t="str">
        <f aca="false">CONCATENATE("管径DN",T39*1000)</f>
        <v>管径DN250</v>
      </c>
      <c r="U79" s="973" t="str">
        <f aca="false">CONCATENATE("管径DN",U39*1000)</f>
        <v>管径DN408</v>
      </c>
      <c r="V79" s="973" t="str">
        <f aca="false">CONCATENATE("管径DN",V39*1000)</f>
        <v>管径DN150</v>
      </c>
      <c r="W79" s="973" t="str">
        <f aca="false">CONCATENATE("管径DN",W39*1000)</f>
        <v>管径DN100</v>
      </c>
      <c r="X79" s="973" t="str">
        <f aca="false">CONCATENATE("管径DN",X39*1000)</f>
        <v>管径DN250</v>
      </c>
      <c r="Y79" s="973" t="str">
        <f aca="false">CONCATENATE("管径DN",Y39*1000)</f>
        <v>管径DN250</v>
      </c>
      <c r="Z79" s="973" t="str">
        <f aca="false">CONCATENATE("管径DN",Z39*1000)</f>
        <v>管径DN250</v>
      </c>
      <c r="AA79" s="973" t="str">
        <f aca="false">CONCATENATE("管径DN",AA39*1000)</f>
        <v>管径DN200</v>
      </c>
      <c r="AB79" s="973" t="str">
        <f aca="false">CONCATENATE("管径DN",AB39*1000)</f>
        <v>管径DN200</v>
      </c>
      <c r="AC79" s="973" t="str">
        <f aca="false">CONCATENATE("管径DN",AC39*1000)</f>
        <v>管径DN200</v>
      </c>
      <c r="AD79" s="973" t="str">
        <f aca="false">CONCATENATE("管径DN",AD39*1000)</f>
        <v>管径DN200</v>
      </c>
      <c r="AE79" s="973" t="str">
        <f aca="false">CONCATENATE("管径DN",AE39*1000)</f>
        <v>管径DN350</v>
      </c>
      <c r="AF79" s="973" t="str">
        <f aca="false">CONCATENATE("管径DN",AF39*1000)</f>
        <v>管径DN150</v>
      </c>
      <c r="AG79" s="973" t="str">
        <f aca="false">CONCATENATE("管径DN",AG39*1000)</f>
        <v>管径DN100</v>
      </c>
      <c r="AH79" s="973"/>
      <c r="AI79" s="973" t="str">
        <f aca="false">CONCATENATE("管径DN",AI39*1000)</f>
        <v>管径DN200</v>
      </c>
      <c r="AJ79" s="973" t="str">
        <f aca="false">CONCATENATE("管径DN",AJ39*1000)</f>
        <v>管径DN150</v>
      </c>
    </row>
    <row r="80" customFormat="false" ht="15" hidden="false" customHeight="false" outlineLevel="0" collapsed="false">
      <c r="A80" s="1009" t="s">
        <v>277</v>
      </c>
      <c r="B80" s="1009"/>
      <c r="E80" s="1009"/>
    </row>
    <row r="81" customFormat="false" ht="15" hidden="false" customHeight="false" outlineLevel="0" collapsed="false"/>
    <row r="82" customFormat="false" ht="15" hidden="false" customHeight="false" outlineLevel="0" collapsed="false">
      <c r="A82" s="1010" t="s">
        <v>1678</v>
      </c>
      <c r="B82" s="1010"/>
    </row>
    <row r="83" customFormat="false" ht="15" hidden="false" customHeight="false" outlineLevel="0" collapsed="false">
      <c r="A83" s="973" t="s">
        <v>1679</v>
      </c>
      <c r="B83" s="973"/>
    </row>
  </sheetData>
  <mergeCells count="1">
    <mergeCell ref="A82:B82"/>
  </mergeCells>
  <conditionalFormatting sqref="I77">
    <cfRule type="cellIs" priority="2" operator="equal" aboveAverage="0" equalAverage="0" bottom="0" percent="0" rank="0" text="" dxfId="695">
      <formula>"请重新选取管径"</formula>
    </cfRule>
  </conditionalFormatting>
  <conditionalFormatting sqref="I61">
    <cfRule type="cellIs" priority="3" operator="equal" aboveAverage="0" equalAverage="0" bottom="0" percent="0" rank="0" text="" dxfId="696">
      <formula>"请重新假定截面含气率"</formula>
    </cfRule>
  </conditionalFormatting>
  <conditionalFormatting sqref="I47">
    <cfRule type="cellIs" priority="4" operator="equal" aboveAverage="0" equalAverage="0" bottom="0" percent="0" rank="0" text="" dxfId="697">
      <formula>"请再次核对"</formula>
    </cfRule>
  </conditionalFormatting>
  <conditionalFormatting sqref="C78:AJ78">
    <cfRule type="cellIs" priority="5" operator="equal" aboveAverage="0" equalAverage="0" bottom="0" percent="0" rank="0" text="" dxfId="698">
      <formula>"均相法压降更大"</formula>
    </cfRule>
  </conditionalFormatting>
  <conditionalFormatting sqref="C77:H77 J77:AJ77">
    <cfRule type="cellIs" priority="6" operator="equal" aboveAverage="0" equalAverage="0" bottom="0" percent="0" rank="0" text="" dxfId="699">
      <formula>"请重新选取管径"</formula>
    </cfRule>
  </conditionalFormatting>
  <conditionalFormatting sqref="C61:H61 J61:AJ61">
    <cfRule type="cellIs" priority="7" operator="equal" aboveAverage="0" equalAverage="0" bottom="0" percent="0" rank="0" text="" dxfId="700">
      <formula>"请重新假定截面含气率"</formula>
    </cfRule>
  </conditionalFormatting>
  <conditionalFormatting sqref="C47:H47 J47:AJ47">
    <cfRule type="cellIs" priority="8" operator="equal" aboveAverage="0" equalAverage="0" bottom="0" percent="0" rank="0" text="" dxfId="701">
      <formula>"请再次核对"</formula>
    </cfRule>
  </conditionalFormatting>
  <dataValidations count="4">
    <dataValidation allowBlank="true" errorStyle="stop" operator="between" showDropDown="false" showErrorMessage="true" showInputMessage="true" sqref="C38:AJ38" type="list">
      <formula1>"分层流,塞状流,块状流,波状流,环状流,泡状(沫状)流,雾状流"</formula1>
      <formula2>0</formula2>
    </dataValidation>
    <dataValidation allowBlank="true" errorStyle="stop" operator="between" showDropDown="false" showErrorMessage="true" showInputMessage="true" sqref="C35:AJ35" type="list">
      <formula1>"分层流,波状流,环、雾状流,塞状流,块状流,泡状流"</formula1>
      <formula2>0</formula2>
    </dataValidation>
    <dataValidation allowBlank="true" errorStyle="stop" operator="between" showDropDown="false" showErrorMessage="true" showInputMessage="true" sqref="C32:AJ32" type="list">
      <formula1>"沫状流,块状流,泡状流,环状流,带液束的环状流"</formula1>
      <formula2>0</formula2>
    </dataValidation>
    <dataValidation allowBlank="true" errorStyle="stop" operator="between" showDropDown="false" showErrorMessage="true" showInputMessage="true" sqref="C27:AJ27" type="list">
      <formula1>"泡状流,块状流和沫状流,环雾状流"</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01" r:id="rId4" name="Button 45">
              <controlPr defaultSize="0" print="false" autoFill="0" autoPict="0" macro="模块3.返回主页">
                <anchor moveWithCells="true" sizeWithCells="false">
                  <from>
                    <xdr:col>0</xdr:col>
                    <xdr:colOff>868680</xdr:colOff>
                    <xdr:row>0</xdr:row>
                    <xdr:rowOff>23040</xdr:rowOff>
                  </from>
                  <to>
                    <xdr:col>1</xdr:col>
                    <xdr:colOff>-1083960</xdr:colOff>
                    <xdr:row>1</xdr:row>
                    <xdr:rowOff>-60840</xdr:rowOff>
                  </to>
                </anchor>
              </controlPr>
            </control>
          </mc:Choice>
        </mc:AlternateContent>
        <mc:AlternateContent xmlns:mc="http://schemas.openxmlformats.org/markup-compatibility/2006">
          <mc:Choice Requires="x14">
            <control shapeId="1002" r:id="rId5" name="Button 64">
              <controlPr defaultSize="0" print="false" autoFill="0" autoPict="0" macro="模块3.返回主页">
                <anchor moveWithCells="true" sizeWithCells="false">
                  <from>
                    <xdr:col>0</xdr:col>
                    <xdr:colOff>868680</xdr:colOff>
                    <xdr:row>0</xdr:row>
                    <xdr:rowOff>23040</xdr:rowOff>
                  </from>
                  <to>
                    <xdr:col>1</xdr:col>
                    <xdr:colOff>-1083960</xdr:colOff>
                    <xdr:row>1</xdr:row>
                    <xdr:rowOff>-60840</xdr:rowOff>
                  </to>
                </anchor>
              </controlPr>
            </control>
          </mc:Choice>
        </mc:AlternateContent>
      </controls>
    </mc:Choice>
  </mc:AlternateContent>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4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S19" activeCellId="0" sqref="1:1048576"/>
    </sheetView>
  </sheetViews>
  <sheetFormatPr defaultColWidth="9.00390625" defaultRowHeight="14.25" zeroHeight="false" outlineLevelRow="0" outlineLevelCol="0"/>
  <cols>
    <col collapsed="false" customWidth="true" hidden="false" outlineLevel="0" max="1" min="1" style="1011" width="8.75"/>
    <col collapsed="false" customWidth="true" hidden="false" outlineLevel="0" max="2" min="2" style="380" width="6.5"/>
    <col collapsed="false" customWidth="true" hidden="false" outlineLevel="0" max="3" min="3" style="380" width="6"/>
    <col collapsed="false" customWidth="true" hidden="false" outlineLevel="0" max="4" min="4" style="380" width="10.12"/>
    <col collapsed="false" customWidth="false" hidden="false" outlineLevel="0" max="5" min="5" style="380" width="9"/>
    <col collapsed="false" customWidth="true" hidden="false" outlineLevel="0" max="6" min="6" style="380" width="8.25"/>
    <col collapsed="false" customWidth="true" hidden="false" outlineLevel="0" max="7" min="7" style="380" width="14.38"/>
    <col collapsed="false" customWidth="true" hidden="false" outlineLevel="0" max="8" min="8" style="380" width="5"/>
    <col collapsed="false" customWidth="true" hidden="false" outlineLevel="0" max="9" min="9" style="380" width="7.75"/>
    <col collapsed="false" customWidth="true" hidden="false" outlineLevel="0" max="10" min="10" style="380" width="8.5"/>
    <col collapsed="false" customWidth="true" hidden="false" outlineLevel="0" max="11" min="11" style="380" width="11"/>
    <col collapsed="false" customWidth="true" hidden="false" outlineLevel="0" max="12" min="12" style="380" width="6.5"/>
    <col collapsed="false" customWidth="true" hidden="false" outlineLevel="0" max="13" min="13" style="380" width="7.88"/>
    <col collapsed="false" customWidth="true" hidden="false" outlineLevel="0" max="14" min="14" style="380" width="7.37"/>
    <col collapsed="false" customWidth="true" hidden="false" outlineLevel="0" max="15" min="15" style="380" width="2.13"/>
    <col collapsed="false" customWidth="true" hidden="false" outlineLevel="0" max="16" min="16" style="380" width="3.5"/>
    <col collapsed="false" customWidth="false" hidden="false" outlineLevel="0" max="256" min="17" style="380" width="9"/>
    <col collapsed="false" customWidth="true" hidden="false" outlineLevel="0" max="257" min="257" style="380" width="8.75"/>
    <col collapsed="false" customWidth="true" hidden="false" outlineLevel="0" max="258" min="258" style="380" width="6.5"/>
    <col collapsed="false" customWidth="true" hidden="false" outlineLevel="0" max="259" min="259" style="380" width="6"/>
    <col collapsed="false" customWidth="true" hidden="false" outlineLevel="0" max="260" min="260" style="380" width="9.25"/>
    <col collapsed="false" customWidth="false" hidden="false" outlineLevel="0" max="261" min="261" style="380" width="9"/>
    <col collapsed="false" customWidth="true" hidden="false" outlineLevel="0" max="262" min="262" style="380" width="8.25"/>
    <col collapsed="false" customWidth="true" hidden="false" outlineLevel="0" max="263" min="263" style="380" width="14.38"/>
    <col collapsed="false" customWidth="true" hidden="false" outlineLevel="0" max="264" min="264" style="380" width="5"/>
    <col collapsed="false" customWidth="true" hidden="false" outlineLevel="0" max="265" min="265" style="380" width="7.75"/>
    <col collapsed="false" customWidth="true" hidden="false" outlineLevel="0" max="266" min="266" style="380" width="8.5"/>
    <col collapsed="false" customWidth="true" hidden="false" outlineLevel="0" max="267" min="267" style="380" width="11"/>
    <col collapsed="false" customWidth="true" hidden="false" outlineLevel="0" max="268" min="268" style="380" width="6.5"/>
    <col collapsed="false" customWidth="true" hidden="false" outlineLevel="0" max="269" min="269" style="380" width="7.88"/>
    <col collapsed="false" customWidth="true" hidden="false" outlineLevel="0" max="270" min="270" style="380" width="7.37"/>
    <col collapsed="false" customWidth="true" hidden="false" outlineLevel="0" max="271" min="271" style="380" width="2.13"/>
    <col collapsed="false" customWidth="true" hidden="false" outlineLevel="0" max="272" min="272" style="380" width="3.5"/>
    <col collapsed="false" customWidth="false" hidden="false" outlineLevel="0" max="512" min="273" style="380" width="9"/>
    <col collapsed="false" customWidth="true" hidden="false" outlineLevel="0" max="513" min="513" style="380" width="8.75"/>
    <col collapsed="false" customWidth="true" hidden="false" outlineLevel="0" max="514" min="514" style="380" width="6.5"/>
    <col collapsed="false" customWidth="true" hidden="false" outlineLevel="0" max="515" min="515" style="380" width="6"/>
    <col collapsed="false" customWidth="true" hidden="false" outlineLevel="0" max="516" min="516" style="380" width="9.25"/>
    <col collapsed="false" customWidth="false" hidden="false" outlineLevel="0" max="517" min="517" style="380" width="9"/>
    <col collapsed="false" customWidth="true" hidden="false" outlineLevel="0" max="518" min="518" style="380" width="8.25"/>
    <col collapsed="false" customWidth="true" hidden="false" outlineLevel="0" max="519" min="519" style="380" width="14.38"/>
    <col collapsed="false" customWidth="true" hidden="false" outlineLevel="0" max="520" min="520" style="380" width="5"/>
    <col collapsed="false" customWidth="true" hidden="false" outlineLevel="0" max="521" min="521" style="380" width="7.75"/>
    <col collapsed="false" customWidth="true" hidden="false" outlineLevel="0" max="522" min="522" style="380" width="8.5"/>
    <col collapsed="false" customWidth="true" hidden="false" outlineLevel="0" max="523" min="523" style="380" width="11"/>
    <col collapsed="false" customWidth="true" hidden="false" outlineLevel="0" max="524" min="524" style="380" width="6.5"/>
    <col collapsed="false" customWidth="true" hidden="false" outlineLevel="0" max="525" min="525" style="380" width="7.88"/>
    <col collapsed="false" customWidth="true" hidden="false" outlineLevel="0" max="526" min="526" style="380" width="7.37"/>
    <col collapsed="false" customWidth="true" hidden="false" outlineLevel="0" max="527" min="527" style="380" width="2.13"/>
    <col collapsed="false" customWidth="true" hidden="false" outlineLevel="0" max="528" min="528" style="380" width="3.5"/>
    <col collapsed="false" customWidth="false" hidden="false" outlineLevel="0" max="768" min="529" style="380" width="9"/>
    <col collapsed="false" customWidth="true" hidden="false" outlineLevel="0" max="769" min="769" style="380" width="8.75"/>
    <col collapsed="false" customWidth="true" hidden="false" outlineLevel="0" max="770" min="770" style="380" width="6.5"/>
    <col collapsed="false" customWidth="true" hidden="false" outlineLevel="0" max="771" min="771" style="380" width="6"/>
    <col collapsed="false" customWidth="true" hidden="false" outlineLevel="0" max="772" min="772" style="380" width="9.25"/>
    <col collapsed="false" customWidth="false" hidden="false" outlineLevel="0" max="773" min="773" style="380" width="9"/>
    <col collapsed="false" customWidth="true" hidden="false" outlineLevel="0" max="774" min="774" style="380" width="8.25"/>
    <col collapsed="false" customWidth="true" hidden="false" outlineLevel="0" max="775" min="775" style="380" width="14.38"/>
    <col collapsed="false" customWidth="true" hidden="false" outlineLevel="0" max="776" min="776" style="380" width="5"/>
    <col collapsed="false" customWidth="true" hidden="false" outlineLevel="0" max="777" min="777" style="380" width="7.75"/>
    <col collapsed="false" customWidth="true" hidden="false" outlineLevel="0" max="778" min="778" style="380" width="8.5"/>
    <col collapsed="false" customWidth="true" hidden="false" outlineLevel="0" max="779" min="779" style="380" width="11"/>
    <col collapsed="false" customWidth="true" hidden="false" outlineLevel="0" max="780" min="780" style="380" width="6.5"/>
    <col collapsed="false" customWidth="true" hidden="false" outlineLevel="0" max="781" min="781" style="380" width="7.88"/>
    <col collapsed="false" customWidth="true" hidden="false" outlineLevel="0" max="782" min="782" style="380" width="7.37"/>
    <col collapsed="false" customWidth="true" hidden="false" outlineLevel="0" max="783" min="783" style="380" width="2.13"/>
    <col collapsed="false" customWidth="true" hidden="false" outlineLevel="0" max="784" min="784" style="380" width="3.5"/>
    <col collapsed="false" customWidth="false" hidden="false" outlineLevel="0" max="1024" min="785" style="380" width="9"/>
    <col collapsed="false" customWidth="true" hidden="false" outlineLevel="0" max="1025" min="1025" style="380" width="8.75"/>
    <col collapsed="false" customWidth="true" hidden="false" outlineLevel="0" max="1026" min="1026" style="380" width="6.5"/>
    <col collapsed="false" customWidth="true" hidden="false" outlineLevel="0" max="1027" min="1027" style="380" width="6"/>
    <col collapsed="false" customWidth="true" hidden="false" outlineLevel="0" max="1028" min="1028" style="380" width="9.25"/>
    <col collapsed="false" customWidth="false" hidden="false" outlineLevel="0" max="1029" min="1029" style="380" width="9"/>
    <col collapsed="false" customWidth="true" hidden="false" outlineLevel="0" max="1030" min="1030" style="380" width="8.25"/>
    <col collapsed="false" customWidth="true" hidden="false" outlineLevel="0" max="1031" min="1031" style="380" width="14.38"/>
    <col collapsed="false" customWidth="true" hidden="false" outlineLevel="0" max="1032" min="1032" style="380" width="5"/>
    <col collapsed="false" customWidth="true" hidden="false" outlineLevel="0" max="1033" min="1033" style="380" width="7.75"/>
    <col collapsed="false" customWidth="true" hidden="false" outlineLevel="0" max="1034" min="1034" style="380" width="8.5"/>
    <col collapsed="false" customWidth="true" hidden="false" outlineLevel="0" max="1035" min="1035" style="380" width="11"/>
    <col collapsed="false" customWidth="true" hidden="false" outlineLevel="0" max="1036" min="1036" style="380" width="6.5"/>
    <col collapsed="false" customWidth="true" hidden="false" outlineLevel="0" max="1037" min="1037" style="380" width="7.88"/>
    <col collapsed="false" customWidth="true" hidden="false" outlineLevel="0" max="1038" min="1038" style="380" width="7.37"/>
    <col collapsed="false" customWidth="true" hidden="false" outlineLevel="0" max="1039" min="1039" style="380" width="2.13"/>
    <col collapsed="false" customWidth="true" hidden="false" outlineLevel="0" max="1040" min="1040" style="380" width="3.5"/>
    <col collapsed="false" customWidth="false" hidden="false" outlineLevel="0" max="1280" min="1041" style="380" width="9"/>
    <col collapsed="false" customWidth="true" hidden="false" outlineLevel="0" max="1281" min="1281" style="380" width="8.75"/>
    <col collapsed="false" customWidth="true" hidden="false" outlineLevel="0" max="1282" min="1282" style="380" width="6.5"/>
    <col collapsed="false" customWidth="true" hidden="false" outlineLevel="0" max="1283" min="1283" style="380" width="6"/>
    <col collapsed="false" customWidth="true" hidden="false" outlineLevel="0" max="1284" min="1284" style="380" width="9.25"/>
    <col collapsed="false" customWidth="false" hidden="false" outlineLevel="0" max="1285" min="1285" style="380" width="9"/>
    <col collapsed="false" customWidth="true" hidden="false" outlineLevel="0" max="1286" min="1286" style="380" width="8.25"/>
    <col collapsed="false" customWidth="true" hidden="false" outlineLevel="0" max="1287" min="1287" style="380" width="14.38"/>
    <col collapsed="false" customWidth="true" hidden="false" outlineLevel="0" max="1288" min="1288" style="380" width="5"/>
    <col collapsed="false" customWidth="true" hidden="false" outlineLevel="0" max="1289" min="1289" style="380" width="7.75"/>
    <col collapsed="false" customWidth="true" hidden="false" outlineLevel="0" max="1290" min="1290" style="380" width="8.5"/>
    <col collapsed="false" customWidth="true" hidden="false" outlineLevel="0" max="1291" min="1291" style="380" width="11"/>
    <col collapsed="false" customWidth="true" hidden="false" outlineLevel="0" max="1292" min="1292" style="380" width="6.5"/>
    <col collapsed="false" customWidth="true" hidden="false" outlineLevel="0" max="1293" min="1293" style="380" width="7.88"/>
    <col collapsed="false" customWidth="true" hidden="false" outlineLevel="0" max="1294" min="1294" style="380" width="7.37"/>
    <col collapsed="false" customWidth="true" hidden="false" outlineLevel="0" max="1295" min="1295" style="380" width="2.13"/>
    <col collapsed="false" customWidth="true" hidden="false" outlineLevel="0" max="1296" min="1296" style="380" width="3.5"/>
    <col collapsed="false" customWidth="false" hidden="false" outlineLevel="0" max="1536" min="1297" style="380" width="9"/>
    <col collapsed="false" customWidth="true" hidden="false" outlineLevel="0" max="1537" min="1537" style="380" width="8.75"/>
    <col collapsed="false" customWidth="true" hidden="false" outlineLevel="0" max="1538" min="1538" style="380" width="6.5"/>
    <col collapsed="false" customWidth="true" hidden="false" outlineLevel="0" max="1539" min="1539" style="380" width="6"/>
    <col collapsed="false" customWidth="true" hidden="false" outlineLevel="0" max="1540" min="1540" style="380" width="9.25"/>
    <col collapsed="false" customWidth="false" hidden="false" outlineLevel="0" max="1541" min="1541" style="380" width="9"/>
    <col collapsed="false" customWidth="true" hidden="false" outlineLevel="0" max="1542" min="1542" style="380" width="8.25"/>
    <col collapsed="false" customWidth="true" hidden="false" outlineLevel="0" max="1543" min="1543" style="380" width="14.38"/>
    <col collapsed="false" customWidth="true" hidden="false" outlineLevel="0" max="1544" min="1544" style="380" width="5"/>
    <col collapsed="false" customWidth="true" hidden="false" outlineLevel="0" max="1545" min="1545" style="380" width="7.75"/>
    <col collapsed="false" customWidth="true" hidden="false" outlineLevel="0" max="1546" min="1546" style="380" width="8.5"/>
    <col collapsed="false" customWidth="true" hidden="false" outlineLevel="0" max="1547" min="1547" style="380" width="11"/>
    <col collapsed="false" customWidth="true" hidden="false" outlineLevel="0" max="1548" min="1548" style="380" width="6.5"/>
    <col collapsed="false" customWidth="true" hidden="false" outlineLevel="0" max="1549" min="1549" style="380" width="7.88"/>
    <col collapsed="false" customWidth="true" hidden="false" outlineLevel="0" max="1550" min="1550" style="380" width="7.37"/>
    <col collapsed="false" customWidth="true" hidden="false" outlineLevel="0" max="1551" min="1551" style="380" width="2.13"/>
    <col collapsed="false" customWidth="true" hidden="false" outlineLevel="0" max="1552" min="1552" style="380" width="3.5"/>
    <col collapsed="false" customWidth="false" hidden="false" outlineLevel="0" max="1792" min="1553" style="380" width="9"/>
    <col collapsed="false" customWidth="true" hidden="false" outlineLevel="0" max="1793" min="1793" style="380" width="8.75"/>
    <col collapsed="false" customWidth="true" hidden="false" outlineLevel="0" max="1794" min="1794" style="380" width="6.5"/>
    <col collapsed="false" customWidth="true" hidden="false" outlineLevel="0" max="1795" min="1795" style="380" width="6"/>
    <col collapsed="false" customWidth="true" hidden="false" outlineLevel="0" max="1796" min="1796" style="380" width="9.25"/>
    <col collapsed="false" customWidth="false" hidden="false" outlineLevel="0" max="1797" min="1797" style="380" width="9"/>
    <col collapsed="false" customWidth="true" hidden="false" outlineLevel="0" max="1798" min="1798" style="380" width="8.25"/>
    <col collapsed="false" customWidth="true" hidden="false" outlineLevel="0" max="1799" min="1799" style="380" width="14.38"/>
    <col collapsed="false" customWidth="true" hidden="false" outlineLevel="0" max="1800" min="1800" style="380" width="5"/>
    <col collapsed="false" customWidth="true" hidden="false" outlineLevel="0" max="1801" min="1801" style="380" width="7.75"/>
    <col collapsed="false" customWidth="true" hidden="false" outlineLevel="0" max="1802" min="1802" style="380" width="8.5"/>
    <col collapsed="false" customWidth="true" hidden="false" outlineLevel="0" max="1803" min="1803" style="380" width="11"/>
    <col collapsed="false" customWidth="true" hidden="false" outlineLevel="0" max="1804" min="1804" style="380" width="6.5"/>
    <col collapsed="false" customWidth="true" hidden="false" outlineLevel="0" max="1805" min="1805" style="380" width="7.88"/>
    <col collapsed="false" customWidth="true" hidden="false" outlineLevel="0" max="1806" min="1806" style="380" width="7.37"/>
    <col collapsed="false" customWidth="true" hidden="false" outlineLevel="0" max="1807" min="1807" style="380" width="2.13"/>
    <col collapsed="false" customWidth="true" hidden="false" outlineLevel="0" max="1808" min="1808" style="380" width="3.5"/>
    <col collapsed="false" customWidth="false" hidden="false" outlineLevel="0" max="2048" min="1809" style="380" width="9"/>
    <col collapsed="false" customWidth="true" hidden="false" outlineLevel="0" max="2049" min="2049" style="380" width="8.75"/>
    <col collapsed="false" customWidth="true" hidden="false" outlineLevel="0" max="2050" min="2050" style="380" width="6.5"/>
    <col collapsed="false" customWidth="true" hidden="false" outlineLevel="0" max="2051" min="2051" style="380" width="6"/>
    <col collapsed="false" customWidth="true" hidden="false" outlineLevel="0" max="2052" min="2052" style="380" width="9.25"/>
    <col collapsed="false" customWidth="false" hidden="false" outlineLevel="0" max="2053" min="2053" style="380" width="9"/>
    <col collapsed="false" customWidth="true" hidden="false" outlineLevel="0" max="2054" min="2054" style="380" width="8.25"/>
    <col collapsed="false" customWidth="true" hidden="false" outlineLevel="0" max="2055" min="2055" style="380" width="14.38"/>
    <col collapsed="false" customWidth="true" hidden="false" outlineLevel="0" max="2056" min="2056" style="380" width="5"/>
    <col collapsed="false" customWidth="true" hidden="false" outlineLevel="0" max="2057" min="2057" style="380" width="7.75"/>
    <col collapsed="false" customWidth="true" hidden="false" outlineLevel="0" max="2058" min="2058" style="380" width="8.5"/>
    <col collapsed="false" customWidth="true" hidden="false" outlineLevel="0" max="2059" min="2059" style="380" width="11"/>
    <col collapsed="false" customWidth="true" hidden="false" outlineLevel="0" max="2060" min="2060" style="380" width="6.5"/>
    <col collapsed="false" customWidth="true" hidden="false" outlineLevel="0" max="2061" min="2061" style="380" width="7.88"/>
    <col collapsed="false" customWidth="true" hidden="false" outlineLevel="0" max="2062" min="2062" style="380" width="7.37"/>
    <col collapsed="false" customWidth="true" hidden="false" outlineLevel="0" max="2063" min="2063" style="380" width="2.13"/>
    <col collapsed="false" customWidth="true" hidden="false" outlineLevel="0" max="2064" min="2064" style="380" width="3.5"/>
    <col collapsed="false" customWidth="false" hidden="false" outlineLevel="0" max="2304" min="2065" style="380" width="9"/>
    <col collapsed="false" customWidth="true" hidden="false" outlineLevel="0" max="2305" min="2305" style="380" width="8.75"/>
    <col collapsed="false" customWidth="true" hidden="false" outlineLevel="0" max="2306" min="2306" style="380" width="6.5"/>
    <col collapsed="false" customWidth="true" hidden="false" outlineLevel="0" max="2307" min="2307" style="380" width="6"/>
    <col collapsed="false" customWidth="true" hidden="false" outlineLevel="0" max="2308" min="2308" style="380" width="9.25"/>
    <col collapsed="false" customWidth="false" hidden="false" outlineLevel="0" max="2309" min="2309" style="380" width="9"/>
    <col collapsed="false" customWidth="true" hidden="false" outlineLevel="0" max="2310" min="2310" style="380" width="8.25"/>
    <col collapsed="false" customWidth="true" hidden="false" outlineLevel="0" max="2311" min="2311" style="380" width="14.38"/>
    <col collapsed="false" customWidth="true" hidden="false" outlineLevel="0" max="2312" min="2312" style="380" width="5"/>
    <col collapsed="false" customWidth="true" hidden="false" outlineLevel="0" max="2313" min="2313" style="380" width="7.75"/>
    <col collapsed="false" customWidth="true" hidden="false" outlineLevel="0" max="2314" min="2314" style="380" width="8.5"/>
    <col collapsed="false" customWidth="true" hidden="false" outlineLevel="0" max="2315" min="2315" style="380" width="11"/>
    <col collapsed="false" customWidth="true" hidden="false" outlineLevel="0" max="2316" min="2316" style="380" width="6.5"/>
    <col collapsed="false" customWidth="true" hidden="false" outlineLevel="0" max="2317" min="2317" style="380" width="7.88"/>
    <col collapsed="false" customWidth="true" hidden="false" outlineLevel="0" max="2318" min="2318" style="380" width="7.37"/>
    <col collapsed="false" customWidth="true" hidden="false" outlineLevel="0" max="2319" min="2319" style="380" width="2.13"/>
    <col collapsed="false" customWidth="true" hidden="false" outlineLevel="0" max="2320" min="2320" style="380" width="3.5"/>
    <col collapsed="false" customWidth="false" hidden="false" outlineLevel="0" max="2560" min="2321" style="380" width="9"/>
    <col collapsed="false" customWidth="true" hidden="false" outlineLevel="0" max="2561" min="2561" style="380" width="8.75"/>
    <col collapsed="false" customWidth="true" hidden="false" outlineLevel="0" max="2562" min="2562" style="380" width="6.5"/>
    <col collapsed="false" customWidth="true" hidden="false" outlineLevel="0" max="2563" min="2563" style="380" width="6"/>
    <col collapsed="false" customWidth="true" hidden="false" outlineLevel="0" max="2564" min="2564" style="380" width="9.25"/>
    <col collapsed="false" customWidth="false" hidden="false" outlineLevel="0" max="2565" min="2565" style="380" width="9"/>
    <col collapsed="false" customWidth="true" hidden="false" outlineLevel="0" max="2566" min="2566" style="380" width="8.25"/>
    <col collapsed="false" customWidth="true" hidden="false" outlineLevel="0" max="2567" min="2567" style="380" width="14.38"/>
    <col collapsed="false" customWidth="true" hidden="false" outlineLevel="0" max="2568" min="2568" style="380" width="5"/>
    <col collapsed="false" customWidth="true" hidden="false" outlineLevel="0" max="2569" min="2569" style="380" width="7.75"/>
    <col collapsed="false" customWidth="true" hidden="false" outlineLevel="0" max="2570" min="2570" style="380" width="8.5"/>
    <col collapsed="false" customWidth="true" hidden="false" outlineLevel="0" max="2571" min="2571" style="380" width="11"/>
    <col collapsed="false" customWidth="true" hidden="false" outlineLevel="0" max="2572" min="2572" style="380" width="6.5"/>
    <col collapsed="false" customWidth="true" hidden="false" outlineLevel="0" max="2573" min="2573" style="380" width="7.88"/>
    <col collapsed="false" customWidth="true" hidden="false" outlineLevel="0" max="2574" min="2574" style="380" width="7.37"/>
    <col collapsed="false" customWidth="true" hidden="false" outlineLevel="0" max="2575" min="2575" style="380" width="2.13"/>
    <col collapsed="false" customWidth="true" hidden="false" outlineLevel="0" max="2576" min="2576" style="380" width="3.5"/>
    <col collapsed="false" customWidth="false" hidden="false" outlineLevel="0" max="2816" min="2577" style="380" width="9"/>
    <col collapsed="false" customWidth="true" hidden="false" outlineLevel="0" max="2817" min="2817" style="380" width="8.75"/>
    <col collapsed="false" customWidth="true" hidden="false" outlineLevel="0" max="2818" min="2818" style="380" width="6.5"/>
    <col collapsed="false" customWidth="true" hidden="false" outlineLevel="0" max="2819" min="2819" style="380" width="6"/>
    <col collapsed="false" customWidth="true" hidden="false" outlineLevel="0" max="2820" min="2820" style="380" width="9.25"/>
    <col collapsed="false" customWidth="false" hidden="false" outlineLevel="0" max="2821" min="2821" style="380" width="9"/>
    <col collapsed="false" customWidth="true" hidden="false" outlineLevel="0" max="2822" min="2822" style="380" width="8.25"/>
    <col collapsed="false" customWidth="true" hidden="false" outlineLevel="0" max="2823" min="2823" style="380" width="14.38"/>
    <col collapsed="false" customWidth="true" hidden="false" outlineLevel="0" max="2824" min="2824" style="380" width="5"/>
    <col collapsed="false" customWidth="true" hidden="false" outlineLevel="0" max="2825" min="2825" style="380" width="7.75"/>
    <col collapsed="false" customWidth="true" hidden="false" outlineLevel="0" max="2826" min="2826" style="380" width="8.5"/>
    <col collapsed="false" customWidth="true" hidden="false" outlineLevel="0" max="2827" min="2827" style="380" width="11"/>
    <col collapsed="false" customWidth="true" hidden="false" outlineLevel="0" max="2828" min="2828" style="380" width="6.5"/>
    <col collapsed="false" customWidth="true" hidden="false" outlineLevel="0" max="2829" min="2829" style="380" width="7.88"/>
    <col collapsed="false" customWidth="true" hidden="false" outlineLevel="0" max="2830" min="2830" style="380" width="7.37"/>
    <col collapsed="false" customWidth="true" hidden="false" outlineLevel="0" max="2831" min="2831" style="380" width="2.13"/>
    <col collapsed="false" customWidth="true" hidden="false" outlineLevel="0" max="2832" min="2832" style="380" width="3.5"/>
    <col collapsed="false" customWidth="false" hidden="false" outlineLevel="0" max="3072" min="2833" style="380" width="9"/>
    <col collapsed="false" customWidth="true" hidden="false" outlineLevel="0" max="3073" min="3073" style="380" width="8.75"/>
    <col collapsed="false" customWidth="true" hidden="false" outlineLevel="0" max="3074" min="3074" style="380" width="6.5"/>
    <col collapsed="false" customWidth="true" hidden="false" outlineLevel="0" max="3075" min="3075" style="380" width="6"/>
    <col collapsed="false" customWidth="true" hidden="false" outlineLevel="0" max="3076" min="3076" style="380" width="9.25"/>
    <col collapsed="false" customWidth="false" hidden="false" outlineLevel="0" max="3077" min="3077" style="380" width="9"/>
    <col collapsed="false" customWidth="true" hidden="false" outlineLevel="0" max="3078" min="3078" style="380" width="8.25"/>
    <col collapsed="false" customWidth="true" hidden="false" outlineLevel="0" max="3079" min="3079" style="380" width="14.38"/>
    <col collapsed="false" customWidth="true" hidden="false" outlineLevel="0" max="3080" min="3080" style="380" width="5"/>
    <col collapsed="false" customWidth="true" hidden="false" outlineLevel="0" max="3081" min="3081" style="380" width="7.75"/>
    <col collapsed="false" customWidth="true" hidden="false" outlineLevel="0" max="3082" min="3082" style="380" width="8.5"/>
    <col collapsed="false" customWidth="true" hidden="false" outlineLevel="0" max="3083" min="3083" style="380" width="11"/>
    <col collapsed="false" customWidth="true" hidden="false" outlineLevel="0" max="3084" min="3084" style="380" width="6.5"/>
    <col collapsed="false" customWidth="true" hidden="false" outlineLevel="0" max="3085" min="3085" style="380" width="7.88"/>
    <col collapsed="false" customWidth="true" hidden="false" outlineLevel="0" max="3086" min="3086" style="380" width="7.37"/>
    <col collapsed="false" customWidth="true" hidden="false" outlineLevel="0" max="3087" min="3087" style="380" width="2.13"/>
    <col collapsed="false" customWidth="true" hidden="false" outlineLevel="0" max="3088" min="3088" style="380" width="3.5"/>
    <col collapsed="false" customWidth="false" hidden="false" outlineLevel="0" max="3328" min="3089" style="380" width="9"/>
    <col collapsed="false" customWidth="true" hidden="false" outlineLevel="0" max="3329" min="3329" style="380" width="8.75"/>
    <col collapsed="false" customWidth="true" hidden="false" outlineLevel="0" max="3330" min="3330" style="380" width="6.5"/>
    <col collapsed="false" customWidth="true" hidden="false" outlineLevel="0" max="3331" min="3331" style="380" width="6"/>
    <col collapsed="false" customWidth="true" hidden="false" outlineLevel="0" max="3332" min="3332" style="380" width="9.25"/>
    <col collapsed="false" customWidth="false" hidden="false" outlineLevel="0" max="3333" min="3333" style="380" width="9"/>
    <col collapsed="false" customWidth="true" hidden="false" outlineLevel="0" max="3334" min="3334" style="380" width="8.25"/>
    <col collapsed="false" customWidth="true" hidden="false" outlineLevel="0" max="3335" min="3335" style="380" width="14.38"/>
    <col collapsed="false" customWidth="true" hidden="false" outlineLevel="0" max="3336" min="3336" style="380" width="5"/>
    <col collapsed="false" customWidth="true" hidden="false" outlineLevel="0" max="3337" min="3337" style="380" width="7.75"/>
    <col collapsed="false" customWidth="true" hidden="false" outlineLevel="0" max="3338" min="3338" style="380" width="8.5"/>
    <col collapsed="false" customWidth="true" hidden="false" outlineLevel="0" max="3339" min="3339" style="380" width="11"/>
    <col collapsed="false" customWidth="true" hidden="false" outlineLevel="0" max="3340" min="3340" style="380" width="6.5"/>
    <col collapsed="false" customWidth="true" hidden="false" outlineLevel="0" max="3341" min="3341" style="380" width="7.88"/>
    <col collapsed="false" customWidth="true" hidden="false" outlineLevel="0" max="3342" min="3342" style="380" width="7.37"/>
    <col collapsed="false" customWidth="true" hidden="false" outlineLevel="0" max="3343" min="3343" style="380" width="2.13"/>
    <col collapsed="false" customWidth="true" hidden="false" outlineLevel="0" max="3344" min="3344" style="380" width="3.5"/>
    <col collapsed="false" customWidth="false" hidden="false" outlineLevel="0" max="3584" min="3345" style="380" width="9"/>
    <col collapsed="false" customWidth="true" hidden="false" outlineLevel="0" max="3585" min="3585" style="380" width="8.75"/>
    <col collapsed="false" customWidth="true" hidden="false" outlineLevel="0" max="3586" min="3586" style="380" width="6.5"/>
    <col collapsed="false" customWidth="true" hidden="false" outlineLevel="0" max="3587" min="3587" style="380" width="6"/>
    <col collapsed="false" customWidth="true" hidden="false" outlineLevel="0" max="3588" min="3588" style="380" width="9.25"/>
    <col collapsed="false" customWidth="false" hidden="false" outlineLevel="0" max="3589" min="3589" style="380" width="9"/>
    <col collapsed="false" customWidth="true" hidden="false" outlineLevel="0" max="3590" min="3590" style="380" width="8.25"/>
    <col collapsed="false" customWidth="true" hidden="false" outlineLevel="0" max="3591" min="3591" style="380" width="14.38"/>
    <col collapsed="false" customWidth="true" hidden="false" outlineLevel="0" max="3592" min="3592" style="380" width="5"/>
    <col collapsed="false" customWidth="true" hidden="false" outlineLevel="0" max="3593" min="3593" style="380" width="7.75"/>
    <col collapsed="false" customWidth="true" hidden="false" outlineLevel="0" max="3594" min="3594" style="380" width="8.5"/>
    <col collapsed="false" customWidth="true" hidden="false" outlineLevel="0" max="3595" min="3595" style="380" width="11"/>
    <col collapsed="false" customWidth="true" hidden="false" outlineLevel="0" max="3596" min="3596" style="380" width="6.5"/>
    <col collapsed="false" customWidth="true" hidden="false" outlineLevel="0" max="3597" min="3597" style="380" width="7.88"/>
    <col collapsed="false" customWidth="true" hidden="false" outlineLevel="0" max="3598" min="3598" style="380" width="7.37"/>
    <col collapsed="false" customWidth="true" hidden="false" outlineLevel="0" max="3599" min="3599" style="380" width="2.13"/>
    <col collapsed="false" customWidth="true" hidden="false" outlineLevel="0" max="3600" min="3600" style="380" width="3.5"/>
    <col collapsed="false" customWidth="false" hidden="false" outlineLevel="0" max="3840" min="3601" style="380" width="9"/>
    <col collapsed="false" customWidth="true" hidden="false" outlineLevel="0" max="3841" min="3841" style="380" width="8.75"/>
    <col collapsed="false" customWidth="true" hidden="false" outlineLevel="0" max="3842" min="3842" style="380" width="6.5"/>
    <col collapsed="false" customWidth="true" hidden="false" outlineLevel="0" max="3843" min="3843" style="380" width="6"/>
    <col collapsed="false" customWidth="true" hidden="false" outlineLevel="0" max="3844" min="3844" style="380" width="9.25"/>
    <col collapsed="false" customWidth="false" hidden="false" outlineLevel="0" max="3845" min="3845" style="380" width="9"/>
    <col collapsed="false" customWidth="true" hidden="false" outlineLevel="0" max="3846" min="3846" style="380" width="8.25"/>
    <col collapsed="false" customWidth="true" hidden="false" outlineLevel="0" max="3847" min="3847" style="380" width="14.38"/>
    <col collapsed="false" customWidth="true" hidden="false" outlineLevel="0" max="3848" min="3848" style="380" width="5"/>
    <col collapsed="false" customWidth="true" hidden="false" outlineLevel="0" max="3849" min="3849" style="380" width="7.75"/>
    <col collapsed="false" customWidth="true" hidden="false" outlineLevel="0" max="3850" min="3850" style="380" width="8.5"/>
    <col collapsed="false" customWidth="true" hidden="false" outlineLevel="0" max="3851" min="3851" style="380" width="11"/>
    <col collapsed="false" customWidth="true" hidden="false" outlineLevel="0" max="3852" min="3852" style="380" width="6.5"/>
    <col collapsed="false" customWidth="true" hidden="false" outlineLevel="0" max="3853" min="3853" style="380" width="7.88"/>
    <col collapsed="false" customWidth="true" hidden="false" outlineLevel="0" max="3854" min="3854" style="380" width="7.37"/>
    <col collapsed="false" customWidth="true" hidden="false" outlineLevel="0" max="3855" min="3855" style="380" width="2.13"/>
    <col collapsed="false" customWidth="true" hidden="false" outlineLevel="0" max="3856" min="3856" style="380" width="3.5"/>
    <col collapsed="false" customWidth="false" hidden="false" outlineLevel="0" max="4096" min="3857" style="380" width="9"/>
    <col collapsed="false" customWidth="true" hidden="false" outlineLevel="0" max="4097" min="4097" style="380" width="8.75"/>
    <col collapsed="false" customWidth="true" hidden="false" outlineLevel="0" max="4098" min="4098" style="380" width="6.5"/>
    <col collapsed="false" customWidth="true" hidden="false" outlineLevel="0" max="4099" min="4099" style="380" width="6"/>
    <col collapsed="false" customWidth="true" hidden="false" outlineLevel="0" max="4100" min="4100" style="380" width="9.25"/>
    <col collapsed="false" customWidth="false" hidden="false" outlineLevel="0" max="4101" min="4101" style="380" width="9"/>
    <col collapsed="false" customWidth="true" hidden="false" outlineLevel="0" max="4102" min="4102" style="380" width="8.25"/>
    <col collapsed="false" customWidth="true" hidden="false" outlineLevel="0" max="4103" min="4103" style="380" width="14.38"/>
    <col collapsed="false" customWidth="true" hidden="false" outlineLevel="0" max="4104" min="4104" style="380" width="5"/>
    <col collapsed="false" customWidth="true" hidden="false" outlineLevel="0" max="4105" min="4105" style="380" width="7.75"/>
    <col collapsed="false" customWidth="true" hidden="false" outlineLevel="0" max="4106" min="4106" style="380" width="8.5"/>
    <col collapsed="false" customWidth="true" hidden="false" outlineLevel="0" max="4107" min="4107" style="380" width="11"/>
    <col collapsed="false" customWidth="true" hidden="false" outlineLevel="0" max="4108" min="4108" style="380" width="6.5"/>
    <col collapsed="false" customWidth="true" hidden="false" outlineLevel="0" max="4109" min="4109" style="380" width="7.88"/>
    <col collapsed="false" customWidth="true" hidden="false" outlineLevel="0" max="4110" min="4110" style="380" width="7.37"/>
    <col collapsed="false" customWidth="true" hidden="false" outlineLevel="0" max="4111" min="4111" style="380" width="2.13"/>
    <col collapsed="false" customWidth="true" hidden="false" outlineLevel="0" max="4112" min="4112" style="380" width="3.5"/>
    <col collapsed="false" customWidth="false" hidden="false" outlineLevel="0" max="4352" min="4113" style="380" width="9"/>
    <col collapsed="false" customWidth="true" hidden="false" outlineLevel="0" max="4353" min="4353" style="380" width="8.75"/>
    <col collapsed="false" customWidth="true" hidden="false" outlineLevel="0" max="4354" min="4354" style="380" width="6.5"/>
    <col collapsed="false" customWidth="true" hidden="false" outlineLevel="0" max="4355" min="4355" style="380" width="6"/>
    <col collapsed="false" customWidth="true" hidden="false" outlineLevel="0" max="4356" min="4356" style="380" width="9.25"/>
    <col collapsed="false" customWidth="false" hidden="false" outlineLevel="0" max="4357" min="4357" style="380" width="9"/>
    <col collapsed="false" customWidth="true" hidden="false" outlineLevel="0" max="4358" min="4358" style="380" width="8.25"/>
    <col collapsed="false" customWidth="true" hidden="false" outlineLevel="0" max="4359" min="4359" style="380" width="14.38"/>
    <col collapsed="false" customWidth="true" hidden="false" outlineLevel="0" max="4360" min="4360" style="380" width="5"/>
    <col collapsed="false" customWidth="true" hidden="false" outlineLevel="0" max="4361" min="4361" style="380" width="7.75"/>
    <col collapsed="false" customWidth="true" hidden="false" outlineLevel="0" max="4362" min="4362" style="380" width="8.5"/>
    <col collapsed="false" customWidth="true" hidden="false" outlineLevel="0" max="4363" min="4363" style="380" width="11"/>
    <col collapsed="false" customWidth="true" hidden="false" outlineLevel="0" max="4364" min="4364" style="380" width="6.5"/>
    <col collapsed="false" customWidth="true" hidden="false" outlineLevel="0" max="4365" min="4365" style="380" width="7.88"/>
    <col collapsed="false" customWidth="true" hidden="false" outlineLevel="0" max="4366" min="4366" style="380" width="7.37"/>
    <col collapsed="false" customWidth="true" hidden="false" outlineLevel="0" max="4367" min="4367" style="380" width="2.13"/>
    <col collapsed="false" customWidth="true" hidden="false" outlineLevel="0" max="4368" min="4368" style="380" width="3.5"/>
    <col collapsed="false" customWidth="false" hidden="false" outlineLevel="0" max="4608" min="4369" style="380" width="9"/>
    <col collapsed="false" customWidth="true" hidden="false" outlineLevel="0" max="4609" min="4609" style="380" width="8.75"/>
    <col collapsed="false" customWidth="true" hidden="false" outlineLevel="0" max="4610" min="4610" style="380" width="6.5"/>
    <col collapsed="false" customWidth="true" hidden="false" outlineLevel="0" max="4611" min="4611" style="380" width="6"/>
    <col collapsed="false" customWidth="true" hidden="false" outlineLevel="0" max="4612" min="4612" style="380" width="9.25"/>
    <col collapsed="false" customWidth="false" hidden="false" outlineLevel="0" max="4613" min="4613" style="380" width="9"/>
    <col collapsed="false" customWidth="true" hidden="false" outlineLevel="0" max="4614" min="4614" style="380" width="8.25"/>
    <col collapsed="false" customWidth="true" hidden="false" outlineLevel="0" max="4615" min="4615" style="380" width="14.38"/>
    <col collapsed="false" customWidth="true" hidden="false" outlineLevel="0" max="4616" min="4616" style="380" width="5"/>
    <col collapsed="false" customWidth="true" hidden="false" outlineLevel="0" max="4617" min="4617" style="380" width="7.75"/>
    <col collapsed="false" customWidth="true" hidden="false" outlineLevel="0" max="4618" min="4618" style="380" width="8.5"/>
    <col collapsed="false" customWidth="true" hidden="false" outlineLevel="0" max="4619" min="4619" style="380" width="11"/>
    <col collapsed="false" customWidth="true" hidden="false" outlineLevel="0" max="4620" min="4620" style="380" width="6.5"/>
    <col collapsed="false" customWidth="true" hidden="false" outlineLevel="0" max="4621" min="4621" style="380" width="7.88"/>
    <col collapsed="false" customWidth="true" hidden="false" outlineLevel="0" max="4622" min="4622" style="380" width="7.37"/>
    <col collapsed="false" customWidth="true" hidden="false" outlineLevel="0" max="4623" min="4623" style="380" width="2.13"/>
    <col collapsed="false" customWidth="true" hidden="false" outlineLevel="0" max="4624" min="4624" style="380" width="3.5"/>
    <col collapsed="false" customWidth="false" hidden="false" outlineLevel="0" max="4864" min="4625" style="380" width="9"/>
    <col collapsed="false" customWidth="true" hidden="false" outlineLevel="0" max="4865" min="4865" style="380" width="8.75"/>
    <col collapsed="false" customWidth="true" hidden="false" outlineLevel="0" max="4866" min="4866" style="380" width="6.5"/>
    <col collapsed="false" customWidth="true" hidden="false" outlineLevel="0" max="4867" min="4867" style="380" width="6"/>
    <col collapsed="false" customWidth="true" hidden="false" outlineLevel="0" max="4868" min="4868" style="380" width="9.25"/>
    <col collapsed="false" customWidth="false" hidden="false" outlineLevel="0" max="4869" min="4869" style="380" width="9"/>
    <col collapsed="false" customWidth="true" hidden="false" outlineLevel="0" max="4870" min="4870" style="380" width="8.25"/>
    <col collapsed="false" customWidth="true" hidden="false" outlineLevel="0" max="4871" min="4871" style="380" width="14.38"/>
    <col collapsed="false" customWidth="true" hidden="false" outlineLevel="0" max="4872" min="4872" style="380" width="5"/>
    <col collapsed="false" customWidth="true" hidden="false" outlineLevel="0" max="4873" min="4873" style="380" width="7.75"/>
    <col collapsed="false" customWidth="true" hidden="false" outlineLevel="0" max="4874" min="4874" style="380" width="8.5"/>
    <col collapsed="false" customWidth="true" hidden="false" outlineLevel="0" max="4875" min="4875" style="380" width="11"/>
    <col collapsed="false" customWidth="true" hidden="false" outlineLevel="0" max="4876" min="4876" style="380" width="6.5"/>
    <col collapsed="false" customWidth="true" hidden="false" outlineLevel="0" max="4877" min="4877" style="380" width="7.88"/>
    <col collapsed="false" customWidth="true" hidden="false" outlineLevel="0" max="4878" min="4878" style="380" width="7.37"/>
    <col collapsed="false" customWidth="true" hidden="false" outlineLevel="0" max="4879" min="4879" style="380" width="2.13"/>
    <col collapsed="false" customWidth="true" hidden="false" outlineLevel="0" max="4880" min="4880" style="380" width="3.5"/>
    <col collapsed="false" customWidth="false" hidden="false" outlineLevel="0" max="5120" min="4881" style="380" width="9"/>
    <col collapsed="false" customWidth="true" hidden="false" outlineLevel="0" max="5121" min="5121" style="380" width="8.75"/>
    <col collapsed="false" customWidth="true" hidden="false" outlineLevel="0" max="5122" min="5122" style="380" width="6.5"/>
    <col collapsed="false" customWidth="true" hidden="false" outlineLevel="0" max="5123" min="5123" style="380" width="6"/>
    <col collapsed="false" customWidth="true" hidden="false" outlineLevel="0" max="5124" min="5124" style="380" width="9.25"/>
    <col collapsed="false" customWidth="false" hidden="false" outlineLevel="0" max="5125" min="5125" style="380" width="9"/>
    <col collapsed="false" customWidth="true" hidden="false" outlineLevel="0" max="5126" min="5126" style="380" width="8.25"/>
    <col collapsed="false" customWidth="true" hidden="false" outlineLevel="0" max="5127" min="5127" style="380" width="14.38"/>
    <col collapsed="false" customWidth="true" hidden="false" outlineLevel="0" max="5128" min="5128" style="380" width="5"/>
    <col collapsed="false" customWidth="true" hidden="false" outlineLevel="0" max="5129" min="5129" style="380" width="7.75"/>
    <col collapsed="false" customWidth="true" hidden="false" outlineLevel="0" max="5130" min="5130" style="380" width="8.5"/>
    <col collapsed="false" customWidth="true" hidden="false" outlineLevel="0" max="5131" min="5131" style="380" width="11"/>
    <col collapsed="false" customWidth="true" hidden="false" outlineLevel="0" max="5132" min="5132" style="380" width="6.5"/>
    <col collapsed="false" customWidth="true" hidden="false" outlineLevel="0" max="5133" min="5133" style="380" width="7.88"/>
    <col collapsed="false" customWidth="true" hidden="false" outlineLevel="0" max="5134" min="5134" style="380" width="7.37"/>
    <col collapsed="false" customWidth="true" hidden="false" outlineLevel="0" max="5135" min="5135" style="380" width="2.13"/>
    <col collapsed="false" customWidth="true" hidden="false" outlineLevel="0" max="5136" min="5136" style="380" width="3.5"/>
    <col collapsed="false" customWidth="false" hidden="false" outlineLevel="0" max="5376" min="5137" style="380" width="9"/>
    <col collapsed="false" customWidth="true" hidden="false" outlineLevel="0" max="5377" min="5377" style="380" width="8.75"/>
    <col collapsed="false" customWidth="true" hidden="false" outlineLevel="0" max="5378" min="5378" style="380" width="6.5"/>
    <col collapsed="false" customWidth="true" hidden="false" outlineLevel="0" max="5379" min="5379" style="380" width="6"/>
    <col collapsed="false" customWidth="true" hidden="false" outlineLevel="0" max="5380" min="5380" style="380" width="9.25"/>
    <col collapsed="false" customWidth="false" hidden="false" outlineLevel="0" max="5381" min="5381" style="380" width="9"/>
    <col collapsed="false" customWidth="true" hidden="false" outlineLevel="0" max="5382" min="5382" style="380" width="8.25"/>
    <col collapsed="false" customWidth="true" hidden="false" outlineLevel="0" max="5383" min="5383" style="380" width="14.38"/>
    <col collapsed="false" customWidth="true" hidden="false" outlineLevel="0" max="5384" min="5384" style="380" width="5"/>
    <col collapsed="false" customWidth="true" hidden="false" outlineLevel="0" max="5385" min="5385" style="380" width="7.75"/>
    <col collapsed="false" customWidth="true" hidden="false" outlineLevel="0" max="5386" min="5386" style="380" width="8.5"/>
    <col collapsed="false" customWidth="true" hidden="false" outlineLevel="0" max="5387" min="5387" style="380" width="11"/>
    <col collapsed="false" customWidth="true" hidden="false" outlineLevel="0" max="5388" min="5388" style="380" width="6.5"/>
    <col collapsed="false" customWidth="true" hidden="false" outlineLevel="0" max="5389" min="5389" style="380" width="7.88"/>
    <col collapsed="false" customWidth="true" hidden="false" outlineLevel="0" max="5390" min="5390" style="380" width="7.37"/>
    <col collapsed="false" customWidth="true" hidden="false" outlineLevel="0" max="5391" min="5391" style="380" width="2.13"/>
    <col collapsed="false" customWidth="true" hidden="false" outlineLevel="0" max="5392" min="5392" style="380" width="3.5"/>
    <col collapsed="false" customWidth="false" hidden="false" outlineLevel="0" max="5632" min="5393" style="380" width="9"/>
    <col collapsed="false" customWidth="true" hidden="false" outlineLevel="0" max="5633" min="5633" style="380" width="8.75"/>
    <col collapsed="false" customWidth="true" hidden="false" outlineLevel="0" max="5634" min="5634" style="380" width="6.5"/>
    <col collapsed="false" customWidth="true" hidden="false" outlineLevel="0" max="5635" min="5635" style="380" width="6"/>
    <col collapsed="false" customWidth="true" hidden="false" outlineLevel="0" max="5636" min="5636" style="380" width="9.25"/>
    <col collapsed="false" customWidth="false" hidden="false" outlineLevel="0" max="5637" min="5637" style="380" width="9"/>
    <col collapsed="false" customWidth="true" hidden="false" outlineLevel="0" max="5638" min="5638" style="380" width="8.25"/>
    <col collapsed="false" customWidth="true" hidden="false" outlineLevel="0" max="5639" min="5639" style="380" width="14.38"/>
    <col collapsed="false" customWidth="true" hidden="false" outlineLevel="0" max="5640" min="5640" style="380" width="5"/>
    <col collapsed="false" customWidth="true" hidden="false" outlineLevel="0" max="5641" min="5641" style="380" width="7.75"/>
    <col collapsed="false" customWidth="true" hidden="false" outlineLevel="0" max="5642" min="5642" style="380" width="8.5"/>
    <col collapsed="false" customWidth="true" hidden="false" outlineLevel="0" max="5643" min="5643" style="380" width="11"/>
    <col collapsed="false" customWidth="true" hidden="false" outlineLevel="0" max="5644" min="5644" style="380" width="6.5"/>
    <col collapsed="false" customWidth="true" hidden="false" outlineLevel="0" max="5645" min="5645" style="380" width="7.88"/>
    <col collapsed="false" customWidth="true" hidden="false" outlineLevel="0" max="5646" min="5646" style="380" width="7.37"/>
    <col collapsed="false" customWidth="true" hidden="false" outlineLevel="0" max="5647" min="5647" style="380" width="2.13"/>
    <col collapsed="false" customWidth="true" hidden="false" outlineLevel="0" max="5648" min="5648" style="380" width="3.5"/>
    <col collapsed="false" customWidth="false" hidden="false" outlineLevel="0" max="5888" min="5649" style="380" width="9"/>
    <col collapsed="false" customWidth="true" hidden="false" outlineLevel="0" max="5889" min="5889" style="380" width="8.75"/>
    <col collapsed="false" customWidth="true" hidden="false" outlineLevel="0" max="5890" min="5890" style="380" width="6.5"/>
    <col collapsed="false" customWidth="true" hidden="false" outlineLevel="0" max="5891" min="5891" style="380" width="6"/>
    <col collapsed="false" customWidth="true" hidden="false" outlineLevel="0" max="5892" min="5892" style="380" width="9.25"/>
    <col collapsed="false" customWidth="false" hidden="false" outlineLevel="0" max="5893" min="5893" style="380" width="9"/>
    <col collapsed="false" customWidth="true" hidden="false" outlineLevel="0" max="5894" min="5894" style="380" width="8.25"/>
    <col collapsed="false" customWidth="true" hidden="false" outlineLevel="0" max="5895" min="5895" style="380" width="14.38"/>
    <col collapsed="false" customWidth="true" hidden="false" outlineLevel="0" max="5896" min="5896" style="380" width="5"/>
    <col collapsed="false" customWidth="true" hidden="false" outlineLevel="0" max="5897" min="5897" style="380" width="7.75"/>
    <col collapsed="false" customWidth="true" hidden="false" outlineLevel="0" max="5898" min="5898" style="380" width="8.5"/>
    <col collapsed="false" customWidth="true" hidden="false" outlineLevel="0" max="5899" min="5899" style="380" width="11"/>
    <col collapsed="false" customWidth="true" hidden="false" outlineLevel="0" max="5900" min="5900" style="380" width="6.5"/>
    <col collapsed="false" customWidth="true" hidden="false" outlineLevel="0" max="5901" min="5901" style="380" width="7.88"/>
    <col collapsed="false" customWidth="true" hidden="false" outlineLevel="0" max="5902" min="5902" style="380" width="7.37"/>
    <col collapsed="false" customWidth="true" hidden="false" outlineLevel="0" max="5903" min="5903" style="380" width="2.13"/>
    <col collapsed="false" customWidth="true" hidden="false" outlineLevel="0" max="5904" min="5904" style="380" width="3.5"/>
    <col collapsed="false" customWidth="false" hidden="false" outlineLevel="0" max="6144" min="5905" style="380" width="9"/>
    <col collapsed="false" customWidth="true" hidden="false" outlineLevel="0" max="6145" min="6145" style="380" width="8.75"/>
    <col collapsed="false" customWidth="true" hidden="false" outlineLevel="0" max="6146" min="6146" style="380" width="6.5"/>
    <col collapsed="false" customWidth="true" hidden="false" outlineLevel="0" max="6147" min="6147" style="380" width="6"/>
    <col collapsed="false" customWidth="true" hidden="false" outlineLevel="0" max="6148" min="6148" style="380" width="9.25"/>
    <col collapsed="false" customWidth="false" hidden="false" outlineLevel="0" max="6149" min="6149" style="380" width="9"/>
    <col collapsed="false" customWidth="true" hidden="false" outlineLevel="0" max="6150" min="6150" style="380" width="8.25"/>
    <col collapsed="false" customWidth="true" hidden="false" outlineLevel="0" max="6151" min="6151" style="380" width="14.38"/>
    <col collapsed="false" customWidth="true" hidden="false" outlineLevel="0" max="6152" min="6152" style="380" width="5"/>
    <col collapsed="false" customWidth="true" hidden="false" outlineLevel="0" max="6153" min="6153" style="380" width="7.75"/>
    <col collapsed="false" customWidth="true" hidden="false" outlineLevel="0" max="6154" min="6154" style="380" width="8.5"/>
    <col collapsed="false" customWidth="true" hidden="false" outlineLevel="0" max="6155" min="6155" style="380" width="11"/>
    <col collapsed="false" customWidth="true" hidden="false" outlineLevel="0" max="6156" min="6156" style="380" width="6.5"/>
    <col collapsed="false" customWidth="true" hidden="false" outlineLevel="0" max="6157" min="6157" style="380" width="7.88"/>
    <col collapsed="false" customWidth="true" hidden="false" outlineLevel="0" max="6158" min="6158" style="380" width="7.37"/>
    <col collapsed="false" customWidth="true" hidden="false" outlineLevel="0" max="6159" min="6159" style="380" width="2.13"/>
    <col collapsed="false" customWidth="true" hidden="false" outlineLevel="0" max="6160" min="6160" style="380" width="3.5"/>
    <col collapsed="false" customWidth="false" hidden="false" outlineLevel="0" max="6400" min="6161" style="380" width="9"/>
    <col collapsed="false" customWidth="true" hidden="false" outlineLevel="0" max="6401" min="6401" style="380" width="8.75"/>
    <col collapsed="false" customWidth="true" hidden="false" outlineLevel="0" max="6402" min="6402" style="380" width="6.5"/>
    <col collapsed="false" customWidth="true" hidden="false" outlineLevel="0" max="6403" min="6403" style="380" width="6"/>
    <col collapsed="false" customWidth="true" hidden="false" outlineLevel="0" max="6404" min="6404" style="380" width="9.25"/>
    <col collapsed="false" customWidth="false" hidden="false" outlineLevel="0" max="6405" min="6405" style="380" width="9"/>
    <col collapsed="false" customWidth="true" hidden="false" outlineLevel="0" max="6406" min="6406" style="380" width="8.25"/>
    <col collapsed="false" customWidth="true" hidden="false" outlineLevel="0" max="6407" min="6407" style="380" width="14.38"/>
    <col collapsed="false" customWidth="true" hidden="false" outlineLevel="0" max="6408" min="6408" style="380" width="5"/>
    <col collapsed="false" customWidth="true" hidden="false" outlineLevel="0" max="6409" min="6409" style="380" width="7.75"/>
    <col collapsed="false" customWidth="true" hidden="false" outlineLevel="0" max="6410" min="6410" style="380" width="8.5"/>
    <col collapsed="false" customWidth="true" hidden="false" outlineLevel="0" max="6411" min="6411" style="380" width="11"/>
    <col collapsed="false" customWidth="true" hidden="false" outlineLevel="0" max="6412" min="6412" style="380" width="6.5"/>
    <col collapsed="false" customWidth="true" hidden="false" outlineLevel="0" max="6413" min="6413" style="380" width="7.88"/>
    <col collapsed="false" customWidth="true" hidden="false" outlineLevel="0" max="6414" min="6414" style="380" width="7.37"/>
    <col collapsed="false" customWidth="true" hidden="false" outlineLevel="0" max="6415" min="6415" style="380" width="2.13"/>
    <col collapsed="false" customWidth="true" hidden="false" outlineLevel="0" max="6416" min="6416" style="380" width="3.5"/>
    <col collapsed="false" customWidth="false" hidden="false" outlineLevel="0" max="6656" min="6417" style="380" width="9"/>
    <col collapsed="false" customWidth="true" hidden="false" outlineLevel="0" max="6657" min="6657" style="380" width="8.75"/>
    <col collapsed="false" customWidth="true" hidden="false" outlineLevel="0" max="6658" min="6658" style="380" width="6.5"/>
    <col collapsed="false" customWidth="true" hidden="false" outlineLevel="0" max="6659" min="6659" style="380" width="6"/>
    <col collapsed="false" customWidth="true" hidden="false" outlineLevel="0" max="6660" min="6660" style="380" width="9.25"/>
    <col collapsed="false" customWidth="false" hidden="false" outlineLevel="0" max="6661" min="6661" style="380" width="9"/>
    <col collapsed="false" customWidth="true" hidden="false" outlineLevel="0" max="6662" min="6662" style="380" width="8.25"/>
    <col collapsed="false" customWidth="true" hidden="false" outlineLevel="0" max="6663" min="6663" style="380" width="14.38"/>
    <col collapsed="false" customWidth="true" hidden="false" outlineLevel="0" max="6664" min="6664" style="380" width="5"/>
    <col collapsed="false" customWidth="true" hidden="false" outlineLevel="0" max="6665" min="6665" style="380" width="7.75"/>
    <col collapsed="false" customWidth="true" hidden="false" outlineLevel="0" max="6666" min="6666" style="380" width="8.5"/>
    <col collapsed="false" customWidth="true" hidden="false" outlineLevel="0" max="6667" min="6667" style="380" width="11"/>
    <col collapsed="false" customWidth="true" hidden="false" outlineLevel="0" max="6668" min="6668" style="380" width="6.5"/>
    <col collapsed="false" customWidth="true" hidden="false" outlineLevel="0" max="6669" min="6669" style="380" width="7.88"/>
    <col collapsed="false" customWidth="true" hidden="false" outlineLevel="0" max="6670" min="6670" style="380" width="7.37"/>
    <col collapsed="false" customWidth="true" hidden="false" outlineLevel="0" max="6671" min="6671" style="380" width="2.13"/>
    <col collapsed="false" customWidth="true" hidden="false" outlineLevel="0" max="6672" min="6672" style="380" width="3.5"/>
    <col collapsed="false" customWidth="false" hidden="false" outlineLevel="0" max="6912" min="6673" style="380" width="9"/>
    <col collapsed="false" customWidth="true" hidden="false" outlineLevel="0" max="6913" min="6913" style="380" width="8.75"/>
    <col collapsed="false" customWidth="true" hidden="false" outlineLevel="0" max="6914" min="6914" style="380" width="6.5"/>
    <col collapsed="false" customWidth="true" hidden="false" outlineLevel="0" max="6915" min="6915" style="380" width="6"/>
    <col collapsed="false" customWidth="true" hidden="false" outlineLevel="0" max="6916" min="6916" style="380" width="9.25"/>
    <col collapsed="false" customWidth="false" hidden="false" outlineLevel="0" max="6917" min="6917" style="380" width="9"/>
    <col collapsed="false" customWidth="true" hidden="false" outlineLevel="0" max="6918" min="6918" style="380" width="8.25"/>
    <col collapsed="false" customWidth="true" hidden="false" outlineLevel="0" max="6919" min="6919" style="380" width="14.38"/>
    <col collapsed="false" customWidth="true" hidden="false" outlineLevel="0" max="6920" min="6920" style="380" width="5"/>
    <col collapsed="false" customWidth="true" hidden="false" outlineLevel="0" max="6921" min="6921" style="380" width="7.75"/>
    <col collapsed="false" customWidth="true" hidden="false" outlineLevel="0" max="6922" min="6922" style="380" width="8.5"/>
    <col collapsed="false" customWidth="true" hidden="false" outlineLevel="0" max="6923" min="6923" style="380" width="11"/>
    <col collapsed="false" customWidth="true" hidden="false" outlineLevel="0" max="6924" min="6924" style="380" width="6.5"/>
    <col collapsed="false" customWidth="true" hidden="false" outlineLevel="0" max="6925" min="6925" style="380" width="7.88"/>
    <col collapsed="false" customWidth="true" hidden="false" outlineLevel="0" max="6926" min="6926" style="380" width="7.37"/>
    <col collapsed="false" customWidth="true" hidden="false" outlineLevel="0" max="6927" min="6927" style="380" width="2.13"/>
    <col collapsed="false" customWidth="true" hidden="false" outlineLevel="0" max="6928" min="6928" style="380" width="3.5"/>
    <col collapsed="false" customWidth="false" hidden="false" outlineLevel="0" max="7168" min="6929" style="380" width="9"/>
    <col collapsed="false" customWidth="true" hidden="false" outlineLevel="0" max="7169" min="7169" style="380" width="8.75"/>
    <col collapsed="false" customWidth="true" hidden="false" outlineLevel="0" max="7170" min="7170" style="380" width="6.5"/>
    <col collapsed="false" customWidth="true" hidden="false" outlineLevel="0" max="7171" min="7171" style="380" width="6"/>
    <col collapsed="false" customWidth="true" hidden="false" outlineLevel="0" max="7172" min="7172" style="380" width="9.25"/>
    <col collapsed="false" customWidth="false" hidden="false" outlineLevel="0" max="7173" min="7173" style="380" width="9"/>
    <col collapsed="false" customWidth="true" hidden="false" outlineLevel="0" max="7174" min="7174" style="380" width="8.25"/>
    <col collapsed="false" customWidth="true" hidden="false" outlineLevel="0" max="7175" min="7175" style="380" width="14.38"/>
    <col collapsed="false" customWidth="true" hidden="false" outlineLevel="0" max="7176" min="7176" style="380" width="5"/>
    <col collapsed="false" customWidth="true" hidden="false" outlineLevel="0" max="7177" min="7177" style="380" width="7.75"/>
    <col collapsed="false" customWidth="true" hidden="false" outlineLevel="0" max="7178" min="7178" style="380" width="8.5"/>
    <col collapsed="false" customWidth="true" hidden="false" outlineLevel="0" max="7179" min="7179" style="380" width="11"/>
    <col collapsed="false" customWidth="true" hidden="false" outlineLevel="0" max="7180" min="7180" style="380" width="6.5"/>
    <col collapsed="false" customWidth="true" hidden="false" outlineLevel="0" max="7181" min="7181" style="380" width="7.88"/>
    <col collapsed="false" customWidth="true" hidden="false" outlineLevel="0" max="7182" min="7182" style="380" width="7.37"/>
    <col collapsed="false" customWidth="true" hidden="false" outlineLevel="0" max="7183" min="7183" style="380" width="2.13"/>
    <col collapsed="false" customWidth="true" hidden="false" outlineLevel="0" max="7184" min="7184" style="380" width="3.5"/>
    <col collapsed="false" customWidth="false" hidden="false" outlineLevel="0" max="7424" min="7185" style="380" width="9"/>
    <col collapsed="false" customWidth="true" hidden="false" outlineLevel="0" max="7425" min="7425" style="380" width="8.75"/>
    <col collapsed="false" customWidth="true" hidden="false" outlineLevel="0" max="7426" min="7426" style="380" width="6.5"/>
    <col collapsed="false" customWidth="true" hidden="false" outlineLevel="0" max="7427" min="7427" style="380" width="6"/>
    <col collapsed="false" customWidth="true" hidden="false" outlineLevel="0" max="7428" min="7428" style="380" width="9.25"/>
    <col collapsed="false" customWidth="false" hidden="false" outlineLevel="0" max="7429" min="7429" style="380" width="9"/>
    <col collapsed="false" customWidth="true" hidden="false" outlineLevel="0" max="7430" min="7430" style="380" width="8.25"/>
    <col collapsed="false" customWidth="true" hidden="false" outlineLevel="0" max="7431" min="7431" style="380" width="14.38"/>
    <col collapsed="false" customWidth="true" hidden="false" outlineLevel="0" max="7432" min="7432" style="380" width="5"/>
    <col collapsed="false" customWidth="true" hidden="false" outlineLevel="0" max="7433" min="7433" style="380" width="7.75"/>
    <col collapsed="false" customWidth="true" hidden="false" outlineLevel="0" max="7434" min="7434" style="380" width="8.5"/>
    <col collapsed="false" customWidth="true" hidden="false" outlineLevel="0" max="7435" min="7435" style="380" width="11"/>
    <col collapsed="false" customWidth="true" hidden="false" outlineLevel="0" max="7436" min="7436" style="380" width="6.5"/>
    <col collapsed="false" customWidth="true" hidden="false" outlineLevel="0" max="7437" min="7437" style="380" width="7.88"/>
    <col collapsed="false" customWidth="true" hidden="false" outlineLevel="0" max="7438" min="7438" style="380" width="7.37"/>
    <col collapsed="false" customWidth="true" hidden="false" outlineLevel="0" max="7439" min="7439" style="380" width="2.13"/>
    <col collapsed="false" customWidth="true" hidden="false" outlineLevel="0" max="7440" min="7440" style="380" width="3.5"/>
    <col collapsed="false" customWidth="false" hidden="false" outlineLevel="0" max="7680" min="7441" style="380" width="9"/>
    <col collapsed="false" customWidth="true" hidden="false" outlineLevel="0" max="7681" min="7681" style="380" width="8.75"/>
    <col collapsed="false" customWidth="true" hidden="false" outlineLevel="0" max="7682" min="7682" style="380" width="6.5"/>
    <col collapsed="false" customWidth="true" hidden="false" outlineLevel="0" max="7683" min="7683" style="380" width="6"/>
    <col collapsed="false" customWidth="true" hidden="false" outlineLevel="0" max="7684" min="7684" style="380" width="9.25"/>
    <col collapsed="false" customWidth="false" hidden="false" outlineLevel="0" max="7685" min="7685" style="380" width="9"/>
    <col collapsed="false" customWidth="true" hidden="false" outlineLevel="0" max="7686" min="7686" style="380" width="8.25"/>
    <col collapsed="false" customWidth="true" hidden="false" outlineLevel="0" max="7687" min="7687" style="380" width="14.38"/>
    <col collapsed="false" customWidth="true" hidden="false" outlineLevel="0" max="7688" min="7688" style="380" width="5"/>
    <col collapsed="false" customWidth="true" hidden="false" outlineLevel="0" max="7689" min="7689" style="380" width="7.75"/>
    <col collapsed="false" customWidth="true" hidden="false" outlineLevel="0" max="7690" min="7690" style="380" width="8.5"/>
    <col collapsed="false" customWidth="true" hidden="false" outlineLevel="0" max="7691" min="7691" style="380" width="11"/>
    <col collapsed="false" customWidth="true" hidden="false" outlineLevel="0" max="7692" min="7692" style="380" width="6.5"/>
    <col collapsed="false" customWidth="true" hidden="false" outlineLevel="0" max="7693" min="7693" style="380" width="7.88"/>
    <col collapsed="false" customWidth="true" hidden="false" outlineLevel="0" max="7694" min="7694" style="380" width="7.37"/>
    <col collapsed="false" customWidth="true" hidden="false" outlineLevel="0" max="7695" min="7695" style="380" width="2.13"/>
    <col collapsed="false" customWidth="true" hidden="false" outlineLevel="0" max="7696" min="7696" style="380" width="3.5"/>
    <col collapsed="false" customWidth="false" hidden="false" outlineLevel="0" max="7936" min="7697" style="380" width="9"/>
    <col collapsed="false" customWidth="true" hidden="false" outlineLevel="0" max="7937" min="7937" style="380" width="8.75"/>
    <col collapsed="false" customWidth="true" hidden="false" outlineLevel="0" max="7938" min="7938" style="380" width="6.5"/>
    <col collapsed="false" customWidth="true" hidden="false" outlineLevel="0" max="7939" min="7939" style="380" width="6"/>
    <col collapsed="false" customWidth="true" hidden="false" outlineLevel="0" max="7940" min="7940" style="380" width="9.25"/>
    <col collapsed="false" customWidth="false" hidden="false" outlineLevel="0" max="7941" min="7941" style="380" width="9"/>
    <col collapsed="false" customWidth="true" hidden="false" outlineLevel="0" max="7942" min="7942" style="380" width="8.25"/>
    <col collapsed="false" customWidth="true" hidden="false" outlineLevel="0" max="7943" min="7943" style="380" width="14.38"/>
    <col collapsed="false" customWidth="true" hidden="false" outlineLevel="0" max="7944" min="7944" style="380" width="5"/>
    <col collapsed="false" customWidth="true" hidden="false" outlineLevel="0" max="7945" min="7945" style="380" width="7.75"/>
    <col collapsed="false" customWidth="true" hidden="false" outlineLevel="0" max="7946" min="7946" style="380" width="8.5"/>
    <col collapsed="false" customWidth="true" hidden="false" outlineLevel="0" max="7947" min="7947" style="380" width="11"/>
    <col collapsed="false" customWidth="true" hidden="false" outlineLevel="0" max="7948" min="7948" style="380" width="6.5"/>
    <col collapsed="false" customWidth="true" hidden="false" outlineLevel="0" max="7949" min="7949" style="380" width="7.88"/>
    <col collapsed="false" customWidth="true" hidden="false" outlineLevel="0" max="7950" min="7950" style="380" width="7.37"/>
    <col collapsed="false" customWidth="true" hidden="false" outlineLevel="0" max="7951" min="7951" style="380" width="2.13"/>
    <col collapsed="false" customWidth="true" hidden="false" outlineLevel="0" max="7952" min="7952" style="380" width="3.5"/>
    <col collapsed="false" customWidth="false" hidden="false" outlineLevel="0" max="8192" min="7953" style="380" width="9"/>
    <col collapsed="false" customWidth="true" hidden="false" outlineLevel="0" max="8193" min="8193" style="380" width="8.75"/>
    <col collapsed="false" customWidth="true" hidden="false" outlineLevel="0" max="8194" min="8194" style="380" width="6.5"/>
    <col collapsed="false" customWidth="true" hidden="false" outlineLevel="0" max="8195" min="8195" style="380" width="6"/>
    <col collapsed="false" customWidth="true" hidden="false" outlineLevel="0" max="8196" min="8196" style="380" width="9.25"/>
    <col collapsed="false" customWidth="false" hidden="false" outlineLevel="0" max="8197" min="8197" style="380" width="9"/>
    <col collapsed="false" customWidth="true" hidden="false" outlineLevel="0" max="8198" min="8198" style="380" width="8.25"/>
    <col collapsed="false" customWidth="true" hidden="false" outlineLevel="0" max="8199" min="8199" style="380" width="14.38"/>
    <col collapsed="false" customWidth="true" hidden="false" outlineLevel="0" max="8200" min="8200" style="380" width="5"/>
    <col collapsed="false" customWidth="true" hidden="false" outlineLevel="0" max="8201" min="8201" style="380" width="7.75"/>
    <col collapsed="false" customWidth="true" hidden="false" outlineLevel="0" max="8202" min="8202" style="380" width="8.5"/>
    <col collapsed="false" customWidth="true" hidden="false" outlineLevel="0" max="8203" min="8203" style="380" width="11"/>
    <col collapsed="false" customWidth="true" hidden="false" outlineLevel="0" max="8204" min="8204" style="380" width="6.5"/>
    <col collapsed="false" customWidth="true" hidden="false" outlineLevel="0" max="8205" min="8205" style="380" width="7.88"/>
    <col collapsed="false" customWidth="true" hidden="false" outlineLevel="0" max="8206" min="8206" style="380" width="7.37"/>
    <col collapsed="false" customWidth="true" hidden="false" outlineLevel="0" max="8207" min="8207" style="380" width="2.13"/>
    <col collapsed="false" customWidth="true" hidden="false" outlineLevel="0" max="8208" min="8208" style="380" width="3.5"/>
    <col collapsed="false" customWidth="false" hidden="false" outlineLevel="0" max="8448" min="8209" style="380" width="9"/>
    <col collapsed="false" customWidth="true" hidden="false" outlineLevel="0" max="8449" min="8449" style="380" width="8.75"/>
    <col collapsed="false" customWidth="true" hidden="false" outlineLevel="0" max="8450" min="8450" style="380" width="6.5"/>
    <col collapsed="false" customWidth="true" hidden="false" outlineLevel="0" max="8451" min="8451" style="380" width="6"/>
    <col collapsed="false" customWidth="true" hidden="false" outlineLevel="0" max="8452" min="8452" style="380" width="9.25"/>
    <col collapsed="false" customWidth="false" hidden="false" outlineLevel="0" max="8453" min="8453" style="380" width="9"/>
    <col collapsed="false" customWidth="true" hidden="false" outlineLevel="0" max="8454" min="8454" style="380" width="8.25"/>
    <col collapsed="false" customWidth="true" hidden="false" outlineLevel="0" max="8455" min="8455" style="380" width="14.38"/>
    <col collapsed="false" customWidth="true" hidden="false" outlineLevel="0" max="8456" min="8456" style="380" width="5"/>
    <col collapsed="false" customWidth="true" hidden="false" outlineLevel="0" max="8457" min="8457" style="380" width="7.75"/>
    <col collapsed="false" customWidth="true" hidden="false" outlineLevel="0" max="8458" min="8458" style="380" width="8.5"/>
    <col collapsed="false" customWidth="true" hidden="false" outlineLevel="0" max="8459" min="8459" style="380" width="11"/>
    <col collapsed="false" customWidth="true" hidden="false" outlineLevel="0" max="8460" min="8460" style="380" width="6.5"/>
    <col collapsed="false" customWidth="true" hidden="false" outlineLevel="0" max="8461" min="8461" style="380" width="7.88"/>
    <col collapsed="false" customWidth="true" hidden="false" outlineLevel="0" max="8462" min="8462" style="380" width="7.37"/>
    <col collapsed="false" customWidth="true" hidden="false" outlineLevel="0" max="8463" min="8463" style="380" width="2.13"/>
    <col collapsed="false" customWidth="true" hidden="false" outlineLevel="0" max="8464" min="8464" style="380" width="3.5"/>
    <col collapsed="false" customWidth="false" hidden="false" outlineLevel="0" max="8704" min="8465" style="380" width="9"/>
    <col collapsed="false" customWidth="true" hidden="false" outlineLevel="0" max="8705" min="8705" style="380" width="8.75"/>
    <col collapsed="false" customWidth="true" hidden="false" outlineLevel="0" max="8706" min="8706" style="380" width="6.5"/>
    <col collapsed="false" customWidth="true" hidden="false" outlineLevel="0" max="8707" min="8707" style="380" width="6"/>
    <col collapsed="false" customWidth="true" hidden="false" outlineLevel="0" max="8708" min="8708" style="380" width="9.25"/>
    <col collapsed="false" customWidth="false" hidden="false" outlineLevel="0" max="8709" min="8709" style="380" width="9"/>
    <col collapsed="false" customWidth="true" hidden="false" outlineLevel="0" max="8710" min="8710" style="380" width="8.25"/>
    <col collapsed="false" customWidth="true" hidden="false" outlineLevel="0" max="8711" min="8711" style="380" width="14.38"/>
    <col collapsed="false" customWidth="true" hidden="false" outlineLevel="0" max="8712" min="8712" style="380" width="5"/>
    <col collapsed="false" customWidth="true" hidden="false" outlineLevel="0" max="8713" min="8713" style="380" width="7.75"/>
    <col collapsed="false" customWidth="true" hidden="false" outlineLevel="0" max="8714" min="8714" style="380" width="8.5"/>
    <col collapsed="false" customWidth="true" hidden="false" outlineLevel="0" max="8715" min="8715" style="380" width="11"/>
    <col collapsed="false" customWidth="true" hidden="false" outlineLevel="0" max="8716" min="8716" style="380" width="6.5"/>
    <col collapsed="false" customWidth="true" hidden="false" outlineLevel="0" max="8717" min="8717" style="380" width="7.88"/>
    <col collapsed="false" customWidth="true" hidden="false" outlineLevel="0" max="8718" min="8718" style="380" width="7.37"/>
    <col collapsed="false" customWidth="true" hidden="false" outlineLevel="0" max="8719" min="8719" style="380" width="2.13"/>
    <col collapsed="false" customWidth="true" hidden="false" outlineLevel="0" max="8720" min="8720" style="380" width="3.5"/>
    <col collapsed="false" customWidth="false" hidden="false" outlineLevel="0" max="8960" min="8721" style="380" width="9"/>
    <col collapsed="false" customWidth="true" hidden="false" outlineLevel="0" max="8961" min="8961" style="380" width="8.75"/>
    <col collapsed="false" customWidth="true" hidden="false" outlineLevel="0" max="8962" min="8962" style="380" width="6.5"/>
    <col collapsed="false" customWidth="true" hidden="false" outlineLevel="0" max="8963" min="8963" style="380" width="6"/>
    <col collapsed="false" customWidth="true" hidden="false" outlineLevel="0" max="8964" min="8964" style="380" width="9.25"/>
    <col collapsed="false" customWidth="false" hidden="false" outlineLevel="0" max="8965" min="8965" style="380" width="9"/>
    <col collapsed="false" customWidth="true" hidden="false" outlineLevel="0" max="8966" min="8966" style="380" width="8.25"/>
    <col collapsed="false" customWidth="true" hidden="false" outlineLevel="0" max="8967" min="8967" style="380" width="14.38"/>
    <col collapsed="false" customWidth="true" hidden="false" outlineLevel="0" max="8968" min="8968" style="380" width="5"/>
    <col collapsed="false" customWidth="true" hidden="false" outlineLevel="0" max="8969" min="8969" style="380" width="7.75"/>
    <col collapsed="false" customWidth="true" hidden="false" outlineLevel="0" max="8970" min="8970" style="380" width="8.5"/>
    <col collapsed="false" customWidth="true" hidden="false" outlineLevel="0" max="8971" min="8971" style="380" width="11"/>
    <col collapsed="false" customWidth="true" hidden="false" outlineLevel="0" max="8972" min="8972" style="380" width="6.5"/>
    <col collapsed="false" customWidth="true" hidden="false" outlineLevel="0" max="8973" min="8973" style="380" width="7.88"/>
    <col collapsed="false" customWidth="true" hidden="false" outlineLevel="0" max="8974" min="8974" style="380" width="7.37"/>
    <col collapsed="false" customWidth="true" hidden="false" outlineLevel="0" max="8975" min="8975" style="380" width="2.13"/>
    <col collapsed="false" customWidth="true" hidden="false" outlineLevel="0" max="8976" min="8976" style="380" width="3.5"/>
    <col collapsed="false" customWidth="false" hidden="false" outlineLevel="0" max="9216" min="8977" style="380" width="9"/>
    <col collapsed="false" customWidth="true" hidden="false" outlineLevel="0" max="9217" min="9217" style="380" width="8.75"/>
    <col collapsed="false" customWidth="true" hidden="false" outlineLevel="0" max="9218" min="9218" style="380" width="6.5"/>
    <col collapsed="false" customWidth="true" hidden="false" outlineLevel="0" max="9219" min="9219" style="380" width="6"/>
    <col collapsed="false" customWidth="true" hidden="false" outlineLevel="0" max="9220" min="9220" style="380" width="9.25"/>
    <col collapsed="false" customWidth="false" hidden="false" outlineLevel="0" max="9221" min="9221" style="380" width="9"/>
    <col collapsed="false" customWidth="true" hidden="false" outlineLevel="0" max="9222" min="9222" style="380" width="8.25"/>
    <col collapsed="false" customWidth="true" hidden="false" outlineLevel="0" max="9223" min="9223" style="380" width="14.38"/>
    <col collapsed="false" customWidth="true" hidden="false" outlineLevel="0" max="9224" min="9224" style="380" width="5"/>
    <col collapsed="false" customWidth="true" hidden="false" outlineLevel="0" max="9225" min="9225" style="380" width="7.75"/>
    <col collapsed="false" customWidth="true" hidden="false" outlineLevel="0" max="9226" min="9226" style="380" width="8.5"/>
    <col collapsed="false" customWidth="true" hidden="false" outlineLevel="0" max="9227" min="9227" style="380" width="11"/>
    <col collapsed="false" customWidth="true" hidden="false" outlineLevel="0" max="9228" min="9228" style="380" width="6.5"/>
    <col collapsed="false" customWidth="true" hidden="false" outlineLevel="0" max="9229" min="9229" style="380" width="7.88"/>
    <col collapsed="false" customWidth="true" hidden="false" outlineLevel="0" max="9230" min="9230" style="380" width="7.37"/>
    <col collapsed="false" customWidth="true" hidden="false" outlineLevel="0" max="9231" min="9231" style="380" width="2.13"/>
    <col collapsed="false" customWidth="true" hidden="false" outlineLevel="0" max="9232" min="9232" style="380" width="3.5"/>
    <col collapsed="false" customWidth="false" hidden="false" outlineLevel="0" max="9472" min="9233" style="380" width="9"/>
    <col collapsed="false" customWidth="true" hidden="false" outlineLevel="0" max="9473" min="9473" style="380" width="8.75"/>
    <col collapsed="false" customWidth="true" hidden="false" outlineLevel="0" max="9474" min="9474" style="380" width="6.5"/>
    <col collapsed="false" customWidth="true" hidden="false" outlineLevel="0" max="9475" min="9475" style="380" width="6"/>
    <col collapsed="false" customWidth="true" hidden="false" outlineLevel="0" max="9476" min="9476" style="380" width="9.25"/>
    <col collapsed="false" customWidth="false" hidden="false" outlineLevel="0" max="9477" min="9477" style="380" width="9"/>
    <col collapsed="false" customWidth="true" hidden="false" outlineLevel="0" max="9478" min="9478" style="380" width="8.25"/>
    <col collapsed="false" customWidth="true" hidden="false" outlineLevel="0" max="9479" min="9479" style="380" width="14.38"/>
    <col collapsed="false" customWidth="true" hidden="false" outlineLevel="0" max="9480" min="9480" style="380" width="5"/>
    <col collapsed="false" customWidth="true" hidden="false" outlineLevel="0" max="9481" min="9481" style="380" width="7.75"/>
    <col collapsed="false" customWidth="true" hidden="false" outlineLevel="0" max="9482" min="9482" style="380" width="8.5"/>
    <col collapsed="false" customWidth="true" hidden="false" outlineLevel="0" max="9483" min="9483" style="380" width="11"/>
    <col collapsed="false" customWidth="true" hidden="false" outlineLevel="0" max="9484" min="9484" style="380" width="6.5"/>
    <col collapsed="false" customWidth="true" hidden="false" outlineLevel="0" max="9485" min="9485" style="380" width="7.88"/>
    <col collapsed="false" customWidth="true" hidden="false" outlineLevel="0" max="9486" min="9486" style="380" width="7.37"/>
    <col collapsed="false" customWidth="true" hidden="false" outlineLevel="0" max="9487" min="9487" style="380" width="2.13"/>
    <col collapsed="false" customWidth="true" hidden="false" outlineLevel="0" max="9488" min="9488" style="380" width="3.5"/>
    <col collapsed="false" customWidth="false" hidden="false" outlineLevel="0" max="9728" min="9489" style="380" width="9"/>
    <col collapsed="false" customWidth="true" hidden="false" outlineLevel="0" max="9729" min="9729" style="380" width="8.75"/>
    <col collapsed="false" customWidth="true" hidden="false" outlineLevel="0" max="9730" min="9730" style="380" width="6.5"/>
    <col collapsed="false" customWidth="true" hidden="false" outlineLevel="0" max="9731" min="9731" style="380" width="6"/>
    <col collapsed="false" customWidth="true" hidden="false" outlineLevel="0" max="9732" min="9732" style="380" width="9.25"/>
    <col collapsed="false" customWidth="false" hidden="false" outlineLevel="0" max="9733" min="9733" style="380" width="9"/>
    <col collapsed="false" customWidth="true" hidden="false" outlineLevel="0" max="9734" min="9734" style="380" width="8.25"/>
    <col collapsed="false" customWidth="true" hidden="false" outlineLevel="0" max="9735" min="9735" style="380" width="14.38"/>
    <col collapsed="false" customWidth="true" hidden="false" outlineLevel="0" max="9736" min="9736" style="380" width="5"/>
    <col collapsed="false" customWidth="true" hidden="false" outlineLevel="0" max="9737" min="9737" style="380" width="7.75"/>
    <col collapsed="false" customWidth="true" hidden="false" outlineLevel="0" max="9738" min="9738" style="380" width="8.5"/>
    <col collapsed="false" customWidth="true" hidden="false" outlineLevel="0" max="9739" min="9739" style="380" width="11"/>
    <col collapsed="false" customWidth="true" hidden="false" outlineLevel="0" max="9740" min="9740" style="380" width="6.5"/>
    <col collapsed="false" customWidth="true" hidden="false" outlineLevel="0" max="9741" min="9741" style="380" width="7.88"/>
    <col collapsed="false" customWidth="true" hidden="false" outlineLevel="0" max="9742" min="9742" style="380" width="7.37"/>
    <col collapsed="false" customWidth="true" hidden="false" outlineLevel="0" max="9743" min="9743" style="380" width="2.13"/>
    <col collapsed="false" customWidth="true" hidden="false" outlineLevel="0" max="9744" min="9744" style="380" width="3.5"/>
    <col collapsed="false" customWidth="false" hidden="false" outlineLevel="0" max="9984" min="9745" style="380" width="9"/>
    <col collapsed="false" customWidth="true" hidden="false" outlineLevel="0" max="9985" min="9985" style="380" width="8.75"/>
    <col collapsed="false" customWidth="true" hidden="false" outlineLevel="0" max="9986" min="9986" style="380" width="6.5"/>
    <col collapsed="false" customWidth="true" hidden="false" outlineLevel="0" max="9987" min="9987" style="380" width="6"/>
    <col collapsed="false" customWidth="true" hidden="false" outlineLevel="0" max="9988" min="9988" style="380" width="9.25"/>
    <col collapsed="false" customWidth="false" hidden="false" outlineLevel="0" max="9989" min="9989" style="380" width="9"/>
    <col collapsed="false" customWidth="true" hidden="false" outlineLevel="0" max="9990" min="9990" style="380" width="8.25"/>
    <col collapsed="false" customWidth="true" hidden="false" outlineLevel="0" max="9991" min="9991" style="380" width="14.38"/>
    <col collapsed="false" customWidth="true" hidden="false" outlineLevel="0" max="9992" min="9992" style="380" width="5"/>
    <col collapsed="false" customWidth="true" hidden="false" outlineLevel="0" max="9993" min="9993" style="380" width="7.75"/>
    <col collapsed="false" customWidth="true" hidden="false" outlineLevel="0" max="9994" min="9994" style="380" width="8.5"/>
    <col collapsed="false" customWidth="true" hidden="false" outlineLevel="0" max="9995" min="9995" style="380" width="11"/>
    <col collapsed="false" customWidth="true" hidden="false" outlineLevel="0" max="9996" min="9996" style="380" width="6.5"/>
    <col collapsed="false" customWidth="true" hidden="false" outlineLevel="0" max="9997" min="9997" style="380" width="7.88"/>
    <col collapsed="false" customWidth="true" hidden="false" outlineLevel="0" max="9998" min="9998" style="380" width="7.37"/>
    <col collapsed="false" customWidth="true" hidden="false" outlineLevel="0" max="9999" min="9999" style="380" width="2.13"/>
    <col collapsed="false" customWidth="true" hidden="false" outlineLevel="0" max="10000" min="10000" style="380" width="3.5"/>
    <col collapsed="false" customWidth="false" hidden="false" outlineLevel="0" max="10240" min="10001" style="380" width="9"/>
    <col collapsed="false" customWidth="true" hidden="false" outlineLevel="0" max="10241" min="10241" style="380" width="8.75"/>
    <col collapsed="false" customWidth="true" hidden="false" outlineLevel="0" max="10242" min="10242" style="380" width="6.5"/>
    <col collapsed="false" customWidth="true" hidden="false" outlineLevel="0" max="10243" min="10243" style="380" width="6"/>
    <col collapsed="false" customWidth="true" hidden="false" outlineLevel="0" max="10244" min="10244" style="380" width="9.25"/>
    <col collapsed="false" customWidth="false" hidden="false" outlineLevel="0" max="10245" min="10245" style="380" width="9"/>
    <col collapsed="false" customWidth="true" hidden="false" outlineLevel="0" max="10246" min="10246" style="380" width="8.25"/>
    <col collapsed="false" customWidth="true" hidden="false" outlineLevel="0" max="10247" min="10247" style="380" width="14.38"/>
    <col collapsed="false" customWidth="true" hidden="false" outlineLevel="0" max="10248" min="10248" style="380" width="5"/>
    <col collapsed="false" customWidth="true" hidden="false" outlineLevel="0" max="10249" min="10249" style="380" width="7.75"/>
    <col collapsed="false" customWidth="true" hidden="false" outlineLevel="0" max="10250" min="10250" style="380" width="8.5"/>
    <col collapsed="false" customWidth="true" hidden="false" outlineLevel="0" max="10251" min="10251" style="380" width="11"/>
    <col collapsed="false" customWidth="true" hidden="false" outlineLevel="0" max="10252" min="10252" style="380" width="6.5"/>
    <col collapsed="false" customWidth="true" hidden="false" outlineLevel="0" max="10253" min="10253" style="380" width="7.88"/>
    <col collapsed="false" customWidth="true" hidden="false" outlineLevel="0" max="10254" min="10254" style="380" width="7.37"/>
    <col collapsed="false" customWidth="true" hidden="false" outlineLevel="0" max="10255" min="10255" style="380" width="2.13"/>
    <col collapsed="false" customWidth="true" hidden="false" outlineLevel="0" max="10256" min="10256" style="380" width="3.5"/>
    <col collapsed="false" customWidth="false" hidden="false" outlineLevel="0" max="10496" min="10257" style="380" width="9"/>
    <col collapsed="false" customWidth="true" hidden="false" outlineLevel="0" max="10497" min="10497" style="380" width="8.75"/>
    <col collapsed="false" customWidth="true" hidden="false" outlineLevel="0" max="10498" min="10498" style="380" width="6.5"/>
    <col collapsed="false" customWidth="true" hidden="false" outlineLevel="0" max="10499" min="10499" style="380" width="6"/>
    <col collapsed="false" customWidth="true" hidden="false" outlineLevel="0" max="10500" min="10500" style="380" width="9.25"/>
    <col collapsed="false" customWidth="false" hidden="false" outlineLevel="0" max="10501" min="10501" style="380" width="9"/>
    <col collapsed="false" customWidth="true" hidden="false" outlineLevel="0" max="10502" min="10502" style="380" width="8.25"/>
    <col collapsed="false" customWidth="true" hidden="false" outlineLevel="0" max="10503" min="10503" style="380" width="14.38"/>
    <col collapsed="false" customWidth="true" hidden="false" outlineLevel="0" max="10504" min="10504" style="380" width="5"/>
    <col collapsed="false" customWidth="true" hidden="false" outlineLevel="0" max="10505" min="10505" style="380" width="7.75"/>
    <col collapsed="false" customWidth="true" hidden="false" outlineLevel="0" max="10506" min="10506" style="380" width="8.5"/>
    <col collapsed="false" customWidth="true" hidden="false" outlineLevel="0" max="10507" min="10507" style="380" width="11"/>
    <col collapsed="false" customWidth="true" hidden="false" outlineLevel="0" max="10508" min="10508" style="380" width="6.5"/>
    <col collapsed="false" customWidth="true" hidden="false" outlineLevel="0" max="10509" min="10509" style="380" width="7.88"/>
    <col collapsed="false" customWidth="true" hidden="false" outlineLevel="0" max="10510" min="10510" style="380" width="7.37"/>
    <col collapsed="false" customWidth="true" hidden="false" outlineLevel="0" max="10511" min="10511" style="380" width="2.13"/>
    <col collapsed="false" customWidth="true" hidden="false" outlineLevel="0" max="10512" min="10512" style="380" width="3.5"/>
    <col collapsed="false" customWidth="false" hidden="false" outlineLevel="0" max="10752" min="10513" style="380" width="9"/>
    <col collapsed="false" customWidth="true" hidden="false" outlineLevel="0" max="10753" min="10753" style="380" width="8.75"/>
    <col collapsed="false" customWidth="true" hidden="false" outlineLevel="0" max="10754" min="10754" style="380" width="6.5"/>
    <col collapsed="false" customWidth="true" hidden="false" outlineLevel="0" max="10755" min="10755" style="380" width="6"/>
    <col collapsed="false" customWidth="true" hidden="false" outlineLevel="0" max="10756" min="10756" style="380" width="9.25"/>
    <col collapsed="false" customWidth="false" hidden="false" outlineLevel="0" max="10757" min="10757" style="380" width="9"/>
    <col collapsed="false" customWidth="true" hidden="false" outlineLevel="0" max="10758" min="10758" style="380" width="8.25"/>
    <col collapsed="false" customWidth="true" hidden="false" outlineLevel="0" max="10759" min="10759" style="380" width="14.38"/>
    <col collapsed="false" customWidth="true" hidden="false" outlineLevel="0" max="10760" min="10760" style="380" width="5"/>
    <col collapsed="false" customWidth="true" hidden="false" outlineLevel="0" max="10761" min="10761" style="380" width="7.75"/>
    <col collapsed="false" customWidth="true" hidden="false" outlineLevel="0" max="10762" min="10762" style="380" width="8.5"/>
    <col collapsed="false" customWidth="true" hidden="false" outlineLevel="0" max="10763" min="10763" style="380" width="11"/>
    <col collapsed="false" customWidth="true" hidden="false" outlineLevel="0" max="10764" min="10764" style="380" width="6.5"/>
    <col collapsed="false" customWidth="true" hidden="false" outlineLevel="0" max="10765" min="10765" style="380" width="7.88"/>
    <col collapsed="false" customWidth="true" hidden="false" outlineLevel="0" max="10766" min="10766" style="380" width="7.37"/>
    <col collapsed="false" customWidth="true" hidden="false" outlineLevel="0" max="10767" min="10767" style="380" width="2.13"/>
    <col collapsed="false" customWidth="true" hidden="false" outlineLevel="0" max="10768" min="10768" style="380" width="3.5"/>
    <col collapsed="false" customWidth="false" hidden="false" outlineLevel="0" max="11008" min="10769" style="380" width="9"/>
    <col collapsed="false" customWidth="true" hidden="false" outlineLevel="0" max="11009" min="11009" style="380" width="8.75"/>
    <col collapsed="false" customWidth="true" hidden="false" outlineLevel="0" max="11010" min="11010" style="380" width="6.5"/>
    <col collapsed="false" customWidth="true" hidden="false" outlineLevel="0" max="11011" min="11011" style="380" width="6"/>
    <col collapsed="false" customWidth="true" hidden="false" outlineLevel="0" max="11012" min="11012" style="380" width="9.25"/>
    <col collapsed="false" customWidth="false" hidden="false" outlineLevel="0" max="11013" min="11013" style="380" width="9"/>
    <col collapsed="false" customWidth="true" hidden="false" outlineLevel="0" max="11014" min="11014" style="380" width="8.25"/>
    <col collapsed="false" customWidth="true" hidden="false" outlineLevel="0" max="11015" min="11015" style="380" width="14.38"/>
    <col collapsed="false" customWidth="true" hidden="false" outlineLevel="0" max="11016" min="11016" style="380" width="5"/>
    <col collapsed="false" customWidth="true" hidden="false" outlineLevel="0" max="11017" min="11017" style="380" width="7.75"/>
    <col collapsed="false" customWidth="true" hidden="false" outlineLevel="0" max="11018" min="11018" style="380" width="8.5"/>
    <col collapsed="false" customWidth="true" hidden="false" outlineLevel="0" max="11019" min="11019" style="380" width="11"/>
    <col collapsed="false" customWidth="true" hidden="false" outlineLevel="0" max="11020" min="11020" style="380" width="6.5"/>
    <col collapsed="false" customWidth="true" hidden="false" outlineLevel="0" max="11021" min="11021" style="380" width="7.88"/>
    <col collapsed="false" customWidth="true" hidden="false" outlineLevel="0" max="11022" min="11022" style="380" width="7.37"/>
    <col collapsed="false" customWidth="true" hidden="false" outlineLevel="0" max="11023" min="11023" style="380" width="2.13"/>
    <col collapsed="false" customWidth="true" hidden="false" outlineLevel="0" max="11024" min="11024" style="380" width="3.5"/>
    <col collapsed="false" customWidth="false" hidden="false" outlineLevel="0" max="11264" min="11025" style="380" width="9"/>
    <col collapsed="false" customWidth="true" hidden="false" outlineLevel="0" max="11265" min="11265" style="380" width="8.75"/>
    <col collapsed="false" customWidth="true" hidden="false" outlineLevel="0" max="11266" min="11266" style="380" width="6.5"/>
    <col collapsed="false" customWidth="true" hidden="false" outlineLevel="0" max="11267" min="11267" style="380" width="6"/>
    <col collapsed="false" customWidth="true" hidden="false" outlineLevel="0" max="11268" min="11268" style="380" width="9.25"/>
    <col collapsed="false" customWidth="false" hidden="false" outlineLevel="0" max="11269" min="11269" style="380" width="9"/>
    <col collapsed="false" customWidth="true" hidden="false" outlineLevel="0" max="11270" min="11270" style="380" width="8.25"/>
    <col collapsed="false" customWidth="true" hidden="false" outlineLevel="0" max="11271" min="11271" style="380" width="14.38"/>
    <col collapsed="false" customWidth="true" hidden="false" outlineLevel="0" max="11272" min="11272" style="380" width="5"/>
    <col collapsed="false" customWidth="true" hidden="false" outlineLevel="0" max="11273" min="11273" style="380" width="7.75"/>
    <col collapsed="false" customWidth="true" hidden="false" outlineLevel="0" max="11274" min="11274" style="380" width="8.5"/>
    <col collapsed="false" customWidth="true" hidden="false" outlineLevel="0" max="11275" min="11275" style="380" width="11"/>
    <col collapsed="false" customWidth="true" hidden="false" outlineLevel="0" max="11276" min="11276" style="380" width="6.5"/>
    <col collapsed="false" customWidth="true" hidden="false" outlineLevel="0" max="11277" min="11277" style="380" width="7.88"/>
    <col collapsed="false" customWidth="true" hidden="false" outlineLevel="0" max="11278" min="11278" style="380" width="7.37"/>
    <col collapsed="false" customWidth="true" hidden="false" outlineLevel="0" max="11279" min="11279" style="380" width="2.13"/>
    <col collapsed="false" customWidth="true" hidden="false" outlineLevel="0" max="11280" min="11280" style="380" width="3.5"/>
    <col collapsed="false" customWidth="false" hidden="false" outlineLevel="0" max="11520" min="11281" style="380" width="9"/>
    <col collapsed="false" customWidth="true" hidden="false" outlineLevel="0" max="11521" min="11521" style="380" width="8.75"/>
    <col collapsed="false" customWidth="true" hidden="false" outlineLevel="0" max="11522" min="11522" style="380" width="6.5"/>
    <col collapsed="false" customWidth="true" hidden="false" outlineLevel="0" max="11523" min="11523" style="380" width="6"/>
    <col collapsed="false" customWidth="true" hidden="false" outlineLevel="0" max="11524" min="11524" style="380" width="9.25"/>
    <col collapsed="false" customWidth="false" hidden="false" outlineLevel="0" max="11525" min="11525" style="380" width="9"/>
    <col collapsed="false" customWidth="true" hidden="false" outlineLevel="0" max="11526" min="11526" style="380" width="8.25"/>
    <col collapsed="false" customWidth="true" hidden="false" outlineLevel="0" max="11527" min="11527" style="380" width="14.38"/>
    <col collapsed="false" customWidth="true" hidden="false" outlineLevel="0" max="11528" min="11528" style="380" width="5"/>
    <col collapsed="false" customWidth="true" hidden="false" outlineLevel="0" max="11529" min="11529" style="380" width="7.75"/>
    <col collapsed="false" customWidth="true" hidden="false" outlineLevel="0" max="11530" min="11530" style="380" width="8.5"/>
    <col collapsed="false" customWidth="true" hidden="false" outlineLevel="0" max="11531" min="11531" style="380" width="11"/>
    <col collapsed="false" customWidth="true" hidden="false" outlineLevel="0" max="11532" min="11532" style="380" width="6.5"/>
    <col collapsed="false" customWidth="true" hidden="false" outlineLevel="0" max="11533" min="11533" style="380" width="7.88"/>
    <col collapsed="false" customWidth="true" hidden="false" outlineLevel="0" max="11534" min="11534" style="380" width="7.37"/>
    <col collapsed="false" customWidth="true" hidden="false" outlineLevel="0" max="11535" min="11535" style="380" width="2.13"/>
    <col collapsed="false" customWidth="true" hidden="false" outlineLevel="0" max="11536" min="11536" style="380" width="3.5"/>
    <col collapsed="false" customWidth="false" hidden="false" outlineLevel="0" max="11776" min="11537" style="380" width="9"/>
    <col collapsed="false" customWidth="true" hidden="false" outlineLevel="0" max="11777" min="11777" style="380" width="8.75"/>
    <col collapsed="false" customWidth="true" hidden="false" outlineLevel="0" max="11778" min="11778" style="380" width="6.5"/>
    <col collapsed="false" customWidth="true" hidden="false" outlineLevel="0" max="11779" min="11779" style="380" width="6"/>
    <col collapsed="false" customWidth="true" hidden="false" outlineLevel="0" max="11780" min="11780" style="380" width="9.25"/>
    <col collapsed="false" customWidth="false" hidden="false" outlineLevel="0" max="11781" min="11781" style="380" width="9"/>
    <col collapsed="false" customWidth="true" hidden="false" outlineLevel="0" max="11782" min="11782" style="380" width="8.25"/>
    <col collapsed="false" customWidth="true" hidden="false" outlineLevel="0" max="11783" min="11783" style="380" width="14.38"/>
    <col collapsed="false" customWidth="true" hidden="false" outlineLevel="0" max="11784" min="11784" style="380" width="5"/>
    <col collapsed="false" customWidth="true" hidden="false" outlineLevel="0" max="11785" min="11785" style="380" width="7.75"/>
    <col collapsed="false" customWidth="true" hidden="false" outlineLevel="0" max="11786" min="11786" style="380" width="8.5"/>
    <col collapsed="false" customWidth="true" hidden="false" outlineLevel="0" max="11787" min="11787" style="380" width="11"/>
    <col collapsed="false" customWidth="true" hidden="false" outlineLevel="0" max="11788" min="11788" style="380" width="6.5"/>
    <col collapsed="false" customWidth="true" hidden="false" outlineLevel="0" max="11789" min="11789" style="380" width="7.88"/>
    <col collapsed="false" customWidth="true" hidden="false" outlineLevel="0" max="11790" min="11790" style="380" width="7.37"/>
    <col collapsed="false" customWidth="true" hidden="false" outlineLevel="0" max="11791" min="11791" style="380" width="2.13"/>
    <col collapsed="false" customWidth="true" hidden="false" outlineLevel="0" max="11792" min="11792" style="380" width="3.5"/>
    <col collapsed="false" customWidth="false" hidden="false" outlineLevel="0" max="12032" min="11793" style="380" width="9"/>
    <col collapsed="false" customWidth="true" hidden="false" outlineLevel="0" max="12033" min="12033" style="380" width="8.75"/>
    <col collapsed="false" customWidth="true" hidden="false" outlineLevel="0" max="12034" min="12034" style="380" width="6.5"/>
    <col collapsed="false" customWidth="true" hidden="false" outlineLevel="0" max="12035" min="12035" style="380" width="6"/>
    <col collapsed="false" customWidth="true" hidden="false" outlineLevel="0" max="12036" min="12036" style="380" width="9.25"/>
    <col collapsed="false" customWidth="false" hidden="false" outlineLevel="0" max="12037" min="12037" style="380" width="9"/>
    <col collapsed="false" customWidth="true" hidden="false" outlineLevel="0" max="12038" min="12038" style="380" width="8.25"/>
    <col collapsed="false" customWidth="true" hidden="false" outlineLevel="0" max="12039" min="12039" style="380" width="14.38"/>
    <col collapsed="false" customWidth="true" hidden="false" outlineLevel="0" max="12040" min="12040" style="380" width="5"/>
    <col collapsed="false" customWidth="true" hidden="false" outlineLevel="0" max="12041" min="12041" style="380" width="7.75"/>
    <col collapsed="false" customWidth="true" hidden="false" outlineLevel="0" max="12042" min="12042" style="380" width="8.5"/>
    <col collapsed="false" customWidth="true" hidden="false" outlineLevel="0" max="12043" min="12043" style="380" width="11"/>
    <col collapsed="false" customWidth="true" hidden="false" outlineLevel="0" max="12044" min="12044" style="380" width="6.5"/>
    <col collapsed="false" customWidth="true" hidden="false" outlineLevel="0" max="12045" min="12045" style="380" width="7.88"/>
    <col collapsed="false" customWidth="true" hidden="false" outlineLevel="0" max="12046" min="12046" style="380" width="7.37"/>
    <col collapsed="false" customWidth="true" hidden="false" outlineLevel="0" max="12047" min="12047" style="380" width="2.13"/>
    <col collapsed="false" customWidth="true" hidden="false" outlineLevel="0" max="12048" min="12048" style="380" width="3.5"/>
    <col collapsed="false" customWidth="false" hidden="false" outlineLevel="0" max="12288" min="12049" style="380" width="9"/>
    <col collapsed="false" customWidth="true" hidden="false" outlineLevel="0" max="12289" min="12289" style="380" width="8.75"/>
    <col collapsed="false" customWidth="true" hidden="false" outlineLevel="0" max="12290" min="12290" style="380" width="6.5"/>
    <col collapsed="false" customWidth="true" hidden="false" outlineLevel="0" max="12291" min="12291" style="380" width="6"/>
    <col collapsed="false" customWidth="true" hidden="false" outlineLevel="0" max="12292" min="12292" style="380" width="9.25"/>
    <col collapsed="false" customWidth="false" hidden="false" outlineLevel="0" max="12293" min="12293" style="380" width="9"/>
    <col collapsed="false" customWidth="true" hidden="false" outlineLevel="0" max="12294" min="12294" style="380" width="8.25"/>
    <col collapsed="false" customWidth="true" hidden="false" outlineLevel="0" max="12295" min="12295" style="380" width="14.38"/>
    <col collapsed="false" customWidth="true" hidden="false" outlineLevel="0" max="12296" min="12296" style="380" width="5"/>
    <col collapsed="false" customWidth="true" hidden="false" outlineLevel="0" max="12297" min="12297" style="380" width="7.75"/>
    <col collapsed="false" customWidth="true" hidden="false" outlineLevel="0" max="12298" min="12298" style="380" width="8.5"/>
    <col collapsed="false" customWidth="true" hidden="false" outlineLevel="0" max="12299" min="12299" style="380" width="11"/>
    <col collapsed="false" customWidth="true" hidden="false" outlineLevel="0" max="12300" min="12300" style="380" width="6.5"/>
    <col collapsed="false" customWidth="true" hidden="false" outlineLevel="0" max="12301" min="12301" style="380" width="7.88"/>
    <col collapsed="false" customWidth="true" hidden="false" outlineLevel="0" max="12302" min="12302" style="380" width="7.37"/>
    <col collapsed="false" customWidth="true" hidden="false" outlineLevel="0" max="12303" min="12303" style="380" width="2.13"/>
    <col collapsed="false" customWidth="true" hidden="false" outlineLevel="0" max="12304" min="12304" style="380" width="3.5"/>
    <col collapsed="false" customWidth="false" hidden="false" outlineLevel="0" max="12544" min="12305" style="380" width="9"/>
    <col collapsed="false" customWidth="true" hidden="false" outlineLevel="0" max="12545" min="12545" style="380" width="8.75"/>
    <col collapsed="false" customWidth="true" hidden="false" outlineLevel="0" max="12546" min="12546" style="380" width="6.5"/>
    <col collapsed="false" customWidth="true" hidden="false" outlineLevel="0" max="12547" min="12547" style="380" width="6"/>
    <col collapsed="false" customWidth="true" hidden="false" outlineLevel="0" max="12548" min="12548" style="380" width="9.25"/>
    <col collapsed="false" customWidth="false" hidden="false" outlineLevel="0" max="12549" min="12549" style="380" width="9"/>
    <col collapsed="false" customWidth="true" hidden="false" outlineLevel="0" max="12550" min="12550" style="380" width="8.25"/>
    <col collapsed="false" customWidth="true" hidden="false" outlineLevel="0" max="12551" min="12551" style="380" width="14.38"/>
    <col collapsed="false" customWidth="true" hidden="false" outlineLevel="0" max="12552" min="12552" style="380" width="5"/>
    <col collapsed="false" customWidth="true" hidden="false" outlineLevel="0" max="12553" min="12553" style="380" width="7.75"/>
    <col collapsed="false" customWidth="true" hidden="false" outlineLevel="0" max="12554" min="12554" style="380" width="8.5"/>
    <col collapsed="false" customWidth="true" hidden="false" outlineLevel="0" max="12555" min="12555" style="380" width="11"/>
    <col collapsed="false" customWidth="true" hidden="false" outlineLevel="0" max="12556" min="12556" style="380" width="6.5"/>
    <col collapsed="false" customWidth="true" hidden="false" outlineLevel="0" max="12557" min="12557" style="380" width="7.88"/>
    <col collapsed="false" customWidth="true" hidden="false" outlineLevel="0" max="12558" min="12558" style="380" width="7.37"/>
    <col collapsed="false" customWidth="true" hidden="false" outlineLevel="0" max="12559" min="12559" style="380" width="2.13"/>
    <col collapsed="false" customWidth="true" hidden="false" outlineLevel="0" max="12560" min="12560" style="380" width="3.5"/>
    <col collapsed="false" customWidth="false" hidden="false" outlineLevel="0" max="12800" min="12561" style="380" width="9"/>
    <col collapsed="false" customWidth="true" hidden="false" outlineLevel="0" max="12801" min="12801" style="380" width="8.75"/>
    <col collapsed="false" customWidth="true" hidden="false" outlineLevel="0" max="12802" min="12802" style="380" width="6.5"/>
    <col collapsed="false" customWidth="true" hidden="false" outlineLevel="0" max="12803" min="12803" style="380" width="6"/>
    <col collapsed="false" customWidth="true" hidden="false" outlineLevel="0" max="12804" min="12804" style="380" width="9.25"/>
    <col collapsed="false" customWidth="false" hidden="false" outlineLevel="0" max="12805" min="12805" style="380" width="9"/>
    <col collapsed="false" customWidth="true" hidden="false" outlineLevel="0" max="12806" min="12806" style="380" width="8.25"/>
    <col collapsed="false" customWidth="true" hidden="false" outlineLevel="0" max="12807" min="12807" style="380" width="14.38"/>
    <col collapsed="false" customWidth="true" hidden="false" outlineLevel="0" max="12808" min="12808" style="380" width="5"/>
    <col collapsed="false" customWidth="true" hidden="false" outlineLevel="0" max="12809" min="12809" style="380" width="7.75"/>
    <col collapsed="false" customWidth="true" hidden="false" outlineLevel="0" max="12810" min="12810" style="380" width="8.5"/>
    <col collapsed="false" customWidth="true" hidden="false" outlineLevel="0" max="12811" min="12811" style="380" width="11"/>
    <col collapsed="false" customWidth="true" hidden="false" outlineLevel="0" max="12812" min="12812" style="380" width="6.5"/>
    <col collapsed="false" customWidth="true" hidden="false" outlineLevel="0" max="12813" min="12813" style="380" width="7.88"/>
    <col collapsed="false" customWidth="true" hidden="false" outlineLevel="0" max="12814" min="12814" style="380" width="7.37"/>
    <col collapsed="false" customWidth="true" hidden="false" outlineLevel="0" max="12815" min="12815" style="380" width="2.13"/>
    <col collapsed="false" customWidth="true" hidden="false" outlineLevel="0" max="12816" min="12816" style="380" width="3.5"/>
    <col collapsed="false" customWidth="false" hidden="false" outlineLevel="0" max="13056" min="12817" style="380" width="9"/>
    <col collapsed="false" customWidth="true" hidden="false" outlineLevel="0" max="13057" min="13057" style="380" width="8.75"/>
    <col collapsed="false" customWidth="true" hidden="false" outlineLevel="0" max="13058" min="13058" style="380" width="6.5"/>
    <col collapsed="false" customWidth="true" hidden="false" outlineLevel="0" max="13059" min="13059" style="380" width="6"/>
    <col collapsed="false" customWidth="true" hidden="false" outlineLevel="0" max="13060" min="13060" style="380" width="9.25"/>
    <col collapsed="false" customWidth="false" hidden="false" outlineLevel="0" max="13061" min="13061" style="380" width="9"/>
    <col collapsed="false" customWidth="true" hidden="false" outlineLevel="0" max="13062" min="13062" style="380" width="8.25"/>
    <col collapsed="false" customWidth="true" hidden="false" outlineLevel="0" max="13063" min="13063" style="380" width="14.38"/>
    <col collapsed="false" customWidth="true" hidden="false" outlineLevel="0" max="13064" min="13064" style="380" width="5"/>
    <col collapsed="false" customWidth="true" hidden="false" outlineLevel="0" max="13065" min="13065" style="380" width="7.75"/>
    <col collapsed="false" customWidth="true" hidden="false" outlineLevel="0" max="13066" min="13066" style="380" width="8.5"/>
    <col collapsed="false" customWidth="true" hidden="false" outlineLevel="0" max="13067" min="13067" style="380" width="11"/>
    <col collapsed="false" customWidth="true" hidden="false" outlineLevel="0" max="13068" min="13068" style="380" width="6.5"/>
    <col collapsed="false" customWidth="true" hidden="false" outlineLevel="0" max="13069" min="13069" style="380" width="7.88"/>
    <col collapsed="false" customWidth="true" hidden="false" outlineLevel="0" max="13070" min="13070" style="380" width="7.37"/>
    <col collapsed="false" customWidth="true" hidden="false" outlineLevel="0" max="13071" min="13071" style="380" width="2.13"/>
    <col collapsed="false" customWidth="true" hidden="false" outlineLevel="0" max="13072" min="13072" style="380" width="3.5"/>
    <col collapsed="false" customWidth="false" hidden="false" outlineLevel="0" max="13312" min="13073" style="380" width="9"/>
    <col collapsed="false" customWidth="true" hidden="false" outlineLevel="0" max="13313" min="13313" style="380" width="8.75"/>
    <col collapsed="false" customWidth="true" hidden="false" outlineLevel="0" max="13314" min="13314" style="380" width="6.5"/>
    <col collapsed="false" customWidth="true" hidden="false" outlineLevel="0" max="13315" min="13315" style="380" width="6"/>
    <col collapsed="false" customWidth="true" hidden="false" outlineLevel="0" max="13316" min="13316" style="380" width="9.25"/>
    <col collapsed="false" customWidth="false" hidden="false" outlineLevel="0" max="13317" min="13317" style="380" width="9"/>
    <col collapsed="false" customWidth="true" hidden="false" outlineLevel="0" max="13318" min="13318" style="380" width="8.25"/>
    <col collapsed="false" customWidth="true" hidden="false" outlineLevel="0" max="13319" min="13319" style="380" width="14.38"/>
    <col collapsed="false" customWidth="true" hidden="false" outlineLevel="0" max="13320" min="13320" style="380" width="5"/>
    <col collapsed="false" customWidth="true" hidden="false" outlineLevel="0" max="13321" min="13321" style="380" width="7.75"/>
    <col collapsed="false" customWidth="true" hidden="false" outlineLevel="0" max="13322" min="13322" style="380" width="8.5"/>
    <col collapsed="false" customWidth="true" hidden="false" outlineLevel="0" max="13323" min="13323" style="380" width="11"/>
    <col collapsed="false" customWidth="true" hidden="false" outlineLevel="0" max="13324" min="13324" style="380" width="6.5"/>
    <col collapsed="false" customWidth="true" hidden="false" outlineLevel="0" max="13325" min="13325" style="380" width="7.88"/>
    <col collapsed="false" customWidth="true" hidden="false" outlineLevel="0" max="13326" min="13326" style="380" width="7.37"/>
    <col collapsed="false" customWidth="true" hidden="false" outlineLevel="0" max="13327" min="13327" style="380" width="2.13"/>
    <col collapsed="false" customWidth="true" hidden="false" outlineLevel="0" max="13328" min="13328" style="380" width="3.5"/>
    <col collapsed="false" customWidth="false" hidden="false" outlineLevel="0" max="13568" min="13329" style="380" width="9"/>
    <col collapsed="false" customWidth="true" hidden="false" outlineLevel="0" max="13569" min="13569" style="380" width="8.75"/>
    <col collapsed="false" customWidth="true" hidden="false" outlineLevel="0" max="13570" min="13570" style="380" width="6.5"/>
    <col collapsed="false" customWidth="true" hidden="false" outlineLevel="0" max="13571" min="13571" style="380" width="6"/>
    <col collapsed="false" customWidth="true" hidden="false" outlineLevel="0" max="13572" min="13572" style="380" width="9.25"/>
    <col collapsed="false" customWidth="false" hidden="false" outlineLevel="0" max="13573" min="13573" style="380" width="9"/>
    <col collapsed="false" customWidth="true" hidden="false" outlineLevel="0" max="13574" min="13574" style="380" width="8.25"/>
    <col collapsed="false" customWidth="true" hidden="false" outlineLevel="0" max="13575" min="13575" style="380" width="14.38"/>
    <col collapsed="false" customWidth="true" hidden="false" outlineLevel="0" max="13576" min="13576" style="380" width="5"/>
    <col collapsed="false" customWidth="true" hidden="false" outlineLevel="0" max="13577" min="13577" style="380" width="7.75"/>
    <col collapsed="false" customWidth="true" hidden="false" outlineLevel="0" max="13578" min="13578" style="380" width="8.5"/>
    <col collapsed="false" customWidth="true" hidden="false" outlineLevel="0" max="13579" min="13579" style="380" width="11"/>
    <col collapsed="false" customWidth="true" hidden="false" outlineLevel="0" max="13580" min="13580" style="380" width="6.5"/>
    <col collapsed="false" customWidth="true" hidden="false" outlineLevel="0" max="13581" min="13581" style="380" width="7.88"/>
    <col collapsed="false" customWidth="true" hidden="false" outlineLevel="0" max="13582" min="13582" style="380" width="7.37"/>
    <col collapsed="false" customWidth="true" hidden="false" outlineLevel="0" max="13583" min="13583" style="380" width="2.13"/>
    <col collapsed="false" customWidth="true" hidden="false" outlineLevel="0" max="13584" min="13584" style="380" width="3.5"/>
    <col collapsed="false" customWidth="false" hidden="false" outlineLevel="0" max="13824" min="13585" style="380" width="9"/>
    <col collapsed="false" customWidth="true" hidden="false" outlineLevel="0" max="13825" min="13825" style="380" width="8.75"/>
    <col collapsed="false" customWidth="true" hidden="false" outlineLevel="0" max="13826" min="13826" style="380" width="6.5"/>
    <col collapsed="false" customWidth="true" hidden="false" outlineLevel="0" max="13827" min="13827" style="380" width="6"/>
    <col collapsed="false" customWidth="true" hidden="false" outlineLevel="0" max="13828" min="13828" style="380" width="9.25"/>
    <col collapsed="false" customWidth="false" hidden="false" outlineLevel="0" max="13829" min="13829" style="380" width="9"/>
    <col collapsed="false" customWidth="true" hidden="false" outlineLevel="0" max="13830" min="13830" style="380" width="8.25"/>
    <col collapsed="false" customWidth="true" hidden="false" outlineLevel="0" max="13831" min="13831" style="380" width="14.38"/>
    <col collapsed="false" customWidth="true" hidden="false" outlineLevel="0" max="13832" min="13832" style="380" width="5"/>
    <col collapsed="false" customWidth="true" hidden="false" outlineLevel="0" max="13833" min="13833" style="380" width="7.75"/>
    <col collapsed="false" customWidth="true" hidden="false" outlineLevel="0" max="13834" min="13834" style="380" width="8.5"/>
    <col collapsed="false" customWidth="true" hidden="false" outlineLevel="0" max="13835" min="13835" style="380" width="11"/>
    <col collapsed="false" customWidth="true" hidden="false" outlineLevel="0" max="13836" min="13836" style="380" width="6.5"/>
    <col collapsed="false" customWidth="true" hidden="false" outlineLevel="0" max="13837" min="13837" style="380" width="7.88"/>
    <col collapsed="false" customWidth="true" hidden="false" outlineLevel="0" max="13838" min="13838" style="380" width="7.37"/>
    <col collapsed="false" customWidth="true" hidden="false" outlineLevel="0" max="13839" min="13839" style="380" width="2.13"/>
    <col collapsed="false" customWidth="true" hidden="false" outlineLevel="0" max="13840" min="13840" style="380" width="3.5"/>
    <col collapsed="false" customWidth="false" hidden="false" outlineLevel="0" max="14080" min="13841" style="380" width="9"/>
    <col collapsed="false" customWidth="true" hidden="false" outlineLevel="0" max="14081" min="14081" style="380" width="8.75"/>
    <col collapsed="false" customWidth="true" hidden="false" outlineLevel="0" max="14082" min="14082" style="380" width="6.5"/>
    <col collapsed="false" customWidth="true" hidden="false" outlineLevel="0" max="14083" min="14083" style="380" width="6"/>
    <col collapsed="false" customWidth="true" hidden="false" outlineLevel="0" max="14084" min="14084" style="380" width="9.25"/>
    <col collapsed="false" customWidth="false" hidden="false" outlineLevel="0" max="14085" min="14085" style="380" width="9"/>
    <col collapsed="false" customWidth="true" hidden="false" outlineLevel="0" max="14086" min="14086" style="380" width="8.25"/>
    <col collapsed="false" customWidth="true" hidden="false" outlineLevel="0" max="14087" min="14087" style="380" width="14.38"/>
    <col collapsed="false" customWidth="true" hidden="false" outlineLevel="0" max="14088" min="14088" style="380" width="5"/>
    <col collapsed="false" customWidth="true" hidden="false" outlineLevel="0" max="14089" min="14089" style="380" width="7.75"/>
    <col collapsed="false" customWidth="true" hidden="false" outlineLevel="0" max="14090" min="14090" style="380" width="8.5"/>
    <col collapsed="false" customWidth="true" hidden="false" outlineLevel="0" max="14091" min="14091" style="380" width="11"/>
    <col collapsed="false" customWidth="true" hidden="false" outlineLevel="0" max="14092" min="14092" style="380" width="6.5"/>
    <col collapsed="false" customWidth="true" hidden="false" outlineLevel="0" max="14093" min="14093" style="380" width="7.88"/>
    <col collapsed="false" customWidth="true" hidden="false" outlineLevel="0" max="14094" min="14094" style="380" width="7.37"/>
    <col collapsed="false" customWidth="true" hidden="false" outlineLevel="0" max="14095" min="14095" style="380" width="2.13"/>
    <col collapsed="false" customWidth="true" hidden="false" outlineLevel="0" max="14096" min="14096" style="380" width="3.5"/>
    <col collapsed="false" customWidth="false" hidden="false" outlineLevel="0" max="14336" min="14097" style="380" width="9"/>
    <col collapsed="false" customWidth="true" hidden="false" outlineLevel="0" max="14337" min="14337" style="380" width="8.75"/>
    <col collapsed="false" customWidth="true" hidden="false" outlineLevel="0" max="14338" min="14338" style="380" width="6.5"/>
    <col collapsed="false" customWidth="true" hidden="false" outlineLevel="0" max="14339" min="14339" style="380" width="6"/>
    <col collapsed="false" customWidth="true" hidden="false" outlineLevel="0" max="14340" min="14340" style="380" width="9.25"/>
    <col collapsed="false" customWidth="false" hidden="false" outlineLevel="0" max="14341" min="14341" style="380" width="9"/>
    <col collapsed="false" customWidth="true" hidden="false" outlineLevel="0" max="14342" min="14342" style="380" width="8.25"/>
    <col collapsed="false" customWidth="true" hidden="false" outlineLevel="0" max="14343" min="14343" style="380" width="14.38"/>
    <col collapsed="false" customWidth="true" hidden="false" outlineLevel="0" max="14344" min="14344" style="380" width="5"/>
    <col collapsed="false" customWidth="true" hidden="false" outlineLevel="0" max="14345" min="14345" style="380" width="7.75"/>
    <col collapsed="false" customWidth="true" hidden="false" outlineLevel="0" max="14346" min="14346" style="380" width="8.5"/>
    <col collapsed="false" customWidth="true" hidden="false" outlineLevel="0" max="14347" min="14347" style="380" width="11"/>
    <col collapsed="false" customWidth="true" hidden="false" outlineLevel="0" max="14348" min="14348" style="380" width="6.5"/>
    <col collapsed="false" customWidth="true" hidden="false" outlineLevel="0" max="14349" min="14349" style="380" width="7.88"/>
    <col collapsed="false" customWidth="true" hidden="false" outlineLevel="0" max="14350" min="14350" style="380" width="7.37"/>
    <col collapsed="false" customWidth="true" hidden="false" outlineLevel="0" max="14351" min="14351" style="380" width="2.13"/>
    <col collapsed="false" customWidth="true" hidden="false" outlineLevel="0" max="14352" min="14352" style="380" width="3.5"/>
    <col collapsed="false" customWidth="false" hidden="false" outlineLevel="0" max="14592" min="14353" style="380" width="9"/>
    <col collapsed="false" customWidth="true" hidden="false" outlineLevel="0" max="14593" min="14593" style="380" width="8.75"/>
    <col collapsed="false" customWidth="true" hidden="false" outlineLevel="0" max="14594" min="14594" style="380" width="6.5"/>
    <col collapsed="false" customWidth="true" hidden="false" outlineLevel="0" max="14595" min="14595" style="380" width="6"/>
    <col collapsed="false" customWidth="true" hidden="false" outlineLevel="0" max="14596" min="14596" style="380" width="9.25"/>
    <col collapsed="false" customWidth="false" hidden="false" outlineLevel="0" max="14597" min="14597" style="380" width="9"/>
    <col collapsed="false" customWidth="true" hidden="false" outlineLevel="0" max="14598" min="14598" style="380" width="8.25"/>
    <col collapsed="false" customWidth="true" hidden="false" outlineLevel="0" max="14599" min="14599" style="380" width="14.38"/>
    <col collapsed="false" customWidth="true" hidden="false" outlineLevel="0" max="14600" min="14600" style="380" width="5"/>
    <col collapsed="false" customWidth="true" hidden="false" outlineLevel="0" max="14601" min="14601" style="380" width="7.75"/>
    <col collapsed="false" customWidth="true" hidden="false" outlineLevel="0" max="14602" min="14602" style="380" width="8.5"/>
    <col collapsed="false" customWidth="true" hidden="false" outlineLevel="0" max="14603" min="14603" style="380" width="11"/>
    <col collapsed="false" customWidth="true" hidden="false" outlineLevel="0" max="14604" min="14604" style="380" width="6.5"/>
    <col collapsed="false" customWidth="true" hidden="false" outlineLevel="0" max="14605" min="14605" style="380" width="7.88"/>
    <col collapsed="false" customWidth="true" hidden="false" outlineLevel="0" max="14606" min="14606" style="380" width="7.37"/>
    <col collapsed="false" customWidth="true" hidden="false" outlineLevel="0" max="14607" min="14607" style="380" width="2.13"/>
    <col collapsed="false" customWidth="true" hidden="false" outlineLevel="0" max="14608" min="14608" style="380" width="3.5"/>
    <col collapsed="false" customWidth="false" hidden="false" outlineLevel="0" max="14848" min="14609" style="380" width="9"/>
    <col collapsed="false" customWidth="true" hidden="false" outlineLevel="0" max="14849" min="14849" style="380" width="8.75"/>
    <col collapsed="false" customWidth="true" hidden="false" outlineLevel="0" max="14850" min="14850" style="380" width="6.5"/>
    <col collapsed="false" customWidth="true" hidden="false" outlineLevel="0" max="14851" min="14851" style="380" width="6"/>
    <col collapsed="false" customWidth="true" hidden="false" outlineLevel="0" max="14852" min="14852" style="380" width="9.25"/>
    <col collapsed="false" customWidth="false" hidden="false" outlineLevel="0" max="14853" min="14853" style="380" width="9"/>
    <col collapsed="false" customWidth="true" hidden="false" outlineLevel="0" max="14854" min="14854" style="380" width="8.25"/>
    <col collapsed="false" customWidth="true" hidden="false" outlineLevel="0" max="14855" min="14855" style="380" width="14.38"/>
    <col collapsed="false" customWidth="true" hidden="false" outlineLevel="0" max="14856" min="14856" style="380" width="5"/>
    <col collapsed="false" customWidth="true" hidden="false" outlineLevel="0" max="14857" min="14857" style="380" width="7.75"/>
    <col collapsed="false" customWidth="true" hidden="false" outlineLevel="0" max="14858" min="14858" style="380" width="8.5"/>
    <col collapsed="false" customWidth="true" hidden="false" outlineLevel="0" max="14859" min="14859" style="380" width="11"/>
    <col collapsed="false" customWidth="true" hidden="false" outlineLevel="0" max="14860" min="14860" style="380" width="6.5"/>
    <col collapsed="false" customWidth="true" hidden="false" outlineLevel="0" max="14861" min="14861" style="380" width="7.88"/>
    <col collapsed="false" customWidth="true" hidden="false" outlineLevel="0" max="14862" min="14862" style="380" width="7.37"/>
    <col collapsed="false" customWidth="true" hidden="false" outlineLevel="0" max="14863" min="14863" style="380" width="2.13"/>
    <col collapsed="false" customWidth="true" hidden="false" outlineLevel="0" max="14864" min="14864" style="380" width="3.5"/>
    <col collapsed="false" customWidth="false" hidden="false" outlineLevel="0" max="15104" min="14865" style="380" width="9"/>
    <col collapsed="false" customWidth="true" hidden="false" outlineLevel="0" max="15105" min="15105" style="380" width="8.75"/>
    <col collapsed="false" customWidth="true" hidden="false" outlineLevel="0" max="15106" min="15106" style="380" width="6.5"/>
    <col collapsed="false" customWidth="true" hidden="false" outlineLevel="0" max="15107" min="15107" style="380" width="6"/>
    <col collapsed="false" customWidth="true" hidden="false" outlineLevel="0" max="15108" min="15108" style="380" width="9.25"/>
    <col collapsed="false" customWidth="false" hidden="false" outlineLevel="0" max="15109" min="15109" style="380" width="9"/>
    <col collapsed="false" customWidth="true" hidden="false" outlineLevel="0" max="15110" min="15110" style="380" width="8.25"/>
    <col collapsed="false" customWidth="true" hidden="false" outlineLevel="0" max="15111" min="15111" style="380" width="14.38"/>
    <col collapsed="false" customWidth="true" hidden="false" outlineLevel="0" max="15112" min="15112" style="380" width="5"/>
    <col collapsed="false" customWidth="true" hidden="false" outlineLevel="0" max="15113" min="15113" style="380" width="7.75"/>
    <col collapsed="false" customWidth="true" hidden="false" outlineLevel="0" max="15114" min="15114" style="380" width="8.5"/>
    <col collapsed="false" customWidth="true" hidden="false" outlineLevel="0" max="15115" min="15115" style="380" width="11"/>
    <col collapsed="false" customWidth="true" hidden="false" outlineLevel="0" max="15116" min="15116" style="380" width="6.5"/>
    <col collapsed="false" customWidth="true" hidden="false" outlineLevel="0" max="15117" min="15117" style="380" width="7.88"/>
    <col collapsed="false" customWidth="true" hidden="false" outlineLevel="0" max="15118" min="15118" style="380" width="7.37"/>
    <col collapsed="false" customWidth="true" hidden="false" outlineLevel="0" max="15119" min="15119" style="380" width="2.13"/>
    <col collapsed="false" customWidth="true" hidden="false" outlineLevel="0" max="15120" min="15120" style="380" width="3.5"/>
    <col collapsed="false" customWidth="false" hidden="false" outlineLevel="0" max="15360" min="15121" style="380" width="9"/>
    <col collapsed="false" customWidth="true" hidden="false" outlineLevel="0" max="15361" min="15361" style="380" width="8.75"/>
    <col collapsed="false" customWidth="true" hidden="false" outlineLevel="0" max="15362" min="15362" style="380" width="6.5"/>
    <col collapsed="false" customWidth="true" hidden="false" outlineLevel="0" max="15363" min="15363" style="380" width="6"/>
    <col collapsed="false" customWidth="true" hidden="false" outlineLevel="0" max="15364" min="15364" style="380" width="9.25"/>
    <col collapsed="false" customWidth="false" hidden="false" outlineLevel="0" max="15365" min="15365" style="380" width="9"/>
    <col collapsed="false" customWidth="true" hidden="false" outlineLevel="0" max="15366" min="15366" style="380" width="8.25"/>
    <col collapsed="false" customWidth="true" hidden="false" outlineLevel="0" max="15367" min="15367" style="380" width="14.38"/>
    <col collapsed="false" customWidth="true" hidden="false" outlineLevel="0" max="15368" min="15368" style="380" width="5"/>
    <col collapsed="false" customWidth="true" hidden="false" outlineLevel="0" max="15369" min="15369" style="380" width="7.75"/>
    <col collapsed="false" customWidth="true" hidden="false" outlineLevel="0" max="15370" min="15370" style="380" width="8.5"/>
    <col collapsed="false" customWidth="true" hidden="false" outlineLevel="0" max="15371" min="15371" style="380" width="11"/>
    <col collapsed="false" customWidth="true" hidden="false" outlineLevel="0" max="15372" min="15372" style="380" width="6.5"/>
    <col collapsed="false" customWidth="true" hidden="false" outlineLevel="0" max="15373" min="15373" style="380" width="7.88"/>
    <col collapsed="false" customWidth="true" hidden="false" outlineLevel="0" max="15374" min="15374" style="380" width="7.37"/>
    <col collapsed="false" customWidth="true" hidden="false" outlineLevel="0" max="15375" min="15375" style="380" width="2.13"/>
    <col collapsed="false" customWidth="true" hidden="false" outlineLevel="0" max="15376" min="15376" style="380" width="3.5"/>
    <col collapsed="false" customWidth="false" hidden="false" outlineLevel="0" max="15616" min="15377" style="380" width="9"/>
    <col collapsed="false" customWidth="true" hidden="false" outlineLevel="0" max="15617" min="15617" style="380" width="8.75"/>
    <col collapsed="false" customWidth="true" hidden="false" outlineLevel="0" max="15618" min="15618" style="380" width="6.5"/>
    <col collapsed="false" customWidth="true" hidden="false" outlineLevel="0" max="15619" min="15619" style="380" width="6"/>
    <col collapsed="false" customWidth="true" hidden="false" outlineLevel="0" max="15620" min="15620" style="380" width="9.25"/>
    <col collapsed="false" customWidth="false" hidden="false" outlineLevel="0" max="15621" min="15621" style="380" width="9"/>
    <col collapsed="false" customWidth="true" hidden="false" outlineLevel="0" max="15622" min="15622" style="380" width="8.25"/>
    <col collapsed="false" customWidth="true" hidden="false" outlineLevel="0" max="15623" min="15623" style="380" width="14.38"/>
    <col collapsed="false" customWidth="true" hidden="false" outlineLevel="0" max="15624" min="15624" style="380" width="5"/>
    <col collapsed="false" customWidth="true" hidden="false" outlineLevel="0" max="15625" min="15625" style="380" width="7.75"/>
    <col collapsed="false" customWidth="true" hidden="false" outlineLevel="0" max="15626" min="15626" style="380" width="8.5"/>
    <col collapsed="false" customWidth="true" hidden="false" outlineLevel="0" max="15627" min="15627" style="380" width="11"/>
    <col collapsed="false" customWidth="true" hidden="false" outlineLevel="0" max="15628" min="15628" style="380" width="6.5"/>
    <col collapsed="false" customWidth="true" hidden="false" outlineLevel="0" max="15629" min="15629" style="380" width="7.88"/>
    <col collapsed="false" customWidth="true" hidden="false" outlineLevel="0" max="15630" min="15630" style="380" width="7.37"/>
    <col collapsed="false" customWidth="true" hidden="false" outlineLevel="0" max="15631" min="15631" style="380" width="2.13"/>
    <col collapsed="false" customWidth="true" hidden="false" outlineLevel="0" max="15632" min="15632" style="380" width="3.5"/>
    <col collapsed="false" customWidth="false" hidden="false" outlineLevel="0" max="15872" min="15633" style="380" width="9"/>
    <col collapsed="false" customWidth="true" hidden="false" outlineLevel="0" max="15873" min="15873" style="380" width="8.75"/>
    <col collapsed="false" customWidth="true" hidden="false" outlineLevel="0" max="15874" min="15874" style="380" width="6.5"/>
    <col collapsed="false" customWidth="true" hidden="false" outlineLevel="0" max="15875" min="15875" style="380" width="6"/>
    <col collapsed="false" customWidth="true" hidden="false" outlineLevel="0" max="15876" min="15876" style="380" width="9.25"/>
    <col collapsed="false" customWidth="false" hidden="false" outlineLevel="0" max="15877" min="15877" style="380" width="9"/>
    <col collapsed="false" customWidth="true" hidden="false" outlineLevel="0" max="15878" min="15878" style="380" width="8.25"/>
    <col collapsed="false" customWidth="true" hidden="false" outlineLevel="0" max="15879" min="15879" style="380" width="14.38"/>
    <col collapsed="false" customWidth="true" hidden="false" outlineLevel="0" max="15880" min="15880" style="380" width="5"/>
    <col collapsed="false" customWidth="true" hidden="false" outlineLevel="0" max="15881" min="15881" style="380" width="7.75"/>
    <col collapsed="false" customWidth="true" hidden="false" outlineLevel="0" max="15882" min="15882" style="380" width="8.5"/>
    <col collapsed="false" customWidth="true" hidden="false" outlineLevel="0" max="15883" min="15883" style="380" width="11"/>
    <col collapsed="false" customWidth="true" hidden="false" outlineLevel="0" max="15884" min="15884" style="380" width="6.5"/>
    <col collapsed="false" customWidth="true" hidden="false" outlineLevel="0" max="15885" min="15885" style="380" width="7.88"/>
    <col collapsed="false" customWidth="true" hidden="false" outlineLevel="0" max="15886" min="15886" style="380" width="7.37"/>
    <col collapsed="false" customWidth="true" hidden="false" outlineLevel="0" max="15887" min="15887" style="380" width="2.13"/>
    <col collapsed="false" customWidth="true" hidden="false" outlineLevel="0" max="15888" min="15888" style="380" width="3.5"/>
    <col collapsed="false" customWidth="false" hidden="false" outlineLevel="0" max="16128" min="15889" style="380" width="9"/>
    <col collapsed="false" customWidth="true" hidden="false" outlineLevel="0" max="16129" min="16129" style="380" width="8.75"/>
    <col collapsed="false" customWidth="true" hidden="false" outlineLevel="0" max="16130" min="16130" style="380" width="6.5"/>
    <col collapsed="false" customWidth="true" hidden="false" outlineLevel="0" max="16131" min="16131" style="380" width="6"/>
    <col collapsed="false" customWidth="true" hidden="false" outlineLevel="0" max="16132" min="16132" style="380" width="9.25"/>
    <col collapsed="false" customWidth="false" hidden="false" outlineLevel="0" max="16133" min="16133" style="380" width="9"/>
    <col collapsed="false" customWidth="true" hidden="false" outlineLevel="0" max="16134" min="16134" style="380" width="8.25"/>
    <col collapsed="false" customWidth="true" hidden="false" outlineLevel="0" max="16135" min="16135" style="380" width="14.38"/>
    <col collapsed="false" customWidth="true" hidden="false" outlineLevel="0" max="16136" min="16136" style="380" width="5"/>
    <col collapsed="false" customWidth="true" hidden="false" outlineLevel="0" max="16137" min="16137" style="380" width="7.75"/>
    <col collapsed="false" customWidth="true" hidden="false" outlineLevel="0" max="16138" min="16138" style="380" width="8.5"/>
    <col collapsed="false" customWidth="true" hidden="false" outlineLevel="0" max="16139" min="16139" style="380" width="11"/>
    <col collapsed="false" customWidth="true" hidden="false" outlineLevel="0" max="16140" min="16140" style="380" width="6.5"/>
    <col collapsed="false" customWidth="true" hidden="false" outlineLevel="0" max="16141" min="16141" style="380" width="7.88"/>
    <col collapsed="false" customWidth="true" hidden="false" outlineLevel="0" max="16142" min="16142" style="380" width="7.37"/>
    <col collapsed="false" customWidth="true" hidden="false" outlineLevel="0" max="16143" min="16143" style="380" width="2.13"/>
    <col collapsed="false" customWidth="true" hidden="false" outlineLevel="0" max="16144" min="16144" style="380" width="3.5"/>
    <col collapsed="false" customWidth="false" hidden="false" outlineLevel="0" max="16384" min="16145" style="380" width="9"/>
  </cols>
  <sheetData>
    <row r="1" customFormat="false" ht="15" hidden="false" customHeight="true" outlineLevel="0" collapsed="false">
      <c r="A1" s="1012" t="s">
        <v>1680</v>
      </c>
      <c r="B1" s="1013"/>
      <c r="C1" s="1014"/>
      <c r="D1" s="1014"/>
      <c r="E1" s="1014"/>
      <c r="F1" s="1014"/>
      <c r="G1" s="1014"/>
      <c r="H1" s="1014"/>
      <c r="I1" s="1014"/>
      <c r="J1" s="1014"/>
      <c r="K1" s="1014"/>
      <c r="L1" s="1014"/>
      <c r="M1" s="1014"/>
      <c r="N1" s="1014"/>
    </row>
    <row r="2" customFormat="false" ht="24.75" hidden="false" customHeight="true" outlineLevel="0" collapsed="false">
      <c r="A2" s="1015" t="s">
        <v>1681</v>
      </c>
      <c r="B2" s="1015"/>
      <c r="C2" s="1015"/>
      <c r="D2" s="1015"/>
      <c r="E2" s="1015"/>
      <c r="F2" s="1015"/>
      <c r="G2" s="1015"/>
      <c r="H2" s="1015"/>
      <c r="I2" s="1015"/>
      <c r="J2" s="1015"/>
      <c r="K2" s="1015"/>
      <c r="L2" s="1015"/>
      <c r="M2" s="1015"/>
      <c r="N2" s="1015"/>
      <c r="O2" s="1015"/>
    </row>
    <row r="3" customFormat="false" ht="15" hidden="false" customHeight="false" outlineLevel="0" collapsed="false">
      <c r="A3" s="1016"/>
      <c r="B3" s="1017" t="s">
        <v>796</v>
      </c>
      <c r="C3" s="1017"/>
      <c r="D3" s="1018" t="s">
        <v>1682</v>
      </c>
      <c r="E3" s="1019" t="s">
        <v>1683</v>
      </c>
      <c r="F3" s="1019" t="s">
        <v>1684</v>
      </c>
      <c r="G3" s="1019" t="s">
        <v>1685</v>
      </c>
      <c r="H3" s="1017" t="s">
        <v>1686</v>
      </c>
      <c r="I3" s="1017" t="s">
        <v>1687</v>
      </c>
      <c r="J3" s="1020" t="s">
        <v>1688</v>
      </c>
      <c r="K3" s="1021" t="s">
        <v>1689</v>
      </c>
      <c r="L3" s="1018" t="s">
        <v>1690</v>
      </c>
      <c r="M3" s="1018"/>
      <c r="N3" s="1018"/>
    </row>
    <row r="4" customFormat="false" ht="15" hidden="false" customHeight="false" outlineLevel="0" collapsed="false">
      <c r="A4" s="1016"/>
      <c r="B4" s="1017"/>
      <c r="C4" s="1017"/>
      <c r="D4" s="1018"/>
      <c r="E4" s="1019"/>
      <c r="F4" s="1019"/>
      <c r="G4" s="1019"/>
      <c r="H4" s="1017"/>
      <c r="I4" s="1017"/>
      <c r="J4" s="1020"/>
      <c r="K4" s="1021"/>
      <c r="L4" s="1021" t="s">
        <v>1691</v>
      </c>
      <c r="M4" s="1021" t="s">
        <v>1692</v>
      </c>
      <c r="N4" s="1018" t="s">
        <v>1693</v>
      </c>
    </row>
    <row r="5" customFormat="false" ht="15" hidden="false" customHeight="false" outlineLevel="0" collapsed="false">
      <c r="A5" s="1022" t="n">
        <v>303</v>
      </c>
      <c r="B5" s="1023" t="e">
        <f aca="false">(HLOOKUP(A5,[3]管径核算!$A$2:$FH$27,MATCH("介质名称",[3]管径核算!$A$2:$A$27,FALSE()),FALSE()))</f>
        <v>#N/A</v>
      </c>
      <c r="C5" s="1024" t="s">
        <v>1694</v>
      </c>
      <c r="D5" s="1025" t="n">
        <v>12698</v>
      </c>
      <c r="E5" s="1026" t="n">
        <v>20.7</v>
      </c>
      <c r="F5" s="1027" t="n">
        <v>0.02</v>
      </c>
      <c r="G5" s="1018"/>
      <c r="H5" s="1028" t="n">
        <v>1</v>
      </c>
      <c r="I5" s="1029" t="n">
        <v>300</v>
      </c>
      <c r="J5" s="1030" t="n">
        <f aca="false">IF(OR(D5=0,I5=0),"*",D5/H5/E5/3600/0.785/(I5/1000)^2)</f>
        <v>2.41185008921452</v>
      </c>
      <c r="K5" s="1030" t="n">
        <f aca="false">3.5689*0.00000000001*100*POWER(I5/1000,-4.84)*POWER(F5/1000000,0.16)*E5*POWER(D5/E5/H5,1.84)</f>
        <v>0.198102615465104</v>
      </c>
      <c r="L5" s="1031" t="n">
        <f aca="false">210.65*(D6/D5)*(E6*E5)^0.5*F6^0.333/E6^0.667/G6</f>
        <v>2.92924788370545</v>
      </c>
      <c r="M5" s="1032" t="n">
        <f aca="false">7.09*D5/H5/0.785/(I5/1000)^2/(E6*E5)^0.5</f>
        <v>9517.55232214799</v>
      </c>
      <c r="N5" s="1029" t="s">
        <v>1622</v>
      </c>
    </row>
    <row r="6" customFormat="false" ht="15" hidden="false" customHeight="false" outlineLevel="0" collapsed="false">
      <c r="A6" s="1022"/>
      <c r="B6" s="1023"/>
      <c r="C6" s="1024" t="s">
        <v>1695</v>
      </c>
      <c r="D6" s="1025" t="n">
        <v>10700</v>
      </c>
      <c r="E6" s="1026" t="n">
        <v>866</v>
      </c>
      <c r="F6" s="1027" t="n">
        <v>0.29</v>
      </c>
      <c r="G6" s="1027" t="n">
        <v>59</v>
      </c>
      <c r="H6" s="1028" t="n">
        <v>1</v>
      </c>
      <c r="I6" s="1029"/>
      <c r="J6" s="1033" t="n">
        <f aca="false">IF(OR(D6=0,I5=0),"*",D6/H6/E6/3600/0.785/(I5/1000)^2)</f>
        <v>0.0485792962122133</v>
      </c>
      <c r="K6" s="1033" t="n">
        <f aca="false">3.5689*0.00000000001*100*POWER(I5/1000,-4.84)*POWER(F6/1000000,0.16)*E6*POWER(D6/E6/H6,1.84)</f>
        <v>0.00963390385343686</v>
      </c>
      <c r="L6" s="1031"/>
      <c r="M6" s="1032"/>
      <c r="N6" s="1029"/>
    </row>
    <row r="7" customFormat="false" ht="15" hidden="false" customHeight="false" outlineLevel="0" collapsed="false">
      <c r="A7" s="1022" t="n">
        <v>413</v>
      </c>
      <c r="B7" s="1023" t="e">
        <f aca="false">(HLOOKUP(A7,[3]管径核算!$A$2:$FH$27,MATCH("介质名称",[3]管径核算!$A$2:$A$27,FALSE()),FALSE()))</f>
        <v>#N/A</v>
      </c>
      <c r="C7" s="1024" t="s">
        <v>1694</v>
      </c>
      <c r="D7" s="1025" t="n">
        <v>20674</v>
      </c>
      <c r="E7" s="1026" t="n">
        <v>17.1</v>
      </c>
      <c r="F7" s="1027" t="n">
        <v>0.02</v>
      </c>
      <c r="G7" s="1018"/>
      <c r="H7" s="1028" t="n">
        <v>1</v>
      </c>
      <c r="I7" s="1029" t="n">
        <v>250</v>
      </c>
      <c r="J7" s="1030" t="n">
        <f aca="false">IF(OR(D7=0,I7=0),"*",D7/H7/E7/3600/0.785/(I7/1000)^2)</f>
        <v>6.84504372514206</v>
      </c>
      <c r="K7" s="1030" t="n">
        <f aca="false">3.5689*0.00000000001*100*POWER(I7/1000,-4.84)*POWER(F7/1000000,0.16)*E7*POWER(D7/E7/H7,1.84)</f>
        <v>1.37826873886265</v>
      </c>
      <c r="L7" s="1031" t="e">
        <f aca="false">210.65*(D8/D7)*(E8*E7)^0.5*F8^0.333/E8^0.667/G8</f>
        <v>#N/A</v>
      </c>
      <c r="M7" s="1032" t="n">
        <f aca="false">7.09*D7/H7/0.785/(I7/1000)^2/(E8*E7)^0.5</f>
        <v>32290.7100683465</v>
      </c>
      <c r="N7" s="1029" t="s">
        <v>1622</v>
      </c>
      <c r="O7" s="379"/>
      <c r="P7" s="379"/>
      <c r="R7" s="379"/>
      <c r="S7" s="379"/>
    </row>
    <row r="8" customFormat="false" ht="15" hidden="false" customHeight="false" outlineLevel="0" collapsed="false">
      <c r="A8" s="1022"/>
      <c r="B8" s="1023"/>
      <c r="C8" s="1024" t="s">
        <v>1695</v>
      </c>
      <c r="D8" s="1025" t="e">
        <f aca="false">(HLOOKUP(A7,[3]管径核算!$A$2:$FH$27,MATCH("介质最大操作流量(kg/h)",[3]管径核算!$A$2:$A$27,FALSE()),FALSE()))-D7</f>
        <v>#N/A</v>
      </c>
      <c r="E8" s="1026" t="n">
        <v>500.6</v>
      </c>
      <c r="F8" s="1027" t="n">
        <v>0.1109</v>
      </c>
      <c r="G8" s="1027" t="n">
        <v>6.32</v>
      </c>
      <c r="H8" s="1028" t="n">
        <v>1</v>
      </c>
      <c r="I8" s="1029"/>
      <c r="J8" s="1033" t="e">
        <f aca="false">IF(OR(D8=0,I7=0),"*",D8/H8/E8/3600/0.785/(I7/1000)^2)</f>
        <v>#N/A</v>
      </c>
      <c r="K8" s="1033" t="e">
        <f aca="false">3.5689*0.00000000001*100*POWER(I7/1000,-4.84)*POWER(F8/1000000,0.16)*E8*POWER(D8/E8/H8,1.84)</f>
        <v>#N/A</v>
      </c>
      <c r="L8" s="1031"/>
      <c r="M8" s="1032"/>
      <c r="N8" s="1029"/>
    </row>
    <row r="9" customFormat="false" ht="15" hidden="false" customHeight="false" outlineLevel="0" collapsed="false">
      <c r="A9" s="1022" t="n">
        <v>106</v>
      </c>
      <c r="B9" s="1023" t="str">
        <f aca="false">(HLOOKUP(A9,[3]管径核算!$A$2:$FH$27,MATCH("介质名称",[3]管径核算!$A$2:$A$27,FALSE()),FALSE()))</f>
        <v>加氢油+氢气</v>
      </c>
      <c r="C9" s="1024" t="s">
        <v>1694</v>
      </c>
      <c r="D9" s="1025" t="n">
        <f aca="false">(HLOOKUP(A9,[3]管径核算!$A$2:$FH$27,MATCH("介质最大操作流量(kg/h)",[3]管径核算!$A$2:$A$27,FALSE()),FALSE()))*(HLOOKUP(A9,[3]管径核算!$A$2:$FH$27,MATCH("汽化率",[3]管径核算!$A$2:$A$27,FALSE()),FALSE()))</f>
        <v>27363.9227496352</v>
      </c>
      <c r="E9" s="1026" t="n">
        <v>14.42</v>
      </c>
      <c r="F9" s="1026" t="n">
        <v>0.01225</v>
      </c>
      <c r="G9" s="1018"/>
      <c r="H9" s="1028" t="n">
        <v>1</v>
      </c>
      <c r="I9" s="1029" t="n">
        <v>250</v>
      </c>
      <c r="J9" s="1030" t="n">
        <f aca="false">IF(OR(D9=0,I9=0),"*",D9/H9/E9/3600/0.785/(I9/1000)^2)</f>
        <v>10.7438743467427</v>
      </c>
      <c r="K9" s="1030" t="n">
        <f aca="false">3.5689*0.00000000001*100*POWER(I9/1000,-4.84)*POWER(F9/1000000,0.16)*E9*POWER(D9/E9/H9,1.84)</f>
        <v>2.46311033939945</v>
      </c>
      <c r="L9" s="1031" t="n">
        <f aca="false">210.65*(D10/D9)*(E10*E9)^0.5*F10^0.333/E10^0.667/G10</f>
        <v>4.89374280765121</v>
      </c>
      <c r="M9" s="1032" t="n">
        <f aca="false">7.09*D9/H9/0.785/(I9/1000)^2/(E10*E9)^0.5</f>
        <v>44812.1113762756</v>
      </c>
      <c r="N9" s="1029" t="str">
        <f aca="false">N7</f>
        <v>环状流</v>
      </c>
    </row>
    <row r="10" customFormat="false" ht="15" hidden="false" customHeight="false" outlineLevel="0" collapsed="false">
      <c r="A10" s="1022"/>
      <c r="B10" s="1023"/>
      <c r="C10" s="1024" t="s">
        <v>1695</v>
      </c>
      <c r="D10" s="1025" t="n">
        <f aca="false">(HLOOKUP(A9,[3]管径核算!$A$2:$FH$27,MATCH("介质最大操作流量(kg/h)",[3]管径核算!$A$2:$A$27,FALSE()),FALSE()))-D9</f>
        <v>8431.83358846481</v>
      </c>
      <c r="E10" s="1026" t="n">
        <v>540</v>
      </c>
      <c r="F10" s="1026" t="n">
        <v>0.1441</v>
      </c>
      <c r="G10" s="1026" t="n">
        <v>9.24</v>
      </c>
      <c r="H10" s="1028" t="n">
        <v>1</v>
      </c>
      <c r="I10" s="1029"/>
      <c r="J10" s="1033" t="n">
        <f aca="false">IF(OR(D10=0,I9=0),"*",D10/H10/E10/3600/0.785/(I9/1000)^2)</f>
        <v>0.0884048500795765</v>
      </c>
      <c r="K10" s="1033" t="n">
        <f aca="false">3.5689*0.00000000001*100*POWER(I9/1000,-4.84)*POWER(F10/1000000,0.16)*E10*POWER(D10/E10/H10,1.84)</f>
        <v>0.0199699393112144</v>
      </c>
      <c r="L10" s="1031"/>
      <c r="M10" s="1032"/>
      <c r="N10" s="1029"/>
    </row>
    <row r="11" customFormat="false" ht="15" hidden="false" customHeight="false" outlineLevel="0" collapsed="false">
      <c r="A11" s="1022" t="n">
        <v>108</v>
      </c>
      <c r="B11" s="1023" t="str">
        <f aca="false">(HLOOKUP(A11,[3]管径核算!$A$2:$FH$27,MATCH("介质名称",[3]管径核算!$A$2:$A$27,FALSE()),FALSE()))</f>
        <v>循环氢气</v>
      </c>
      <c r="C11" s="1024" t="s">
        <v>1694</v>
      </c>
      <c r="D11" s="1025" t="n">
        <f aca="false">(HLOOKUP(A11,[3]管径核算!$A$2:$FH$27,MATCH("介质最大操作流量(kg/h)",[3]管径核算!$A$2:$A$27,FALSE()),FALSE()))*(HLOOKUP(A11,[3]管径核算!$A$2:$FH$27,MATCH("汽化率",[3]管径核算!$A$2:$A$27,FALSE()),FALSE()))</f>
        <v>13878.0823871559</v>
      </c>
      <c r="E11" s="1026" t="n">
        <v>8.947</v>
      </c>
      <c r="F11" s="1027" t="n">
        <v>0.00979</v>
      </c>
      <c r="G11" s="1018"/>
      <c r="H11" s="1028" t="n">
        <v>1</v>
      </c>
      <c r="I11" s="1029" t="n">
        <v>200</v>
      </c>
      <c r="J11" s="1030" t="n">
        <f aca="false">IF(OR(D11=0,I11=0),"*",D11/H11/E11/3600/0.785/(I11/1000)^2)</f>
        <v>13.7220777320694</v>
      </c>
      <c r="K11" s="1030" t="n">
        <f aca="false">3.5689*0.00000000001*100*POWER(I11/1000,-4.84)*POWER(F11/1000000,0.16)*E11*POWER(D11/E11/H11,1.84)</f>
        <v>2.99606749216101</v>
      </c>
      <c r="L11" s="1031" t="n">
        <f aca="false">210.65*(D12/D11)*(E12*E11)^0.5*F12^0.333/E12^0.667/G12</f>
        <v>1.37788149454109</v>
      </c>
      <c r="M11" s="1032" t="n">
        <f aca="false">7.09*D11/H11/0.785/(I11/1000)^2/(E12*E11)^0.5</f>
        <v>43849.5708727968</v>
      </c>
      <c r="N11" s="1029" t="s">
        <v>1622</v>
      </c>
    </row>
    <row r="12" customFormat="false" ht="15" hidden="false" customHeight="false" outlineLevel="0" collapsed="false">
      <c r="A12" s="1022"/>
      <c r="B12" s="1023"/>
      <c r="C12" s="1024" t="s">
        <v>1695</v>
      </c>
      <c r="D12" s="1025" t="n">
        <f aca="false">(HLOOKUP(A11,[3]管径核算!$A$2:$FH$27,MATCH("介质最大操作流量(kg/h)",[3]管径核算!$A$2:$A$27,FALSE()),FALSE()))-D11</f>
        <v>1836.78514714405</v>
      </c>
      <c r="E12" s="1026" t="n">
        <v>570.8</v>
      </c>
      <c r="F12" s="1027" t="n">
        <v>0.1843</v>
      </c>
      <c r="G12" s="1034" t="n">
        <v>11.94</v>
      </c>
      <c r="H12" s="1028" t="n">
        <v>1</v>
      </c>
      <c r="I12" s="1029"/>
      <c r="J12" s="1033" t="n">
        <f aca="false">IF(OR(D12=0,I11=0),"*",D12/H12/E12/3600/0.785/(I11/1000)^2)</f>
        <v>0.0284670356739733</v>
      </c>
      <c r="K12" s="1033" t="n">
        <f aca="false">3.5689*0.00000000001*100*POWER(I11/1000,-4.84)*POWER(F12/1000000,0.16)*E12*POWER(D12/E12/H12,1.84)</f>
        <v>0.00353552655957436</v>
      </c>
      <c r="L12" s="1031"/>
      <c r="M12" s="1032"/>
      <c r="N12" s="1029"/>
    </row>
    <row r="13" customFormat="false" ht="15" hidden="false" customHeight="false" outlineLevel="0" collapsed="false">
      <c r="A13" s="1022" t="s">
        <v>1696</v>
      </c>
      <c r="B13" s="1023" t="str">
        <f aca="false">(HLOOKUP(A13,[3]管径核算!$A$2:$FH$27,MATCH("介质名称",[3]管径核算!$A$2:$A$27,FALSE()),FALSE()))</f>
        <v>加氢油</v>
      </c>
      <c r="C13" s="1024" t="s">
        <v>1694</v>
      </c>
      <c r="D13" s="1025" t="n">
        <f aca="false">(HLOOKUP(A13,[3]管径核算!$A$2:$FH$27,MATCH("介质最大操作流量(kg/h)",[3]管径核算!$A$2:$A$27,FALSE()),FALSE()))*(HLOOKUP(A13,[3]管径核算!$A$2:$FH$27,MATCH("汽化率",[3]管径核算!$A$2:$A$27,FALSE()),FALSE()))</f>
        <v>4159.56900398846</v>
      </c>
      <c r="E13" s="1026" t="n">
        <v>52.93</v>
      </c>
      <c r="F13" s="1027" t="n">
        <v>0.0122</v>
      </c>
      <c r="G13" s="1018"/>
      <c r="H13" s="1028" t="n">
        <v>1</v>
      </c>
      <c r="I13" s="1029" t="n">
        <v>150</v>
      </c>
      <c r="J13" s="1030" t="n">
        <f aca="false">IF(OR(D13=0,I13=0),"*",D13/H13/E13/3600/0.785/(I13/1000)^2)</f>
        <v>1.23592399414547</v>
      </c>
      <c r="K13" s="1030" t="n">
        <f aca="false">3.5689*0.00000000001*100*POWER(I13/1000,-4.84)*POWER(F13/1000000,0.16)*E13*POWER(D13/E13/H13,1.84)</f>
        <v>0.305639584533218</v>
      </c>
      <c r="L13" s="1031" t="n">
        <f aca="false">210.65*(D14/D13)*(E14*E13)^0.5*F14^0.333/E14^0.667/G14</f>
        <v>457.549046355085</v>
      </c>
      <c r="M13" s="1032" t="n">
        <f aca="false">7.09*D13/H13/0.785/(I13/1000)^2/(E14*E13)^0.5</f>
        <v>10947.4257151139</v>
      </c>
      <c r="N13" s="1029" t="s">
        <v>1697</v>
      </c>
    </row>
    <row r="14" customFormat="false" ht="15" hidden="false" customHeight="false" outlineLevel="0" collapsed="false">
      <c r="A14" s="1022"/>
      <c r="B14" s="1023"/>
      <c r="C14" s="1024" t="s">
        <v>1695</v>
      </c>
      <c r="D14" s="1025" t="n">
        <f aca="false">(HLOOKUP(A13,[3]管径核算!$A$2:$FH$27,MATCH("介质最大操作流量(kg/h)",[3]管径核算!$A$2:$A$27,FALSE()),FALSE()))-D13</f>
        <v>23409.1545113115</v>
      </c>
      <c r="E14" s="1026" t="n">
        <v>439.5</v>
      </c>
      <c r="F14" s="1027" t="n">
        <v>0.0813</v>
      </c>
      <c r="G14" s="1034" t="n">
        <v>2.958</v>
      </c>
      <c r="H14" s="1028" t="n">
        <v>1</v>
      </c>
      <c r="I14" s="1029"/>
      <c r="J14" s="1033" t="n">
        <f aca="false">IF(OR(D14=0,I13=0),"*",D14/H14/E14/3600/0.785/(I13/1000)^2)</f>
        <v>0.837668478357879</v>
      </c>
      <c r="K14" s="1033" t="n">
        <f aca="false">3.5689*0.00000000001*100*POWER(I13/1000,-4.84)*POWER(F14/1000000,0.16)*E14*POWER(D14/E14/H14,1.84)</f>
        <v>1.68055006074519</v>
      </c>
      <c r="L14" s="1031"/>
      <c r="M14" s="1032"/>
      <c r="N14" s="1029"/>
    </row>
    <row r="15" customFormat="false" ht="15" hidden="false" customHeight="false" outlineLevel="0" collapsed="false">
      <c r="A15" s="1022" t="s">
        <v>1698</v>
      </c>
      <c r="B15" s="1023" t="str">
        <f aca="false">(HLOOKUP(A15,[3]管径核算!$A$2:$FH$27,MATCH("介质名称",[3]管径核算!$A$2:$A$27,FALSE()),FALSE()))</f>
        <v>混合碳三</v>
      </c>
      <c r="C15" s="1024" t="s">
        <v>1694</v>
      </c>
      <c r="D15" s="1025" t="n">
        <f aca="false">(HLOOKUP(A15,[3]管径核算!$A$2:$FH$27,MATCH("介质最大操作流量(kg/h)",[3]管径核算!$A$2:$A$27,FALSE()),FALSE()))*(HLOOKUP(A15,[3]管径核算!$A$2:$FH$27,MATCH("汽化率",[3]管径核算!$A$2:$A$27,FALSE()),FALSE()))</f>
        <v>1299.39717872283</v>
      </c>
      <c r="E15" s="1026" t="n">
        <v>22.18</v>
      </c>
      <c r="F15" s="1027" t="n">
        <v>0.0127</v>
      </c>
      <c r="G15" s="1018"/>
      <c r="H15" s="1028" t="n">
        <v>1</v>
      </c>
      <c r="I15" s="1029" t="n">
        <v>100</v>
      </c>
      <c r="J15" s="1030" t="n">
        <f aca="false">IF(OR(D15=0,I15=0),"*",D15/H15/E15/3600/0.785/(I15/1000)^2)</f>
        <v>2.07304256865565</v>
      </c>
      <c r="K15" s="1030" t="n">
        <f aca="false">3.5689*0.00000000001*100*POWER(I15/1000,-4.84)*POWER(F15/1000000,0.16)*E15*POWER(D15/E15/H15,1.84)</f>
        <v>0.534343353020002</v>
      </c>
      <c r="L15" s="1031" t="n">
        <f aca="false">210.65*(D16/D15)*(E16*E15)^0.5*F16^0.333/E16^0.667/G16</f>
        <v>452.562209742506</v>
      </c>
      <c r="M15" s="1032" t="n">
        <f aca="false">7.09*D15/H15/0.785/(I15/1000)^2/(E16*E15)^0.5</f>
        <v>11036.6637547013</v>
      </c>
      <c r="N15" s="1029" t="s">
        <v>1697</v>
      </c>
    </row>
    <row r="16" customFormat="false" ht="15" hidden="false" customHeight="false" outlineLevel="0" collapsed="false">
      <c r="A16" s="1022"/>
      <c r="B16" s="1023"/>
      <c r="C16" s="1024" t="s">
        <v>1695</v>
      </c>
      <c r="D16" s="1025" t="n">
        <f aca="false">(HLOOKUP(A15,[3]管径核算!$A$2:$FH$27,MATCH("介质最大操作流量(kg/h)",[3]管径核算!$A$2:$A$27,FALSE()),FALSE()))-D15</f>
        <v>24740.6264429772</v>
      </c>
      <c r="E16" s="1026" t="n">
        <v>509.8</v>
      </c>
      <c r="F16" s="1027" t="n">
        <v>0.1219</v>
      </c>
      <c r="G16" s="1034" t="n">
        <v>7.312</v>
      </c>
      <c r="H16" s="1028" t="n">
        <v>1</v>
      </c>
      <c r="I16" s="1029"/>
      <c r="J16" s="1033" t="n">
        <f aca="false">IF(OR(D16=0,I15=0),"*",D16/H16/E16/3600/0.785/(I15/1000)^2)</f>
        <v>1.71727047553564</v>
      </c>
      <c r="K16" s="1033" t="n">
        <f aca="false">3.5689*0.00000000001*100*POWER(I15/1000,-4.84)*POWER(F16/1000000,0.16)*E16*POWER(D16/E16/H16,1.84)</f>
        <v>12.4725366049458</v>
      </c>
      <c r="L16" s="1031"/>
      <c r="M16" s="1032"/>
      <c r="N16" s="1029"/>
    </row>
    <row r="17" customFormat="false" ht="15" hidden="false" customHeight="false" outlineLevel="0" collapsed="false">
      <c r="A17" s="1022" t="s">
        <v>1699</v>
      </c>
      <c r="B17" s="1023" t="str">
        <f aca="false">(HLOOKUP(A17,[3]管径核算!$A$2:$FH$27,MATCH("介质名称",[3]管径核算!$A$2:$A$27,FALSE()),FALSE()))</f>
        <v>混合碳四</v>
      </c>
      <c r="C17" s="1024" t="s">
        <v>1694</v>
      </c>
      <c r="D17" s="1025" t="n">
        <f aca="false">(HLOOKUP(A17,[3]管径核算!$A$2:$FH$27,MATCH("介质最大操作流量(kg/h)",[3]管径核算!$A$2:$A$27,FALSE()),FALSE()))*(HLOOKUP(A17,[3]管径核算!$A$2:$FH$27,MATCH("汽化率",[3]管径核算!$A$2:$A$27,FALSE()),FALSE()))</f>
        <v>13858.3473434674</v>
      </c>
      <c r="E17" s="1026" t="n">
        <v>20.24</v>
      </c>
      <c r="F17" s="1027" t="n">
        <v>0.0088</v>
      </c>
      <c r="G17" s="1018"/>
      <c r="H17" s="1028" t="n">
        <v>1</v>
      </c>
      <c r="I17" s="1029" t="n">
        <v>150</v>
      </c>
      <c r="J17" s="1030" t="n">
        <f aca="false">IF(OR(D17=0,I17=0),"*",D17/H17/E17/3600/0.785/(I17/1000)^2)</f>
        <v>10.7682779854512</v>
      </c>
      <c r="K17" s="1030" t="n">
        <f aca="false">3.5689*0.00000000001*100*POWER(I17/1000,-4.84)*POWER(F17/1000000,0.16)*E17*POWER(D17/E17/H17,1.84)</f>
        <v>5.95527937255986</v>
      </c>
      <c r="L17" s="1031" t="n">
        <f aca="false">210.65*(D18/D17)*(E18*E17)^0.5*F18^0.333/E18^0.667/G18</f>
        <v>22.8817513926079</v>
      </c>
      <c r="M17" s="1032" t="n">
        <f aca="false">7.09*D17/H17/0.785/(I17/1000)^2/(E18*E17)^0.5</f>
        <v>54673.5695791772</v>
      </c>
      <c r="N17" s="1029" t="s">
        <v>1700</v>
      </c>
    </row>
    <row r="18" customFormat="false" ht="15" hidden="false" customHeight="false" outlineLevel="0" collapsed="false">
      <c r="A18" s="1022"/>
      <c r="B18" s="1023"/>
      <c r="C18" s="1024" t="s">
        <v>1695</v>
      </c>
      <c r="D18" s="1025" t="n">
        <f aca="false">(HLOOKUP(A17,[3]管径核算!$A$2:$FH$27,MATCH("介质最大操作流量(kg/h)",[3]管径核算!$A$2:$A$27,FALSE()),FALSE()))-D17</f>
        <v>13051.1172253326</v>
      </c>
      <c r="E18" s="1026" t="n">
        <v>511.5</v>
      </c>
      <c r="F18" s="1027" t="n">
        <v>0.1197</v>
      </c>
      <c r="G18" s="1034" t="n">
        <v>6.788</v>
      </c>
      <c r="H18" s="1028" t="n">
        <v>1</v>
      </c>
      <c r="I18" s="1029"/>
      <c r="J18" s="1033" t="n">
        <f aca="false">IF(OR(D18=0,I17=0),"*",D18/H18/E18/3600/0.785/(I17/1000)^2)</f>
        <v>0.401279872527913</v>
      </c>
      <c r="K18" s="1033" t="n">
        <f aca="false">3.5689*0.00000000001*100*POWER(I17/1000,-4.84)*POWER(F18/1000000,0.16)*E18*POWER(D18/E18/H18,1.84)</f>
        <v>0.53716680146257</v>
      </c>
      <c r="L18" s="1031"/>
      <c r="M18" s="1032"/>
      <c r="N18" s="1029"/>
    </row>
    <row r="19" customFormat="false" ht="15" hidden="false" customHeight="false" outlineLevel="0" collapsed="false">
      <c r="A19" s="1022" t="s">
        <v>1701</v>
      </c>
      <c r="B19" s="1023" t="e">
        <f aca="false">(HLOOKUP(A19,[3]管径核算!$A$2:$FH$27,MATCH("介质名称",[3]管径核算!$A$2:$A$27,FALSE()),FALSE()))</f>
        <v>#N/A</v>
      </c>
      <c r="C19" s="1024" t="s">
        <v>1694</v>
      </c>
      <c r="D19" s="1025" t="n">
        <v>126400</v>
      </c>
      <c r="E19" s="1026" t="n">
        <v>4.859</v>
      </c>
      <c r="F19" s="1027" t="n">
        <v>0.036</v>
      </c>
      <c r="G19" s="1018"/>
      <c r="H19" s="1028" t="n">
        <v>1</v>
      </c>
      <c r="I19" s="1029" t="n">
        <v>300</v>
      </c>
      <c r="J19" s="1030" t="n">
        <f aca="false">IF(OR(D19=0,I19=0),"*",D19/H19/E19/3600/0.785/(I19/1000)^2)</f>
        <v>102.278772673501</v>
      </c>
      <c r="K19" s="1030" t="n">
        <f aca="false">3.5689*0.00000000001*100*POWER(I19/1000,-4.84)*POWER(F19/1000000,0.16)*E19*POWER(D19/E19/H19,1.84)</f>
        <v>50.4418640608406</v>
      </c>
      <c r="L19" s="1031" t="n">
        <f aca="false">210.65*(D20/D19)*(E20*E19)^0.5*F20^0.333/E20^0.667/G20</f>
        <v>11.7150327466712</v>
      </c>
      <c r="M19" s="1032" t="n">
        <f aca="false">7.09*D19/H19/0.785/(I19/1000)^2/(E20*E19)^0.5</f>
        <v>227858.605919999</v>
      </c>
      <c r="N19" s="1029" t="s">
        <v>1697</v>
      </c>
    </row>
    <row r="20" customFormat="false" ht="15" hidden="false" customHeight="false" outlineLevel="0" collapsed="false">
      <c r="A20" s="1022"/>
      <c r="B20" s="1023"/>
      <c r="C20" s="1024" t="s">
        <v>1695</v>
      </c>
      <c r="D20" s="1025" t="n">
        <v>189400</v>
      </c>
      <c r="E20" s="1026" t="n">
        <v>637.8</v>
      </c>
      <c r="F20" s="1027" t="n">
        <v>0.1019</v>
      </c>
      <c r="G20" s="1034" t="n">
        <v>9.442</v>
      </c>
      <c r="H20" s="1028" t="n">
        <v>1</v>
      </c>
      <c r="I20" s="1029"/>
      <c r="J20" s="1033" t="n">
        <f aca="false">IF(OR(D20=0,I19=0),"*",D20/H20/E20/3600/0.785/(I19/1000)^2)</f>
        <v>1.16756426097387</v>
      </c>
      <c r="K20" s="1033" t="n">
        <f aca="false">3.5689*0.00000000001*100*POWER(I19/1000,-4.84)*POWER(F20/1000000,0.16)*E20*POWER(D20/E20/H20,1.84)</f>
        <v>2.08458465598856</v>
      </c>
      <c r="L20" s="1031"/>
      <c r="M20" s="1032"/>
      <c r="N20" s="1029"/>
    </row>
    <row r="21" customFormat="false" ht="15" hidden="false" customHeight="false" outlineLevel="0" collapsed="false"/>
    <row r="22" customFormat="false" ht="15" hidden="false" customHeight="false" outlineLevel="0" collapsed="false"/>
    <row r="23" customFormat="false" ht="15" hidden="false" customHeight="true" outlineLevel="0" collapsed="false">
      <c r="J23" s="1035" t="s">
        <v>1702</v>
      </c>
      <c r="K23" s="1035"/>
      <c r="L23" s="1035"/>
      <c r="M23" s="1035"/>
      <c r="N23" s="1035"/>
      <c r="O23" s="1035"/>
      <c r="P23" s="1035"/>
      <c r="Q23" s="1035"/>
      <c r="R23" s="1035"/>
      <c r="S23" s="1035"/>
      <c r="T23" s="1035"/>
      <c r="U23" s="1035"/>
    </row>
    <row r="24" customFormat="false" ht="15" hidden="false" customHeight="false" outlineLevel="0" collapsed="false">
      <c r="J24" s="1035"/>
      <c r="K24" s="1035"/>
      <c r="L24" s="1035"/>
      <c r="M24" s="1035"/>
      <c r="N24" s="1035"/>
      <c r="O24" s="1035"/>
      <c r="P24" s="1035"/>
      <c r="Q24" s="1035"/>
      <c r="R24" s="1035"/>
      <c r="S24" s="1035"/>
      <c r="T24" s="1035"/>
      <c r="U24" s="1035"/>
    </row>
    <row r="25" customFormat="false" ht="24.75" hidden="false" customHeight="true" outlineLevel="0" collapsed="false">
      <c r="J25" s="1035"/>
      <c r="K25" s="1035"/>
      <c r="L25" s="1035"/>
      <c r="M25" s="1035"/>
      <c r="N25" s="1035"/>
      <c r="O25" s="1035"/>
      <c r="P25" s="1035"/>
      <c r="Q25" s="1035"/>
      <c r="R25" s="1035"/>
      <c r="S25" s="1035"/>
      <c r="T25" s="1035"/>
      <c r="U25" s="1035"/>
    </row>
    <row r="26" customFormat="false" ht="15" hidden="false" customHeight="true" outlineLevel="0" collapsed="false">
      <c r="J26" s="1035"/>
      <c r="K26" s="1035"/>
      <c r="L26" s="1035"/>
      <c r="M26" s="1035"/>
      <c r="N26" s="1035"/>
      <c r="O26" s="1035"/>
      <c r="P26" s="1035"/>
      <c r="Q26" s="1035"/>
      <c r="R26" s="1035"/>
      <c r="S26" s="1035"/>
      <c r="T26" s="1035"/>
      <c r="U26" s="1035"/>
    </row>
    <row r="27" customFormat="false" ht="15" hidden="false" customHeight="true" outlineLevel="0" collapsed="false">
      <c r="J27" s="1035"/>
      <c r="K27" s="1035"/>
      <c r="L27" s="1035"/>
      <c r="M27" s="1035"/>
      <c r="N27" s="1035"/>
      <c r="O27" s="1035"/>
      <c r="P27" s="1035"/>
      <c r="Q27" s="1035"/>
      <c r="R27" s="1035"/>
      <c r="S27" s="1035"/>
      <c r="T27" s="1035"/>
      <c r="U27" s="1035"/>
    </row>
    <row r="28" customFormat="false" ht="15" hidden="false" customHeight="true" outlineLevel="0" collapsed="false">
      <c r="J28" s="1035"/>
      <c r="K28" s="1035"/>
      <c r="L28" s="1035"/>
      <c r="M28" s="1035"/>
      <c r="N28" s="1035"/>
      <c r="O28" s="1035"/>
      <c r="P28" s="1035"/>
      <c r="Q28" s="1035"/>
      <c r="R28" s="1035"/>
      <c r="S28" s="1035"/>
      <c r="T28" s="1035"/>
      <c r="U28" s="1035"/>
    </row>
    <row r="29" customFormat="false" ht="15" hidden="false" customHeight="true" outlineLevel="0" collapsed="false">
      <c r="J29" s="1035"/>
      <c r="K29" s="1035"/>
      <c r="L29" s="1035"/>
      <c r="M29" s="1035"/>
      <c r="N29" s="1035"/>
      <c r="O29" s="1035"/>
      <c r="P29" s="1035"/>
      <c r="Q29" s="1035"/>
      <c r="R29" s="1035"/>
      <c r="S29" s="1035"/>
      <c r="T29" s="1035"/>
      <c r="U29" s="1035"/>
    </row>
    <row r="30" customFormat="false" ht="15" hidden="false" customHeight="true" outlineLevel="0" collapsed="false">
      <c r="J30" s="1035"/>
      <c r="K30" s="1035"/>
      <c r="L30" s="1035"/>
      <c r="M30" s="1035"/>
      <c r="N30" s="1035"/>
      <c r="O30" s="1035"/>
      <c r="P30" s="1035"/>
      <c r="Q30" s="1035"/>
      <c r="R30" s="1035"/>
      <c r="S30" s="1035"/>
      <c r="T30" s="1035"/>
      <c r="U30" s="1035"/>
    </row>
    <row r="31" customFormat="false" ht="15" hidden="false" customHeight="true" outlineLevel="0" collapsed="false">
      <c r="J31" s="1035"/>
      <c r="K31" s="1035"/>
      <c r="L31" s="1035"/>
      <c r="M31" s="1035"/>
      <c r="N31" s="1035"/>
      <c r="O31" s="1035"/>
      <c r="P31" s="1035"/>
      <c r="Q31" s="1035"/>
      <c r="R31" s="1035"/>
      <c r="S31" s="1035"/>
      <c r="T31" s="1035"/>
      <c r="U31" s="1035"/>
    </row>
    <row r="32" customFormat="false" ht="15" hidden="false" customHeight="true" outlineLevel="0" collapsed="false">
      <c r="J32" s="1035"/>
      <c r="K32" s="1035"/>
      <c r="L32" s="1035"/>
      <c r="M32" s="1035"/>
      <c r="N32" s="1035"/>
      <c r="O32" s="1035"/>
      <c r="P32" s="1035"/>
      <c r="Q32" s="1035"/>
      <c r="R32" s="1035"/>
      <c r="S32" s="1035"/>
      <c r="T32" s="1035"/>
      <c r="U32" s="1035"/>
    </row>
    <row r="33" customFormat="false" ht="15" hidden="false" customHeight="true" outlineLevel="0" collapsed="false">
      <c r="J33" s="1035"/>
      <c r="K33" s="1035"/>
      <c r="L33" s="1035"/>
      <c r="M33" s="1035"/>
      <c r="N33" s="1035"/>
      <c r="O33" s="1035"/>
      <c r="P33" s="1035"/>
      <c r="Q33" s="1035"/>
      <c r="R33" s="1035"/>
      <c r="S33" s="1035"/>
      <c r="T33" s="1035"/>
      <c r="U33" s="1035"/>
    </row>
    <row r="34" customFormat="false" ht="15" hidden="false" customHeight="true" outlineLevel="0" collapsed="false">
      <c r="J34" s="1035"/>
      <c r="K34" s="1035"/>
      <c r="L34" s="1035"/>
      <c r="M34" s="1035"/>
      <c r="N34" s="1035"/>
      <c r="O34" s="1035"/>
      <c r="P34" s="1035"/>
      <c r="Q34" s="1035"/>
      <c r="R34" s="1035"/>
      <c r="S34" s="1035"/>
      <c r="T34" s="1035"/>
      <c r="U34" s="1035"/>
    </row>
    <row r="35" customFormat="false" ht="15" hidden="false" customHeight="true" outlineLevel="0" collapsed="false">
      <c r="J35" s="1035"/>
      <c r="K35" s="1035"/>
      <c r="L35" s="1035"/>
      <c r="M35" s="1035"/>
      <c r="N35" s="1035"/>
      <c r="O35" s="1035"/>
      <c r="P35" s="1035"/>
      <c r="Q35" s="1035"/>
      <c r="R35" s="1035"/>
      <c r="S35" s="1035"/>
      <c r="T35" s="1035"/>
      <c r="U35" s="1035"/>
    </row>
    <row r="36" customFormat="false" ht="15" hidden="false" customHeight="true" outlineLevel="0" collapsed="false">
      <c r="J36" s="1035"/>
      <c r="K36" s="1035"/>
      <c r="L36" s="1035"/>
      <c r="M36" s="1035"/>
      <c r="N36" s="1035"/>
      <c r="O36" s="1035"/>
      <c r="P36" s="1035"/>
      <c r="Q36" s="1035"/>
      <c r="R36" s="1035"/>
      <c r="S36" s="1035"/>
      <c r="T36" s="1035"/>
      <c r="U36" s="1035"/>
    </row>
    <row r="37" customFormat="false" ht="15" hidden="false" customHeight="true" outlineLevel="0" collapsed="false">
      <c r="J37" s="1035"/>
      <c r="K37" s="1035"/>
      <c r="L37" s="1035"/>
      <c r="M37" s="1035"/>
      <c r="N37" s="1035"/>
      <c r="O37" s="1035"/>
      <c r="P37" s="1035"/>
      <c r="Q37" s="1035"/>
      <c r="R37" s="1035"/>
      <c r="S37" s="1035"/>
      <c r="T37" s="1035"/>
      <c r="U37" s="1035"/>
    </row>
    <row r="38" customFormat="false" ht="15" hidden="false" customHeight="true" outlineLevel="0" collapsed="false">
      <c r="L38" s="1036"/>
      <c r="M38" s="1036"/>
      <c r="N38" s="1036"/>
      <c r="O38" s="1036"/>
      <c r="P38" s="1036"/>
      <c r="Q38" s="1036"/>
      <c r="R38" s="1036"/>
      <c r="S38" s="1036"/>
      <c r="T38" s="1036"/>
      <c r="U38" s="1036"/>
    </row>
    <row r="39" customFormat="false" ht="15" hidden="false" customHeight="true" outlineLevel="0" collapsed="false">
      <c r="L39" s="1036"/>
      <c r="M39" s="1036"/>
      <c r="N39" s="1036"/>
      <c r="O39" s="1036"/>
      <c r="P39" s="1036"/>
      <c r="Q39" s="1036"/>
      <c r="R39" s="1036"/>
      <c r="S39" s="1036"/>
      <c r="T39" s="1036"/>
      <c r="U39" s="1036"/>
    </row>
    <row r="40" customFormat="false" ht="15" hidden="false" customHeight="true" outlineLevel="0" collapsed="false">
      <c r="L40" s="379"/>
      <c r="M40" s="379"/>
      <c r="N40" s="379"/>
      <c r="O40" s="379"/>
      <c r="P40" s="379"/>
      <c r="Q40" s="379"/>
      <c r="R40" s="379"/>
      <c r="S40" s="379"/>
      <c r="T40" s="379"/>
      <c r="U40" s="379"/>
      <c r="V40" s="379"/>
    </row>
    <row r="41" customFormat="false" ht="15" hidden="false" customHeight="true" outlineLevel="0" collapsed="false">
      <c r="V41" s="379"/>
    </row>
    <row r="42" customFormat="false" ht="14.25" hidden="false" customHeight="false" outlineLevel="0" collapsed="false">
      <c r="V42" s="379"/>
    </row>
  </sheetData>
  <mergeCells count="61">
    <mergeCell ref="A2:O2"/>
    <mergeCell ref="A3:A4"/>
    <mergeCell ref="B3:C4"/>
    <mergeCell ref="D3:D4"/>
    <mergeCell ref="E3:E4"/>
    <mergeCell ref="F3:F4"/>
    <mergeCell ref="G3:G4"/>
    <mergeCell ref="H3:H4"/>
    <mergeCell ref="I3:I4"/>
    <mergeCell ref="J3:J4"/>
    <mergeCell ref="K3:K4"/>
    <mergeCell ref="L3:N3"/>
    <mergeCell ref="A5:A6"/>
    <mergeCell ref="B5:B6"/>
    <mergeCell ref="I5:I6"/>
    <mergeCell ref="L5:L6"/>
    <mergeCell ref="M5:M6"/>
    <mergeCell ref="N5:N6"/>
    <mergeCell ref="A7:A8"/>
    <mergeCell ref="B7:B8"/>
    <mergeCell ref="I7:I8"/>
    <mergeCell ref="L7:L8"/>
    <mergeCell ref="M7:M8"/>
    <mergeCell ref="N7:N8"/>
    <mergeCell ref="A9:A10"/>
    <mergeCell ref="B9:B10"/>
    <mergeCell ref="I9:I10"/>
    <mergeCell ref="L9:L10"/>
    <mergeCell ref="M9:M10"/>
    <mergeCell ref="N9:N10"/>
    <mergeCell ref="A11:A12"/>
    <mergeCell ref="B11:B12"/>
    <mergeCell ref="I11:I12"/>
    <mergeCell ref="L11:L12"/>
    <mergeCell ref="M11:M12"/>
    <mergeCell ref="N11:N12"/>
    <mergeCell ref="A13:A14"/>
    <mergeCell ref="B13:B14"/>
    <mergeCell ref="I13:I14"/>
    <mergeCell ref="L13:L14"/>
    <mergeCell ref="M13:M14"/>
    <mergeCell ref="N13:N14"/>
    <mergeCell ref="A15:A16"/>
    <mergeCell ref="B15:B16"/>
    <mergeCell ref="I15:I16"/>
    <mergeCell ref="L15:L16"/>
    <mergeCell ref="M15:M16"/>
    <mergeCell ref="N15:N16"/>
    <mergeCell ref="A17:A18"/>
    <mergeCell ref="B17:B18"/>
    <mergeCell ref="I17:I18"/>
    <mergeCell ref="L17:L18"/>
    <mergeCell ref="M17:M18"/>
    <mergeCell ref="N17:N18"/>
    <mergeCell ref="A19:A20"/>
    <mergeCell ref="B19:B20"/>
    <mergeCell ref="I19:I20"/>
    <mergeCell ref="L19:L20"/>
    <mergeCell ref="M19:M20"/>
    <mergeCell ref="N19:N20"/>
    <mergeCell ref="J23:U37"/>
  </mergeCells>
  <conditionalFormatting sqref="O17:O18">
    <cfRule type="cellIs" priority="2" operator="equal" aboveAverage="0" equalAverage="0" bottom="0" percent="0" rank="0" text="" dxfId="702">
      <formula>"不同"</formula>
    </cfRule>
  </conditionalFormatting>
  <conditionalFormatting sqref="O1 O3:O16 O45:O65538 J38:J44 O19:O22">
    <cfRule type="cellIs" priority="3" operator="equal" aboveAverage="0" equalAverage="0" bottom="0" percent="0" rank="0" text="" dxfId="703">
      <formula>"不同"</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40" activeCellId="0" sqref="1:1048576"/>
    </sheetView>
  </sheetViews>
  <sheetFormatPr defaultColWidth="8.50390625" defaultRowHeight="14.25" zeroHeight="false" outlineLevelRow="0" outlineLevelCol="0"/>
  <cols>
    <col collapsed="false" customWidth="true" hidden="false" outlineLevel="0" max="1" min="1" style="0" width="5.5"/>
    <col collapsed="false" customWidth="true" hidden="false" outlineLevel="0" max="4" min="2" style="0" width="25"/>
  </cols>
  <sheetData>
    <row r="1" customFormat="false" ht="15" hidden="false" customHeight="false" outlineLevel="0" collapsed="false">
      <c r="A1" s="274" t="s">
        <v>1703</v>
      </c>
      <c r="B1" s="27" t="s">
        <v>1704</v>
      </c>
    </row>
    <row r="2" customFormat="false" ht="15" hidden="false" customHeight="false" outlineLevel="0" collapsed="false">
      <c r="B2" s="0" t="s">
        <v>921</v>
      </c>
    </row>
    <row r="3" customFormat="false" ht="15" hidden="false" customHeight="false" outlineLevel="0" collapsed="false">
      <c r="B3" s="0" t="s">
        <v>1705</v>
      </c>
      <c r="C3" s="27"/>
    </row>
    <row r="4" customFormat="false" ht="15" hidden="false" customHeight="false" outlineLevel="0" collapsed="false">
      <c r="B4" s="0" t="s">
        <v>1706</v>
      </c>
    </row>
    <row r="5" customFormat="false" ht="15" hidden="false" customHeight="false" outlineLevel="0" collapsed="false">
      <c r="B5" s="0" t="s">
        <v>1707</v>
      </c>
    </row>
    <row r="6" customFormat="false" ht="15" hidden="false" customHeight="false" outlineLevel="0" collapsed="false">
      <c r="B6" s="0" t="s">
        <v>1708</v>
      </c>
    </row>
    <row r="7" customFormat="false" ht="15" hidden="false" customHeight="false" outlineLevel="0" collapsed="false">
      <c r="B7" s="0" t="s">
        <v>1709</v>
      </c>
    </row>
    <row r="8" customFormat="false" ht="15" hidden="false" customHeight="false" outlineLevel="0" collapsed="false">
      <c r="B8" s="0" t="s">
        <v>1710</v>
      </c>
    </row>
    <row r="9" customFormat="false" ht="15" hidden="false" customHeight="false" outlineLevel="0" collapsed="false">
      <c r="B9" s="0" t="s">
        <v>1711</v>
      </c>
    </row>
    <row r="10" customFormat="false" ht="15" hidden="false" customHeight="false" outlineLevel="0" collapsed="false">
      <c r="B10" s="0" t="s">
        <v>1712</v>
      </c>
    </row>
    <row r="11" customFormat="false" ht="15" hidden="false" customHeight="false" outlineLevel="0" collapsed="false">
      <c r="B11" s="0" t="s">
        <v>1713</v>
      </c>
    </row>
    <row r="12" customFormat="false" ht="15" hidden="false" customHeight="false" outlineLevel="0" collapsed="false">
      <c r="B12" s="0" t="s">
        <v>1714</v>
      </c>
    </row>
    <row r="13" customFormat="false" ht="15" hidden="false" customHeight="false" outlineLevel="0" collapsed="false">
      <c r="B13" s="0" t="s">
        <v>1715</v>
      </c>
    </row>
    <row r="14" customFormat="false" ht="15" hidden="false" customHeight="false" outlineLevel="0" collapsed="false"/>
    <row r="15" customFormat="false" ht="15" hidden="false" customHeight="false" outlineLevel="0" collapsed="false">
      <c r="A15" s="274" t="s">
        <v>1716</v>
      </c>
      <c r="B15" s="27" t="s">
        <v>511</v>
      </c>
    </row>
    <row r="16" customFormat="false" ht="15" hidden="false" customHeight="false" outlineLevel="0" collapsed="false">
      <c r="A16" s="0" t="n">
        <v>1</v>
      </c>
      <c r="B16" s="27" t="s">
        <v>1717</v>
      </c>
    </row>
    <row r="17" customFormat="false" ht="15" hidden="false" customHeight="false" outlineLevel="0" collapsed="false">
      <c r="B17" s="27" t="s">
        <v>1718</v>
      </c>
      <c r="C17" s="1037"/>
      <c r="D17" s="27" t="s">
        <v>468</v>
      </c>
    </row>
    <row r="18" customFormat="false" ht="15" hidden="false" customHeight="false" outlineLevel="0" collapsed="false">
      <c r="B18" s="27" t="s">
        <v>1719</v>
      </c>
      <c r="C18" s="1037"/>
      <c r="D18" s="27" t="s">
        <v>468</v>
      </c>
    </row>
    <row r="19" customFormat="false" ht="15" hidden="false" customHeight="false" outlineLevel="0" collapsed="false">
      <c r="B19" s="27" t="s">
        <v>1720</v>
      </c>
      <c r="C19" s="1037"/>
      <c r="D19" s="27" t="s">
        <v>468</v>
      </c>
    </row>
    <row r="20" customFormat="false" ht="15" hidden="false" customHeight="false" outlineLevel="0" collapsed="false">
      <c r="B20" s="27" t="s">
        <v>1721</v>
      </c>
      <c r="C20" s="1037"/>
      <c r="D20" s="27" t="s">
        <v>468</v>
      </c>
    </row>
    <row r="21" customFormat="false" ht="15" hidden="false" customHeight="false" outlineLevel="0" collapsed="false">
      <c r="B21" s="27" t="s">
        <v>1722</v>
      </c>
      <c r="C21" s="281"/>
      <c r="D21" s="27" t="s">
        <v>420</v>
      </c>
    </row>
    <row r="22" customFormat="false" ht="15" hidden="false" customHeight="false" outlineLevel="0" collapsed="false">
      <c r="B22" s="27" t="s">
        <v>1723</v>
      </c>
      <c r="C22" s="281"/>
      <c r="D22" s="27" t="s">
        <v>420</v>
      </c>
    </row>
    <row r="23" customFormat="false" ht="15" hidden="false" customHeight="false" outlineLevel="0" collapsed="false">
      <c r="B23" s="27" t="s">
        <v>1724</v>
      </c>
      <c r="D23" s="27" t="s">
        <v>468</v>
      </c>
    </row>
    <row r="24" customFormat="false" ht="15" hidden="false" customHeight="false" outlineLevel="0" collapsed="false">
      <c r="B24" s="27" t="s">
        <v>1725</v>
      </c>
      <c r="C24" s="1037"/>
      <c r="D24" s="27" t="s">
        <v>468</v>
      </c>
    </row>
    <row r="25" customFormat="false" ht="15" hidden="false" customHeight="false" outlineLevel="0" collapsed="false">
      <c r="A25" s="0" t="n">
        <v>2</v>
      </c>
      <c r="B25" s="27" t="s">
        <v>1726</v>
      </c>
      <c r="D25" s="27" t="s">
        <v>468</v>
      </c>
    </row>
    <row r="26" customFormat="false" ht="15" hidden="false" customHeight="false" outlineLevel="0" collapsed="false"/>
    <row r="27" customFormat="false" ht="15" hidden="false" customHeight="false" outlineLevel="0" collapsed="false">
      <c r="A27" s="27" t="s">
        <v>1727</v>
      </c>
      <c r="B27" s="27" t="s">
        <v>1728</v>
      </c>
    </row>
    <row r="28" customFormat="false" ht="15" hidden="false" customHeight="false" outlineLevel="0" collapsed="false">
      <c r="B28" s="27" t="s">
        <v>1729</v>
      </c>
      <c r="C28" s="281" t="n">
        <v>50</v>
      </c>
      <c r="D28" s="27" t="s">
        <v>1730</v>
      </c>
    </row>
    <row r="29" customFormat="false" ht="15" hidden="false" customHeight="false" outlineLevel="0" collapsed="false">
      <c r="B29" s="27" t="s">
        <v>1731</v>
      </c>
      <c r="D29" s="27" t="s">
        <v>166</v>
      </c>
    </row>
    <row r="30" customFormat="false" ht="15" hidden="false" customHeight="false" outlineLevel="0" collapsed="false">
      <c r="B30" s="27" t="s">
        <v>1732</v>
      </c>
      <c r="D30" s="27" t="s">
        <v>440</v>
      </c>
    </row>
    <row r="31" customFormat="false" ht="15" hidden="false" customHeight="false" outlineLevel="0" collapsed="false"/>
    <row r="32" customFormat="false" ht="15" hidden="false" customHeight="false" outlineLevel="0" collapsed="false">
      <c r="A32" s="27" t="s">
        <v>1733</v>
      </c>
      <c r="B32" s="27" t="s">
        <v>986</v>
      </c>
    </row>
    <row r="33" customFormat="false" ht="15" hidden="false" customHeight="false" outlineLevel="0" collapsed="false">
      <c r="B33" s="27" t="s">
        <v>1734</v>
      </c>
      <c r="C33" s="281" t="n">
        <v>15</v>
      </c>
      <c r="D33" s="27" t="s">
        <v>1730</v>
      </c>
    </row>
    <row r="34" customFormat="false" ht="15" hidden="false" customHeight="false" outlineLevel="0" collapsed="false">
      <c r="B34" s="27" t="s">
        <v>1735</v>
      </c>
      <c r="C34" s="206" t="n">
        <f aca="false">物流参数!ER7</f>
        <v>1184.49</v>
      </c>
      <c r="D34" s="27" t="s">
        <v>166</v>
      </c>
    </row>
    <row r="35" customFormat="false" ht="15" hidden="false" customHeight="false" outlineLevel="0" collapsed="false">
      <c r="B35" s="27" t="s">
        <v>1736</v>
      </c>
      <c r="C35" s="206" t="n">
        <f aca="false">物流参数!BW7</f>
        <v>-1539.27</v>
      </c>
      <c r="D35" s="27" t="s">
        <v>166</v>
      </c>
    </row>
    <row r="36" customFormat="false" ht="15" hidden="false" customHeight="false" outlineLevel="0" collapsed="false">
      <c r="B36" s="27" t="s">
        <v>1737</v>
      </c>
      <c r="C36" s="206" t="n">
        <f aca="false">物流参数!BZ7</f>
        <v>-1375.93</v>
      </c>
      <c r="D36" s="27" t="s">
        <v>166</v>
      </c>
    </row>
    <row r="37" customFormat="false" ht="15" hidden="false" customHeight="false" outlineLevel="0" collapsed="false">
      <c r="B37" s="27" t="s">
        <v>1738</v>
      </c>
      <c r="C37" s="206" t="n">
        <f aca="false">SUM(C34:C36)</f>
        <v>-1730.71</v>
      </c>
      <c r="D37" s="27" t="s">
        <v>166</v>
      </c>
    </row>
    <row r="38" customFormat="false" ht="15" hidden="false" customHeight="false" outlineLevel="0" collapsed="false">
      <c r="B38" s="27" t="s">
        <v>1739</v>
      </c>
      <c r="C38" s="206" t="n">
        <f aca="false">C33*C37/1000000</f>
        <v>-0.02596065</v>
      </c>
      <c r="D38" s="27" t="s">
        <v>166</v>
      </c>
    </row>
    <row r="39" customFormat="false" ht="15" hidden="false" customHeight="false" outlineLevel="0" collapsed="false">
      <c r="B39" s="27" t="s">
        <v>1740</v>
      </c>
      <c r="C39" s="206" t="n">
        <f aca="false">C38*8000</f>
        <v>-207.6852</v>
      </c>
      <c r="D39" s="27" t="s">
        <v>468</v>
      </c>
    </row>
    <row r="40" customFormat="false" ht="15" hidden="false" customHeight="false" outlineLevel="0" collapsed="false"/>
    <row r="41" customFormat="false" ht="15" hidden="false" customHeight="false" outlineLevel="0" collapsed="false">
      <c r="A41" s="27" t="s">
        <v>1741</v>
      </c>
      <c r="B41" s="27" t="s">
        <v>1742</v>
      </c>
    </row>
    <row r="42" customFormat="false" ht="15" hidden="false" customHeight="false" outlineLevel="0" collapsed="false">
      <c r="B42" s="27" t="s">
        <v>1743</v>
      </c>
      <c r="C42" s="206" t="n">
        <f aca="false">'机泵选型(基础设计)'!AH4</f>
        <v>0</v>
      </c>
      <c r="D42" s="27" t="s">
        <v>166</v>
      </c>
    </row>
    <row r="43" customFormat="false" ht="15" hidden="false" customHeight="false" outlineLevel="0" collapsed="false">
      <c r="B43" s="27" t="s">
        <v>1744</v>
      </c>
      <c r="C43" s="206" t="n">
        <f aca="false">C42*20</f>
        <v>0</v>
      </c>
      <c r="D43" s="27" t="s">
        <v>468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H23" activeCellId="0" sqref="1:1048576"/>
    </sheetView>
  </sheetViews>
  <sheetFormatPr defaultColWidth="9.00390625" defaultRowHeight="14.25" zeroHeight="false" outlineLevelRow="0" outlineLevelCol="0"/>
  <cols>
    <col collapsed="false" customWidth="true" hidden="false" outlineLevel="0" max="1" min="1" style="0" width="5"/>
    <col collapsed="false" customWidth="true" hidden="false" outlineLevel="0" max="2" min="2" style="0" width="7.88"/>
    <col collapsed="false" customWidth="true" hidden="false" outlineLevel="0" max="3" min="3" style="0" width="10.88"/>
    <col collapsed="false" customWidth="true" hidden="false" outlineLevel="0" max="4" min="4" style="0" width="6.75"/>
    <col collapsed="false" customWidth="true" hidden="false" outlineLevel="0" max="5" min="5" style="0" width="5.63"/>
    <col collapsed="false" customWidth="true" hidden="false" outlineLevel="0" max="6" min="6" style="0" width="5.75"/>
    <col collapsed="false" customWidth="true" hidden="false" outlineLevel="0" max="7" min="7" style="1038" width="12.25"/>
    <col collapsed="false" customWidth="true" hidden="false" outlineLevel="0" max="8" min="8" style="0" width="8.5"/>
    <col collapsed="false" customWidth="true" hidden="false" outlineLevel="0" max="9" min="9" style="0" width="9.5"/>
    <col collapsed="false" customWidth="true" hidden="false" outlineLevel="0" max="10" min="10" style="0" width="6.5"/>
    <col collapsed="false" customWidth="true" hidden="false" outlineLevel="0" max="11" min="11" style="0" width="10.12"/>
    <col collapsed="false" customWidth="true" hidden="false" outlineLevel="0" max="12" min="12" style="0" width="10.63"/>
  </cols>
  <sheetData>
    <row r="1" customFormat="false" ht="15" hidden="false" customHeight="false" outlineLevel="0" collapsed="false"/>
    <row r="2" customFormat="false" ht="14.25" hidden="false" customHeight="true" outlineLevel="0" collapsed="false">
      <c r="A2" s="1039" t="s">
        <v>1383</v>
      </c>
      <c r="B2" s="1039" t="s">
        <v>389</v>
      </c>
      <c r="C2" s="1039" t="s">
        <v>1745</v>
      </c>
      <c r="D2" s="1039" t="s">
        <v>1044</v>
      </c>
      <c r="E2" s="1039" t="s">
        <v>1746</v>
      </c>
      <c r="F2" s="1039"/>
      <c r="G2" s="1039" t="s">
        <v>1747</v>
      </c>
      <c r="H2" s="1039"/>
      <c r="I2" s="1039" t="s">
        <v>1748</v>
      </c>
      <c r="J2" s="1039" t="s">
        <v>1749</v>
      </c>
      <c r="K2" s="1039" t="s">
        <v>1750</v>
      </c>
      <c r="L2" s="1039" t="s">
        <v>277</v>
      </c>
    </row>
    <row r="3" customFormat="false" ht="14.25" hidden="false" customHeight="false" outlineLevel="0" collapsed="false">
      <c r="A3" s="1039"/>
      <c r="B3" s="1039"/>
      <c r="C3" s="1039"/>
      <c r="D3" s="1040" t="s">
        <v>1751</v>
      </c>
      <c r="E3" s="1039" t="s">
        <v>1752</v>
      </c>
      <c r="F3" s="1039" t="s">
        <v>1047</v>
      </c>
      <c r="G3" s="1041" t="s">
        <v>1752</v>
      </c>
      <c r="H3" s="1039" t="s">
        <v>1047</v>
      </c>
      <c r="I3" s="1040" t="s">
        <v>1753</v>
      </c>
      <c r="J3" s="1039" t="s">
        <v>1754</v>
      </c>
      <c r="K3" s="1039"/>
      <c r="L3" s="1039"/>
    </row>
    <row r="4" customFormat="false" ht="25.5" hidden="false" customHeight="true" outlineLevel="0" collapsed="false">
      <c r="A4" s="1040" t="n">
        <f aca="false">ROW()-3</f>
        <v>1</v>
      </c>
      <c r="B4" s="1042" t="s">
        <v>1755</v>
      </c>
      <c r="C4" s="1043" t="s">
        <v>1756</v>
      </c>
      <c r="D4" s="1044" t="n">
        <f aca="false">IF(OR(C4="照明用电",C4="仪表用电"),220,IF(I4&lt;=185,380,10000))</f>
        <v>10000</v>
      </c>
      <c r="E4" s="1045" t="n">
        <v>1</v>
      </c>
      <c r="F4" s="1045" t="n">
        <v>1</v>
      </c>
      <c r="G4" s="1046" t="n">
        <v>4500</v>
      </c>
      <c r="H4" s="1047" t="n">
        <f aca="false">G4</f>
        <v>4500</v>
      </c>
      <c r="I4" s="1048" t="n">
        <v>4140</v>
      </c>
      <c r="J4" s="1044" t="n">
        <v>8000</v>
      </c>
      <c r="K4" s="1049" t="n">
        <f aca="false">I4*J4/10000</f>
        <v>3312</v>
      </c>
      <c r="L4" s="1039"/>
    </row>
    <row r="5" customFormat="false" ht="24.05" hidden="false" customHeight="false" outlineLevel="0" collapsed="false">
      <c r="A5" s="1040" t="n">
        <f aca="false">ROW()-3</f>
        <v>2</v>
      </c>
      <c r="B5" s="1042" t="s">
        <v>1757</v>
      </c>
      <c r="C5" s="1043" t="s">
        <v>1758</v>
      </c>
      <c r="D5" s="1044" t="n">
        <f aca="false">IF(OR(C5="照明用电",C5="仪表用电"),220,IF(I5&lt;=185,380,10000))</f>
        <v>10000</v>
      </c>
      <c r="E5" s="1045" t="n">
        <v>1</v>
      </c>
      <c r="F5" s="1045" t="n">
        <v>1</v>
      </c>
      <c r="G5" s="1046" t="n">
        <v>1250</v>
      </c>
      <c r="H5" s="1047" t="n">
        <f aca="false">G5</f>
        <v>1250</v>
      </c>
      <c r="I5" s="1048" t="n">
        <v>911</v>
      </c>
      <c r="J5" s="1044" t="n">
        <v>8000</v>
      </c>
      <c r="K5" s="1049" t="n">
        <f aca="false">I5*J5/10000</f>
        <v>728.8</v>
      </c>
      <c r="L5" s="1039"/>
    </row>
    <row r="6" customFormat="false" ht="24.05" hidden="false" customHeight="false" outlineLevel="0" collapsed="false">
      <c r="A6" s="1040" t="n">
        <f aca="false">ROW()-3</f>
        <v>3</v>
      </c>
      <c r="B6" s="1042" t="s">
        <v>1759</v>
      </c>
      <c r="C6" s="1043" t="s">
        <v>1760</v>
      </c>
      <c r="D6" s="1044" t="n">
        <f aca="false">IF(OR(C6="照明用电",C6="仪表用电"),220,IF(I6&lt;=185,380,10000))</f>
        <v>380</v>
      </c>
      <c r="E6" s="1045" t="n">
        <v>1</v>
      </c>
      <c r="F6" s="1045" t="n">
        <v>1</v>
      </c>
      <c r="G6" s="1046" t="n">
        <v>160</v>
      </c>
      <c r="H6" s="1047" t="n">
        <f aca="false">G6</f>
        <v>160</v>
      </c>
      <c r="I6" s="1050" t="n">
        <v>40</v>
      </c>
      <c r="J6" s="1044" t="n">
        <v>8000</v>
      </c>
      <c r="K6" s="1049" t="n">
        <f aca="false">I6*J6/10000</f>
        <v>32</v>
      </c>
      <c r="L6" s="1039"/>
    </row>
    <row r="7" customFormat="false" ht="27" hidden="false" customHeight="true" outlineLevel="0" collapsed="false">
      <c r="A7" s="1040" t="n">
        <f aca="false">ROW()-3</f>
        <v>4</v>
      </c>
      <c r="B7" s="1040" t="str">
        <f aca="false">'机泵选型(基础设计)'!B$1</f>
        <v>132-P-101A/B</v>
      </c>
      <c r="C7" s="1051" t="str">
        <f aca="false">'机泵选型(基础设计)'!B$2</f>
        <v>反应进料泵</v>
      </c>
      <c r="D7" s="1044" t="n">
        <f aca="false">IF(OR(C7="照明用电",C7="仪表用电"),220,IF(I7&lt;=185,380,10000))</f>
        <v>10000</v>
      </c>
      <c r="E7" s="1042" t="n">
        <v>1</v>
      </c>
      <c r="F7" s="1042" t="n">
        <v>1</v>
      </c>
      <c r="G7" s="1046" t="n">
        <f aca="false">'机泵选型(基础设计)'!B$93</f>
        <v>2500</v>
      </c>
      <c r="H7" s="1047" t="n">
        <f aca="false">G7</f>
        <v>2500</v>
      </c>
      <c r="I7" s="1052" t="n">
        <f aca="false">'机泵选型(基础设计)'!B$86</f>
        <v>2214.0638625</v>
      </c>
      <c r="J7" s="1044" t="n">
        <f aca="false">输入!$D$4</f>
        <v>8400</v>
      </c>
      <c r="K7" s="1049" t="n">
        <f aca="false">I7*J7/10000</f>
        <v>1859.8136445</v>
      </c>
      <c r="L7" s="1044"/>
    </row>
    <row r="8" customFormat="false" ht="27" hidden="false" customHeight="true" outlineLevel="0" collapsed="false">
      <c r="A8" s="1040" t="n">
        <f aca="false">ROW()-3</f>
        <v>5</v>
      </c>
      <c r="B8" s="1040" t="str">
        <f aca="false">'机泵选型(基础设计)'!D$1</f>
        <v>132-P-102A/B</v>
      </c>
      <c r="C8" s="1051" t="str">
        <f aca="false">'机泵选型(基础设计)'!D$2</f>
        <v>循环油泵</v>
      </c>
      <c r="D8" s="1044" t="n">
        <f aca="false">IF(OR(C8="照明用电",C8="仪表用电"),220,IF(I8&lt;=185,380,10000))</f>
        <v>10000</v>
      </c>
      <c r="E8" s="1042" t="n">
        <v>1</v>
      </c>
      <c r="F8" s="1042" t="n">
        <v>1</v>
      </c>
      <c r="G8" s="1046" t="n">
        <f aca="false">'机泵选型(基础设计)'!D$93</f>
        <v>280</v>
      </c>
      <c r="H8" s="1047" t="n">
        <f aca="false">G8</f>
        <v>280</v>
      </c>
      <c r="I8" s="1052" t="n">
        <f aca="false">'机泵选型(基础设计)'!D$86</f>
        <v>233.7477641</v>
      </c>
      <c r="J8" s="1044" t="n">
        <f aca="false">输入!$D$4</f>
        <v>8400</v>
      </c>
      <c r="K8" s="1049" t="n">
        <f aca="false">I8*J8/10000</f>
        <v>196.348121844</v>
      </c>
      <c r="L8" s="1044"/>
    </row>
    <row r="9" customFormat="false" ht="27" hidden="false" customHeight="true" outlineLevel="0" collapsed="false">
      <c r="A9" s="1040" t="n">
        <f aca="false">ROW()-3</f>
        <v>6</v>
      </c>
      <c r="B9" s="1040" t="n">
        <f aca="false">'机泵选型(基础设计)'!AO$1</f>
        <v>0</v>
      </c>
      <c r="C9" s="1051" t="n">
        <f aca="false">'机泵选型(基础设计)'!AO$2</f>
        <v>0</v>
      </c>
      <c r="D9" s="1044" t="n">
        <f aca="false">IF(OR(C9="照明用电",C9="仪表用电"),220,IF(I9&lt;=185,380,10000))</f>
        <v>380</v>
      </c>
      <c r="E9" s="1042" t="n">
        <v>1</v>
      </c>
      <c r="F9" s="1042" t="n">
        <v>1</v>
      </c>
      <c r="G9" s="1046" t="n">
        <f aca="false">'机泵选型(基础设计)'!AO$93</f>
        <v>0</v>
      </c>
      <c r="H9" s="1047" t="n">
        <f aca="false">G9</f>
        <v>0</v>
      </c>
      <c r="I9" s="1052" t="n">
        <f aca="false">'机泵选型(基础设计)'!AO$86</f>
        <v>0</v>
      </c>
      <c r="J9" s="1044" t="n">
        <f aca="false">输入!$D$4</f>
        <v>8400</v>
      </c>
      <c r="K9" s="1049" t="n">
        <f aca="false">I9*J9/10000</f>
        <v>0</v>
      </c>
      <c r="L9" s="1051"/>
    </row>
    <row r="10" customFormat="false" ht="27" hidden="false" customHeight="true" outlineLevel="0" collapsed="false">
      <c r="A10" s="1040" t="n">
        <f aca="false">ROW()-3</f>
        <v>7</v>
      </c>
      <c r="B10" s="1040" t="str">
        <f aca="false">'机泵选型(基础设计)'!E$1</f>
        <v>132-P-103A/B</v>
      </c>
      <c r="C10" s="1051" t="str">
        <f aca="false">'机泵选型(基础设计)'!E$2</f>
        <v>注水泵</v>
      </c>
      <c r="D10" s="1044" t="n">
        <f aca="false">IF(OR(C10="照明用电",C10="仪表用电"),220,IF(I10&lt;=185,380,10000))</f>
        <v>380</v>
      </c>
      <c r="E10" s="1042" t="n">
        <v>1</v>
      </c>
      <c r="F10" s="1042" t="n">
        <v>1</v>
      </c>
      <c r="G10" s="1046" t="n">
        <f aca="false">'机泵选型(基础设计)'!E$93</f>
        <v>37</v>
      </c>
      <c r="H10" s="1047" t="n">
        <f aca="false">G10</f>
        <v>37</v>
      </c>
      <c r="I10" s="1052" t="n">
        <f aca="false">'机泵选型(基础设计)'!E$86</f>
        <v>24.4782857142857</v>
      </c>
      <c r="J10" s="1044" t="n">
        <f aca="false">输入!$D$4</f>
        <v>8400</v>
      </c>
      <c r="K10" s="1049" t="n">
        <f aca="false">I10*J10/10000</f>
        <v>20.56176</v>
      </c>
      <c r="L10" s="1044"/>
    </row>
    <row r="11" customFormat="false" ht="27" hidden="false" customHeight="true" outlineLevel="0" collapsed="false">
      <c r="A11" s="1040" t="n">
        <f aca="false">ROW()-3</f>
        <v>8</v>
      </c>
      <c r="B11" s="1040" t="str">
        <f aca="false">'机泵选型(基础设计)'!F$1</f>
        <v>132-P-104A/B</v>
      </c>
      <c r="C11" s="1051" t="str">
        <f aca="false">'机泵选型(基础设计)'!F$2</f>
        <v>反冲洗污油泵</v>
      </c>
      <c r="D11" s="1044" t="n">
        <f aca="false">IF(OR(C11="照明用电",C11="仪表用电"),220,IF(I11&lt;=185,380,10000))</f>
        <v>380</v>
      </c>
      <c r="E11" s="1042" t="n">
        <v>1</v>
      </c>
      <c r="F11" s="1042" t="n">
        <v>1</v>
      </c>
      <c r="G11" s="1046" t="n">
        <f aca="false">'机泵选型(基础设计)'!F$93</f>
        <v>37</v>
      </c>
      <c r="H11" s="1047" t="n">
        <f aca="false">G11</f>
        <v>37</v>
      </c>
      <c r="I11" s="1052" t="n">
        <f aca="false">'机泵选型(基础设计)'!F$86</f>
        <v>27.454375</v>
      </c>
      <c r="J11" s="1044" t="n">
        <f aca="false">输入!$D$4</f>
        <v>8400</v>
      </c>
      <c r="K11" s="1049" t="n">
        <f aca="false">I11*J11/10000</f>
        <v>23.061675</v>
      </c>
      <c r="L11" s="1044"/>
    </row>
    <row r="12" customFormat="false" ht="27" hidden="false" customHeight="true" outlineLevel="0" collapsed="false">
      <c r="A12" s="1040" t="n">
        <f aca="false">ROW()-3</f>
        <v>9</v>
      </c>
      <c r="B12" s="1040" t="str">
        <f aca="false">'机泵选型(基础设计)'!H$1</f>
        <v>132-P-106A/B</v>
      </c>
      <c r="C12" s="1051" t="str">
        <f aca="false">'机泵选型(基础设计)'!H$2</f>
        <v>原料油泵</v>
      </c>
      <c r="D12" s="1044" t="n">
        <f aca="false">IF(OR(C12="照明用电",C12="仪表用电"),220,IF(I12&lt;=185,380,10000))</f>
        <v>380</v>
      </c>
      <c r="E12" s="1042" t="n">
        <v>1</v>
      </c>
      <c r="F12" s="1042" t="n">
        <v>1</v>
      </c>
      <c r="G12" s="1046" t="n">
        <f aca="false">'机泵选型(基础设计)'!H$93</f>
        <v>110</v>
      </c>
      <c r="H12" s="1047" t="n">
        <f aca="false">G12</f>
        <v>110</v>
      </c>
      <c r="I12" s="1052" t="n">
        <f aca="false">'机泵选型(基础设计)'!H$86</f>
        <v>85.4406833766234</v>
      </c>
      <c r="J12" s="1044" t="n">
        <f aca="false">输入!$D$4</f>
        <v>8400</v>
      </c>
      <c r="K12" s="1049" t="n">
        <f aca="false">I12*J12/10000</f>
        <v>71.7701740363637</v>
      </c>
      <c r="L12" s="1044"/>
    </row>
    <row r="13" customFormat="false" ht="27" hidden="false" customHeight="true" outlineLevel="0" collapsed="false">
      <c r="A13" s="1040" t="n">
        <f aca="false">ROW()-3</f>
        <v>10</v>
      </c>
      <c r="B13" s="1040" t="str">
        <f aca="false">'机泵选型(基础设计)'!I$1</f>
        <v>132-P-201A/B</v>
      </c>
      <c r="C13" s="1051" t="str">
        <f aca="false">'机泵选型(基础设计)'!I$2</f>
        <v>汽提塔顶回流泵</v>
      </c>
      <c r="D13" s="1044" t="n">
        <f aca="false">IF(OR(C13="照明用电",C13="仪表用电"),220,IF(I13&lt;=185,380,10000))</f>
        <v>380</v>
      </c>
      <c r="E13" s="1042" t="n">
        <v>1</v>
      </c>
      <c r="F13" s="1042" t="n">
        <v>1</v>
      </c>
      <c r="G13" s="1046" t="n">
        <f aca="false">'机泵选型(基础设计)'!I$93</f>
        <v>15</v>
      </c>
      <c r="H13" s="1047" t="n">
        <f aca="false">G13</f>
        <v>15</v>
      </c>
      <c r="I13" s="1052" t="n">
        <f aca="false">'机泵选型(基础设计)'!I$86</f>
        <v>8.2742009</v>
      </c>
      <c r="J13" s="1044" t="n">
        <f aca="false">输入!$D$4</f>
        <v>8400</v>
      </c>
      <c r="K13" s="1049" t="n">
        <f aca="false">I13*J13/10000</f>
        <v>6.950328756</v>
      </c>
      <c r="L13" s="1044"/>
    </row>
    <row r="14" customFormat="false" ht="27" hidden="false" customHeight="true" outlineLevel="0" collapsed="false">
      <c r="A14" s="1040" t="n">
        <f aca="false">ROW()-3</f>
        <v>11</v>
      </c>
      <c r="B14" s="1040" t="str">
        <f aca="false">'机泵选型(基础设计)'!J$1</f>
        <v>132-P-202A/B</v>
      </c>
      <c r="C14" s="1051" t="str">
        <f aca="false">'机泵选型(基础设计)'!J$2</f>
        <v>分馏塔进料泵</v>
      </c>
      <c r="D14" s="1044" t="n">
        <f aca="false">IF(OR(C14="照明用电",C14="仪表用电"),220,IF(I14&lt;=185,380,10000))</f>
        <v>380</v>
      </c>
      <c r="E14" s="1042" t="n">
        <v>1</v>
      </c>
      <c r="F14" s="1042" t="n">
        <v>1</v>
      </c>
      <c r="G14" s="1046" t="n">
        <f aca="false">'机泵选型(基础设计)'!J$93</f>
        <v>185</v>
      </c>
      <c r="H14" s="1047" t="n">
        <f aca="false">G14</f>
        <v>185</v>
      </c>
      <c r="I14" s="1052" t="n">
        <f aca="false">'机泵选型(基础设计)'!J$86</f>
        <v>139.466662703</v>
      </c>
      <c r="J14" s="1044" t="n">
        <f aca="false">输入!$D$4</f>
        <v>8400</v>
      </c>
      <c r="K14" s="1049" t="n">
        <f aca="false">I14*J14/10000</f>
        <v>117.15199667052</v>
      </c>
      <c r="L14" s="1044"/>
    </row>
    <row r="15" customFormat="false" ht="27" hidden="false" customHeight="true" outlineLevel="0" collapsed="false">
      <c r="A15" s="1040" t="n">
        <f aca="false">ROW()-3</f>
        <v>12</v>
      </c>
      <c r="B15" s="1040" t="str">
        <f aca="false">'机泵选型(基础设计)'!K$1</f>
        <v>132-P-203A/B</v>
      </c>
      <c r="C15" s="1051" t="str">
        <f aca="false">'机泵选型(基础设计)'!K$2</f>
        <v>分馏塔顶回流泵</v>
      </c>
      <c r="D15" s="1044" t="n">
        <f aca="false">IF(OR(C15="照明用电",C15="仪表用电"),220,IF(I15&lt;=185,380,10000))</f>
        <v>380</v>
      </c>
      <c r="E15" s="1042" t="n">
        <v>1</v>
      </c>
      <c r="F15" s="1042" t="n">
        <v>1</v>
      </c>
      <c r="G15" s="1046" t="n">
        <f aca="false">'机泵选型(基础设计)'!K$93</f>
        <v>90</v>
      </c>
      <c r="H15" s="1047" t="n">
        <f aca="false">G15</f>
        <v>90</v>
      </c>
      <c r="I15" s="1052" t="n">
        <f aca="false">'机泵选型(基础设计)'!K$86</f>
        <v>65.45946290625</v>
      </c>
      <c r="J15" s="1044" t="n">
        <f aca="false">输入!$D$4</f>
        <v>8400</v>
      </c>
      <c r="K15" s="1049" t="n">
        <f aca="false">I15*J15/10000</f>
        <v>54.98594884125</v>
      </c>
      <c r="L15" s="1044"/>
    </row>
    <row r="16" customFormat="false" ht="27" hidden="false" customHeight="true" outlineLevel="0" collapsed="false">
      <c r="A16" s="1040" t="n">
        <f aca="false">ROW()-3</f>
        <v>13</v>
      </c>
      <c r="B16" s="1040" t="str">
        <f aca="false">'机泵选型(基础设计)'!L$1</f>
        <v>132-P-204A/B</v>
      </c>
      <c r="C16" s="1051" t="str">
        <f aca="false">'机泵选型(基础设计)'!L$2</f>
        <v>分馏塔切水泵</v>
      </c>
      <c r="D16" s="1044" t="n">
        <f aca="false">IF(OR(C16="照明用电",C16="仪表用电"),220,IF(I16&lt;=185,380,10000))</f>
        <v>380</v>
      </c>
      <c r="E16" s="1042" t="n">
        <v>1</v>
      </c>
      <c r="F16" s="1042" t="n">
        <v>1</v>
      </c>
      <c r="G16" s="1046" t="n">
        <f aca="false">'机泵选型(基础设计)'!L$93</f>
        <v>15</v>
      </c>
      <c r="H16" s="1047" t="n">
        <f aca="false">G16</f>
        <v>15</v>
      </c>
      <c r="I16" s="1052" t="n">
        <f aca="false">'机泵选型(基础设计)'!L$86</f>
        <v>8.03287909230769</v>
      </c>
      <c r="J16" s="1044" t="n">
        <f aca="false">输入!$D$4</f>
        <v>8400</v>
      </c>
      <c r="K16" s="1049" t="n">
        <f aca="false">I16*J16/10000</f>
        <v>6.74761843753846</v>
      </c>
      <c r="L16" s="1044"/>
    </row>
    <row r="17" customFormat="false" ht="27" hidden="false" customHeight="true" outlineLevel="0" collapsed="false">
      <c r="A17" s="1040" t="n">
        <f aca="false">ROW()-3</f>
        <v>14</v>
      </c>
      <c r="B17" s="1040" t="str">
        <f aca="false">'机泵选型(基础设计)'!M$1</f>
        <v>132-P-205A/B</v>
      </c>
      <c r="C17" s="1051" t="str">
        <f aca="false">'机泵选型(基础设计)'!M$2</f>
        <v>分馏塔中段回流泵</v>
      </c>
      <c r="D17" s="1044" t="n">
        <f aca="false">IF(OR(C17="照明用电",C17="仪表用电"),220,IF(I17&lt;=185,380,10000))</f>
        <v>380</v>
      </c>
      <c r="E17" s="1042" t="n">
        <v>1</v>
      </c>
      <c r="F17" s="1042" t="n">
        <v>1</v>
      </c>
      <c r="G17" s="1046" t="n">
        <f aca="false">'机泵选型(基础设计)'!M$93</f>
        <v>55</v>
      </c>
      <c r="H17" s="1047" t="n">
        <f aca="false">G17</f>
        <v>55</v>
      </c>
      <c r="I17" s="1052" t="n">
        <f aca="false">'机泵选型(基础设计)'!M$86</f>
        <v>37.6751893939394</v>
      </c>
      <c r="J17" s="1044" t="n">
        <f aca="false">输入!$D$4</f>
        <v>8400</v>
      </c>
      <c r="K17" s="1049" t="n">
        <f aca="false">I17*J17/10000</f>
        <v>31.6471590909091</v>
      </c>
      <c r="L17" s="1044"/>
    </row>
    <row r="18" customFormat="false" ht="27" hidden="false" customHeight="true" outlineLevel="0" collapsed="false">
      <c r="A18" s="1040" t="n">
        <f aca="false">ROW()-3</f>
        <v>15</v>
      </c>
      <c r="B18" s="1040" t="str">
        <f aca="false">'机泵选型(基础设计)'!N$1</f>
        <v>132-P-206A/B</v>
      </c>
      <c r="C18" s="1051" t="str">
        <f aca="false">'机泵选型(基础设计)'!N$2</f>
        <v>柴油产品泵</v>
      </c>
      <c r="D18" s="1044" t="n">
        <f aca="false">IF(OR(C18="照明用电",C18="仪表用电"),220,IF(I18&lt;=185,380,10000))</f>
        <v>380</v>
      </c>
      <c r="E18" s="1042" t="n">
        <v>1</v>
      </c>
      <c r="F18" s="1042" t="n">
        <v>1</v>
      </c>
      <c r="G18" s="1046" t="n">
        <f aca="false">'机泵选型(基础设计)'!N$93</f>
        <v>75</v>
      </c>
      <c r="H18" s="1047" t="n">
        <f aca="false">G18</f>
        <v>75</v>
      </c>
      <c r="I18" s="1052" t="n">
        <f aca="false">'机泵选型(基础设计)'!N$86</f>
        <v>48.8913088235294</v>
      </c>
      <c r="J18" s="1044" t="n">
        <f aca="false">输入!$D$4</f>
        <v>8400</v>
      </c>
      <c r="K18" s="1049" t="n">
        <f aca="false">I18*J18/10000</f>
        <v>41.0686994117647</v>
      </c>
      <c r="L18" s="1044"/>
    </row>
    <row r="19" customFormat="false" ht="27" hidden="false" customHeight="true" outlineLevel="0" collapsed="false">
      <c r="A19" s="1040" t="n">
        <f aca="false">ROW()-3</f>
        <v>16</v>
      </c>
      <c r="B19" s="1040" t="str">
        <f aca="false">'机泵选型(基础设计)'!O$1</f>
        <v>132-P-207A/B</v>
      </c>
      <c r="C19" s="1051" t="str">
        <f aca="false">'机泵选型(基础设计)'!O$2</f>
        <v>加氢蜡油泵</v>
      </c>
      <c r="D19" s="1044" t="n">
        <f aca="false">IF(OR(C19="照明用电",C19="仪表用电"),220,IF(I19&lt;=185,380,10000))</f>
        <v>10000</v>
      </c>
      <c r="E19" s="1042" t="n">
        <v>1</v>
      </c>
      <c r="F19" s="1042" t="n">
        <v>1</v>
      </c>
      <c r="G19" s="1046" t="n">
        <f aca="false">'机泵选型(基础设计)'!O$93</f>
        <v>355</v>
      </c>
      <c r="H19" s="1047" t="n">
        <f aca="false">G19</f>
        <v>355</v>
      </c>
      <c r="I19" s="1052" t="n">
        <f aca="false">'机泵选型(基础设计)'!O$86</f>
        <v>264.025328017123</v>
      </c>
      <c r="J19" s="1044" t="n">
        <f aca="false">输入!$D$4</f>
        <v>8400</v>
      </c>
      <c r="K19" s="1049" t="n">
        <f aca="false">I19*J19/10000</f>
        <v>221.781275534384</v>
      </c>
      <c r="L19" s="1044"/>
    </row>
    <row r="20" customFormat="false" ht="27" hidden="false" customHeight="true" outlineLevel="0" collapsed="false">
      <c r="A20" s="1040" t="n">
        <f aca="false">ROW()-3</f>
        <v>17</v>
      </c>
      <c r="B20" s="1040" t="str">
        <f aca="false">'机泵选型(基础设计)'!P$1</f>
        <v>132-P-301A/B</v>
      </c>
      <c r="C20" s="1051" t="str">
        <f aca="false">'机泵选型(基础设计)'!P$2</f>
        <v>贫胺液泵</v>
      </c>
      <c r="D20" s="1044" t="n">
        <f aca="false">IF(OR(C20="照明用电",C20="仪表用电"),220,IF(I20&lt;=185,380,10000))</f>
        <v>10000</v>
      </c>
      <c r="E20" s="1042" t="n">
        <v>1</v>
      </c>
      <c r="F20" s="1042" t="n">
        <v>2</v>
      </c>
      <c r="G20" s="1046" t="n">
        <f aca="false">'机泵选型(基础设计)'!P$93</f>
        <v>250</v>
      </c>
      <c r="H20" s="1047" t="n">
        <f aca="false">G20</f>
        <v>250</v>
      </c>
      <c r="I20" s="1052" t="n">
        <f aca="false">'机泵选型(基础设计)'!P$86</f>
        <v>200.798904109589</v>
      </c>
      <c r="J20" s="1044" t="n">
        <f aca="false">输入!$D$4</f>
        <v>8400</v>
      </c>
      <c r="K20" s="1049" t="n">
        <f aca="false">I20*J20/10000</f>
        <v>168.671079452055</v>
      </c>
      <c r="L20" s="1044"/>
    </row>
    <row r="21" customFormat="false" ht="27" hidden="false" customHeight="true" outlineLevel="0" collapsed="false">
      <c r="A21" s="1040" t="n">
        <f aca="false">ROW()-3</f>
        <v>18</v>
      </c>
      <c r="B21" s="1040" t="str">
        <f aca="false">'机泵选型(基础设计)'!Q$1</f>
        <v>132-P-401</v>
      </c>
      <c r="C21" s="1051" t="str">
        <f aca="false">'机泵选型(基础设计)'!Q$2</f>
        <v>地下轻污油泵</v>
      </c>
      <c r="D21" s="1044" t="n">
        <f aca="false">IF(OR(C21="照明用电",C21="仪表用电"),220,IF(I21&lt;=185,380,10000))</f>
        <v>380</v>
      </c>
      <c r="E21" s="1042" t="n">
        <v>1</v>
      </c>
      <c r="F21" s="1042"/>
      <c r="G21" s="1046" t="n">
        <f aca="false">'机泵选型(基础设计)'!Q$93</f>
        <v>30</v>
      </c>
      <c r="H21" s="1047"/>
      <c r="I21" s="1052" t="n">
        <f aca="false">'机泵选型(基础设计)'!Q$86</f>
        <v>20.9742424242424</v>
      </c>
      <c r="J21" s="1053" t="n">
        <v>200</v>
      </c>
      <c r="K21" s="1049" t="n">
        <f aca="false">I21*J21/10000</f>
        <v>0.419484848484849</v>
      </c>
      <c r="L21" s="1044"/>
    </row>
    <row r="22" s="1062" customFormat="true" ht="27" hidden="false" customHeight="true" outlineLevel="0" collapsed="false">
      <c r="A22" s="1054" t="n">
        <f aca="false">ROW()-3</f>
        <v>19</v>
      </c>
      <c r="B22" s="1054" t="n">
        <f aca="false">'机泵选型(基础设计)'!AP1</f>
        <v>0</v>
      </c>
      <c r="C22" s="1055" t="n">
        <f aca="false">'机泵选型(基础设计)'!AP2</f>
        <v>0</v>
      </c>
      <c r="D22" s="1056" t="n">
        <f aca="false">IF(OR(C22="照明用电",C22="仪表用电"),220,IF(I22&lt;=185,380,10000))</f>
        <v>380</v>
      </c>
      <c r="E22" s="1057" t="n">
        <v>1</v>
      </c>
      <c r="F22" s="1057" t="n">
        <v>1</v>
      </c>
      <c r="G22" s="1058" t="n">
        <f aca="false">'机泵选型(基础设计)'!AP93</f>
        <v>0</v>
      </c>
      <c r="H22" s="1059" t="n">
        <f aca="false">G22</f>
        <v>0</v>
      </c>
      <c r="I22" s="1060" t="n">
        <f aca="false">'机泵选型(基础设计)'!AP86</f>
        <v>0</v>
      </c>
      <c r="J22" s="1056" t="n">
        <v>2000</v>
      </c>
      <c r="K22" s="1061" t="n">
        <f aca="false">I22*J22/10000</f>
        <v>0</v>
      </c>
      <c r="L22" s="1056"/>
    </row>
    <row r="23" customFormat="false" ht="27" hidden="false" customHeight="true" outlineLevel="0" collapsed="false">
      <c r="A23" s="1040" t="n">
        <f aca="false">ROW()-3</f>
        <v>20</v>
      </c>
      <c r="B23" s="1040" t="str">
        <f aca="false">'机泵选型(基础设计)'!R$1</f>
        <v>132-P-404</v>
      </c>
      <c r="C23" s="1051" t="str">
        <f aca="false">'机泵选型(基础设计)'!R$2</f>
        <v>地下废胺液泵</v>
      </c>
      <c r="D23" s="1044" t="n">
        <f aca="false">IF(OR(C23="照明用电",C23="仪表用电"),220,IF(I23&lt;=185,380,10000))</f>
        <v>380</v>
      </c>
      <c r="E23" s="1042" t="n">
        <v>1</v>
      </c>
      <c r="F23" s="1042" t="n">
        <v>1</v>
      </c>
      <c r="G23" s="1063" t="n">
        <f aca="false">'机泵选型(基础设计)'!R$93</f>
        <v>18.5</v>
      </c>
      <c r="H23" s="1064" t="n">
        <f aca="false">G23</f>
        <v>18.5</v>
      </c>
      <c r="I23" s="1052" t="n">
        <f aca="false">'机泵选型(基础设计)'!R$86</f>
        <v>13.3222222222222</v>
      </c>
      <c r="J23" s="1044" t="n">
        <f aca="false">输入!$D$4</f>
        <v>8400</v>
      </c>
      <c r="K23" s="1049" t="n">
        <f aca="false">I23*J23/10000</f>
        <v>11.1906666666667</v>
      </c>
      <c r="L23" s="1044"/>
    </row>
    <row r="24" customFormat="false" ht="27" hidden="false" customHeight="true" outlineLevel="0" collapsed="false">
      <c r="A24" s="1040" t="n">
        <f aca="false">ROW()-3</f>
        <v>21</v>
      </c>
      <c r="B24" s="1040" t="str">
        <f aca="false">'机泵选型(基础设计)'!S$1</f>
        <v>132-P-406A/B</v>
      </c>
      <c r="C24" s="1051" t="str">
        <f aca="false">'机泵选型(基础设计)'!S$2</f>
        <v>排污水泵</v>
      </c>
      <c r="D24" s="1044" t="n">
        <f aca="false">IF(OR(C24="照明用电",C24="仪表用电"),220,IF(I24&lt;=185,380,10000))</f>
        <v>380</v>
      </c>
      <c r="E24" s="1042" t="n">
        <v>1</v>
      </c>
      <c r="F24" s="1042" t="n">
        <v>1</v>
      </c>
      <c r="G24" s="1046" t="n">
        <f aca="false">'机泵选型(基础设计)'!S$93</f>
        <v>11</v>
      </c>
      <c r="H24" s="1047" t="n">
        <f aca="false">G24</f>
        <v>11</v>
      </c>
      <c r="I24" s="1052" t="n">
        <f aca="false">'机泵选型(基础设计)'!S$86</f>
        <v>4.63032</v>
      </c>
      <c r="J24" s="1044" t="n">
        <f aca="false">输入!$D$4</f>
        <v>8400</v>
      </c>
      <c r="K24" s="1049" t="n">
        <f aca="false">I24*J24/10000</f>
        <v>3.8894688</v>
      </c>
      <c r="L24" s="1044"/>
    </row>
    <row r="25" customFormat="false" ht="27" hidden="false" customHeight="true" outlineLevel="0" collapsed="false">
      <c r="A25" s="1040" t="n">
        <f aca="false">ROW()-3</f>
        <v>22</v>
      </c>
      <c r="B25" s="1040" t="n">
        <f aca="false">'机泵选型(基础设计)'!T$1</f>
        <v>0</v>
      </c>
      <c r="C25" s="1051" t="n">
        <f aca="false">'机泵选型(基础设计)'!T$2</f>
        <v>0</v>
      </c>
      <c r="D25" s="1044" t="n">
        <f aca="false">IF(OR(C25="照明用电",C25="仪表用电"),220,IF(I25&lt;=185,380,10000))</f>
        <v>380</v>
      </c>
      <c r="E25" s="1042" t="n">
        <v>1</v>
      </c>
      <c r="F25" s="1042" t="n">
        <v>1</v>
      </c>
      <c r="G25" s="1046" t="n">
        <f aca="false">'机泵选型(基础设计)'!T$93</f>
        <v>0</v>
      </c>
      <c r="H25" s="1047" t="n">
        <f aca="false">G25</f>
        <v>0</v>
      </c>
      <c r="I25" s="1052" t="n">
        <f aca="false">'机泵选型(基础设计)'!T$86</f>
        <v>0</v>
      </c>
      <c r="J25" s="1044" t="n">
        <f aca="false">输入!$D$4</f>
        <v>8400</v>
      </c>
      <c r="K25" s="1049" t="n">
        <f aca="false">I25*J25/10000</f>
        <v>0</v>
      </c>
      <c r="L25" s="1044"/>
    </row>
    <row r="26" customFormat="false" ht="27" hidden="false" customHeight="true" outlineLevel="0" collapsed="false">
      <c r="A26" s="1040" t="n">
        <f aca="false">ROW()-3</f>
        <v>23</v>
      </c>
      <c r="B26" s="1040" t="n">
        <f aca="false">'机泵选型(基础设计)'!U$1</f>
        <v>0</v>
      </c>
      <c r="C26" s="1051" t="n">
        <f aca="false">'机泵选型(基础设计)'!U$2</f>
        <v>0</v>
      </c>
      <c r="D26" s="1044" t="n">
        <f aca="false">IF(OR(C26="照明用电",C26="仪表用电"),220,IF(I26&lt;=185,380,10000))</f>
        <v>380</v>
      </c>
      <c r="E26" s="1042" t="n">
        <v>1</v>
      </c>
      <c r="F26" s="1042" t="n">
        <v>1</v>
      </c>
      <c r="G26" s="1063" t="n">
        <f aca="false">'机泵选型(基础设计)'!U$93</f>
        <v>0</v>
      </c>
      <c r="H26" s="1064" t="n">
        <f aca="false">G26</f>
        <v>0</v>
      </c>
      <c r="I26" s="1052" t="n">
        <f aca="false">'机泵选型(基础设计)'!U$86</f>
        <v>0</v>
      </c>
      <c r="J26" s="1044" t="n">
        <f aca="false">输入!$D$4</f>
        <v>8400</v>
      </c>
      <c r="K26" s="1049" t="n">
        <f aca="false">I26*J26/10000</f>
        <v>0</v>
      </c>
      <c r="L26" s="1044"/>
    </row>
    <row r="27" customFormat="false" ht="27" hidden="false" customHeight="true" outlineLevel="0" collapsed="false">
      <c r="A27" s="1040" t="n">
        <f aca="false">ROW()-3</f>
        <v>24</v>
      </c>
      <c r="B27" s="1040" t="n">
        <f aca="false">'机泵选型(基础设计)'!V$1</f>
        <v>0</v>
      </c>
      <c r="C27" s="1051" t="n">
        <f aca="false">'机泵选型(基础设计)'!V$2</f>
        <v>0</v>
      </c>
      <c r="D27" s="1044" t="n">
        <f aca="false">IF(OR(C27="照明用电",C27="仪表用电"),220,IF(I27&lt;=185,380,10000))</f>
        <v>380</v>
      </c>
      <c r="E27" s="1042" t="n">
        <v>1</v>
      </c>
      <c r="F27" s="1042" t="n">
        <v>1</v>
      </c>
      <c r="G27" s="1063" t="n">
        <f aca="false">'机泵选型(基础设计)'!V$93</f>
        <v>0</v>
      </c>
      <c r="H27" s="1064" t="n">
        <f aca="false">G27</f>
        <v>0</v>
      </c>
      <c r="I27" s="1052" t="n">
        <f aca="false">'机泵选型(基础设计)'!V$86</f>
        <v>0</v>
      </c>
      <c r="J27" s="1044" t="n">
        <f aca="false">输入!$D$4</f>
        <v>8400</v>
      </c>
      <c r="K27" s="1049" t="n">
        <f aca="false">I27*J27/10000</f>
        <v>0</v>
      </c>
      <c r="L27" s="1044"/>
    </row>
    <row r="28" customFormat="false" ht="27" hidden="false" customHeight="true" outlineLevel="0" collapsed="false">
      <c r="A28" s="1040" t="n">
        <f aca="false">ROW()-3</f>
        <v>25</v>
      </c>
      <c r="B28" s="1040" t="n">
        <f aca="false">'机泵选型(基础设计)'!W$1</f>
        <v>0</v>
      </c>
      <c r="C28" s="1051" t="n">
        <f aca="false">'机泵选型(基础设计)'!W$2</f>
        <v>0</v>
      </c>
      <c r="D28" s="1044" t="n">
        <f aca="false">IF(OR(C28="照明用电",C28="仪表用电"),220,IF(I28&lt;=185,380,10000))</f>
        <v>380</v>
      </c>
      <c r="E28" s="1042" t="n">
        <v>1</v>
      </c>
      <c r="F28" s="1042" t="n">
        <v>1</v>
      </c>
      <c r="G28" s="1046" t="n">
        <f aca="false">'机泵选型(基础设计)'!W$93</f>
        <v>0</v>
      </c>
      <c r="H28" s="1047" t="n">
        <f aca="false">G28</f>
        <v>0</v>
      </c>
      <c r="I28" s="1052" t="n">
        <f aca="false">'机泵选型(基础设计)'!W$86</f>
        <v>0</v>
      </c>
      <c r="J28" s="1044" t="n">
        <f aca="false">输入!$D$4</f>
        <v>8400</v>
      </c>
      <c r="K28" s="1049" t="n">
        <f aca="false">I28*J28/10000</f>
        <v>0</v>
      </c>
      <c r="L28" s="1044"/>
    </row>
    <row r="29" customFormat="false" ht="27" hidden="false" customHeight="true" outlineLevel="0" collapsed="false">
      <c r="A29" s="1040" t="n">
        <f aca="false">ROW()-3</f>
        <v>26</v>
      </c>
      <c r="B29" s="1040" t="n">
        <f aca="false">'机泵选型(基础设计)'!X$1</f>
        <v>0</v>
      </c>
      <c r="C29" s="1051" t="n">
        <f aca="false">'机泵选型(基础设计)'!X$2</f>
        <v>0</v>
      </c>
      <c r="D29" s="1044" t="n">
        <f aca="false">IF(OR(C29="照明用电",C29="仪表用电"),220,IF(I29&lt;=185,380,10000))</f>
        <v>380</v>
      </c>
      <c r="E29" s="1042" t="n">
        <v>1</v>
      </c>
      <c r="F29" s="1042" t="n">
        <v>1</v>
      </c>
      <c r="G29" s="1046" t="n">
        <f aca="false">'机泵选型(基础设计)'!X$93</f>
        <v>0</v>
      </c>
      <c r="H29" s="1047" t="n">
        <f aca="false">G29</f>
        <v>0</v>
      </c>
      <c r="I29" s="1052" t="n">
        <f aca="false">'机泵选型(基础设计)'!X$86</f>
        <v>0</v>
      </c>
      <c r="J29" s="1044" t="n">
        <f aca="false">输入!$D$4</f>
        <v>8400</v>
      </c>
      <c r="K29" s="1049" t="n">
        <f aca="false">I29*J29/10000</f>
        <v>0</v>
      </c>
      <c r="L29" s="1044"/>
    </row>
    <row r="30" customFormat="false" ht="27" hidden="false" customHeight="true" outlineLevel="0" collapsed="false">
      <c r="A30" s="1040" t="n">
        <f aca="false">ROW()-3</f>
        <v>27</v>
      </c>
      <c r="B30" s="1040" t="n">
        <f aca="false">'机泵选型(基础设计)'!Y$1</f>
        <v>0</v>
      </c>
      <c r="C30" s="1051" t="n">
        <f aca="false">'机泵选型(基础设计)'!Y$2</f>
        <v>0</v>
      </c>
      <c r="D30" s="1044" t="n">
        <f aca="false">IF(OR(C30="照明用电",C30="仪表用电"),220,IF(I30&lt;=185,380,10000))</f>
        <v>380</v>
      </c>
      <c r="E30" s="1042" t="n">
        <v>1</v>
      </c>
      <c r="F30" s="1042" t="n">
        <v>1</v>
      </c>
      <c r="G30" s="1046" t="n">
        <f aca="false">'机泵选型(基础设计)'!Y$93</f>
        <v>0</v>
      </c>
      <c r="H30" s="1047" t="n">
        <f aca="false">G30</f>
        <v>0</v>
      </c>
      <c r="I30" s="1052" t="n">
        <f aca="false">'机泵选型(基础设计)'!Y$86</f>
        <v>0</v>
      </c>
      <c r="J30" s="1044" t="n">
        <f aca="false">输入!$D$4</f>
        <v>8400</v>
      </c>
      <c r="K30" s="1049" t="n">
        <f aca="false">I30*J30/10000</f>
        <v>0</v>
      </c>
      <c r="L30" s="1044"/>
    </row>
    <row r="31" s="1062" customFormat="true" ht="27" hidden="false" customHeight="true" outlineLevel="0" collapsed="false">
      <c r="A31" s="1054" t="n">
        <f aca="false">ROW()-3</f>
        <v>28</v>
      </c>
      <c r="B31" s="1054" t="n">
        <f aca="false">'机泵选型(基础设计)'!Z$1</f>
        <v>0</v>
      </c>
      <c r="C31" s="1055" t="n">
        <f aca="false">'机泵选型(基础设计)'!Z$2</f>
        <v>0</v>
      </c>
      <c r="D31" s="1056" t="n">
        <f aca="false">IF(OR(C31="照明用电",C31="仪表用电"),220,IF(I31&lt;=185,380,10000))</f>
        <v>380</v>
      </c>
      <c r="E31" s="1057" t="n">
        <v>1</v>
      </c>
      <c r="F31" s="1057" t="n">
        <v>1</v>
      </c>
      <c r="G31" s="1058" t="n">
        <f aca="false">'机泵选型(基础设计)'!Z93</f>
        <v>0</v>
      </c>
      <c r="H31" s="1059" t="n">
        <f aca="false">G31</f>
        <v>0</v>
      </c>
      <c r="I31" s="1060" t="n">
        <f aca="false">'机泵选型(基础设计)'!Z86</f>
        <v>0</v>
      </c>
      <c r="J31" s="1056" t="n">
        <v>8000</v>
      </c>
      <c r="K31" s="1061" t="n">
        <f aca="false">I31*J31/10000</f>
        <v>0</v>
      </c>
      <c r="L31" s="1056"/>
    </row>
    <row r="32" customFormat="false" ht="27" hidden="false" customHeight="true" outlineLevel="0" collapsed="false">
      <c r="A32" s="1040" t="n">
        <f aca="false">ROW()-3</f>
        <v>29</v>
      </c>
      <c r="B32" s="1040" t="n">
        <f aca="false">'机泵选型(基础设计)'!AA$1</f>
        <v>0</v>
      </c>
      <c r="C32" s="1051" t="n">
        <f aca="false">'机泵选型(基础设计)'!AA$2</f>
        <v>0</v>
      </c>
      <c r="D32" s="1044" t="n">
        <f aca="false">IF(OR(C32="照明用电",C32="仪表用电"),220,IF(I32&lt;=185,380,10000))</f>
        <v>380</v>
      </c>
      <c r="E32" s="1042" t="n">
        <v>1</v>
      </c>
      <c r="F32" s="1042" t="n">
        <v>1</v>
      </c>
      <c r="G32" s="1046" t="n">
        <f aca="false">'机泵选型(基础设计)'!AA$93</f>
        <v>0</v>
      </c>
      <c r="H32" s="1047" t="n">
        <f aca="false">G32</f>
        <v>0</v>
      </c>
      <c r="I32" s="1052" t="n">
        <f aca="false">'机泵选型(基础设计)'!AA$86</f>
        <v>0</v>
      </c>
      <c r="J32" s="1044" t="n">
        <f aca="false">输入!$D$4</f>
        <v>8400</v>
      </c>
      <c r="K32" s="1049" t="n">
        <f aca="false">I32*J32/10000</f>
        <v>0</v>
      </c>
      <c r="L32" s="1044"/>
    </row>
    <row r="33" customFormat="false" ht="27" hidden="false" customHeight="true" outlineLevel="0" collapsed="false">
      <c r="A33" s="1040" t="n">
        <f aca="false">ROW()-3</f>
        <v>30</v>
      </c>
      <c r="B33" s="1040" t="n">
        <f aca="false">'机泵选型(基础设计)'!AB$1</f>
        <v>0</v>
      </c>
      <c r="C33" s="1051" t="n">
        <f aca="false">'机泵选型(基础设计)'!AB$2</f>
        <v>0</v>
      </c>
      <c r="D33" s="1044" t="n">
        <f aca="false">IF(OR(C33="照明用电",C33="仪表用电"),220,IF(I33&lt;=185,380,10000))</f>
        <v>380</v>
      </c>
      <c r="E33" s="1042" t="n">
        <v>1</v>
      </c>
      <c r="F33" s="1042" t="n">
        <v>1</v>
      </c>
      <c r="G33" s="1046" t="n">
        <f aca="false">'机泵选型(基础设计)'!AB$93</f>
        <v>0</v>
      </c>
      <c r="H33" s="1047" t="n">
        <f aca="false">G33</f>
        <v>0</v>
      </c>
      <c r="I33" s="1052" t="n">
        <f aca="false">'机泵选型(基础设计)'!AB$86</f>
        <v>0</v>
      </c>
      <c r="J33" s="1044" t="n">
        <f aca="false">输入!$D$4</f>
        <v>8400</v>
      </c>
      <c r="K33" s="1049" t="n">
        <f aca="false">I33*J33/10000</f>
        <v>0</v>
      </c>
      <c r="L33" s="1044"/>
    </row>
    <row r="34" customFormat="false" ht="27" hidden="false" customHeight="true" outlineLevel="0" collapsed="false">
      <c r="A34" s="1040" t="n">
        <f aca="false">ROW()-3</f>
        <v>31</v>
      </c>
      <c r="B34" s="1040" t="n">
        <f aca="false">'机泵选型(基础设计)'!AC$1</f>
        <v>0</v>
      </c>
      <c r="C34" s="1051" t="n">
        <f aca="false">'机泵选型(基础设计)'!AC$2</f>
        <v>0</v>
      </c>
      <c r="D34" s="1044" t="n">
        <f aca="false">IF(OR(C34="照明用电",C34="仪表用电"),220,IF(I34&lt;=185,380,10000))</f>
        <v>380</v>
      </c>
      <c r="E34" s="1042" t="n">
        <v>1</v>
      </c>
      <c r="F34" s="1042" t="n">
        <v>1</v>
      </c>
      <c r="G34" s="1046" t="n">
        <f aca="false">'机泵选型(基础设计)'!AC$93</f>
        <v>0</v>
      </c>
      <c r="H34" s="1047" t="n">
        <f aca="false">G34</f>
        <v>0</v>
      </c>
      <c r="I34" s="1052" t="n">
        <f aca="false">'机泵选型(基础设计)'!AC$86</f>
        <v>0</v>
      </c>
      <c r="J34" s="1044" t="n">
        <f aca="false">输入!$D$4</f>
        <v>8400</v>
      </c>
      <c r="K34" s="1049" t="n">
        <f aca="false">I34*J34/10000</f>
        <v>0</v>
      </c>
      <c r="L34" s="1044"/>
    </row>
    <row r="35" customFormat="false" ht="27" hidden="false" customHeight="true" outlineLevel="0" collapsed="false">
      <c r="A35" s="1040" t="n">
        <f aca="false">ROW()-3</f>
        <v>32</v>
      </c>
      <c r="B35" s="1040" t="n">
        <f aca="false">'机泵选型(基础设计)'!AD$1</f>
        <v>0</v>
      </c>
      <c r="C35" s="1051" t="n">
        <f aca="false">'机泵选型(基础设计)'!AD$2</f>
        <v>0</v>
      </c>
      <c r="D35" s="1044" t="n">
        <f aca="false">IF(OR(C35="照明用电",C35="仪表用电"),220,IF(I35&lt;=185,380,10000))</f>
        <v>380</v>
      </c>
      <c r="E35" s="1042" t="n">
        <v>1</v>
      </c>
      <c r="F35" s="1042" t="n">
        <v>1</v>
      </c>
      <c r="G35" s="1046" t="n">
        <f aca="false">'机泵选型(基础设计)'!AD$93</f>
        <v>0</v>
      </c>
      <c r="H35" s="1047" t="n">
        <f aca="false">G35</f>
        <v>0</v>
      </c>
      <c r="I35" s="1052" t="n">
        <f aca="false">'机泵选型(基础设计)'!AD$86</f>
        <v>0</v>
      </c>
      <c r="J35" s="1044" t="n">
        <f aca="false">输入!$D$4</f>
        <v>8400</v>
      </c>
      <c r="K35" s="1049" t="n">
        <f aca="false">I35*J35/10000</f>
        <v>0</v>
      </c>
      <c r="L35" s="1044"/>
    </row>
    <row r="36" customFormat="false" ht="27" hidden="false" customHeight="true" outlineLevel="0" collapsed="false">
      <c r="A36" s="1040" t="n">
        <f aca="false">ROW()-3</f>
        <v>33</v>
      </c>
      <c r="B36" s="1040" t="n">
        <f aca="false">'机泵选型(基础设计)'!AE$1</f>
        <v>0</v>
      </c>
      <c r="C36" s="1051" t="n">
        <f aca="false">'机泵选型(基础设计)'!AE$2</f>
        <v>0</v>
      </c>
      <c r="D36" s="1044" t="n">
        <f aca="false">IF(OR(C36="照明用电",C36="仪表用电"),220,IF(I36&lt;=185,380,10000))</f>
        <v>380</v>
      </c>
      <c r="E36" s="1042" t="n">
        <v>1</v>
      </c>
      <c r="F36" s="1042" t="n">
        <v>1</v>
      </c>
      <c r="G36" s="1046" t="n">
        <f aca="false">'机泵选型(基础设计)'!AE$93</f>
        <v>0</v>
      </c>
      <c r="H36" s="1047" t="n">
        <f aca="false">G36</f>
        <v>0</v>
      </c>
      <c r="I36" s="1052" t="n">
        <f aca="false">'机泵选型(基础设计)'!AE$86</f>
        <v>0</v>
      </c>
      <c r="J36" s="1044" t="n">
        <f aca="false">输入!$D$4</f>
        <v>8400</v>
      </c>
      <c r="K36" s="1049" t="n">
        <f aca="false">I36*J36/10000</f>
        <v>0</v>
      </c>
      <c r="L36" s="1044"/>
    </row>
    <row r="37" customFormat="false" ht="27" hidden="false" customHeight="true" outlineLevel="0" collapsed="false">
      <c r="A37" s="1040" t="n">
        <f aca="false">ROW()-3</f>
        <v>34</v>
      </c>
      <c r="B37" s="1040" t="n">
        <f aca="false">'机泵选型(基础设计)'!AF$1</f>
        <v>0</v>
      </c>
      <c r="C37" s="1051" t="n">
        <f aca="false">'机泵选型(基础设计)'!AF$2</f>
        <v>0</v>
      </c>
      <c r="D37" s="1044" t="n">
        <f aca="false">IF(OR(C37="照明用电",C37="仪表用电"),220,IF(I37&lt;=185,380,10000))</f>
        <v>380</v>
      </c>
      <c r="E37" s="1042" t="n">
        <v>1</v>
      </c>
      <c r="F37" s="1042" t="n">
        <v>1</v>
      </c>
      <c r="G37" s="1046" t="n">
        <f aca="false">'机泵选型(基础设计)'!AF$93</f>
        <v>0</v>
      </c>
      <c r="H37" s="1047" t="n">
        <f aca="false">G37</f>
        <v>0</v>
      </c>
      <c r="I37" s="1052" t="n">
        <f aca="false">'机泵选型(基础设计)'!AF$86</f>
        <v>0</v>
      </c>
      <c r="J37" s="1044" t="n">
        <f aca="false">输入!$D$4</f>
        <v>8400</v>
      </c>
      <c r="K37" s="1049" t="n">
        <f aca="false">I37*J37/10000</f>
        <v>0</v>
      </c>
      <c r="L37" s="1044"/>
    </row>
    <row r="38" customFormat="false" ht="27" hidden="false" customHeight="true" outlineLevel="0" collapsed="false">
      <c r="A38" s="1040" t="n">
        <f aca="false">ROW()-3</f>
        <v>35</v>
      </c>
      <c r="B38" s="1040" t="n">
        <f aca="false">'机泵选型(基础设计)'!AG$1</f>
        <v>0</v>
      </c>
      <c r="C38" s="1051" t="n">
        <f aca="false">'机泵选型(基础设计)'!AG$2</f>
        <v>0</v>
      </c>
      <c r="D38" s="1044" t="n">
        <f aca="false">IF(OR(C38="照明用电",C38="仪表用电"),220,IF(I38&lt;=185,380,10000))</f>
        <v>380</v>
      </c>
      <c r="E38" s="1042" t="n">
        <v>1</v>
      </c>
      <c r="F38" s="1042"/>
      <c r="G38" s="1046" t="n">
        <f aca="false">'机泵选型(基础设计)'!AG$93</f>
        <v>0</v>
      </c>
      <c r="H38" s="1047" t="n">
        <f aca="false">G38</f>
        <v>0</v>
      </c>
      <c r="I38" s="1052" t="n">
        <f aca="false">'机泵选型(基础设计)'!AG$86</f>
        <v>0</v>
      </c>
      <c r="J38" s="1065" t="n">
        <v>200</v>
      </c>
      <c r="K38" s="1049" t="n">
        <f aca="false">I38*J38/10000</f>
        <v>0</v>
      </c>
      <c r="L38" s="1044"/>
    </row>
    <row r="39" customFormat="false" ht="27" hidden="false" customHeight="true" outlineLevel="0" collapsed="false">
      <c r="A39" s="1040" t="n">
        <f aca="false">ROW()-3</f>
        <v>36</v>
      </c>
      <c r="B39" s="1040" t="n">
        <f aca="false">'机泵选型(基础设计)'!AH$1</f>
        <v>0</v>
      </c>
      <c r="C39" s="1051" t="n">
        <f aca="false">'机泵选型(基础设计)'!AH$2</f>
        <v>0</v>
      </c>
      <c r="D39" s="1044" t="n">
        <f aca="false">IF(OR(C39="照明用电",C39="仪表用电"),220,IF(I39&lt;=185,380,10000))</f>
        <v>380</v>
      </c>
      <c r="E39" s="1042" t="n">
        <v>1</v>
      </c>
      <c r="F39" s="1042" t="n">
        <v>1</v>
      </c>
      <c r="G39" s="1046" t="n">
        <f aca="false">'机泵选型(基础设计)'!AH$93</f>
        <v>0</v>
      </c>
      <c r="H39" s="1047" t="n">
        <f aca="false">G39</f>
        <v>0</v>
      </c>
      <c r="I39" s="1052" t="n">
        <f aca="false">'机泵选型(基础设计)'!AH$86</f>
        <v>0</v>
      </c>
      <c r="J39" s="1065" t="n">
        <v>20</v>
      </c>
      <c r="K39" s="1049" t="n">
        <f aca="false">I39*J39/10000</f>
        <v>0</v>
      </c>
      <c r="L39" s="1044"/>
    </row>
    <row r="40" customFormat="false" ht="27" hidden="false" customHeight="true" outlineLevel="0" collapsed="false">
      <c r="A40" s="1040" t="n">
        <f aca="false">ROW()-3</f>
        <v>37</v>
      </c>
      <c r="B40" s="1040" t="n">
        <f aca="false">'机泵选型(基础设计)'!AI$1</f>
        <v>0</v>
      </c>
      <c r="C40" s="1051" t="n">
        <f aca="false">'机泵选型(基础设计)'!AI$2</f>
        <v>0</v>
      </c>
      <c r="D40" s="1044" t="n">
        <f aca="false">IF(OR(C40="照明用电",C40="仪表用电"),220,IF(I40&lt;=185,380,10000))</f>
        <v>380</v>
      </c>
      <c r="E40" s="1042" t="n">
        <v>1</v>
      </c>
      <c r="F40" s="1042" t="n">
        <v>1</v>
      </c>
      <c r="G40" s="1046" t="n">
        <f aca="false">'机泵选型(基础设计)'!AI$93</f>
        <v>0</v>
      </c>
      <c r="H40" s="1047" t="n">
        <f aca="false">G40</f>
        <v>0</v>
      </c>
      <c r="I40" s="1052" t="n">
        <f aca="false">'机泵选型(基础设计)'!AI$86</f>
        <v>0</v>
      </c>
      <c r="J40" s="1044" t="n">
        <f aca="false">输入!$D$4</f>
        <v>8400</v>
      </c>
      <c r="K40" s="1049" t="n">
        <f aca="false">I40*J40/10000</f>
        <v>0</v>
      </c>
      <c r="L40" s="1044"/>
    </row>
    <row r="41" customFormat="false" ht="27" hidden="false" customHeight="true" outlineLevel="0" collapsed="false">
      <c r="A41" s="1040" t="n">
        <f aca="false">ROW()-3</f>
        <v>38</v>
      </c>
      <c r="B41" s="1040" t="n">
        <f aca="false">'机泵选型(基础设计)'!AJ$1</f>
        <v>0</v>
      </c>
      <c r="C41" s="1051" t="n">
        <f aca="false">'机泵选型(基础设计)'!AJ$2</f>
        <v>0</v>
      </c>
      <c r="D41" s="1044" t="n">
        <f aca="false">IF(OR(C41="照明用电",C41="仪表用电"),220,IF(I41&lt;=185,380,10000))</f>
        <v>380</v>
      </c>
      <c r="E41" s="1042" t="n">
        <v>1</v>
      </c>
      <c r="F41" s="1042" t="n">
        <v>1</v>
      </c>
      <c r="G41" s="1046" t="n">
        <f aca="false">'机泵选型(基础设计)'!AJ$93</f>
        <v>0</v>
      </c>
      <c r="H41" s="1047" t="n">
        <f aca="false">G41</f>
        <v>0</v>
      </c>
      <c r="I41" s="1052" t="n">
        <f aca="false">'机泵选型(基础设计)'!AJ$86</f>
        <v>0</v>
      </c>
      <c r="J41" s="1044" t="n">
        <f aca="false">输入!$D$4</f>
        <v>8400</v>
      </c>
      <c r="K41" s="1049" t="n">
        <f aca="false">I41*J41/10000</f>
        <v>0</v>
      </c>
      <c r="L41" s="1044"/>
    </row>
    <row r="42" customFormat="false" ht="27" hidden="false" customHeight="true" outlineLevel="0" collapsed="false">
      <c r="A42" s="1040" t="n">
        <f aca="false">ROW()-3</f>
        <v>39</v>
      </c>
      <c r="B42" s="1040" t="n">
        <f aca="false">'机泵选型(基础设计)'!AK$1</f>
        <v>0</v>
      </c>
      <c r="C42" s="1051" t="n">
        <f aca="false">'机泵选型(基础设计)'!AK$2</f>
        <v>0</v>
      </c>
      <c r="D42" s="1044" t="n">
        <f aca="false">IF(OR(C42="照明用电",C42="仪表用电"),220,IF(I42&lt;=185,380,10000))</f>
        <v>380</v>
      </c>
      <c r="E42" s="1042" t="n">
        <v>1</v>
      </c>
      <c r="F42" s="1042"/>
      <c r="G42" s="1046" t="n">
        <f aca="false">'机泵选型(基础设计)'!AK$93</f>
        <v>0</v>
      </c>
      <c r="H42" s="1047"/>
      <c r="I42" s="1052" t="n">
        <f aca="false">'机泵选型(基础设计)'!AK$86</f>
        <v>0</v>
      </c>
      <c r="J42" s="1065" t="n">
        <v>200</v>
      </c>
      <c r="K42" s="1049" t="n">
        <f aca="false">I42*J42/10000</f>
        <v>0</v>
      </c>
      <c r="L42" s="1044"/>
    </row>
    <row r="43" customFormat="false" ht="27" hidden="false" customHeight="true" outlineLevel="0" collapsed="false">
      <c r="A43" s="1040" t="n">
        <f aca="false">ROW()-3</f>
        <v>40</v>
      </c>
      <c r="B43" s="1040" t="n">
        <f aca="false">'机泵选型(基础设计)'!AL$1</f>
        <v>0</v>
      </c>
      <c r="C43" s="1051" t="n">
        <f aca="false">'机泵选型(基础设计)'!AL$2</f>
        <v>0</v>
      </c>
      <c r="D43" s="1044" t="n">
        <f aca="false">IF(OR(C43="照明用电",C43="仪表用电"),220,IF(I43&lt;=185,380,10000))</f>
        <v>380</v>
      </c>
      <c r="E43" s="1042" t="n">
        <v>1</v>
      </c>
      <c r="F43" s="1042" t="n">
        <v>1</v>
      </c>
      <c r="G43" s="1046" t="n">
        <f aca="false">'机泵选型(基础设计)'!AL$93</f>
        <v>0</v>
      </c>
      <c r="H43" s="1047" t="n">
        <f aca="false">G43</f>
        <v>0</v>
      </c>
      <c r="I43" s="1066" t="n">
        <f aca="false">'机泵选型(基础设计)'!AL$86</f>
        <v>0</v>
      </c>
      <c r="J43" s="1044" t="n">
        <f aca="false">输入!$D$4</f>
        <v>8400</v>
      </c>
      <c r="K43" s="1049" t="n">
        <f aca="false">I43*J43/10000</f>
        <v>0</v>
      </c>
      <c r="L43" s="1044"/>
    </row>
    <row r="44" customFormat="false" ht="27" hidden="false" customHeight="true" outlineLevel="0" collapsed="false">
      <c r="A44" s="1040" t="n">
        <f aca="false">ROW()-3</f>
        <v>41</v>
      </c>
      <c r="B44" s="1040" t="n">
        <f aca="false">'机泵选型(基础设计)'!AM$1</f>
        <v>0</v>
      </c>
      <c r="C44" s="1051" t="n">
        <f aca="false">'机泵选型(基础设计)'!AM$2</f>
        <v>0</v>
      </c>
      <c r="D44" s="1044" t="n">
        <f aca="false">IF(OR(C44="照明用电",C44="仪表用电"),220,IF(I44&lt;=185,380,10000))</f>
        <v>380</v>
      </c>
      <c r="E44" s="1042" t="n">
        <v>1</v>
      </c>
      <c r="F44" s="1042" t="n">
        <v>1</v>
      </c>
      <c r="G44" s="1046" t="n">
        <f aca="false">'机泵选型(基础设计)'!AM$93</f>
        <v>0</v>
      </c>
      <c r="H44" s="1047" t="n">
        <f aca="false">G44</f>
        <v>0</v>
      </c>
      <c r="I44" s="1052" t="n">
        <f aca="false">'机泵选型(基础设计)'!AM$86</f>
        <v>0</v>
      </c>
      <c r="J44" s="1044" t="n">
        <f aca="false">输入!$D$4</f>
        <v>8400</v>
      </c>
      <c r="K44" s="1049" t="n">
        <f aca="false">I44*J44/10000</f>
        <v>0</v>
      </c>
      <c r="L44" s="1044"/>
    </row>
    <row r="45" customFormat="false" ht="27" hidden="false" customHeight="true" outlineLevel="0" collapsed="false">
      <c r="A45" s="1040" t="n">
        <f aca="false">ROW()-3</f>
        <v>42</v>
      </c>
      <c r="B45" s="1042" t="e">
        <f aca="false">#REF!</f>
        <v>#REF!</v>
      </c>
      <c r="C45" s="1067" t="e">
        <f aca="false">#REF!</f>
        <v>#REF!</v>
      </c>
      <c r="D45" s="1044" t="e">
        <f aca="false">IF(OR(C45="照明用电",C45="仪表用电"),220,IF(I45&lt;=185,380,10000))</f>
        <v>#REF!</v>
      </c>
      <c r="E45" s="1068" t="e">
        <f aca="false">#REF!*#REF!</f>
        <v>#REF!</v>
      </c>
      <c r="F45" s="1068"/>
      <c r="G45" s="1069" t="e">
        <f aca="false">E45*#REF!</f>
        <v>#REF!</v>
      </c>
      <c r="H45" s="1070"/>
      <c r="I45" s="1071" t="e">
        <f aca="false">E45*#REF!</f>
        <v>#REF!</v>
      </c>
      <c r="J45" s="1044" t="n">
        <f aca="false">输入!$D$4</f>
        <v>8400</v>
      </c>
      <c r="K45" s="1049" t="e">
        <f aca="false">I45*J45/10000</f>
        <v>#REF!</v>
      </c>
      <c r="L45" s="1072"/>
    </row>
    <row r="46" customFormat="false" ht="27" hidden="false" customHeight="true" outlineLevel="0" collapsed="false">
      <c r="A46" s="1040" t="n">
        <f aca="false">ROW()-3</f>
        <v>43</v>
      </c>
      <c r="B46" s="1042" t="e">
        <f aca="false">#REF!</f>
        <v>#REF!</v>
      </c>
      <c r="C46" s="1067" t="e">
        <f aca="false">#REF!</f>
        <v>#REF!</v>
      </c>
      <c r="D46" s="1044" t="e">
        <f aca="false">IF(OR(C46="照明用电",C46="仪表用电"),220,IF(I46&lt;=185,380,10000))</f>
        <v>#REF!</v>
      </c>
      <c r="E46" s="1068" t="e">
        <f aca="false">#REF!*#REF!</f>
        <v>#REF!</v>
      </c>
      <c r="F46" s="1068"/>
      <c r="G46" s="1069" t="e">
        <f aca="false">E46*#REF!</f>
        <v>#REF!</v>
      </c>
      <c r="H46" s="1070"/>
      <c r="I46" s="1071" t="e">
        <f aca="false">E46*#REF!</f>
        <v>#REF!</v>
      </c>
      <c r="J46" s="1044" t="n">
        <f aca="false">输入!$D$4</f>
        <v>8400</v>
      </c>
      <c r="K46" s="1049" t="e">
        <f aca="false">I46*J46/10000</f>
        <v>#REF!</v>
      </c>
      <c r="L46" s="1044"/>
    </row>
    <row r="47" customFormat="false" ht="27" hidden="false" customHeight="true" outlineLevel="0" collapsed="false">
      <c r="A47" s="1040" t="n">
        <f aca="false">ROW()-3</f>
        <v>44</v>
      </c>
      <c r="B47" s="1042" t="e">
        <f aca="false">#REF!</f>
        <v>#REF!</v>
      </c>
      <c r="C47" s="1067" t="e">
        <f aca="false">#REF!</f>
        <v>#REF!</v>
      </c>
      <c r="D47" s="1044" t="e">
        <f aca="false">IF(OR(C47="照明用电",C47="仪表用电"),220,IF(I47&lt;=185,380,10000))</f>
        <v>#REF!</v>
      </c>
      <c r="E47" s="1068" t="e">
        <f aca="false">#REF!*#REF!</f>
        <v>#REF!</v>
      </c>
      <c r="F47" s="1068"/>
      <c r="G47" s="1069" t="e">
        <f aca="false">E47*#REF!</f>
        <v>#REF!</v>
      </c>
      <c r="H47" s="1070"/>
      <c r="I47" s="1071" t="e">
        <f aca="false">E47*#REF!</f>
        <v>#REF!</v>
      </c>
      <c r="J47" s="1044" t="n">
        <f aca="false">输入!$D$4</f>
        <v>8400</v>
      </c>
      <c r="K47" s="1049" t="e">
        <f aca="false">I47*J47/10000</f>
        <v>#REF!</v>
      </c>
      <c r="L47" s="1044"/>
    </row>
    <row r="48" customFormat="false" ht="27" hidden="false" customHeight="true" outlineLevel="0" collapsed="false">
      <c r="A48" s="1040" t="n">
        <f aca="false">ROW()-3</f>
        <v>45</v>
      </c>
      <c r="B48" s="1042" t="e">
        <f aca="false">#REF!</f>
        <v>#REF!</v>
      </c>
      <c r="C48" s="1067" t="e">
        <f aca="false">#REF!</f>
        <v>#REF!</v>
      </c>
      <c r="D48" s="1044" t="e">
        <f aca="false">IF(OR(C48="照明用电",C48="仪表用电"),220,IF(I48&lt;=185,380,10000))</f>
        <v>#REF!</v>
      </c>
      <c r="E48" s="1068" t="e">
        <f aca="false">#REF!*#REF!</f>
        <v>#REF!</v>
      </c>
      <c r="F48" s="1068"/>
      <c r="G48" s="1069" t="e">
        <f aca="false">E48*#REF!</f>
        <v>#REF!</v>
      </c>
      <c r="H48" s="1070"/>
      <c r="I48" s="1071" t="e">
        <f aca="false">E48*#REF!</f>
        <v>#REF!</v>
      </c>
      <c r="J48" s="1044" t="n">
        <f aca="false">输入!$D$4</f>
        <v>8400</v>
      </c>
      <c r="K48" s="1049" t="e">
        <f aca="false">I48*J48/10000</f>
        <v>#REF!</v>
      </c>
      <c r="L48" s="1044"/>
    </row>
    <row r="49" customFormat="false" ht="27" hidden="false" customHeight="true" outlineLevel="0" collapsed="false">
      <c r="A49" s="1040" t="n">
        <f aca="false">ROW()-3</f>
        <v>46</v>
      </c>
      <c r="B49" s="1042" t="e">
        <f aca="false">#REF!</f>
        <v>#REF!</v>
      </c>
      <c r="C49" s="1067" t="e">
        <f aca="false">#REF!</f>
        <v>#REF!</v>
      </c>
      <c r="D49" s="1044" t="e">
        <f aca="false">IF(OR(C49="照明用电",C49="仪表用电"),220,IF(I49&lt;=185,380,10000))</f>
        <v>#REF!</v>
      </c>
      <c r="E49" s="1068" t="e">
        <f aca="false">#REF!*#REF!</f>
        <v>#REF!</v>
      </c>
      <c r="F49" s="1068"/>
      <c r="G49" s="1069" t="e">
        <f aca="false">E49*#REF!</f>
        <v>#REF!</v>
      </c>
      <c r="H49" s="1070"/>
      <c r="I49" s="1073" t="e">
        <f aca="false">E49*#REF!</f>
        <v>#REF!</v>
      </c>
      <c r="J49" s="1044" t="n">
        <f aca="false">输入!$D$4</f>
        <v>8400</v>
      </c>
      <c r="K49" s="1049" t="e">
        <f aca="false">I49*J49/10000</f>
        <v>#REF!</v>
      </c>
      <c r="L49" s="1044"/>
    </row>
    <row r="50" customFormat="false" ht="27" hidden="false" customHeight="true" outlineLevel="0" collapsed="false">
      <c r="A50" s="1040" t="n">
        <f aca="false">ROW()-3</f>
        <v>47</v>
      </c>
      <c r="B50" s="1042" t="e">
        <f aca="false">#REF!</f>
        <v>#REF!</v>
      </c>
      <c r="C50" s="1067" t="e">
        <f aca="false">#REF!</f>
        <v>#REF!</v>
      </c>
      <c r="D50" s="1044" t="e">
        <f aca="false">IF(OR(C50="照明用电",C50="仪表用电"),220,IF(I50&lt;=185,380,10000))</f>
        <v>#REF!</v>
      </c>
      <c r="E50" s="1068" t="e">
        <f aca="false">#REF!*#REF!</f>
        <v>#REF!</v>
      </c>
      <c r="F50" s="1068"/>
      <c r="G50" s="1069" t="e">
        <f aca="false">E50*#REF!</f>
        <v>#REF!</v>
      </c>
      <c r="H50" s="1070"/>
      <c r="I50" s="1071" t="e">
        <f aca="false">E50*#REF!</f>
        <v>#REF!</v>
      </c>
      <c r="J50" s="1044" t="n">
        <f aca="false">输入!$D$4</f>
        <v>8400</v>
      </c>
      <c r="K50" s="1049" t="e">
        <f aca="false">I50*J50/10000</f>
        <v>#REF!</v>
      </c>
      <c r="L50" s="1044"/>
    </row>
    <row r="51" customFormat="false" ht="27" hidden="false" customHeight="true" outlineLevel="0" collapsed="false">
      <c r="A51" s="1040" t="n">
        <f aca="false">ROW()-3</f>
        <v>48</v>
      </c>
      <c r="B51" s="1042" t="e">
        <f aca="false">#REF!</f>
        <v>#REF!</v>
      </c>
      <c r="C51" s="1067" t="e">
        <f aca="false">#REF!</f>
        <v>#REF!</v>
      </c>
      <c r="D51" s="1044" t="e">
        <f aca="false">IF(OR(C51="照明用电",C51="仪表用电"),220,IF(I51&lt;=185,380,10000))</f>
        <v>#REF!</v>
      </c>
      <c r="E51" s="1068" t="e">
        <f aca="false">#REF!*#REF!</f>
        <v>#REF!</v>
      </c>
      <c r="F51" s="1068"/>
      <c r="G51" s="1069" t="e">
        <f aca="false">E51*#REF!</f>
        <v>#REF!</v>
      </c>
      <c r="H51" s="1070"/>
      <c r="I51" s="1071" t="e">
        <f aca="false">E51*#REF!</f>
        <v>#REF!</v>
      </c>
      <c r="J51" s="1044" t="n">
        <f aca="false">输入!$D$4</f>
        <v>8400</v>
      </c>
      <c r="K51" s="1049" t="e">
        <f aca="false">I51*J51/10000</f>
        <v>#REF!</v>
      </c>
      <c r="L51" s="1044"/>
    </row>
    <row r="52" customFormat="false" ht="14.25" hidden="false" customHeight="false" outlineLevel="0" collapsed="false">
      <c r="A52" s="1040" t="n">
        <f aca="false">ROW()-3</f>
        <v>49</v>
      </c>
      <c r="B52" s="1040"/>
      <c r="C52" s="1051" t="s">
        <v>1761</v>
      </c>
      <c r="D52" s="1044" t="n">
        <f aca="false">IF(OR(C52="照明用电",C52="仪表用电"),220,IF(I52&lt;=185,380,10000))</f>
        <v>220</v>
      </c>
      <c r="E52" s="1044"/>
      <c r="F52" s="1044"/>
      <c r="G52" s="1068"/>
      <c r="H52" s="1044"/>
      <c r="I52" s="1074" t="n">
        <v>15</v>
      </c>
      <c r="J52" s="1044" t="n">
        <f aca="false">输入!$D$4</f>
        <v>8400</v>
      </c>
      <c r="K52" s="1044" t="n">
        <f aca="false">I52*J52/10000</f>
        <v>12.6</v>
      </c>
      <c r="L52" s="1044"/>
    </row>
    <row r="53" customFormat="false" ht="14.25" hidden="false" customHeight="false" outlineLevel="0" collapsed="false">
      <c r="A53" s="1040" t="n">
        <f aca="false">ROW()-3</f>
        <v>50</v>
      </c>
      <c r="B53" s="1040"/>
      <c r="C53" s="1051" t="s">
        <v>1762</v>
      </c>
      <c r="D53" s="1044" t="n">
        <f aca="false">IF(OR(C53="照明用电",C53="仪表用电"),220,IF(I53&lt;=185,380,10000))</f>
        <v>220</v>
      </c>
      <c r="E53" s="1044"/>
      <c r="F53" s="1044"/>
      <c r="G53" s="1068"/>
      <c r="H53" s="1044"/>
      <c r="I53" s="1074" t="n">
        <v>20</v>
      </c>
      <c r="J53" s="1075" t="n">
        <v>4000</v>
      </c>
      <c r="K53" s="1044" t="n">
        <f aca="false">I53*J53/10000</f>
        <v>8</v>
      </c>
      <c r="L53" s="1044"/>
    </row>
    <row r="54" customFormat="false" ht="14.25" hidden="false" customHeight="false" outlineLevel="0" collapsed="false">
      <c r="A54" s="1040"/>
      <c r="B54" s="1040"/>
      <c r="C54" s="1051" t="s">
        <v>171</v>
      </c>
      <c r="D54" s="1044"/>
      <c r="E54" s="1044"/>
      <c r="F54" s="1044"/>
      <c r="G54" s="1076" t="e">
        <f aca="false">SUM(G4:G53)</f>
        <v>#REF!</v>
      </c>
      <c r="H54" s="1077" t="n">
        <f aca="false">SUM(H4:H53)</f>
        <v>9943.5</v>
      </c>
      <c r="I54" s="1078" t="e">
        <f aca="false">SUM(I4:I53)</f>
        <v>#REF!</v>
      </c>
      <c r="J54" s="1079" t="s">
        <v>1763</v>
      </c>
      <c r="K54" s="1078" t="e">
        <f aca="false">SUM(K4:K53)</f>
        <v>#REF!</v>
      </c>
      <c r="L54" s="1079"/>
    </row>
    <row r="55" customFormat="false" ht="15" hidden="false" customHeight="false" outlineLevel="0" collapsed="false"/>
    <row r="56" customFormat="false" ht="21.65" hidden="false" customHeight="false" outlineLevel="0" collapsed="false">
      <c r="C56" s="1080" t="s">
        <v>1764</v>
      </c>
      <c r="I56" s="206" t="e">
        <f aca="false">K54/输入!D4*10000</f>
        <v>#REF!</v>
      </c>
    </row>
  </sheetData>
  <mergeCells count="7">
    <mergeCell ref="A2:A3"/>
    <mergeCell ref="B2:B3"/>
    <mergeCell ref="C2:C3"/>
    <mergeCell ref="E2:F2"/>
    <mergeCell ref="G2:H2"/>
    <mergeCell ref="K2:K3"/>
    <mergeCell ref="L2:L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01" r:id="rId4" name="Button 1028">
              <controlPr defaultSize="0" print="false" autoFill="0" autoPict="0" macro="模块3.返回主页">
                <anchor moveWithCells="true" sizeWithCells="false">
                  <from>
                    <xdr:col>12</xdr:col>
                    <xdr:colOff>0</xdr:colOff>
                    <xdr:row>0</xdr:row>
                    <xdr:rowOff>30600</xdr:rowOff>
                  </from>
                  <to>
                    <xdr:col>13</xdr:col>
                    <xdr:colOff>-685800</xdr:colOff>
                    <xdr:row>1</xdr:row>
                    <xdr:rowOff>-53280</xdr:rowOff>
                  </to>
                </anchor>
              </controlPr>
            </control>
          </mc:Choice>
        </mc:AlternateContent>
      </controls>
    </mc:Choice>
  </mc:AlternateConten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Q1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1:1048576"/>
    </sheetView>
  </sheetViews>
  <sheetFormatPr defaultColWidth="9.00390625" defaultRowHeight="14.25" zeroHeight="false" outlineLevelRow="0" outlineLevelCol="0"/>
  <cols>
    <col collapsed="false" customWidth="true" hidden="false" outlineLevel="0" max="1" min="1" style="1081" width="9.12"/>
    <col collapsed="false" customWidth="true" hidden="false" outlineLevel="0" max="2" min="2" style="1081" width="12"/>
    <col collapsed="false" customWidth="true" hidden="false" outlineLevel="0" max="3" min="3" style="1081" width="9.75"/>
    <col collapsed="false" customWidth="true" hidden="false" outlineLevel="0" max="4" min="4" style="450" width="20.25"/>
    <col collapsed="false" customWidth="false" hidden="false" outlineLevel="0" max="16384" min="5" style="380" width="9"/>
  </cols>
  <sheetData>
    <row r="1" customFormat="false" ht="15" hidden="false" customHeight="false" outlineLevel="0" collapsed="false">
      <c r="A1" s="1082" t="s">
        <v>1765</v>
      </c>
      <c r="B1" s="1082"/>
      <c r="C1" s="1082"/>
      <c r="D1" s="1082"/>
    </row>
    <row r="2" customFormat="false" ht="15" hidden="false" customHeight="false" outlineLevel="0" collapsed="false">
      <c r="A2" s="1083" t="s">
        <v>479</v>
      </c>
      <c r="B2" s="1083"/>
      <c r="C2" s="1083"/>
      <c r="D2" s="1084" t="s">
        <v>1766</v>
      </c>
    </row>
    <row r="3" customFormat="false" ht="15" hidden="false" customHeight="false" outlineLevel="0" collapsed="false">
      <c r="A3" s="1083" t="s">
        <v>1767</v>
      </c>
      <c r="B3" s="1083"/>
      <c r="C3" s="1083"/>
      <c r="D3" s="1084" t="s">
        <v>1768</v>
      </c>
    </row>
    <row r="4" s="1085" customFormat="true" ht="15" hidden="false" customHeight="false" outlineLevel="0" collapsed="false">
      <c r="A4" s="1083" t="s">
        <v>398</v>
      </c>
      <c r="B4" s="1083"/>
      <c r="C4" s="1083"/>
      <c r="D4" s="1084" t="s">
        <v>1769</v>
      </c>
    </row>
    <row r="5" s="1089" customFormat="true" ht="15" hidden="false" customHeight="false" outlineLevel="0" collapsed="false">
      <c r="A5" s="1086" t="s">
        <v>1770</v>
      </c>
      <c r="B5" s="1086"/>
      <c r="C5" s="1087" t="s">
        <v>1771</v>
      </c>
      <c r="D5" s="1088" t="n">
        <f aca="false">物流参数!DP7</f>
        <v>-1659.23</v>
      </c>
    </row>
    <row r="6" customFormat="false" ht="15" hidden="false" customHeight="false" outlineLevel="0" collapsed="false">
      <c r="A6" s="1090" t="s">
        <v>1772</v>
      </c>
      <c r="B6" s="1090"/>
      <c r="C6" s="1091" t="s">
        <v>1773</v>
      </c>
      <c r="D6" s="1092" t="n">
        <f aca="false">物流参数!DP8</f>
        <v>-14.1</v>
      </c>
    </row>
    <row r="7" s="1085" customFormat="true" ht="15" hidden="false" customHeight="false" outlineLevel="0" collapsed="false">
      <c r="A7" s="1083" t="s">
        <v>1774</v>
      </c>
      <c r="B7" s="1083"/>
      <c r="C7" s="1081"/>
      <c r="D7" s="1093" t="n">
        <v>1.1</v>
      </c>
    </row>
    <row r="8" s="1089" customFormat="true" ht="15" hidden="false" customHeight="false" outlineLevel="0" collapsed="false">
      <c r="A8" s="1086" t="s">
        <v>1775</v>
      </c>
      <c r="B8" s="1086"/>
      <c r="C8" s="1087" t="s">
        <v>1771</v>
      </c>
      <c r="D8" s="1088" t="n">
        <f aca="false">D5*D7</f>
        <v>-1825.153</v>
      </c>
    </row>
    <row r="9" s="1089" customFormat="true" ht="15" hidden="false" customHeight="false" outlineLevel="0" collapsed="false">
      <c r="A9" s="1090" t="s">
        <v>1776</v>
      </c>
      <c r="B9" s="1090"/>
      <c r="C9" s="1091" t="s">
        <v>1773</v>
      </c>
      <c r="D9" s="1092" t="n">
        <f aca="false">D6*D7</f>
        <v>-15.51</v>
      </c>
    </row>
    <row r="10" s="1089" customFormat="true" ht="15" hidden="false" customHeight="false" outlineLevel="0" collapsed="false">
      <c r="A10" s="1090" t="s">
        <v>1777</v>
      </c>
      <c r="B10" s="1090"/>
      <c r="C10" s="1091" t="s">
        <v>1778</v>
      </c>
      <c r="D10" s="1092" t="n">
        <f aca="false">物流参数!DP10</f>
        <v>431.41</v>
      </c>
    </row>
    <row r="11" s="1094" customFormat="true" ht="15" hidden="false" customHeight="false" outlineLevel="0" collapsed="false">
      <c r="A11" s="1090" t="s">
        <v>1779</v>
      </c>
      <c r="B11" s="1090"/>
      <c r="C11" s="1091" t="s">
        <v>1780</v>
      </c>
      <c r="D11" s="1092" t="n">
        <f aca="false">物流参数!DP4</f>
        <v>144.03</v>
      </c>
    </row>
    <row r="12" s="1094" customFormat="true" ht="15" hidden="false" customHeight="false" outlineLevel="0" collapsed="false">
      <c r="A12" s="1090" t="s">
        <v>1781</v>
      </c>
      <c r="B12" s="1090"/>
      <c r="C12" s="1095" t="s">
        <v>1782</v>
      </c>
      <c r="D12" s="1092" t="n">
        <f aca="false">物流参数!DP5-0.1</f>
        <v>234.29</v>
      </c>
    </row>
    <row r="13" s="1094" customFormat="true" ht="15" hidden="false" customHeight="false" outlineLevel="0" collapsed="false">
      <c r="A13" s="1096" t="s">
        <v>1783</v>
      </c>
      <c r="B13" s="1096"/>
      <c r="C13" s="1095" t="s">
        <v>1784</v>
      </c>
      <c r="D13" s="1097" t="e">
        <f aca="false">物流参数!#REF!</f>
        <v>#VALUE!</v>
      </c>
    </row>
    <row r="14" customFormat="false" ht="15" hidden="false" customHeight="false" outlineLevel="0" collapsed="false">
      <c r="A14" s="1096" t="s">
        <v>1785</v>
      </c>
      <c r="B14" s="1096"/>
      <c r="C14" s="1094" t="s">
        <v>1786</v>
      </c>
      <c r="D14" s="1098" t="n">
        <f aca="false">物流参数!DP31/1000</f>
        <v>0</v>
      </c>
      <c r="Q14" s="1099"/>
      <c r="R14" s="1099"/>
      <c r="S14" s="1099"/>
      <c r="T14" s="1099"/>
      <c r="V14" s="1099"/>
      <c r="W14" s="1099"/>
      <c r="X14" s="1099"/>
      <c r="Y14" s="1099"/>
      <c r="Z14" s="1099"/>
      <c r="AQ14" s="1099"/>
      <c r="CQ14" s="1094"/>
    </row>
    <row r="15" customFormat="false" ht="15" hidden="false" customHeight="false" outlineLevel="0" collapsed="false">
      <c r="A15" s="1100" t="s">
        <v>1787</v>
      </c>
      <c r="B15" s="1091" t="s">
        <v>921</v>
      </c>
      <c r="C15" s="1091"/>
      <c r="D15" s="1084" t="s">
        <v>1788</v>
      </c>
      <c r="Q15" s="1099"/>
      <c r="R15" s="1099"/>
      <c r="S15" s="1099"/>
      <c r="T15" s="1099"/>
      <c r="V15" s="1099"/>
      <c r="W15" s="1099"/>
      <c r="X15" s="1099"/>
      <c r="Y15" s="1099"/>
      <c r="Z15" s="1099"/>
      <c r="AQ15" s="1099"/>
      <c r="CQ15" s="1094"/>
    </row>
    <row r="16" customFormat="false" ht="15" hidden="false" customHeight="false" outlineLevel="0" collapsed="false">
      <c r="A16" s="1100"/>
      <c r="B16" s="1081" t="s">
        <v>1789</v>
      </c>
      <c r="C16" s="1091" t="s">
        <v>1790</v>
      </c>
      <c r="D16" s="1084" t="n">
        <v>0.25</v>
      </c>
      <c r="CQ16" s="1094"/>
    </row>
    <row r="17" customFormat="false" ht="15" hidden="false" customHeight="false" outlineLevel="0" collapsed="false">
      <c r="A17" s="1100"/>
      <c r="B17" s="1081" t="s">
        <v>1791</v>
      </c>
      <c r="C17" s="1081" t="s">
        <v>1792</v>
      </c>
      <c r="D17" s="1084" t="n">
        <v>0.01</v>
      </c>
    </row>
    <row r="18" customFormat="false" ht="15" hidden="false" customHeight="false" outlineLevel="0" collapsed="false">
      <c r="A18" s="1100"/>
      <c r="B18" s="1081" t="s">
        <v>1793</v>
      </c>
      <c r="C18" s="1081" t="s">
        <v>1794</v>
      </c>
      <c r="D18" s="1084" t="n">
        <v>1</v>
      </c>
      <c r="F18" s="1099"/>
      <c r="J18" s="1099"/>
      <c r="K18" s="1099"/>
      <c r="Q18" s="1099"/>
      <c r="R18" s="1099"/>
      <c r="S18" s="1099"/>
      <c r="T18" s="1099"/>
      <c r="U18" s="1099"/>
      <c r="AB18" s="1099"/>
      <c r="AH18" s="1099"/>
      <c r="AJ18" s="1099"/>
      <c r="AO18" s="1099"/>
      <c r="AQ18" s="1099"/>
      <c r="AR18" s="1099"/>
      <c r="AS18" s="1099"/>
      <c r="AT18" s="1099"/>
      <c r="AX18" s="1099"/>
    </row>
    <row r="19" customFormat="false" ht="15" hidden="false" customHeight="false" outlineLevel="0" collapsed="false">
      <c r="A19" s="1100"/>
      <c r="B19" s="1081" t="s">
        <v>1795</v>
      </c>
      <c r="C19" s="1081" t="s">
        <v>1796</v>
      </c>
      <c r="D19" s="1084" t="n">
        <v>1</v>
      </c>
      <c r="J19" s="1099"/>
      <c r="K19" s="1099"/>
      <c r="L19" s="1099"/>
      <c r="M19" s="1099"/>
      <c r="N19" s="1099"/>
      <c r="U19" s="1099"/>
      <c r="Z19" s="1099"/>
      <c r="AA19" s="1099"/>
      <c r="AC19" s="1099"/>
      <c r="AH19" s="1099"/>
      <c r="AJ19" s="1099"/>
      <c r="AK19" s="1099"/>
      <c r="AL19" s="1099"/>
      <c r="AM19" s="1099"/>
      <c r="AQ19" s="1099"/>
    </row>
    <row r="20" customFormat="false" ht="15" hidden="false" customHeight="false" outlineLevel="0" collapsed="false">
      <c r="A20" s="1100"/>
      <c r="B20" s="1081" t="s">
        <v>1797</v>
      </c>
      <c r="C20" s="1081" t="s">
        <v>1798</v>
      </c>
      <c r="D20" s="1084" t="s">
        <v>1799</v>
      </c>
      <c r="O20" s="1099"/>
      <c r="P20" s="1099"/>
      <c r="Q20" s="1099"/>
      <c r="R20" s="1099"/>
      <c r="S20" s="1099"/>
      <c r="AI20" s="1099"/>
    </row>
    <row r="21" customFormat="false" ht="15" hidden="false" customHeight="false" outlineLevel="0" collapsed="false">
      <c r="A21" s="1083" t="s">
        <v>1800</v>
      </c>
      <c r="B21" s="1083"/>
      <c r="C21" s="1083"/>
      <c r="D21" s="1084" t="s">
        <v>1801</v>
      </c>
      <c r="O21" s="1099"/>
      <c r="P21" s="1099"/>
      <c r="Q21" s="1099"/>
      <c r="R21" s="1099"/>
      <c r="S21" s="1099"/>
      <c r="AI21" s="1099"/>
    </row>
    <row r="22" customFormat="false" ht="15" hidden="false" customHeight="false" outlineLevel="0" collapsed="false">
      <c r="A22" s="1090" t="s">
        <v>1802</v>
      </c>
      <c r="B22" s="1090"/>
      <c r="C22" s="1091" t="s">
        <v>1803</v>
      </c>
      <c r="D22" s="1084" t="n">
        <v>1.2</v>
      </c>
      <c r="O22" s="1099"/>
      <c r="P22" s="1099"/>
      <c r="Q22" s="1099"/>
      <c r="R22" s="1099"/>
      <c r="S22" s="1099"/>
      <c r="AA22" s="1099"/>
      <c r="AL22" s="1099"/>
    </row>
    <row r="23" customFormat="false" ht="15" hidden="false" customHeight="false" outlineLevel="0" collapsed="false">
      <c r="A23" s="1083" t="s">
        <v>1804</v>
      </c>
      <c r="B23" s="1083"/>
      <c r="C23" s="1083"/>
      <c r="D23" s="1098" t="e">
        <f aca="false">D17*D10*D22/D14/D18</f>
        <v>#DIV/0!</v>
      </c>
      <c r="J23" s="1099"/>
      <c r="K23" s="1099"/>
      <c r="L23" s="1099"/>
      <c r="M23" s="1099"/>
      <c r="O23" s="1099"/>
      <c r="P23" s="1099"/>
      <c r="Q23" s="1099"/>
      <c r="R23" s="1099"/>
      <c r="S23" s="1099"/>
      <c r="AC23" s="1099"/>
      <c r="AJ23" s="1099"/>
      <c r="AL23" s="1099"/>
    </row>
    <row r="24" customFormat="false" ht="15" hidden="false" customHeight="false" outlineLevel="0" collapsed="false">
      <c r="A24" s="1083" t="s">
        <v>1805</v>
      </c>
      <c r="B24" s="1083"/>
      <c r="C24" s="1083"/>
      <c r="D24" s="1101" t="e">
        <f aca="false">10.8*POWER(D23,-0.205)</f>
        <v>#DIV/0!</v>
      </c>
    </row>
    <row r="25" customFormat="false" ht="15" hidden="false" customHeight="false" outlineLevel="0" collapsed="false">
      <c r="A25" s="1090" t="s">
        <v>1806</v>
      </c>
      <c r="B25" s="1090"/>
      <c r="C25" s="1091" t="s">
        <v>1784</v>
      </c>
      <c r="D25" s="1102" t="e">
        <f aca="false">D24*D10*POWER(D22,2)*D19/2/POWER(D18,2)/D17/1000000</f>
        <v>#DIV/0!</v>
      </c>
      <c r="E25" s="1099"/>
      <c r="F25" s="1099"/>
      <c r="H25" s="1099"/>
      <c r="I25" s="1099"/>
      <c r="J25" s="1099"/>
      <c r="K25" s="1099"/>
      <c r="L25" s="1099"/>
      <c r="O25" s="1099"/>
      <c r="Q25" s="1099"/>
      <c r="R25" s="1099"/>
      <c r="S25" s="1099"/>
      <c r="T25" s="1099"/>
      <c r="U25" s="1099"/>
      <c r="V25" s="1099"/>
      <c r="W25" s="1099"/>
      <c r="X25" s="1099"/>
      <c r="Y25" s="1099"/>
      <c r="Z25" s="1099"/>
      <c r="AA25" s="1099"/>
      <c r="AB25" s="1099"/>
      <c r="AC25" s="1099"/>
      <c r="AD25" s="1099"/>
      <c r="AE25" s="1099"/>
      <c r="AF25" s="1099"/>
      <c r="AG25" s="1099"/>
      <c r="AH25" s="1099"/>
      <c r="AI25" s="1099"/>
      <c r="AJ25" s="1099"/>
      <c r="AK25" s="1099"/>
      <c r="AL25" s="1099"/>
      <c r="AM25" s="1099"/>
      <c r="AN25" s="1099"/>
      <c r="AO25" s="1099"/>
      <c r="AP25" s="1099"/>
      <c r="AQ25" s="1099"/>
      <c r="AR25" s="1099"/>
      <c r="AS25" s="1099"/>
      <c r="AT25" s="1099"/>
      <c r="AV25" s="1099"/>
      <c r="AX25" s="1099"/>
      <c r="AZ25" s="1099"/>
      <c r="BB25" s="1099"/>
    </row>
    <row r="26" customFormat="false" ht="15" hidden="false" customHeight="false" outlineLevel="0" collapsed="false">
      <c r="A26" s="1083"/>
      <c r="B26" s="1083"/>
      <c r="C26" s="1083"/>
      <c r="D26" s="1103"/>
      <c r="E26" s="1099"/>
      <c r="F26" s="1099"/>
      <c r="H26" s="1099"/>
      <c r="I26" s="1099"/>
      <c r="J26" s="1099"/>
      <c r="K26" s="1099"/>
      <c r="L26" s="1099"/>
      <c r="O26" s="1099"/>
      <c r="Q26" s="1099"/>
      <c r="R26" s="1099"/>
      <c r="S26" s="1099"/>
      <c r="T26" s="1099"/>
      <c r="U26" s="1099"/>
      <c r="V26" s="1099"/>
      <c r="W26" s="1099"/>
      <c r="X26" s="1099"/>
      <c r="Y26" s="1099"/>
      <c r="Z26" s="1099"/>
      <c r="AA26" s="1099"/>
      <c r="AB26" s="1099"/>
      <c r="AC26" s="1099"/>
      <c r="AD26" s="1099"/>
      <c r="AE26" s="1099"/>
      <c r="AF26" s="1099"/>
      <c r="AG26" s="1099"/>
      <c r="AH26" s="1099"/>
      <c r="AI26" s="1099"/>
      <c r="AJ26" s="1099"/>
      <c r="AK26" s="1099"/>
      <c r="AL26" s="1099"/>
      <c r="AM26" s="1099"/>
      <c r="AN26" s="1099"/>
      <c r="AO26" s="1099"/>
      <c r="AP26" s="1099"/>
      <c r="AQ26" s="1099"/>
      <c r="AR26" s="1099"/>
      <c r="AT26" s="1099"/>
      <c r="AV26" s="1099"/>
      <c r="AX26" s="1099"/>
      <c r="AZ26" s="1099"/>
      <c r="BB26" s="1099"/>
    </row>
    <row r="27" customFormat="false" ht="15" hidden="false" customHeight="false" outlineLevel="0" collapsed="false">
      <c r="A27" s="1082" t="s">
        <v>1807</v>
      </c>
      <c r="B27" s="1082"/>
      <c r="C27" s="1082"/>
      <c r="D27" s="1103"/>
      <c r="Q27" s="1099"/>
      <c r="R27" s="1099"/>
      <c r="S27" s="1099"/>
      <c r="T27" s="1099"/>
      <c r="U27" s="1099"/>
      <c r="V27" s="1099"/>
      <c r="W27" s="1099"/>
      <c r="X27" s="1099"/>
      <c r="Y27" s="1099"/>
      <c r="Z27" s="1099"/>
      <c r="AB27" s="1099"/>
      <c r="AJ27" s="1099"/>
      <c r="AO27" s="1099"/>
      <c r="AQ27" s="1099"/>
      <c r="AR27" s="1099"/>
      <c r="AX27" s="1099"/>
    </row>
    <row r="28" customFormat="false" ht="15" hidden="false" customHeight="false" outlineLevel="0" collapsed="false">
      <c r="A28" s="1083" t="s">
        <v>479</v>
      </c>
      <c r="B28" s="1083"/>
      <c r="C28" s="1083"/>
      <c r="D28" s="1084" t="s">
        <v>1808</v>
      </c>
      <c r="E28" s="1099"/>
      <c r="F28" s="1099"/>
      <c r="I28" s="1099"/>
      <c r="J28" s="1099"/>
      <c r="K28" s="1099"/>
      <c r="Q28" s="1099"/>
      <c r="R28" s="1099"/>
      <c r="S28" s="1099"/>
      <c r="T28" s="1099"/>
      <c r="U28" s="1099"/>
      <c r="V28" s="1099"/>
      <c r="W28" s="1099"/>
      <c r="X28" s="1099"/>
      <c r="Y28" s="1099"/>
      <c r="Z28" s="1099"/>
      <c r="AB28" s="1099"/>
      <c r="AC28" s="1099"/>
      <c r="AH28" s="1099"/>
      <c r="AJ28" s="1099"/>
      <c r="AL28" s="1099"/>
      <c r="AM28" s="1099"/>
      <c r="AO28" s="1099"/>
      <c r="AP28" s="1099"/>
      <c r="AQ28" s="1099"/>
      <c r="AR28" s="1099"/>
      <c r="AS28" s="1099"/>
      <c r="AT28" s="1099"/>
      <c r="AX28" s="1099"/>
      <c r="AZ28" s="1099"/>
    </row>
    <row r="29" customFormat="false" ht="15" hidden="false" customHeight="false" outlineLevel="0" collapsed="false">
      <c r="A29" s="1083" t="s">
        <v>1767</v>
      </c>
      <c r="B29" s="1083"/>
      <c r="C29" s="1083"/>
      <c r="D29" s="1104" t="s">
        <v>1809</v>
      </c>
      <c r="F29" s="1099"/>
      <c r="J29" s="1099"/>
      <c r="K29" s="1099"/>
      <c r="Q29" s="1099"/>
      <c r="R29" s="1099"/>
      <c r="S29" s="1099"/>
      <c r="T29" s="1099"/>
      <c r="U29" s="1099"/>
      <c r="V29" s="1099"/>
      <c r="W29" s="1099"/>
      <c r="X29" s="1099"/>
      <c r="Y29" s="1099"/>
      <c r="Z29" s="1099"/>
      <c r="AB29" s="1099"/>
      <c r="AH29" s="1099"/>
      <c r="AJ29" s="1099"/>
      <c r="AO29" s="1099"/>
      <c r="AQ29" s="1099"/>
      <c r="AR29" s="1099"/>
      <c r="AT29" s="1099"/>
      <c r="AX29" s="1099"/>
    </row>
    <row r="30" customFormat="false" ht="15" hidden="false" customHeight="false" outlineLevel="0" collapsed="false">
      <c r="A30" s="1083" t="s">
        <v>398</v>
      </c>
      <c r="B30" s="1083"/>
      <c r="C30" s="1083"/>
      <c r="D30" s="1084" t="s">
        <v>1810</v>
      </c>
      <c r="F30" s="1099"/>
      <c r="J30" s="1099"/>
      <c r="K30" s="1099"/>
      <c r="Q30" s="1099"/>
      <c r="R30" s="1099"/>
      <c r="S30" s="1099"/>
      <c r="T30" s="1099"/>
      <c r="U30" s="1099"/>
      <c r="V30" s="1099"/>
      <c r="W30" s="1099"/>
      <c r="X30" s="1099"/>
      <c r="Y30" s="1099"/>
      <c r="Z30" s="1099"/>
      <c r="AB30" s="1099"/>
      <c r="AH30" s="1099"/>
      <c r="AJ30" s="1099"/>
      <c r="AO30" s="1099"/>
      <c r="AQ30" s="1099"/>
      <c r="AR30" s="1099"/>
      <c r="AT30" s="1099"/>
      <c r="AX30" s="1099"/>
    </row>
    <row r="31" customFormat="false" ht="15" hidden="false" customHeight="false" outlineLevel="0" collapsed="false">
      <c r="A31" s="1083" t="s">
        <v>1117</v>
      </c>
      <c r="B31" s="1083"/>
      <c r="C31" s="1083"/>
      <c r="D31" s="1084" t="s">
        <v>1153</v>
      </c>
    </row>
    <row r="32" customFormat="false" ht="15" hidden="false" customHeight="false" outlineLevel="0" collapsed="false">
      <c r="A32" s="1083" t="s">
        <v>1811</v>
      </c>
      <c r="B32" s="1083"/>
      <c r="C32" s="1083"/>
      <c r="D32" s="1105" t="n">
        <f aca="false">物流参数!H4</f>
        <v>752.77</v>
      </c>
    </row>
    <row r="33" customFormat="false" ht="15" hidden="false" customHeight="false" outlineLevel="0" collapsed="false">
      <c r="A33" s="1083" t="s">
        <v>1812</v>
      </c>
      <c r="B33" s="1083"/>
      <c r="C33" s="1083"/>
      <c r="D33" s="1106" t="n">
        <f aca="false">物流参数!H5-0.1</f>
        <v>115.69</v>
      </c>
      <c r="E33" s="1099"/>
      <c r="F33" s="1099"/>
      <c r="H33" s="1099"/>
      <c r="I33" s="1099"/>
      <c r="J33" s="1099"/>
      <c r="K33" s="1099"/>
      <c r="L33" s="1099"/>
      <c r="O33" s="1099"/>
      <c r="Q33" s="1099"/>
      <c r="R33" s="1099"/>
      <c r="S33" s="1099"/>
      <c r="T33" s="1099"/>
      <c r="U33" s="1099"/>
      <c r="AA33" s="1099"/>
      <c r="AB33" s="1099"/>
      <c r="AC33" s="1099"/>
      <c r="AD33" s="1099"/>
      <c r="AE33" s="1099"/>
      <c r="AF33" s="1099"/>
      <c r="AG33" s="1099"/>
      <c r="AH33" s="1099"/>
      <c r="AI33" s="1099"/>
      <c r="AJ33" s="1099"/>
      <c r="AL33" s="1099"/>
      <c r="AM33" s="1099"/>
      <c r="AO33" s="1099"/>
      <c r="AP33" s="1099"/>
      <c r="AQ33" s="1099"/>
      <c r="AR33" s="1099"/>
      <c r="AS33" s="1099"/>
      <c r="AT33" s="1099"/>
      <c r="AV33" s="1099"/>
      <c r="AX33" s="1099"/>
      <c r="AZ33" s="1099"/>
      <c r="BB33" s="1099"/>
    </row>
    <row r="34" customFormat="false" ht="15" hidden="false" customHeight="false" outlineLevel="0" collapsed="false">
      <c r="A34" s="1083" t="s">
        <v>1813</v>
      </c>
      <c r="B34" s="1083"/>
      <c r="C34" s="1083"/>
      <c r="D34" s="1106" t="n">
        <f aca="false">物流参数!H10</f>
        <v>596.82</v>
      </c>
      <c r="E34" s="1099"/>
      <c r="F34" s="1099"/>
      <c r="H34" s="1099"/>
      <c r="I34" s="1099"/>
      <c r="J34" s="1099"/>
      <c r="K34" s="1099"/>
      <c r="Q34" s="1099"/>
      <c r="R34" s="1099"/>
      <c r="S34" s="1099"/>
      <c r="T34" s="1099"/>
      <c r="U34" s="1099"/>
      <c r="AB34" s="1099"/>
      <c r="AC34" s="1099"/>
      <c r="AG34" s="1099"/>
      <c r="AH34" s="1099"/>
      <c r="AJ34" s="1099"/>
      <c r="AL34" s="1099"/>
      <c r="AM34" s="1099"/>
      <c r="AO34" s="1099"/>
      <c r="AP34" s="1099"/>
      <c r="AQ34" s="1099"/>
      <c r="AR34" s="1099"/>
      <c r="AS34" s="1099"/>
      <c r="AT34" s="1099"/>
      <c r="AX34" s="1099"/>
      <c r="AZ34" s="1099"/>
    </row>
    <row r="35" customFormat="false" ht="15" hidden="false" customHeight="false" outlineLevel="0" collapsed="false">
      <c r="A35" s="1083" t="s">
        <v>1814</v>
      </c>
      <c r="B35" s="1083"/>
      <c r="C35" s="1083"/>
      <c r="D35" s="1107" t="n">
        <f aca="false">物流参数!H31</f>
        <v>0</v>
      </c>
      <c r="Q35" s="1099"/>
      <c r="R35" s="1099"/>
      <c r="S35" s="1099"/>
      <c r="T35" s="1099"/>
      <c r="V35" s="1099"/>
      <c r="W35" s="1099"/>
      <c r="X35" s="1099"/>
      <c r="Y35" s="1099"/>
      <c r="Z35" s="1099"/>
      <c r="AP35" s="1099"/>
      <c r="AQ35" s="1099"/>
    </row>
    <row r="36" customFormat="false" ht="15" hidden="false" customHeight="false" outlineLevel="0" collapsed="false">
      <c r="A36" s="1083" t="s">
        <v>1815</v>
      </c>
      <c r="B36" s="1083"/>
      <c r="C36" s="1083"/>
      <c r="D36" s="1106" t="n">
        <f aca="false">单相流管径核算!BC22</f>
        <v>0.166331163272954</v>
      </c>
      <c r="E36" s="1099"/>
      <c r="F36" s="1099"/>
      <c r="H36" s="1099"/>
      <c r="I36" s="1099"/>
      <c r="J36" s="1099"/>
      <c r="K36" s="1099"/>
      <c r="L36" s="1099"/>
      <c r="M36" s="1099"/>
      <c r="U36" s="1099"/>
      <c r="V36" s="1099"/>
      <c r="W36" s="1099"/>
      <c r="X36" s="1099"/>
      <c r="Y36" s="1099"/>
      <c r="Z36" s="1099"/>
      <c r="AB36" s="1099"/>
      <c r="AC36" s="1099"/>
      <c r="AD36" s="1099"/>
      <c r="AE36" s="1099"/>
      <c r="AF36" s="1099"/>
      <c r="AG36" s="1099"/>
      <c r="AH36" s="1099"/>
      <c r="AI36" s="1099"/>
      <c r="AJ36" s="1099"/>
      <c r="AK36" s="1099"/>
      <c r="AL36" s="1099"/>
      <c r="AM36" s="1099"/>
      <c r="AN36" s="1099"/>
      <c r="AP36" s="1099"/>
      <c r="AS36" s="1099"/>
      <c r="AT36" s="1099"/>
      <c r="AX36" s="1099"/>
      <c r="AZ36" s="1099"/>
      <c r="BB36" s="1099"/>
    </row>
    <row r="37" customFormat="false" ht="15" hidden="false" customHeight="false" outlineLevel="0" collapsed="false">
      <c r="A37" s="1083" t="s">
        <v>1816</v>
      </c>
      <c r="B37" s="1083"/>
      <c r="C37" s="1083"/>
      <c r="D37" s="1103"/>
      <c r="E37" s="1099"/>
      <c r="F37" s="1099"/>
      <c r="H37" s="1099"/>
      <c r="I37" s="1099"/>
      <c r="J37" s="1099"/>
      <c r="K37" s="1099"/>
      <c r="L37" s="1099"/>
      <c r="Q37" s="1099"/>
      <c r="R37" s="1099"/>
      <c r="S37" s="1099"/>
      <c r="T37" s="1099"/>
      <c r="U37" s="1099"/>
      <c r="V37" s="1099"/>
      <c r="W37" s="1099"/>
      <c r="X37" s="1099"/>
      <c r="Y37" s="1099"/>
      <c r="Z37" s="1099"/>
      <c r="AB37" s="1099"/>
      <c r="AC37" s="1099"/>
      <c r="AD37" s="1099"/>
      <c r="AE37" s="1099"/>
      <c r="AF37" s="1099"/>
      <c r="AG37" s="1099"/>
      <c r="AH37" s="1099"/>
      <c r="AI37" s="1099"/>
      <c r="AJ37" s="1099"/>
      <c r="AK37" s="1099"/>
      <c r="AL37" s="1099"/>
      <c r="AM37" s="1099"/>
      <c r="AN37" s="1099"/>
      <c r="AO37" s="1099"/>
      <c r="AP37" s="1099"/>
      <c r="AQ37" s="1099"/>
      <c r="AR37" s="1099"/>
      <c r="AS37" s="1099"/>
      <c r="AT37" s="1099"/>
      <c r="AX37" s="1099"/>
      <c r="AZ37" s="1099"/>
      <c r="BB37" s="1099"/>
    </row>
    <row r="38" customFormat="false" ht="15" hidden="false" customHeight="false" outlineLevel="0" collapsed="false">
      <c r="A38" s="1083" t="s">
        <v>1817</v>
      </c>
      <c r="B38" s="1083"/>
      <c r="C38" s="1083"/>
      <c r="D38" s="1106" t="n">
        <f aca="false">物流参数!H8</f>
        <v>-167.67</v>
      </c>
      <c r="E38" s="1099"/>
      <c r="F38" s="1099"/>
      <c r="H38" s="1099"/>
      <c r="I38" s="1099"/>
      <c r="J38" s="1099"/>
      <c r="K38" s="1099"/>
      <c r="L38" s="1099"/>
      <c r="Q38" s="1099"/>
      <c r="R38" s="1099"/>
      <c r="S38" s="1099"/>
      <c r="T38" s="1099"/>
      <c r="U38" s="1099"/>
      <c r="V38" s="1099"/>
      <c r="W38" s="1099"/>
      <c r="X38" s="1099"/>
      <c r="Y38" s="1099"/>
      <c r="Z38" s="1099"/>
      <c r="AB38" s="1099"/>
      <c r="AC38" s="1099"/>
      <c r="AD38" s="1099"/>
      <c r="AE38" s="1099"/>
      <c r="AF38" s="1099"/>
      <c r="AG38" s="1099"/>
      <c r="AH38" s="1099"/>
      <c r="AI38" s="1099"/>
      <c r="AJ38" s="1099"/>
      <c r="AK38" s="1099"/>
      <c r="AL38" s="1099"/>
      <c r="AM38" s="1099"/>
      <c r="AN38" s="1099"/>
      <c r="AO38" s="1099"/>
      <c r="AP38" s="1099"/>
      <c r="AQ38" s="1099"/>
      <c r="AR38" s="1099"/>
      <c r="AS38" s="1099"/>
      <c r="AT38" s="1099"/>
      <c r="AX38" s="1099"/>
      <c r="AZ38" s="1099"/>
      <c r="BB38" s="1099"/>
    </row>
    <row r="39" customFormat="false" ht="15" hidden="false" customHeight="false" outlineLevel="0" collapsed="false">
      <c r="A39" s="1083" t="s">
        <v>1818</v>
      </c>
      <c r="B39" s="1083"/>
      <c r="C39" s="1083"/>
      <c r="D39" s="564" t="n">
        <f aca="false">D38*1.1</f>
        <v>-184.437</v>
      </c>
    </row>
    <row r="40" customFormat="false" ht="15" hidden="false" customHeight="false" outlineLevel="0" collapsed="false">
      <c r="A40" s="1083" t="s">
        <v>921</v>
      </c>
      <c r="B40" s="1083"/>
      <c r="C40" s="1083"/>
      <c r="D40" s="1093"/>
      <c r="Q40" s="1099"/>
      <c r="R40" s="1099"/>
      <c r="S40" s="1099"/>
      <c r="T40" s="1099"/>
      <c r="V40" s="1099"/>
      <c r="W40" s="1099"/>
      <c r="X40" s="1099"/>
      <c r="Y40" s="1099"/>
      <c r="Z40" s="1099"/>
      <c r="AQ40" s="1099"/>
    </row>
    <row r="41" customFormat="false" ht="14.25" hidden="false" customHeight="false" outlineLevel="0" collapsed="false">
      <c r="Q41" s="1099"/>
      <c r="R41" s="1099"/>
      <c r="S41" s="1099"/>
      <c r="T41" s="1099"/>
      <c r="V41" s="1099"/>
      <c r="W41" s="1099"/>
      <c r="X41" s="1099"/>
      <c r="Y41" s="1099"/>
      <c r="Z41" s="1099"/>
      <c r="AQ41" s="1099"/>
    </row>
    <row r="42" customFormat="false" ht="14.25" hidden="false" customHeight="false" outlineLevel="0" collapsed="false">
      <c r="Q42" s="1099"/>
      <c r="R42" s="1099"/>
      <c r="S42" s="1099"/>
      <c r="T42" s="1099"/>
      <c r="V42" s="1099"/>
      <c r="W42" s="1099"/>
      <c r="X42" s="1099"/>
      <c r="Y42" s="1099"/>
      <c r="Z42" s="1099"/>
      <c r="AQ42" s="1099"/>
    </row>
    <row r="43" customFormat="false" ht="14.25" hidden="false" customHeight="false" outlineLevel="0" collapsed="false">
      <c r="Q43" s="1099"/>
      <c r="R43" s="1099"/>
      <c r="S43" s="1099"/>
      <c r="T43" s="1099"/>
      <c r="V43" s="1099"/>
      <c r="W43" s="1099"/>
      <c r="X43" s="1099"/>
      <c r="Y43" s="1099"/>
      <c r="Z43" s="1099"/>
      <c r="AJ43" s="1099"/>
      <c r="AQ43" s="1099"/>
      <c r="AS43" s="1099"/>
    </row>
    <row r="44" customFormat="false" ht="14.25" hidden="false" customHeight="false" outlineLevel="0" collapsed="false">
      <c r="Q44" s="1099"/>
      <c r="R44" s="1099"/>
      <c r="S44" s="1099"/>
      <c r="T44" s="1099"/>
      <c r="V44" s="1099"/>
      <c r="W44" s="1099"/>
      <c r="X44" s="1099"/>
      <c r="Y44" s="1099"/>
      <c r="Z44" s="1099"/>
      <c r="AQ44" s="1099"/>
    </row>
    <row r="45" customFormat="false" ht="14.25" hidden="false" customHeight="false" outlineLevel="0" collapsed="false">
      <c r="Q45" s="1099"/>
      <c r="R45" s="1099"/>
      <c r="S45" s="1099"/>
      <c r="T45" s="1099"/>
      <c r="V45" s="1099"/>
      <c r="W45" s="1099"/>
      <c r="X45" s="1099"/>
      <c r="Y45" s="1099"/>
      <c r="Z45" s="1099"/>
      <c r="AQ45" s="1099"/>
    </row>
    <row r="48" customFormat="false" ht="14.25" hidden="false" customHeight="false" outlineLevel="0" collapsed="false">
      <c r="F48" s="1099"/>
      <c r="Q48" s="1099"/>
      <c r="R48" s="1099"/>
      <c r="S48" s="1099"/>
      <c r="T48" s="1099"/>
      <c r="U48" s="1099"/>
      <c r="AB48" s="1099"/>
      <c r="AH48" s="1099"/>
      <c r="AJ48" s="1099"/>
      <c r="AO48" s="1099"/>
      <c r="AQ48" s="1099"/>
      <c r="AR48" s="1099"/>
      <c r="AS48" s="1099"/>
      <c r="AX48" s="1099"/>
    </row>
    <row r="49" customFormat="false" ht="14.25" hidden="false" customHeight="false" outlineLevel="0" collapsed="false">
      <c r="Q49" s="1099"/>
      <c r="R49" s="1099"/>
      <c r="S49" s="1099"/>
      <c r="T49" s="1099"/>
      <c r="AJ49" s="1099"/>
      <c r="AQ49" s="1099"/>
      <c r="AS49" s="1099"/>
    </row>
    <row r="50" customFormat="false" ht="14.25" hidden="false" customHeight="false" outlineLevel="0" collapsed="false">
      <c r="V50" s="1099"/>
      <c r="W50" s="1099"/>
      <c r="X50" s="1099"/>
      <c r="Y50" s="1099"/>
      <c r="Z50" s="1099"/>
      <c r="AP50" s="1099"/>
    </row>
    <row r="51" customFormat="false" ht="14.25" hidden="false" customHeight="false" outlineLevel="0" collapsed="false">
      <c r="AS51" s="1099"/>
    </row>
    <row r="52" customFormat="false" ht="14.25" hidden="false" customHeight="false" outlineLevel="0" collapsed="false">
      <c r="Q52" s="1099"/>
      <c r="R52" s="1099"/>
      <c r="S52" s="1099"/>
      <c r="T52" s="1099"/>
      <c r="AQ52" s="1099"/>
      <c r="AS52" s="1099"/>
    </row>
    <row r="53" customFormat="false" ht="14.25" hidden="false" customHeight="false" outlineLevel="0" collapsed="false">
      <c r="Q53" s="1099"/>
      <c r="R53" s="1099"/>
      <c r="S53" s="1099"/>
      <c r="T53" s="1099"/>
      <c r="V53" s="1099"/>
      <c r="W53" s="1099"/>
      <c r="X53" s="1099"/>
      <c r="Y53" s="1099"/>
      <c r="Z53" s="1099"/>
      <c r="AQ53" s="1099"/>
    </row>
    <row r="55" customFormat="false" ht="14.25" hidden="false" customHeight="false" outlineLevel="0" collapsed="false">
      <c r="E55" s="1099"/>
      <c r="F55" s="1099"/>
      <c r="H55" s="1099"/>
      <c r="I55" s="1099"/>
      <c r="J55" s="1099"/>
      <c r="K55" s="1099"/>
      <c r="L55" s="1099"/>
      <c r="O55" s="1099"/>
      <c r="Q55" s="1099"/>
      <c r="R55" s="1099"/>
      <c r="S55" s="1099"/>
      <c r="T55" s="1099"/>
      <c r="U55" s="1099"/>
      <c r="V55" s="1099"/>
      <c r="W55" s="1099"/>
      <c r="X55" s="1099"/>
      <c r="Y55" s="1099"/>
      <c r="Z55" s="1099"/>
      <c r="AA55" s="1099"/>
      <c r="AB55" s="1099"/>
      <c r="AC55" s="1099"/>
      <c r="AD55" s="1099"/>
      <c r="AE55" s="1099"/>
      <c r="AF55" s="1099"/>
      <c r="AG55" s="1099"/>
      <c r="AH55" s="1099"/>
      <c r="AI55" s="1099"/>
      <c r="AJ55" s="1099"/>
      <c r="AK55" s="1099"/>
      <c r="AL55" s="1099"/>
      <c r="AM55" s="1099"/>
      <c r="AN55" s="1099"/>
      <c r="AO55" s="1099"/>
      <c r="AP55" s="1099"/>
      <c r="AQ55" s="1099"/>
      <c r="AR55" s="1099"/>
      <c r="AS55" s="1099"/>
      <c r="AT55" s="1099"/>
      <c r="AV55" s="1099"/>
      <c r="AX55" s="1099"/>
      <c r="AZ55" s="1099"/>
      <c r="BB55" s="1099"/>
    </row>
    <row r="56" customFormat="false" ht="14.25" hidden="false" customHeight="false" outlineLevel="0" collapsed="false">
      <c r="D56" s="1103"/>
      <c r="E56" s="1099"/>
      <c r="F56" s="1099"/>
      <c r="H56" s="1099"/>
      <c r="I56" s="1099"/>
      <c r="J56" s="1099"/>
      <c r="K56" s="1099"/>
      <c r="L56" s="1099"/>
      <c r="O56" s="1099"/>
      <c r="Q56" s="1099"/>
      <c r="R56" s="1099"/>
      <c r="S56" s="1099"/>
      <c r="T56" s="1099"/>
      <c r="U56" s="1099"/>
      <c r="V56" s="1099"/>
      <c r="W56" s="1099"/>
      <c r="X56" s="1099"/>
      <c r="Y56" s="1099"/>
      <c r="Z56" s="1099"/>
      <c r="AA56" s="1099"/>
      <c r="AB56" s="1099"/>
      <c r="AC56" s="1099"/>
      <c r="AD56" s="1099"/>
      <c r="AE56" s="1099"/>
      <c r="AF56" s="1099"/>
      <c r="AG56" s="1099"/>
      <c r="AH56" s="1099"/>
      <c r="AI56" s="1099"/>
      <c r="AJ56" s="1099"/>
      <c r="AK56" s="1099"/>
      <c r="AL56" s="1099"/>
      <c r="AM56" s="1099"/>
      <c r="AN56" s="1099"/>
      <c r="AO56" s="1099"/>
      <c r="AP56" s="1099"/>
      <c r="AQ56" s="1099"/>
      <c r="AR56" s="1099"/>
      <c r="AT56" s="1099"/>
      <c r="AV56" s="1099"/>
      <c r="AX56" s="1099"/>
      <c r="AZ56" s="1099"/>
      <c r="BB56" s="1099"/>
    </row>
    <row r="57" customFormat="false" ht="14.25" hidden="false" customHeight="false" outlineLevel="0" collapsed="false">
      <c r="D57" s="1103"/>
      <c r="Q57" s="1099"/>
      <c r="R57" s="1099"/>
      <c r="S57" s="1099"/>
      <c r="T57" s="1099"/>
      <c r="U57" s="1099"/>
      <c r="V57" s="1099"/>
      <c r="W57" s="1099"/>
      <c r="X57" s="1099"/>
      <c r="Y57" s="1099"/>
      <c r="Z57" s="1099"/>
      <c r="AB57" s="1099"/>
      <c r="AJ57" s="1099"/>
      <c r="AO57" s="1099"/>
      <c r="AQ57" s="1099"/>
      <c r="AR57" s="1099"/>
      <c r="AX57" s="1099"/>
    </row>
    <row r="58" customFormat="false" ht="14.25" hidden="false" customHeight="false" outlineLevel="0" collapsed="false">
      <c r="E58" s="1099"/>
      <c r="F58" s="1099"/>
      <c r="I58" s="1099"/>
      <c r="J58" s="1099"/>
      <c r="K58" s="1099"/>
      <c r="Q58" s="1099"/>
      <c r="R58" s="1099"/>
      <c r="S58" s="1099"/>
      <c r="T58" s="1099"/>
      <c r="U58" s="1099"/>
      <c r="V58" s="1099"/>
      <c r="W58" s="1099"/>
      <c r="X58" s="1099"/>
      <c r="Y58" s="1099"/>
      <c r="Z58" s="1099"/>
      <c r="AB58" s="1099"/>
      <c r="AC58" s="1099"/>
      <c r="AH58" s="1099"/>
      <c r="AJ58" s="1099"/>
      <c r="AL58" s="1099"/>
      <c r="AM58" s="1099"/>
      <c r="AO58" s="1099"/>
      <c r="AP58" s="1099"/>
      <c r="AQ58" s="1099"/>
      <c r="AR58" s="1099"/>
      <c r="AS58" s="1099"/>
      <c r="AT58" s="1099"/>
      <c r="AX58" s="1099"/>
      <c r="AZ58" s="1099"/>
    </row>
    <row r="59" customFormat="false" ht="14.25" hidden="false" customHeight="false" outlineLevel="0" collapsed="false">
      <c r="D59" s="1103"/>
      <c r="Q59" s="1099"/>
      <c r="R59" s="1099"/>
      <c r="S59" s="1099"/>
      <c r="T59" s="1099"/>
      <c r="U59" s="1099"/>
      <c r="V59" s="1099"/>
      <c r="W59" s="1099"/>
      <c r="X59" s="1099"/>
      <c r="Y59" s="1099"/>
      <c r="Z59" s="1099"/>
      <c r="AB59" s="1099"/>
      <c r="AJ59" s="1099"/>
      <c r="AO59" s="1099"/>
      <c r="AQ59" s="1099"/>
      <c r="AR59" s="1099"/>
      <c r="AX59" s="1099"/>
    </row>
    <row r="60" customFormat="false" ht="14.25" hidden="false" customHeight="false" outlineLevel="0" collapsed="false">
      <c r="Q60" s="1099"/>
      <c r="R60" s="1099"/>
      <c r="S60" s="1099"/>
      <c r="T60" s="1099"/>
      <c r="U60" s="1099"/>
      <c r="V60" s="1099"/>
      <c r="W60" s="1099"/>
      <c r="X60" s="1099"/>
      <c r="Y60" s="1099"/>
      <c r="Z60" s="1099"/>
      <c r="AB60" s="1099"/>
      <c r="AJ60" s="1099"/>
      <c r="AO60" s="1099"/>
      <c r="AQ60" s="1099"/>
      <c r="AR60" s="1099"/>
      <c r="AX60" s="1099"/>
    </row>
    <row r="63" customFormat="false" ht="14.25" hidden="false" customHeight="false" outlineLevel="0" collapsed="false">
      <c r="E63" s="1099"/>
      <c r="F63" s="1099"/>
      <c r="H63" s="1099"/>
      <c r="I63" s="1099"/>
      <c r="J63" s="1099"/>
      <c r="K63" s="1099"/>
      <c r="L63" s="1099"/>
      <c r="O63" s="1099"/>
      <c r="Q63" s="1099"/>
      <c r="R63" s="1099"/>
      <c r="S63" s="1099"/>
      <c r="T63" s="1099"/>
      <c r="U63" s="1099"/>
      <c r="AA63" s="1099"/>
      <c r="AB63" s="1099"/>
      <c r="AC63" s="1099"/>
      <c r="AD63" s="1099"/>
      <c r="AE63" s="1099"/>
      <c r="AF63" s="1099"/>
      <c r="AG63" s="1099"/>
      <c r="AH63" s="1099"/>
      <c r="AI63" s="1099"/>
      <c r="AJ63" s="1099"/>
      <c r="AL63" s="1099"/>
      <c r="AM63" s="1099"/>
      <c r="AO63" s="1099"/>
      <c r="AP63" s="1099"/>
      <c r="AQ63" s="1099"/>
      <c r="AR63" s="1099"/>
      <c r="AS63" s="1099"/>
      <c r="AT63" s="1099"/>
      <c r="AV63" s="1099"/>
      <c r="AX63" s="1099"/>
      <c r="AZ63" s="1099"/>
      <c r="BB63" s="1099"/>
    </row>
    <row r="64" customFormat="false" ht="14.25" hidden="false" customHeight="false" outlineLevel="0" collapsed="false">
      <c r="D64" s="1103"/>
      <c r="E64" s="1099"/>
      <c r="F64" s="1099"/>
      <c r="H64" s="1099"/>
      <c r="I64" s="1099"/>
      <c r="J64" s="1099"/>
      <c r="K64" s="1099"/>
      <c r="Q64" s="1099"/>
      <c r="R64" s="1099"/>
      <c r="S64" s="1099"/>
      <c r="T64" s="1099"/>
      <c r="U64" s="1099"/>
      <c r="AB64" s="1099"/>
      <c r="AC64" s="1099"/>
      <c r="AG64" s="1099"/>
      <c r="AH64" s="1099"/>
      <c r="AJ64" s="1099"/>
      <c r="AL64" s="1099"/>
      <c r="AM64" s="1099"/>
      <c r="AO64" s="1099"/>
      <c r="AP64" s="1099"/>
      <c r="AQ64" s="1099"/>
      <c r="AR64" s="1099"/>
      <c r="AS64" s="1099"/>
      <c r="AT64" s="1099"/>
      <c r="AX64" s="1099"/>
      <c r="AZ64" s="1099"/>
    </row>
    <row r="65" customFormat="false" ht="14.25" hidden="false" customHeight="false" outlineLevel="0" collapsed="false">
      <c r="D65" s="1103"/>
      <c r="Q65" s="1099"/>
      <c r="R65" s="1099"/>
      <c r="S65" s="1099"/>
      <c r="T65" s="1099"/>
      <c r="V65" s="1099"/>
      <c r="W65" s="1099"/>
      <c r="X65" s="1099"/>
      <c r="Y65" s="1099"/>
      <c r="Z65" s="1099"/>
      <c r="AP65" s="1099"/>
      <c r="AQ65" s="1099"/>
    </row>
    <row r="66" customFormat="false" ht="14.25" hidden="false" customHeight="false" outlineLevel="0" collapsed="false">
      <c r="E66" s="1099"/>
      <c r="F66" s="1099"/>
      <c r="H66" s="1099"/>
      <c r="I66" s="1099"/>
      <c r="J66" s="1099"/>
      <c r="K66" s="1099"/>
      <c r="L66" s="1099"/>
      <c r="M66" s="1099"/>
      <c r="U66" s="1099"/>
      <c r="V66" s="1099"/>
      <c r="W66" s="1099"/>
      <c r="X66" s="1099"/>
      <c r="Y66" s="1099"/>
      <c r="Z66" s="1099"/>
      <c r="AB66" s="1099"/>
      <c r="AC66" s="1099"/>
      <c r="AD66" s="1099"/>
      <c r="AE66" s="1099"/>
      <c r="AF66" s="1099"/>
      <c r="AG66" s="1099"/>
      <c r="AH66" s="1099"/>
      <c r="AI66" s="1099"/>
      <c r="AJ66" s="1099"/>
      <c r="AK66" s="1099"/>
      <c r="AL66" s="1099"/>
      <c r="AM66" s="1099"/>
      <c r="AN66" s="1099"/>
      <c r="AP66" s="1099"/>
      <c r="AS66" s="1099"/>
      <c r="AT66" s="1099"/>
      <c r="AX66" s="1099"/>
      <c r="AZ66" s="1099"/>
      <c r="BB66" s="1099"/>
    </row>
    <row r="67" customFormat="false" ht="14.25" hidden="false" customHeight="false" outlineLevel="0" collapsed="false">
      <c r="D67" s="1103"/>
      <c r="E67" s="1099"/>
      <c r="F67" s="1099"/>
      <c r="H67" s="1099"/>
      <c r="I67" s="1099"/>
      <c r="J67" s="1099"/>
      <c r="K67" s="1099"/>
      <c r="L67" s="1099"/>
      <c r="Q67" s="1099"/>
      <c r="R67" s="1099"/>
      <c r="S67" s="1099"/>
      <c r="T67" s="1099"/>
      <c r="U67" s="1099"/>
      <c r="V67" s="1099"/>
      <c r="W67" s="1099"/>
      <c r="X67" s="1099"/>
      <c r="Y67" s="1099"/>
      <c r="Z67" s="1099"/>
      <c r="AB67" s="1099"/>
      <c r="AC67" s="1099"/>
      <c r="AD67" s="1099"/>
      <c r="AE67" s="1099"/>
      <c r="AF67" s="1099"/>
      <c r="AG67" s="1099"/>
      <c r="AH67" s="1099"/>
      <c r="AI67" s="1099"/>
      <c r="AJ67" s="1099"/>
      <c r="AK67" s="1099"/>
      <c r="AL67" s="1099"/>
      <c r="AM67" s="1099"/>
      <c r="AN67" s="1099"/>
      <c r="AO67" s="1099"/>
      <c r="AP67" s="1099"/>
      <c r="AQ67" s="1099"/>
      <c r="AR67" s="1099"/>
      <c r="AS67" s="1099"/>
      <c r="AT67" s="1099"/>
      <c r="AX67" s="1099"/>
      <c r="AZ67" s="1099"/>
      <c r="BB67" s="1099"/>
    </row>
    <row r="68" customFormat="false" ht="14.25" hidden="false" customHeight="false" outlineLevel="0" collapsed="false">
      <c r="D68" s="1103"/>
      <c r="E68" s="1099"/>
      <c r="F68" s="1099"/>
      <c r="H68" s="1099"/>
      <c r="I68" s="1099"/>
      <c r="J68" s="1099"/>
      <c r="K68" s="1099"/>
      <c r="L68" s="1099"/>
      <c r="Q68" s="1099"/>
      <c r="R68" s="1099"/>
      <c r="S68" s="1099"/>
      <c r="T68" s="1099"/>
      <c r="U68" s="1099"/>
      <c r="V68" s="1099"/>
      <c r="W68" s="1099"/>
      <c r="X68" s="1099"/>
      <c r="Y68" s="1099"/>
      <c r="Z68" s="1099"/>
      <c r="AB68" s="1099"/>
      <c r="AC68" s="1099"/>
      <c r="AD68" s="1099"/>
      <c r="AE68" s="1099"/>
      <c r="AF68" s="1099"/>
      <c r="AG68" s="1099"/>
      <c r="AH68" s="1099"/>
      <c r="AI68" s="1099"/>
      <c r="AJ68" s="1099"/>
      <c r="AK68" s="1099"/>
      <c r="AL68" s="1099"/>
      <c r="AM68" s="1099"/>
      <c r="AN68" s="1099"/>
      <c r="AO68" s="1099"/>
      <c r="AP68" s="1099"/>
      <c r="AQ68" s="1099"/>
      <c r="AR68" s="1099"/>
      <c r="AS68" s="1099"/>
      <c r="AT68" s="1099"/>
      <c r="AX68" s="1099"/>
      <c r="AZ68" s="1099"/>
      <c r="BB68" s="1099"/>
    </row>
    <row r="69" customFormat="false" ht="14.25" hidden="false" customHeight="false" outlineLevel="0" collapsed="false">
      <c r="D69" s="1103"/>
    </row>
    <row r="70" customFormat="false" ht="14.25" hidden="false" customHeight="false" outlineLevel="0" collapsed="false">
      <c r="AM70" s="1099"/>
      <c r="AN70" s="1099"/>
    </row>
    <row r="71" customFormat="false" ht="14.25" hidden="false" customHeight="false" outlineLevel="0" collapsed="false">
      <c r="D71" s="1103"/>
    </row>
    <row r="74" customFormat="false" ht="14.25" hidden="false" customHeight="false" outlineLevel="0" collapsed="false">
      <c r="J74" s="1099"/>
    </row>
    <row r="77" customFormat="false" ht="14.25" hidden="false" customHeight="false" outlineLevel="0" collapsed="false">
      <c r="E77" s="1099"/>
      <c r="F77" s="1099"/>
      <c r="G77" s="1099"/>
      <c r="H77" s="1099"/>
      <c r="I77" s="1099"/>
      <c r="J77" s="1099"/>
      <c r="K77" s="1099"/>
      <c r="L77" s="1099"/>
      <c r="M77" s="1099"/>
      <c r="P77" s="1099"/>
      <c r="Q77" s="1099"/>
      <c r="R77" s="1099"/>
      <c r="S77" s="1099"/>
      <c r="T77" s="1099"/>
      <c r="U77" s="1099"/>
      <c r="V77" s="1099"/>
      <c r="W77" s="1099"/>
      <c r="X77" s="1099"/>
      <c r="Y77" s="1099"/>
      <c r="Z77" s="1099"/>
      <c r="AB77" s="1099"/>
      <c r="AC77" s="1099"/>
      <c r="AD77" s="1099"/>
      <c r="AE77" s="1099"/>
      <c r="AF77" s="1099"/>
      <c r="AG77" s="1099"/>
      <c r="AH77" s="1099"/>
      <c r="AI77" s="1099"/>
      <c r="AJ77" s="1099"/>
      <c r="AK77" s="1099"/>
      <c r="AL77" s="1099"/>
      <c r="AM77" s="1099"/>
      <c r="AN77" s="1099"/>
      <c r="AO77" s="1099"/>
      <c r="AP77" s="1099"/>
      <c r="AQ77" s="1099"/>
      <c r="AR77" s="1099"/>
      <c r="AS77" s="1099"/>
      <c r="AT77" s="1099"/>
      <c r="AX77" s="1099"/>
      <c r="AZ77" s="1099"/>
      <c r="BB77" s="1099"/>
    </row>
    <row r="78" customFormat="false" ht="14.25" hidden="false" customHeight="false" outlineLevel="0" collapsed="false">
      <c r="D78" s="1103"/>
    </row>
    <row r="79" customFormat="false" ht="14.25" hidden="false" customHeight="false" outlineLevel="0" collapsed="false">
      <c r="E79" s="1099"/>
      <c r="F79" s="1099"/>
      <c r="G79" s="1099"/>
      <c r="H79" s="1099"/>
      <c r="I79" s="1099"/>
      <c r="J79" s="1099"/>
      <c r="K79" s="1099"/>
      <c r="L79" s="1099"/>
      <c r="M79" s="1099"/>
      <c r="O79" s="1099"/>
      <c r="P79" s="1099"/>
      <c r="Q79" s="1099"/>
      <c r="R79" s="1099"/>
      <c r="S79" s="1099"/>
      <c r="T79" s="1099"/>
      <c r="U79" s="1099"/>
      <c r="V79" s="1099"/>
      <c r="W79" s="1099"/>
      <c r="X79" s="1099"/>
      <c r="Y79" s="1099"/>
      <c r="Z79" s="1099"/>
      <c r="AA79" s="1099"/>
      <c r="AB79" s="1099"/>
      <c r="AC79" s="1099"/>
      <c r="AD79" s="1099"/>
      <c r="AE79" s="1099"/>
      <c r="AF79" s="1099"/>
      <c r="AG79" s="1099"/>
      <c r="AH79" s="1099"/>
      <c r="AI79" s="1099"/>
      <c r="AJ79" s="1099"/>
      <c r="AK79" s="1099"/>
      <c r="AL79" s="1099"/>
      <c r="AM79" s="1099"/>
      <c r="AN79" s="1099"/>
      <c r="AO79" s="1099"/>
      <c r="AP79" s="1099"/>
      <c r="AQ79" s="1099"/>
      <c r="AR79" s="1099"/>
      <c r="AT79" s="1099"/>
      <c r="AV79" s="1099"/>
      <c r="AX79" s="1099"/>
      <c r="AZ79" s="1099"/>
      <c r="BB79" s="1099"/>
    </row>
    <row r="80" customFormat="false" ht="14.25" hidden="false" customHeight="false" outlineLevel="0" collapsed="false">
      <c r="D80" s="1103"/>
      <c r="E80" s="1099"/>
      <c r="F80" s="1099"/>
      <c r="G80" s="1099"/>
      <c r="H80" s="1099"/>
      <c r="I80" s="1099"/>
      <c r="J80" s="1099"/>
      <c r="K80" s="1099"/>
      <c r="L80" s="1099"/>
      <c r="M80" s="1099"/>
      <c r="O80" s="1099"/>
      <c r="P80" s="1099"/>
      <c r="Q80" s="1099"/>
      <c r="R80" s="1099"/>
      <c r="S80" s="1099"/>
      <c r="T80" s="1099"/>
      <c r="U80" s="1099"/>
      <c r="V80" s="1099"/>
      <c r="W80" s="1099"/>
      <c r="X80" s="1099"/>
      <c r="Y80" s="1099"/>
      <c r="Z80" s="1099"/>
      <c r="AA80" s="1099"/>
      <c r="AB80" s="1099"/>
      <c r="AC80" s="1099"/>
      <c r="AD80" s="1099"/>
      <c r="AE80" s="1099"/>
      <c r="AF80" s="1099"/>
      <c r="AG80" s="1099"/>
      <c r="AH80" s="1099"/>
      <c r="AI80" s="1099"/>
      <c r="AJ80" s="1099"/>
      <c r="AK80" s="1099"/>
      <c r="AL80" s="1099"/>
      <c r="AM80" s="1099"/>
      <c r="AN80" s="1099"/>
      <c r="AO80" s="1099"/>
      <c r="AP80" s="1099"/>
      <c r="AQ80" s="1099"/>
      <c r="AR80" s="1099"/>
      <c r="AS80" s="1099"/>
      <c r="AT80" s="1099"/>
      <c r="AV80" s="1099"/>
      <c r="AX80" s="1099"/>
      <c r="AZ80" s="1099"/>
      <c r="BB80" s="1099"/>
    </row>
    <row r="81" customFormat="false" ht="14.25" hidden="false" customHeight="false" outlineLevel="0" collapsed="false">
      <c r="D81" s="1103"/>
    </row>
    <row r="87" customFormat="false" ht="14.25" hidden="false" customHeight="false" outlineLevel="0" collapsed="false">
      <c r="J87" s="1099"/>
    </row>
    <row r="88" customFormat="false" ht="14.25" hidden="false" customHeight="false" outlineLevel="0" collapsed="false">
      <c r="AM88" s="1099"/>
      <c r="AN88" s="1099"/>
    </row>
    <row r="89" customFormat="false" ht="14.25" hidden="false" customHeight="false" outlineLevel="0" collapsed="false">
      <c r="D89" s="1103"/>
    </row>
    <row r="95" customFormat="false" ht="14.25" hidden="false" customHeight="false" outlineLevel="0" collapsed="false">
      <c r="G95" s="1099"/>
      <c r="P95" s="1099"/>
      <c r="T95" s="1099"/>
    </row>
    <row r="97" customFormat="false" ht="14.25" hidden="false" customHeight="false" outlineLevel="0" collapsed="false">
      <c r="AM97" s="1099"/>
      <c r="AN97" s="1099"/>
    </row>
    <row r="102" customFormat="false" ht="14.25" hidden="false" customHeight="false" outlineLevel="0" collapsed="false">
      <c r="J102" s="1099"/>
      <c r="AD102" s="1099"/>
      <c r="AM102" s="1099"/>
      <c r="AN102" s="1099"/>
      <c r="AS102" s="1099"/>
    </row>
    <row r="110" customFormat="false" ht="14.25" hidden="false" customHeight="false" outlineLevel="0" collapsed="false">
      <c r="D110" s="1103"/>
    </row>
    <row r="120" customFormat="false" ht="14.25" hidden="false" customHeight="false" outlineLevel="0" collapsed="false">
      <c r="G120" s="1099"/>
      <c r="P120" s="1099"/>
      <c r="T120" s="1099"/>
    </row>
  </sheetData>
  <mergeCells count="35">
    <mergeCell ref="A1:D1"/>
    <mergeCell ref="A2:C2"/>
    <mergeCell ref="A3:C3"/>
    <mergeCell ref="A4:C4"/>
    <mergeCell ref="A5:B5"/>
    <mergeCell ref="A6:B6"/>
    <mergeCell ref="A7:B7"/>
    <mergeCell ref="A8:B8"/>
    <mergeCell ref="A9:B9"/>
    <mergeCell ref="A10:B10"/>
    <mergeCell ref="A11:B11"/>
    <mergeCell ref="A12:B12"/>
    <mergeCell ref="A13:B13"/>
    <mergeCell ref="A14:B14"/>
    <mergeCell ref="A15:A20"/>
    <mergeCell ref="A21:C21"/>
    <mergeCell ref="A22:B22"/>
    <mergeCell ref="A23:C23"/>
    <mergeCell ref="A24:C24"/>
    <mergeCell ref="A25:B25"/>
    <mergeCell ref="A26:C26"/>
    <mergeCell ref="A27:C27"/>
    <mergeCell ref="A28:C28"/>
    <mergeCell ref="A29:C29"/>
    <mergeCell ref="A30:C30"/>
    <mergeCell ref="A31:C31"/>
    <mergeCell ref="A32:C32"/>
    <mergeCell ref="A33:C33"/>
    <mergeCell ref="A34:C34"/>
    <mergeCell ref="A35:C35"/>
    <mergeCell ref="A36:C36"/>
    <mergeCell ref="A37:C37"/>
    <mergeCell ref="A38:C38"/>
    <mergeCell ref="A39:C39"/>
    <mergeCell ref="A40:C40"/>
  </mergeCells>
  <dataValidations count="2">
    <dataValidation allowBlank="true" errorStyle="stop" operator="between" showDropDown="false" showErrorMessage="true" showInputMessage="true" sqref="D21" type="list">
      <formula1>"层流,过度流,湍流"</formula1>
      <formula2>0</formula2>
    </dataValidation>
    <dataValidation allowBlank="true" errorStyle="stop" operator="between" showDropDown="false" showErrorMessage="true" showInputMessage="true" sqref="D31" type="list">
      <formula1>"V,L,S,V&amp;L,V&amp;S,L&amp;S"</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1001" r:id="rId3" name="Button 8">
              <controlPr defaultSize="0" print="false" autoFill="0" autoPict="0" macro="模块3.返回主页">
                <anchor moveWithCells="true" sizeWithCells="false">
                  <from>
                    <xdr:col>1</xdr:col>
                    <xdr:colOff>541080</xdr:colOff>
                    <xdr:row>0</xdr:row>
                    <xdr:rowOff>30600</xdr:rowOff>
                  </from>
                  <to>
                    <xdr:col>2</xdr:col>
                    <xdr:colOff>365760</xdr:colOff>
                    <xdr:row>1</xdr:row>
                    <xdr:rowOff>-53280</xdr:rowOff>
                  </to>
                </anchor>
              </controlPr>
            </control>
          </mc:Choice>
        </mc:AlternateContent>
      </controls>
    </mc:Choice>
  </mc:AlternateConten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F1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CQ84" activePane="bottomRight" state="frozen"/>
      <selection pane="topLeft" activeCell="A1" activeCellId="0" sqref="A1"/>
      <selection pane="topRight" activeCell="CQ1" activeCellId="0" sqref="CQ1"/>
      <selection pane="bottomLeft" activeCell="A84" activeCellId="0" sqref="A84"/>
      <selection pane="bottomRight" activeCell="CI33" activeCellId="0" sqref="1:1048576"/>
    </sheetView>
  </sheetViews>
  <sheetFormatPr defaultColWidth="9.00390625" defaultRowHeight="14.25" zeroHeight="false" outlineLevelRow="0" outlineLevelCol="0"/>
  <cols>
    <col collapsed="false" customWidth="true" hidden="false" outlineLevel="0" max="1" min="1" style="496" width="21.62"/>
    <col collapsed="false" customWidth="true" hidden="false" outlineLevel="0" max="5" min="2" style="496" width="12"/>
    <col collapsed="false" customWidth="true" hidden="false" outlineLevel="0" max="7" min="6" style="496" width="11"/>
    <col collapsed="false" customWidth="true" hidden="false" outlineLevel="0" max="9" min="8" style="496" width="12"/>
    <col collapsed="false" customWidth="true" hidden="false" outlineLevel="0" max="11" min="10" style="496" width="11"/>
    <col collapsed="false" customWidth="true" hidden="false" outlineLevel="0" max="12" min="12" style="496" width="12"/>
    <col collapsed="false" customWidth="true" hidden="false" outlineLevel="0" max="14" min="13" style="496" width="11"/>
    <col collapsed="false" customWidth="true" hidden="false" outlineLevel="0" max="29" min="15" style="496" width="12"/>
    <col collapsed="false" customWidth="true" hidden="false" outlineLevel="0" max="31" min="30" style="496" width="11"/>
    <col collapsed="false" customWidth="true" hidden="false" outlineLevel="0" max="37" min="32" style="496" width="9.62"/>
    <col collapsed="false" customWidth="true" hidden="false" outlineLevel="0" max="39" min="38" style="496" width="12"/>
    <col collapsed="false" customWidth="true" hidden="false" outlineLevel="0" max="41" min="40" style="496" width="11"/>
    <col collapsed="false" customWidth="true" hidden="false" outlineLevel="0" max="47" min="42" style="496" width="9.62"/>
    <col collapsed="false" customWidth="true" hidden="false" outlineLevel="0" max="49" min="48" style="496" width="12"/>
    <col collapsed="false" customWidth="true" hidden="false" outlineLevel="0" max="51" min="50" style="496" width="11.75"/>
    <col collapsed="false" customWidth="true" hidden="false" outlineLevel="0" max="52" min="52" style="496" width="11.63"/>
    <col collapsed="false" customWidth="true" hidden="false" outlineLevel="0" max="53" min="53" style="496" width="11.75"/>
    <col collapsed="false" customWidth="true" hidden="false" outlineLevel="0" max="54" min="54" style="496" width="10.5"/>
    <col collapsed="false" customWidth="true" hidden="false" outlineLevel="0" max="55" min="55" style="496" width="11.75"/>
    <col collapsed="false" customWidth="true" hidden="false" outlineLevel="0" max="57" min="56" style="496" width="12.87"/>
    <col collapsed="false" customWidth="true" hidden="false" outlineLevel="0" max="59" min="58" style="496" width="12.75"/>
    <col collapsed="false" customWidth="true" hidden="false" outlineLevel="0" max="65" min="60" style="496" width="11.75"/>
    <col collapsed="false" customWidth="true" hidden="false" outlineLevel="0" max="67" min="66" style="496" width="11.88"/>
    <col collapsed="false" customWidth="true" hidden="false" outlineLevel="0" max="68" min="68" style="496" width="11.75"/>
    <col collapsed="false" customWidth="true" hidden="false" outlineLevel="0" max="70" min="69" style="496" width="11.63"/>
    <col collapsed="false" customWidth="true" hidden="false" outlineLevel="0" max="71" min="71" style="496" width="10.5"/>
    <col collapsed="false" customWidth="true" hidden="false" outlineLevel="0" max="72" min="72" style="496" width="11.75"/>
    <col collapsed="false" customWidth="true" hidden="false" outlineLevel="0" max="73" min="73" style="496" width="9.37"/>
    <col collapsed="false" customWidth="true" hidden="false" outlineLevel="0" max="74" min="74" style="496" width="11.75"/>
    <col collapsed="false" customWidth="true" hidden="false" outlineLevel="0" max="75" min="75" style="496" width="9.37"/>
    <col collapsed="false" customWidth="true" hidden="false" outlineLevel="0" max="76" min="76" style="496" width="11.75"/>
    <col collapsed="false" customWidth="true" hidden="false" outlineLevel="0" max="77" min="77" style="496" width="10.75"/>
    <col collapsed="false" customWidth="true" hidden="false" outlineLevel="0" max="80" min="78" style="496" width="11.75"/>
    <col collapsed="false" customWidth="true" hidden="false" outlineLevel="0" max="82" min="81" style="496" width="11.63"/>
    <col collapsed="false" customWidth="true" hidden="false" outlineLevel="0" max="94" min="83" style="496" width="11.88"/>
    <col collapsed="false" customWidth="true" hidden="false" outlineLevel="0" max="96" min="95" style="496" width="11.75"/>
    <col collapsed="false" customWidth="true" hidden="false" outlineLevel="0" max="100" min="97" style="496" width="11.88"/>
    <col collapsed="false" customWidth="true" hidden="false" outlineLevel="0" max="102" min="101" style="496" width="11.63"/>
    <col collapsed="false" customWidth="true" hidden="false" outlineLevel="0" max="104" min="103" style="496" width="10.5"/>
    <col collapsed="false" customWidth="false" hidden="false" outlineLevel="0" max="16384" min="105" style="496" width="9"/>
  </cols>
  <sheetData>
    <row r="1" customFormat="false" ht="15" hidden="false" customHeight="false" outlineLevel="0" collapsed="false">
      <c r="B1" s="496" t="n">
        <v>4</v>
      </c>
      <c r="C1" s="496" t="n">
        <v>9</v>
      </c>
      <c r="D1" s="496" t="s">
        <v>1819</v>
      </c>
      <c r="E1" s="496" t="s">
        <v>1820</v>
      </c>
      <c r="F1" s="496" t="s">
        <v>1821</v>
      </c>
      <c r="G1" s="496" t="s">
        <v>1822</v>
      </c>
      <c r="H1" s="496" t="s">
        <v>1823</v>
      </c>
      <c r="I1" s="496" t="s">
        <v>1824</v>
      </c>
      <c r="J1" s="496" t="s">
        <v>1825</v>
      </c>
      <c r="K1" s="496" t="s">
        <v>1826</v>
      </c>
      <c r="L1" s="496" t="s">
        <v>1827</v>
      </c>
      <c r="M1" s="496" t="s">
        <v>1828</v>
      </c>
      <c r="N1" s="496" t="s">
        <v>1829</v>
      </c>
      <c r="O1" s="496" t="s">
        <v>1830</v>
      </c>
      <c r="P1" s="496" t="s">
        <v>1831</v>
      </c>
      <c r="Q1" s="496" t="s">
        <v>1832</v>
      </c>
      <c r="R1" s="496" t="s">
        <v>1833</v>
      </c>
      <c r="S1" s="496" t="s">
        <v>1834</v>
      </c>
      <c r="T1" s="496" t="s">
        <v>1835</v>
      </c>
      <c r="U1" s="496" t="s">
        <v>1836</v>
      </c>
      <c r="V1" s="496" t="s">
        <v>1837</v>
      </c>
      <c r="W1" s="496" t="s">
        <v>1838</v>
      </c>
      <c r="X1" s="496" t="s">
        <v>1839</v>
      </c>
      <c r="Y1" s="496" t="s">
        <v>1840</v>
      </c>
      <c r="Z1" s="496" t="s">
        <v>1841</v>
      </c>
      <c r="AA1" s="496" t="s">
        <v>1842</v>
      </c>
      <c r="AB1" s="496" t="s">
        <v>1843</v>
      </c>
      <c r="AC1" s="496" t="s">
        <v>1844</v>
      </c>
      <c r="AD1" s="496" t="s">
        <v>1845</v>
      </c>
      <c r="AE1" s="496" t="s">
        <v>1846</v>
      </c>
      <c r="AF1" s="496" t="s">
        <v>1847</v>
      </c>
      <c r="AG1" s="496" t="s">
        <v>1848</v>
      </c>
      <c r="AH1" s="496" t="s">
        <v>1849</v>
      </c>
      <c r="AI1" s="496" t="s">
        <v>1850</v>
      </c>
      <c r="AJ1" s="496" t="s">
        <v>1851</v>
      </c>
      <c r="AK1" s="496" t="s">
        <v>1852</v>
      </c>
      <c r="AL1" s="496" t="s">
        <v>1853</v>
      </c>
      <c r="AM1" s="496" t="s">
        <v>1854</v>
      </c>
      <c r="AN1" s="496" t="s">
        <v>1855</v>
      </c>
      <c r="AO1" s="496" t="s">
        <v>1856</v>
      </c>
      <c r="AP1" s="496" t="s">
        <v>1857</v>
      </c>
      <c r="AQ1" s="496" t="s">
        <v>1858</v>
      </c>
      <c r="AR1" s="496" t="s">
        <v>1859</v>
      </c>
      <c r="AS1" s="496" t="s">
        <v>1860</v>
      </c>
      <c r="AT1" s="496" t="s">
        <v>1861</v>
      </c>
      <c r="AU1" s="496" t="s">
        <v>1862</v>
      </c>
      <c r="AV1" s="496" t="s">
        <v>1863</v>
      </c>
      <c r="AW1" s="496" t="s">
        <v>1864</v>
      </c>
      <c r="AX1" s="496" t="s">
        <v>1865</v>
      </c>
      <c r="AY1" s="496" t="s">
        <v>1866</v>
      </c>
      <c r="AZ1" s="496" t="s">
        <v>1867</v>
      </c>
      <c r="BA1" s="496" t="s">
        <v>1868</v>
      </c>
      <c r="BB1" s="496" t="s">
        <v>1869</v>
      </c>
      <c r="BC1" s="496" t="s">
        <v>1870</v>
      </c>
      <c r="BD1" s="496" t="s">
        <v>1871</v>
      </c>
      <c r="BE1" s="496" t="s">
        <v>1872</v>
      </c>
      <c r="BF1" s="496" t="s">
        <v>1873</v>
      </c>
      <c r="BG1" s="496" t="s">
        <v>1874</v>
      </c>
      <c r="BH1" s="496" t="s">
        <v>1875</v>
      </c>
      <c r="BI1" s="496" t="s">
        <v>1876</v>
      </c>
      <c r="BJ1" s="496" t="s">
        <v>1877</v>
      </c>
      <c r="BK1" s="496" t="s">
        <v>1878</v>
      </c>
      <c r="BL1" s="496" t="s">
        <v>1879</v>
      </c>
      <c r="BM1" s="496" t="s">
        <v>1880</v>
      </c>
      <c r="BN1" s="496" t="s">
        <v>1881</v>
      </c>
      <c r="BO1" s="496" t="s">
        <v>1882</v>
      </c>
      <c r="BP1" s="496" t="s">
        <v>1883</v>
      </c>
      <c r="BQ1" s="496" t="s">
        <v>1884</v>
      </c>
      <c r="BR1" s="496" t="s">
        <v>1885</v>
      </c>
      <c r="BS1" s="496" t="s">
        <v>1886</v>
      </c>
      <c r="BT1" s="496" t="s">
        <v>1887</v>
      </c>
      <c r="BU1" s="496" t="s">
        <v>1888</v>
      </c>
      <c r="BV1" s="496" t="s">
        <v>1889</v>
      </c>
      <c r="BW1" s="496" t="s">
        <v>1890</v>
      </c>
      <c r="BX1" s="496" t="s">
        <v>1891</v>
      </c>
      <c r="BY1" s="496" t="s">
        <v>1892</v>
      </c>
      <c r="BZ1" s="496" t="s">
        <v>1893</v>
      </c>
      <c r="CA1" s="496" t="s">
        <v>1894</v>
      </c>
      <c r="CB1" s="496" t="s">
        <v>1895</v>
      </c>
      <c r="CC1" s="496" t="s">
        <v>1896</v>
      </c>
      <c r="CD1" s="496" t="s">
        <v>1897</v>
      </c>
      <c r="CE1" s="496" t="s">
        <v>1898</v>
      </c>
      <c r="CF1" s="496" t="s">
        <v>1899</v>
      </c>
      <c r="CG1" s="496" t="s">
        <v>1900</v>
      </c>
      <c r="CH1" s="496" t="s">
        <v>1901</v>
      </c>
      <c r="CI1" s="496" t="s">
        <v>1902</v>
      </c>
      <c r="CJ1" s="496" t="s">
        <v>1903</v>
      </c>
      <c r="CK1" s="496" t="s">
        <v>1904</v>
      </c>
      <c r="CL1" s="496" t="s">
        <v>1905</v>
      </c>
      <c r="CM1" s="496" t="s">
        <v>1906</v>
      </c>
      <c r="CN1" s="496" t="s">
        <v>1907</v>
      </c>
      <c r="CO1" s="496" t="s">
        <v>1908</v>
      </c>
      <c r="CP1" s="496" t="s">
        <v>1909</v>
      </c>
      <c r="CQ1" s="496" t="s">
        <v>1910</v>
      </c>
      <c r="CR1" s="496" t="s">
        <v>1911</v>
      </c>
      <c r="CS1" s="496" t="s">
        <v>1912</v>
      </c>
      <c r="CT1" s="496" t="s">
        <v>1913</v>
      </c>
      <c r="CU1" s="496" t="s">
        <v>1914</v>
      </c>
      <c r="CV1" s="496" t="s">
        <v>1915</v>
      </c>
      <c r="CW1" s="496" t="s">
        <v>1916</v>
      </c>
      <c r="CX1" s="496" t="s">
        <v>1917</v>
      </c>
      <c r="CY1" s="496" t="s">
        <v>1918</v>
      </c>
      <c r="CZ1" s="496" t="s">
        <v>1919</v>
      </c>
      <c r="DA1" s="496" t="s">
        <v>1920</v>
      </c>
      <c r="DB1" s="496" t="s">
        <v>1921</v>
      </c>
      <c r="DC1" s="496" t="s">
        <v>1922</v>
      </c>
      <c r="DD1" s="496" t="s">
        <v>1923</v>
      </c>
      <c r="DE1" s="496" t="s">
        <v>1924</v>
      </c>
      <c r="DF1" s="496" t="s">
        <v>1925</v>
      </c>
    </row>
    <row r="2" customFormat="false" ht="15" hidden="false" customHeight="false" outlineLevel="0" collapsed="false">
      <c r="G2" s="496" t="s">
        <v>1926</v>
      </c>
      <c r="H2" s="496" t="s">
        <v>1927</v>
      </c>
      <c r="I2" s="496" t="s">
        <v>1928</v>
      </c>
      <c r="J2" s="496" t="s">
        <v>1929</v>
      </c>
      <c r="L2" s="496" t="s">
        <v>1930</v>
      </c>
      <c r="M2" s="496" t="s">
        <v>1931</v>
      </c>
      <c r="O2" s="496" t="s">
        <v>1932</v>
      </c>
      <c r="P2" s="496" t="s">
        <v>1928</v>
      </c>
      <c r="Q2" s="496" t="s">
        <v>1933</v>
      </c>
      <c r="R2" s="496" t="s">
        <v>1934</v>
      </c>
      <c r="S2" s="496" t="s">
        <v>1935</v>
      </c>
      <c r="U2" s="496" t="s">
        <v>1936</v>
      </c>
      <c r="V2" s="496" t="s">
        <v>1937</v>
      </c>
      <c r="W2" s="496" t="s">
        <v>1927</v>
      </c>
      <c r="X2" s="496" t="s">
        <v>1938</v>
      </c>
      <c r="Y2" s="496" t="s">
        <v>1939</v>
      </c>
      <c r="AA2" s="496" t="s">
        <v>1936</v>
      </c>
      <c r="AB2" s="496" t="s">
        <v>1940</v>
      </c>
      <c r="AC2" s="496" t="s">
        <v>1941</v>
      </c>
      <c r="AD2" s="496" t="s">
        <v>1942</v>
      </c>
      <c r="AF2" s="496" t="s">
        <v>1943</v>
      </c>
      <c r="AH2" s="496" t="s">
        <v>1944</v>
      </c>
      <c r="AJ2" s="496" t="s">
        <v>1945</v>
      </c>
      <c r="AL2" s="496" t="s">
        <v>1946</v>
      </c>
      <c r="AN2" s="496" t="s">
        <v>1947</v>
      </c>
      <c r="AP2" s="496" t="s">
        <v>1948</v>
      </c>
      <c r="AR2" s="496" t="s">
        <v>1949</v>
      </c>
      <c r="AT2" s="496" t="s">
        <v>1950</v>
      </c>
      <c r="AV2" s="496" t="s">
        <v>1951</v>
      </c>
      <c r="AX2" s="496" t="s">
        <v>1952</v>
      </c>
      <c r="AY2" s="496" t="s">
        <v>1953</v>
      </c>
      <c r="AZ2" s="496" t="s">
        <v>1937</v>
      </c>
      <c r="BA2" s="496" t="s">
        <v>1954</v>
      </c>
      <c r="BB2" s="496" t="s">
        <v>1931</v>
      </c>
      <c r="BC2" s="496" t="s">
        <v>1955</v>
      </c>
      <c r="BD2" s="496" t="s">
        <v>1955</v>
      </c>
      <c r="BH2" s="496" t="s">
        <v>1956</v>
      </c>
      <c r="BI2" s="496" t="s">
        <v>1957</v>
      </c>
      <c r="BL2" s="496" t="s">
        <v>1934</v>
      </c>
      <c r="BM2" s="496" t="s">
        <v>1958</v>
      </c>
      <c r="BN2" s="496" t="s">
        <v>1926</v>
      </c>
      <c r="BO2" s="496" t="s">
        <v>1959</v>
      </c>
      <c r="BS2" s="496" t="s">
        <v>1960</v>
      </c>
      <c r="BV2" s="496" t="s">
        <v>1961</v>
      </c>
      <c r="BX2" s="496" t="s">
        <v>1962</v>
      </c>
      <c r="BZ2" s="496" t="s">
        <v>1963</v>
      </c>
      <c r="CB2" s="496" t="s">
        <v>1964</v>
      </c>
      <c r="CC2" s="496" t="s">
        <v>1965</v>
      </c>
      <c r="CD2" s="496" t="s">
        <v>1966</v>
      </c>
      <c r="CE2" s="496" t="s">
        <v>1967</v>
      </c>
      <c r="CG2" s="496" t="s">
        <v>1968</v>
      </c>
      <c r="CI2" s="496" t="s">
        <v>1969</v>
      </c>
      <c r="CK2" s="496" t="s">
        <v>1970</v>
      </c>
      <c r="CM2" s="496" t="s">
        <v>1971</v>
      </c>
      <c r="CO2" s="496" t="s">
        <v>1972</v>
      </c>
      <c r="CQ2" s="496" t="s">
        <v>1973</v>
      </c>
      <c r="CS2" s="496" t="s">
        <v>1974</v>
      </c>
      <c r="CU2" s="496" t="s">
        <v>1975</v>
      </c>
      <c r="CW2" s="496" t="s">
        <v>1976</v>
      </c>
      <c r="CY2" s="496" t="s">
        <v>1977</v>
      </c>
      <c r="DA2" s="496" t="s">
        <v>1978</v>
      </c>
      <c r="DC2" s="496" t="s">
        <v>1979</v>
      </c>
      <c r="DE2" s="496" t="s">
        <v>1980</v>
      </c>
    </row>
    <row r="3" customFormat="false" ht="15" hidden="false" customHeight="false" outlineLevel="0" collapsed="false">
      <c r="B3" s="496" t="s">
        <v>1966</v>
      </c>
      <c r="C3" s="496" t="s">
        <v>1965</v>
      </c>
      <c r="D3" s="496" t="s">
        <v>1957</v>
      </c>
      <c r="E3" s="496" t="s">
        <v>1963</v>
      </c>
      <c r="F3" s="496" t="s">
        <v>1959</v>
      </c>
      <c r="H3" s="496" t="s">
        <v>1936</v>
      </c>
      <c r="I3" s="496" t="s">
        <v>1941</v>
      </c>
      <c r="J3" s="496" t="s">
        <v>1960</v>
      </c>
      <c r="K3" s="496" t="s">
        <v>1929</v>
      </c>
      <c r="L3" s="496" t="s">
        <v>1952</v>
      </c>
      <c r="N3" s="496" t="s">
        <v>1958</v>
      </c>
      <c r="Q3" s="496" t="s">
        <v>1926</v>
      </c>
      <c r="R3" s="496" t="s">
        <v>1933</v>
      </c>
      <c r="S3" s="496" t="s">
        <v>1934</v>
      </c>
      <c r="T3" s="496" t="s">
        <v>1935</v>
      </c>
      <c r="U3" s="496" t="s">
        <v>1940</v>
      </c>
      <c r="V3" s="496" t="s">
        <v>1955</v>
      </c>
      <c r="W3" s="496" t="s">
        <v>1937</v>
      </c>
      <c r="X3" s="496" t="s">
        <v>1927</v>
      </c>
      <c r="Y3" s="496" t="s">
        <v>1938</v>
      </c>
      <c r="Z3" s="496" t="s">
        <v>1939</v>
      </c>
      <c r="AA3" s="496" t="s">
        <v>1961</v>
      </c>
      <c r="AB3" s="496" t="s">
        <v>1962</v>
      </c>
      <c r="AC3" s="496" t="s">
        <v>1956</v>
      </c>
      <c r="AE3" s="496" t="s">
        <v>1942</v>
      </c>
      <c r="AG3" s="496" t="s">
        <v>1943</v>
      </c>
      <c r="AI3" s="496" t="s">
        <v>1944</v>
      </c>
      <c r="AK3" s="496" t="s">
        <v>1945</v>
      </c>
      <c r="AM3" s="496" t="s">
        <v>1946</v>
      </c>
      <c r="AO3" s="496" t="s">
        <v>1947</v>
      </c>
      <c r="AQ3" s="496" t="s">
        <v>1948</v>
      </c>
      <c r="AS3" s="496" t="s">
        <v>1949</v>
      </c>
      <c r="AU3" s="496" t="s">
        <v>1950</v>
      </c>
      <c r="AW3" s="496" t="s">
        <v>1951</v>
      </c>
      <c r="AX3" s="496" t="s">
        <v>1954</v>
      </c>
      <c r="AY3" s="496" t="s">
        <v>1964</v>
      </c>
      <c r="AZ3" s="496" t="s">
        <v>1953</v>
      </c>
      <c r="BA3" s="496" t="s">
        <v>1927</v>
      </c>
      <c r="BC3" s="496" t="s">
        <v>1937</v>
      </c>
      <c r="BD3" s="496" t="s">
        <v>1940</v>
      </c>
      <c r="BE3" s="496" t="s">
        <v>1955</v>
      </c>
      <c r="BF3" s="496" t="s">
        <v>1955</v>
      </c>
      <c r="BG3" s="496" t="s">
        <v>1955</v>
      </c>
      <c r="BH3" s="496" t="s">
        <v>1955</v>
      </c>
      <c r="BI3" s="496" t="s">
        <v>1955</v>
      </c>
      <c r="BJ3" s="496" t="s">
        <v>1955</v>
      </c>
      <c r="BK3" s="496" t="s">
        <v>1955</v>
      </c>
      <c r="BL3" s="496" t="s">
        <v>1928</v>
      </c>
      <c r="BM3" s="496" t="s">
        <v>1928</v>
      </c>
      <c r="BN3" s="496" t="s">
        <v>1959</v>
      </c>
      <c r="BO3" s="496" t="s">
        <v>1934</v>
      </c>
      <c r="BP3" s="496" t="s">
        <v>1959</v>
      </c>
      <c r="BQ3" s="496" t="s">
        <v>1959</v>
      </c>
      <c r="BR3" s="496" t="s">
        <v>1959</v>
      </c>
      <c r="BS3" s="496" t="s">
        <v>1959</v>
      </c>
      <c r="BT3" s="496" t="s">
        <v>1959</v>
      </c>
      <c r="BU3" s="496" t="s">
        <v>1932</v>
      </c>
      <c r="BV3" s="496" t="s">
        <v>1932</v>
      </c>
      <c r="BW3" s="496" t="s">
        <v>1931</v>
      </c>
      <c r="BX3" s="496" t="s">
        <v>1931</v>
      </c>
      <c r="BY3" s="496" t="s">
        <v>1958</v>
      </c>
      <c r="BZ3" s="496" t="s">
        <v>1958</v>
      </c>
      <c r="CA3" s="496" t="s">
        <v>1930</v>
      </c>
      <c r="CB3" s="496" t="s">
        <v>1930</v>
      </c>
      <c r="CF3" s="496" t="s">
        <v>1967</v>
      </c>
      <c r="CH3" s="496" t="s">
        <v>1968</v>
      </c>
      <c r="CJ3" s="496" t="s">
        <v>1969</v>
      </c>
      <c r="CL3" s="496" t="s">
        <v>1970</v>
      </c>
      <c r="CN3" s="496" t="s">
        <v>1971</v>
      </c>
      <c r="CP3" s="496" t="s">
        <v>1972</v>
      </c>
      <c r="CR3" s="496" t="s">
        <v>1973</v>
      </c>
      <c r="CT3" s="496" t="s">
        <v>1974</v>
      </c>
      <c r="CV3" s="496" t="s">
        <v>1975</v>
      </c>
      <c r="CX3" s="496" t="s">
        <v>1976</v>
      </c>
      <c r="CZ3" s="496" t="s">
        <v>1977</v>
      </c>
      <c r="DB3" s="496" t="s">
        <v>1978</v>
      </c>
      <c r="DD3" s="496" t="s">
        <v>1979</v>
      </c>
      <c r="DF3" s="496" t="s">
        <v>1980</v>
      </c>
    </row>
    <row r="4" customFormat="false" ht="15" hidden="false" customHeight="false" outlineLevel="0" collapsed="false">
      <c r="B4" s="496" t="s">
        <v>345</v>
      </c>
      <c r="C4" s="496" t="s">
        <v>343</v>
      </c>
      <c r="D4" s="496" t="s">
        <v>343</v>
      </c>
      <c r="E4" s="496" t="s">
        <v>343</v>
      </c>
      <c r="F4" s="496" t="s">
        <v>343</v>
      </c>
      <c r="G4" s="496" t="s">
        <v>343</v>
      </c>
      <c r="H4" s="496" t="s">
        <v>343</v>
      </c>
      <c r="I4" s="496" t="s">
        <v>343</v>
      </c>
      <c r="J4" s="496" t="s">
        <v>345</v>
      </c>
      <c r="K4" s="496" t="s">
        <v>343</v>
      </c>
      <c r="L4" s="496" t="s">
        <v>343</v>
      </c>
      <c r="M4" s="496" t="s">
        <v>343</v>
      </c>
      <c r="N4" s="496" t="s">
        <v>1981</v>
      </c>
      <c r="O4" s="496" t="s">
        <v>343</v>
      </c>
      <c r="P4" s="496" t="s">
        <v>343</v>
      </c>
      <c r="Q4" s="496" t="s">
        <v>343</v>
      </c>
      <c r="R4" s="496" t="s">
        <v>343</v>
      </c>
      <c r="S4" s="496" t="s">
        <v>343</v>
      </c>
      <c r="T4" s="496" t="s">
        <v>343</v>
      </c>
      <c r="U4" s="496" t="s">
        <v>343</v>
      </c>
      <c r="V4" s="496" t="s">
        <v>343</v>
      </c>
      <c r="W4" s="496" t="s">
        <v>343</v>
      </c>
      <c r="X4" s="496" t="s">
        <v>343</v>
      </c>
      <c r="Y4" s="496" t="s">
        <v>343</v>
      </c>
      <c r="Z4" s="496" t="s">
        <v>343</v>
      </c>
      <c r="AA4" s="496" t="s">
        <v>343</v>
      </c>
      <c r="AB4" s="496" t="s">
        <v>343</v>
      </c>
      <c r="AC4" s="496" t="s">
        <v>343</v>
      </c>
      <c r="AD4" s="496" t="s">
        <v>343</v>
      </c>
      <c r="AE4" s="496" t="s">
        <v>344</v>
      </c>
      <c r="AF4" s="496" t="s">
        <v>343</v>
      </c>
      <c r="AG4" s="496" t="s">
        <v>344</v>
      </c>
      <c r="AH4" s="496" t="s">
        <v>345</v>
      </c>
      <c r="AI4" s="496" t="s">
        <v>344</v>
      </c>
      <c r="AJ4" s="496" t="s">
        <v>343</v>
      </c>
      <c r="AK4" s="496" t="s">
        <v>344</v>
      </c>
      <c r="AL4" s="496" t="s">
        <v>343</v>
      </c>
      <c r="AM4" s="496" t="s">
        <v>344</v>
      </c>
      <c r="AN4" s="496" t="s">
        <v>344</v>
      </c>
      <c r="AO4" s="496" t="s">
        <v>345</v>
      </c>
      <c r="AP4" s="496" t="s">
        <v>343</v>
      </c>
      <c r="AQ4" s="496" t="s">
        <v>344</v>
      </c>
      <c r="AR4" s="496" t="s">
        <v>343</v>
      </c>
      <c r="AS4" s="496" t="s">
        <v>344</v>
      </c>
      <c r="AT4" s="496" t="s">
        <v>343</v>
      </c>
      <c r="AU4" s="496" t="s">
        <v>344</v>
      </c>
      <c r="AV4" s="496" t="s">
        <v>344</v>
      </c>
      <c r="AW4" s="496" t="s">
        <v>344</v>
      </c>
      <c r="AX4" s="496" t="s">
        <v>345</v>
      </c>
      <c r="AY4" s="496" t="s">
        <v>343</v>
      </c>
      <c r="AZ4" s="496" t="s">
        <v>343</v>
      </c>
      <c r="BA4" s="496" t="s">
        <v>343</v>
      </c>
      <c r="BB4" s="496" t="s">
        <v>343</v>
      </c>
      <c r="BC4" s="496" t="s">
        <v>343</v>
      </c>
      <c r="BD4" s="496" t="s">
        <v>343</v>
      </c>
      <c r="BE4" s="496" t="s">
        <v>343</v>
      </c>
      <c r="BF4" s="496" t="s">
        <v>343</v>
      </c>
      <c r="BG4" s="496" t="s">
        <v>345</v>
      </c>
      <c r="BH4" s="496" t="s">
        <v>343</v>
      </c>
      <c r="BI4" s="496" t="s">
        <v>344</v>
      </c>
      <c r="BJ4" s="496" t="s">
        <v>344</v>
      </c>
      <c r="BK4" s="496" t="s">
        <v>344</v>
      </c>
      <c r="BL4" s="496" t="s">
        <v>343</v>
      </c>
      <c r="BM4" s="496" t="s">
        <v>343</v>
      </c>
      <c r="BN4" s="496" t="s">
        <v>343</v>
      </c>
      <c r="BO4" s="496" t="s">
        <v>343</v>
      </c>
      <c r="BP4" s="496" t="s">
        <v>344</v>
      </c>
      <c r="BQ4" s="496" t="s">
        <v>343</v>
      </c>
      <c r="BR4" s="496" t="s">
        <v>345</v>
      </c>
      <c r="BS4" s="496" t="s">
        <v>344</v>
      </c>
      <c r="BT4" s="496" t="s">
        <v>344</v>
      </c>
      <c r="BU4" s="496" t="s">
        <v>1981</v>
      </c>
      <c r="BV4" s="496" t="s">
        <v>343</v>
      </c>
      <c r="BW4" s="496" t="s">
        <v>1981</v>
      </c>
      <c r="BX4" s="496" t="s">
        <v>343</v>
      </c>
      <c r="BY4" s="496" t="s">
        <v>1981</v>
      </c>
      <c r="BZ4" s="496" t="s">
        <v>343</v>
      </c>
      <c r="CA4" s="496" t="s">
        <v>1981</v>
      </c>
      <c r="CB4" s="496" t="s">
        <v>343</v>
      </c>
      <c r="CC4" s="496" t="s">
        <v>343</v>
      </c>
      <c r="CD4" s="496" t="s">
        <v>343</v>
      </c>
      <c r="CE4" s="496" t="s">
        <v>343</v>
      </c>
      <c r="CF4" s="496" t="s">
        <v>345</v>
      </c>
      <c r="CG4" s="496" t="s">
        <v>343</v>
      </c>
      <c r="CH4" s="496" t="s">
        <v>343</v>
      </c>
      <c r="CI4" s="496" t="s">
        <v>345</v>
      </c>
      <c r="CJ4" s="496" t="s">
        <v>345</v>
      </c>
      <c r="CK4" s="496" t="s">
        <v>343</v>
      </c>
      <c r="CL4" s="496" t="s">
        <v>345</v>
      </c>
      <c r="CM4" s="496" t="s">
        <v>343</v>
      </c>
      <c r="CN4" s="496" t="s">
        <v>345</v>
      </c>
      <c r="CO4" s="496" t="s">
        <v>344</v>
      </c>
      <c r="CP4" s="496" t="s">
        <v>344</v>
      </c>
      <c r="CQ4" s="496" t="s">
        <v>343</v>
      </c>
      <c r="CR4" s="496" t="s">
        <v>345</v>
      </c>
      <c r="CS4" s="496" t="s">
        <v>343</v>
      </c>
      <c r="CT4" s="496" t="s">
        <v>345</v>
      </c>
      <c r="CU4" s="496" t="s">
        <v>343</v>
      </c>
      <c r="CV4" s="496" t="s">
        <v>345</v>
      </c>
      <c r="CW4" s="496" t="s">
        <v>343</v>
      </c>
      <c r="CX4" s="496" t="s">
        <v>345</v>
      </c>
      <c r="CY4" s="496" t="s">
        <v>344</v>
      </c>
      <c r="CZ4" s="496" t="s">
        <v>344</v>
      </c>
      <c r="DA4" s="496" t="s">
        <v>343</v>
      </c>
      <c r="DB4" s="496" t="s">
        <v>345</v>
      </c>
      <c r="DC4" s="496" t="s">
        <v>343</v>
      </c>
      <c r="DD4" s="496" t="s">
        <v>344</v>
      </c>
      <c r="DE4" s="496" t="s">
        <v>343</v>
      </c>
      <c r="DF4" s="496" t="s">
        <v>344</v>
      </c>
    </row>
    <row r="5" customFormat="false" ht="15" hidden="false" customHeight="false" outlineLevel="0" collapsed="false"/>
    <row r="6" customFormat="false" ht="15" hidden="false" customHeight="false" outlineLevel="0" collapsed="false">
      <c r="A6" s="496" t="s">
        <v>1982</v>
      </c>
      <c r="B6" s="496" t="s">
        <v>469</v>
      </c>
      <c r="C6" s="496" t="s">
        <v>469</v>
      </c>
      <c r="D6" s="496" t="s">
        <v>469</v>
      </c>
      <c r="E6" s="496" t="s">
        <v>469</v>
      </c>
      <c r="F6" s="496" t="s">
        <v>469</v>
      </c>
      <c r="G6" s="496" t="s">
        <v>469</v>
      </c>
      <c r="H6" s="496" t="s">
        <v>469</v>
      </c>
      <c r="I6" s="496" t="s">
        <v>469</v>
      </c>
      <c r="J6" s="496" t="s">
        <v>469</v>
      </c>
      <c r="K6" s="496" t="s">
        <v>469</v>
      </c>
      <c r="L6" s="496" t="s">
        <v>469</v>
      </c>
      <c r="M6" s="496" t="s">
        <v>469</v>
      </c>
      <c r="N6" s="496" t="s">
        <v>469</v>
      </c>
      <c r="O6" s="496" t="s">
        <v>469</v>
      </c>
      <c r="P6" s="496" t="s">
        <v>469</v>
      </c>
      <c r="Q6" s="496" t="s">
        <v>469</v>
      </c>
      <c r="R6" s="496" t="s">
        <v>469</v>
      </c>
      <c r="S6" s="496" t="s">
        <v>469</v>
      </c>
      <c r="T6" s="496" t="s">
        <v>469</v>
      </c>
      <c r="U6" s="496" t="s">
        <v>469</v>
      </c>
      <c r="V6" s="496" t="s">
        <v>469</v>
      </c>
      <c r="W6" s="496" t="s">
        <v>469</v>
      </c>
      <c r="X6" s="496" t="s">
        <v>469</v>
      </c>
      <c r="Y6" s="496" t="s">
        <v>469</v>
      </c>
      <c r="Z6" s="496" t="s">
        <v>469</v>
      </c>
      <c r="AA6" s="496" t="s">
        <v>469</v>
      </c>
      <c r="AB6" s="496" t="s">
        <v>469</v>
      </c>
      <c r="AC6" s="496" t="s">
        <v>469</v>
      </c>
      <c r="AD6" s="496" t="s">
        <v>469</v>
      </c>
      <c r="AE6" s="496" t="s">
        <v>469</v>
      </c>
      <c r="AF6" s="496" t="s">
        <v>469</v>
      </c>
      <c r="AG6" s="496" t="s">
        <v>469</v>
      </c>
      <c r="AH6" s="496" t="s">
        <v>469</v>
      </c>
      <c r="AI6" s="496" t="s">
        <v>469</v>
      </c>
      <c r="AJ6" s="496" t="s">
        <v>469</v>
      </c>
      <c r="AK6" s="496" t="s">
        <v>469</v>
      </c>
      <c r="AL6" s="496" t="s">
        <v>469</v>
      </c>
      <c r="AM6" s="496" t="s">
        <v>469</v>
      </c>
      <c r="AN6" s="496" t="s">
        <v>469</v>
      </c>
      <c r="AO6" s="496" t="s">
        <v>469</v>
      </c>
      <c r="AP6" s="496" t="s">
        <v>469</v>
      </c>
      <c r="AQ6" s="496" t="s">
        <v>469</v>
      </c>
      <c r="AR6" s="496" t="s">
        <v>469</v>
      </c>
      <c r="AS6" s="496" t="s">
        <v>469</v>
      </c>
      <c r="AT6" s="496" t="s">
        <v>469</v>
      </c>
      <c r="AU6" s="496" t="s">
        <v>469</v>
      </c>
      <c r="AV6" s="496" t="s">
        <v>469</v>
      </c>
      <c r="AW6" s="496" t="s">
        <v>469</v>
      </c>
      <c r="AX6" s="496" t="s">
        <v>469</v>
      </c>
      <c r="AY6" s="496" t="s">
        <v>469</v>
      </c>
      <c r="AZ6" s="496" t="s">
        <v>469</v>
      </c>
      <c r="BA6" s="496" t="s">
        <v>469</v>
      </c>
      <c r="BB6" s="496" t="s">
        <v>469</v>
      </c>
      <c r="BC6" s="496" t="s">
        <v>469</v>
      </c>
      <c r="BD6" s="496" t="s">
        <v>469</v>
      </c>
      <c r="BE6" s="496" t="s">
        <v>469</v>
      </c>
      <c r="BF6" s="496" t="s">
        <v>469</v>
      </c>
      <c r="BG6" s="496" t="s">
        <v>469</v>
      </c>
      <c r="BH6" s="496" t="s">
        <v>469</v>
      </c>
      <c r="BI6" s="496" t="s">
        <v>469</v>
      </c>
      <c r="BJ6" s="496" t="s">
        <v>469</v>
      </c>
      <c r="BK6" s="496" t="s">
        <v>469</v>
      </c>
      <c r="BL6" s="496" t="s">
        <v>469</v>
      </c>
      <c r="BM6" s="496" t="s">
        <v>469</v>
      </c>
      <c r="BN6" s="496" t="s">
        <v>469</v>
      </c>
      <c r="BO6" s="496" t="s">
        <v>469</v>
      </c>
      <c r="BP6" s="496" t="s">
        <v>469</v>
      </c>
      <c r="BQ6" s="496" t="s">
        <v>469</v>
      </c>
      <c r="BR6" s="496" t="s">
        <v>469</v>
      </c>
      <c r="BS6" s="496" t="s">
        <v>469</v>
      </c>
      <c r="BT6" s="496" t="s">
        <v>469</v>
      </c>
      <c r="BU6" s="496" t="s">
        <v>469</v>
      </c>
      <c r="BV6" s="496" t="s">
        <v>469</v>
      </c>
      <c r="BW6" s="496" t="s">
        <v>469</v>
      </c>
      <c r="BX6" s="496" t="s">
        <v>469</v>
      </c>
      <c r="BY6" s="496" t="s">
        <v>469</v>
      </c>
      <c r="BZ6" s="496" t="s">
        <v>469</v>
      </c>
      <c r="CA6" s="496" t="s">
        <v>469</v>
      </c>
      <c r="CB6" s="496" t="s">
        <v>469</v>
      </c>
      <c r="CC6" s="496" t="s">
        <v>469</v>
      </c>
      <c r="CD6" s="496" t="s">
        <v>469</v>
      </c>
      <c r="CE6" s="496" t="s">
        <v>469</v>
      </c>
      <c r="CF6" s="496" t="s">
        <v>469</v>
      </c>
      <c r="CG6" s="496" t="s">
        <v>469</v>
      </c>
      <c r="CH6" s="496" t="s">
        <v>469</v>
      </c>
      <c r="CI6" s="496" t="s">
        <v>469</v>
      </c>
      <c r="CJ6" s="496" t="s">
        <v>469</v>
      </c>
      <c r="CK6" s="496" t="s">
        <v>469</v>
      </c>
      <c r="CL6" s="496" t="s">
        <v>469</v>
      </c>
      <c r="CM6" s="496" t="s">
        <v>469</v>
      </c>
      <c r="CN6" s="496" t="s">
        <v>469</v>
      </c>
      <c r="CO6" s="496" t="s">
        <v>469</v>
      </c>
      <c r="CP6" s="496" t="s">
        <v>469</v>
      </c>
      <c r="CQ6" s="496" t="s">
        <v>469</v>
      </c>
      <c r="CR6" s="496" t="s">
        <v>469</v>
      </c>
      <c r="CS6" s="496" t="s">
        <v>469</v>
      </c>
      <c r="CT6" s="496" t="s">
        <v>469</v>
      </c>
      <c r="CU6" s="496" t="s">
        <v>469</v>
      </c>
      <c r="CV6" s="496" t="s">
        <v>469</v>
      </c>
      <c r="CW6" s="496" t="s">
        <v>469</v>
      </c>
      <c r="CX6" s="496" t="s">
        <v>469</v>
      </c>
      <c r="CY6" s="496" t="s">
        <v>469</v>
      </c>
      <c r="CZ6" s="496" t="s">
        <v>469</v>
      </c>
      <c r="DA6" s="496" t="s">
        <v>469</v>
      </c>
      <c r="DB6" s="496" t="s">
        <v>469</v>
      </c>
      <c r="DC6" s="496" t="s">
        <v>469</v>
      </c>
      <c r="DD6" s="496" t="s">
        <v>469</v>
      </c>
      <c r="DE6" s="496" t="s">
        <v>469</v>
      </c>
      <c r="DF6" s="496" t="s">
        <v>469</v>
      </c>
    </row>
    <row r="7" customFormat="false" ht="15" hidden="false" customHeight="false" outlineLevel="0" collapsed="false">
      <c r="A7" s="496" t="s">
        <v>1983</v>
      </c>
      <c r="B7" s="496" t="s">
        <v>469</v>
      </c>
      <c r="C7" s="496" t="s">
        <v>469</v>
      </c>
      <c r="D7" s="496" t="s">
        <v>469</v>
      </c>
      <c r="E7" s="496" t="s">
        <v>469</v>
      </c>
      <c r="F7" s="496" t="s">
        <v>469</v>
      </c>
      <c r="G7" s="496" t="s">
        <v>469</v>
      </c>
      <c r="H7" s="496" t="s">
        <v>469</v>
      </c>
      <c r="I7" s="496" t="s">
        <v>469</v>
      </c>
      <c r="J7" s="496" t="s">
        <v>469</v>
      </c>
      <c r="K7" s="496" t="s">
        <v>469</v>
      </c>
      <c r="L7" s="496" t="s">
        <v>469</v>
      </c>
      <c r="M7" s="496" t="s">
        <v>469</v>
      </c>
      <c r="N7" s="496" t="s">
        <v>469</v>
      </c>
      <c r="O7" s="496" t="s">
        <v>469</v>
      </c>
      <c r="P7" s="496" t="s">
        <v>469</v>
      </c>
      <c r="Q7" s="496" t="s">
        <v>469</v>
      </c>
      <c r="R7" s="496" t="s">
        <v>469</v>
      </c>
      <c r="S7" s="496" t="s">
        <v>469</v>
      </c>
      <c r="T7" s="496" t="s">
        <v>469</v>
      </c>
      <c r="U7" s="496" t="s">
        <v>469</v>
      </c>
      <c r="V7" s="496" t="s">
        <v>469</v>
      </c>
      <c r="W7" s="496" t="s">
        <v>469</v>
      </c>
      <c r="X7" s="496" t="s">
        <v>469</v>
      </c>
      <c r="Y7" s="496" t="s">
        <v>469</v>
      </c>
      <c r="Z7" s="496" t="s">
        <v>469</v>
      </c>
      <c r="AA7" s="496" t="s">
        <v>469</v>
      </c>
      <c r="AB7" s="496" t="s">
        <v>469</v>
      </c>
      <c r="AC7" s="496" t="s">
        <v>469</v>
      </c>
      <c r="AD7" s="496" t="s">
        <v>469</v>
      </c>
      <c r="AE7" s="496" t="s">
        <v>469</v>
      </c>
      <c r="AF7" s="496" t="s">
        <v>469</v>
      </c>
      <c r="AG7" s="496" t="s">
        <v>469</v>
      </c>
      <c r="AH7" s="496" t="s">
        <v>469</v>
      </c>
      <c r="AI7" s="496" t="s">
        <v>469</v>
      </c>
      <c r="AJ7" s="496" t="s">
        <v>469</v>
      </c>
      <c r="AK7" s="496" t="s">
        <v>469</v>
      </c>
      <c r="AL7" s="496" t="s">
        <v>469</v>
      </c>
      <c r="AM7" s="496" t="s">
        <v>469</v>
      </c>
      <c r="AN7" s="496" t="s">
        <v>469</v>
      </c>
      <c r="AO7" s="496" t="s">
        <v>469</v>
      </c>
      <c r="AP7" s="496" t="s">
        <v>469</v>
      </c>
      <c r="AQ7" s="496" t="s">
        <v>469</v>
      </c>
      <c r="AR7" s="496" t="s">
        <v>469</v>
      </c>
      <c r="AS7" s="496" t="s">
        <v>469</v>
      </c>
      <c r="AT7" s="496" t="s">
        <v>469</v>
      </c>
      <c r="AU7" s="496" t="s">
        <v>469</v>
      </c>
      <c r="AV7" s="496" t="s">
        <v>469</v>
      </c>
      <c r="AW7" s="496" t="s">
        <v>469</v>
      </c>
      <c r="AX7" s="496" t="s">
        <v>469</v>
      </c>
      <c r="AY7" s="496" t="s">
        <v>469</v>
      </c>
      <c r="AZ7" s="496" t="s">
        <v>469</v>
      </c>
      <c r="BA7" s="496" t="s">
        <v>469</v>
      </c>
      <c r="BB7" s="496" t="s">
        <v>469</v>
      </c>
      <c r="BC7" s="496" t="s">
        <v>469</v>
      </c>
      <c r="BD7" s="496" t="s">
        <v>469</v>
      </c>
      <c r="BE7" s="496" t="s">
        <v>469</v>
      </c>
      <c r="BF7" s="496" t="s">
        <v>469</v>
      </c>
      <c r="BG7" s="496" t="s">
        <v>469</v>
      </c>
      <c r="BH7" s="496" t="s">
        <v>469</v>
      </c>
      <c r="BI7" s="496" t="s">
        <v>469</v>
      </c>
      <c r="BJ7" s="496" t="s">
        <v>469</v>
      </c>
      <c r="BK7" s="496" t="s">
        <v>469</v>
      </c>
      <c r="BL7" s="496" t="s">
        <v>469</v>
      </c>
      <c r="BM7" s="496" t="s">
        <v>469</v>
      </c>
      <c r="BN7" s="496" t="s">
        <v>469</v>
      </c>
      <c r="BO7" s="496" t="s">
        <v>469</v>
      </c>
      <c r="BP7" s="496" t="s">
        <v>469</v>
      </c>
      <c r="BQ7" s="496" t="s">
        <v>469</v>
      </c>
      <c r="BR7" s="496" t="s">
        <v>469</v>
      </c>
      <c r="BS7" s="496" t="s">
        <v>469</v>
      </c>
      <c r="BT7" s="496" t="s">
        <v>469</v>
      </c>
      <c r="BU7" s="496" t="s">
        <v>469</v>
      </c>
      <c r="BV7" s="496" t="s">
        <v>469</v>
      </c>
      <c r="BW7" s="496" t="s">
        <v>469</v>
      </c>
      <c r="BX7" s="496" t="s">
        <v>469</v>
      </c>
      <c r="BY7" s="496" t="s">
        <v>469</v>
      </c>
      <c r="BZ7" s="496" t="s">
        <v>469</v>
      </c>
      <c r="CA7" s="496" t="s">
        <v>469</v>
      </c>
      <c r="CB7" s="496" t="s">
        <v>469</v>
      </c>
      <c r="CC7" s="496" t="s">
        <v>469</v>
      </c>
      <c r="CD7" s="496" t="s">
        <v>469</v>
      </c>
      <c r="CE7" s="496" t="s">
        <v>469</v>
      </c>
      <c r="CF7" s="496" t="s">
        <v>469</v>
      </c>
      <c r="CG7" s="496" t="s">
        <v>469</v>
      </c>
      <c r="CH7" s="496" t="s">
        <v>469</v>
      </c>
      <c r="CI7" s="496" t="s">
        <v>469</v>
      </c>
      <c r="CJ7" s="496" t="s">
        <v>469</v>
      </c>
      <c r="CK7" s="496" t="s">
        <v>469</v>
      </c>
      <c r="CL7" s="496" t="s">
        <v>469</v>
      </c>
      <c r="CM7" s="496" t="s">
        <v>469</v>
      </c>
      <c r="CN7" s="496" t="s">
        <v>469</v>
      </c>
      <c r="CO7" s="496" t="s">
        <v>469</v>
      </c>
      <c r="CP7" s="496" t="s">
        <v>469</v>
      </c>
      <c r="CQ7" s="496" t="s">
        <v>469</v>
      </c>
      <c r="CR7" s="496" t="s">
        <v>469</v>
      </c>
      <c r="CS7" s="496" t="s">
        <v>469</v>
      </c>
      <c r="CT7" s="496" t="s">
        <v>469</v>
      </c>
      <c r="CU7" s="496" t="s">
        <v>469</v>
      </c>
      <c r="CV7" s="496" t="s">
        <v>469</v>
      </c>
      <c r="CW7" s="496" t="s">
        <v>469</v>
      </c>
      <c r="CX7" s="496" t="s">
        <v>469</v>
      </c>
      <c r="CY7" s="496" t="s">
        <v>469</v>
      </c>
      <c r="CZ7" s="496" t="s">
        <v>469</v>
      </c>
      <c r="DA7" s="496" t="s">
        <v>469</v>
      </c>
      <c r="DB7" s="496" t="s">
        <v>469</v>
      </c>
      <c r="DC7" s="496" t="s">
        <v>469</v>
      </c>
      <c r="DD7" s="496" t="s">
        <v>469</v>
      </c>
      <c r="DE7" s="496" t="s">
        <v>469</v>
      </c>
      <c r="DF7" s="496" t="s">
        <v>469</v>
      </c>
    </row>
    <row r="8" customFormat="false" ht="15" hidden="false" customHeight="false" outlineLevel="0" collapsed="false">
      <c r="A8" s="496" t="s">
        <v>1984</v>
      </c>
      <c r="B8" s="496" t="n">
        <v>1.480615</v>
      </c>
      <c r="C8" s="496" t="n">
        <v>1.480613</v>
      </c>
      <c r="D8" s="496" t="n">
        <v>2.961922</v>
      </c>
      <c r="E8" s="496" t="n">
        <v>1.468849</v>
      </c>
      <c r="F8" s="1099" t="n">
        <v>0.00613</v>
      </c>
      <c r="G8" s="496" t="n">
        <v>0</v>
      </c>
      <c r="H8" s="496" t="n">
        <v>1.480616</v>
      </c>
      <c r="I8" s="496" t="n">
        <v>1.480961</v>
      </c>
      <c r="J8" s="496" t="n">
        <v>0.0558726</v>
      </c>
      <c r="K8" s="496" t="n">
        <v>0.0558726</v>
      </c>
      <c r="L8" s="496" t="n">
        <v>1.480616</v>
      </c>
      <c r="M8" s="496" t="n">
        <v>0</v>
      </c>
      <c r="N8" s="496" t="n">
        <v>0</v>
      </c>
      <c r="O8" s="496" t="n">
        <v>1.474805</v>
      </c>
      <c r="P8" s="496" t="n">
        <v>0</v>
      </c>
      <c r="Q8" s="1099" t="n">
        <v>4.11E-025</v>
      </c>
      <c r="R8" s="1099" t="n">
        <v>4.11E-025</v>
      </c>
      <c r="S8" s="1099" t="n">
        <v>2.07E-025</v>
      </c>
      <c r="T8" s="1099" t="n">
        <v>2.07E-025</v>
      </c>
      <c r="U8" s="1099" t="n">
        <v>0.00581</v>
      </c>
      <c r="V8" s="1099" t="n">
        <v>9.19E-012</v>
      </c>
      <c r="W8" s="1099" t="n">
        <v>9.19E-012</v>
      </c>
      <c r="X8" s="1099" t="n">
        <v>9.19E-012</v>
      </c>
      <c r="Y8" s="1099" t="n">
        <v>9.19E-012</v>
      </c>
      <c r="Z8" s="1099" t="n">
        <v>9.19E-012</v>
      </c>
      <c r="AA8" s="496" t="n">
        <v>1.474805</v>
      </c>
      <c r="AB8" s="1099" t="n">
        <v>0.00616</v>
      </c>
      <c r="AC8" s="496" t="n">
        <v>1.480961</v>
      </c>
      <c r="AD8" s="1099" t="n">
        <v>1.92E-005</v>
      </c>
      <c r="AE8" s="1099" t="n">
        <v>1.92E-005</v>
      </c>
      <c r="AF8" s="1099" t="n">
        <v>4.12E-007</v>
      </c>
      <c r="AG8" s="1099" t="n">
        <v>4.12E-007</v>
      </c>
      <c r="AH8" s="1099" t="n">
        <v>1.63E-005</v>
      </c>
      <c r="AI8" s="1099" t="n">
        <v>1.63E-005</v>
      </c>
      <c r="AJ8" s="1099" t="n">
        <v>1.63E-005</v>
      </c>
      <c r="AK8" s="1099" t="n">
        <v>1.63E-005</v>
      </c>
      <c r="AL8" s="1099" t="n">
        <v>1.63E-005</v>
      </c>
      <c r="AM8" s="1099" t="n">
        <v>1.63E-005</v>
      </c>
      <c r="AN8" s="1099" t="n">
        <v>1.87E-005</v>
      </c>
      <c r="AO8" s="1099" t="n">
        <v>1.87E-005</v>
      </c>
      <c r="AP8" s="496" t="n">
        <v>0</v>
      </c>
      <c r="AQ8" s="496" t="n">
        <v>0</v>
      </c>
      <c r="AR8" s="1099" t="n">
        <v>2.72E-005</v>
      </c>
      <c r="AS8" s="1099" t="n">
        <v>2.72E-005</v>
      </c>
      <c r="AT8" s="1099" t="n">
        <v>2.77E-005</v>
      </c>
      <c r="AU8" s="1099" t="n">
        <v>2.77E-005</v>
      </c>
      <c r="AV8" s="1099" t="n">
        <v>9.27E-007</v>
      </c>
      <c r="AW8" s="1099" t="n">
        <v>9.27E-007</v>
      </c>
      <c r="AX8" s="496" t="n">
        <v>1.480616</v>
      </c>
      <c r="AY8" s="496" t="n">
        <v>1.480616</v>
      </c>
      <c r="AZ8" s="496" t="n">
        <v>1.480616</v>
      </c>
      <c r="BA8" s="496" t="n">
        <v>1.480616</v>
      </c>
      <c r="BB8" s="1099" t="n">
        <v>0.00616</v>
      </c>
      <c r="BC8" s="496" t="n">
        <v>1.480616</v>
      </c>
      <c r="BD8" s="1099" t="n">
        <v>0.000345</v>
      </c>
      <c r="BE8" s="496" t="n">
        <v>0.2687962</v>
      </c>
      <c r="BF8" s="1099" t="n">
        <v>1.41E-010</v>
      </c>
      <c r="BG8" s="1099" t="n">
        <v>1.41E-010</v>
      </c>
      <c r="BH8" s="496" t="n">
        <v>1.480961</v>
      </c>
      <c r="BI8" s="496" t="n">
        <v>2.961922</v>
      </c>
      <c r="BJ8" s="496" t="n">
        <v>2.063962</v>
      </c>
      <c r="BK8" s="496" t="n">
        <v>1.749412</v>
      </c>
      <c r="BL8" s="496" t="n">
        <v>0.0121119</v>
      </c>
      <c r="BM8" s="496" t="n">
        <v>1.468849</v>
      </c>
      <c r="BN8" s="1099" t="n">
        <v>4.11E-025</v>
      </c>
      <c r="BO8" s="496" t="n">
        <v>0.0121119</v>
      </c>
      <c r="BP8" s="1099" t="n">
        <v>0.00598</v>
      </c>
      <c r="BQ8" s="1099" t="n">
        <v>8.06E-025</v>
      </c>
      <c r="BR8" s="1099" t="n">
        <v>1.09E-021</v>
      </c>
      <c r="BS8" s="496" t="n">
        <v>0.0558726</v>
      </c>
      <c r="BT8" s="496" t="n">
        <v>0.0128243</v>
      </c>
      <c r="BU8" s="496" t="n">
        <v>0</v>
      </c>
      <c r="BV8" s="496" t="n">
        <v>1.474805</v>
      </c>
      <c r="BW8" s="496" t="n">
        <v>0</v>
      </c>
      <c r="BX8" s="1099" t="n">
        <v>0.00616</v>
      </c>
      <c r="BY8" s="496" t="n">
        <v>0</v>
      </c>
      <c r="BZ8" s="496" t="n">
        <v>1.468849</v>
      </c>
      <c r="CA8" s="496" t="n">
        <v>0</v>
      </c>
      <c r="CB8" s="496" t="n">
        <v>1.480616</v>
      </c>
      <c r="CC8" s="496" t="n">
        <v>1.480613</v>
      </c>
      <c r="CD8" s="496" t="n">
        <v>1.480615</v>
      </c>
      <c r="CE8" s="496" t="n">
        <v>1.474805</v>
      </c>
      <c r="CF8" s="496" t="n">
        <v>1.474805</v>
      </c>
      <c r="CG8" s="1099" t="n">
        <v>0.00616</v>
      </c>
      <c r="CH8" s="1099" t="n">
        <v>0.00616</v>
      </c>
      <c r="CI8" s="496" t="n">
        <v>1.480616</v>
      </c>
      <c r="CJ8" s="496" t="n">
        <v>1.480616</v>
      </c>
      <c r="CK8" s="496" t="n">
        <v>1.480616</v>
      </c>
      <c r="CL8" s="496" t="n">
        <v>1.480616</v>
      </c>
      <c r="CM8" s="496" t="n">
        <v>1.480616</v>
      </c>
      <c r="CN8" s="496" t="n">
        <v>1.480616</v>
      </c>
      <c r="CO8" s="496" t="n">
        <v>2.063962</v>
      </c>
      <c r="CP8" s="496" t="n">
        <v>2.063962</v>
      </c>
      <c r="CQ8" s="496" t="n">
        <v>0</v>
      </c>
      <c r="CR8" s="496" t="n">
        <v>0</v>
      </c>
      <c r="CS8" s="496" t="n">
        <v>2.961922</v>
      </c>
      <c r="CT8" s="496" t="n">
        <v>2.961922</v>
      </c>
      <c r="CU8" s="496" t="n">
        <v>1.468849</v>
      </c>
      <c r="CV8" s="496" t="n">
        <v>1.468849</v>
      </c>
      <c r="CW8" s="496" t="n">
        <v>1.468849</v>
      </c>
      <c r="CX8" s="496" t="n">
        <v>1.468849</v>
      </c>
      <c r="CY8" s="496" t="n">
        <v>0.0128243</v>
      </c>
      <c r="CZ8" s="496" t="n">
        <v>0.0128243</v>
      </c>
      <c r="DA8" s="496" t="n">
        <v>0</v>
      </c>
      <c r="DB8" s="496" t="n">
        <v>0</v>
      </c>
      <c r="DC8" s="1099" t="n">
        <v>2.77E-005</v>
      </c>
      <c r="DD8" s="1099" t="n">
        <v>2.77E-005</v>
      </c>
      <c r="DE8" s="496" t="n">
        <v>0</v>
      </c>
      <c r="DF8" s="496" t="n">
        <v>0</v>
      </c>
    </row>
    <row r="9" customFormat="false" ht="15" hidden="false" customHeight="false" outlineLevel="0" collapsed="false">
      <c r="A9" s="496" t="s">
        <v>1985</v>
      </c>
      <c r="B9" s="496" t="n">
        <v>4.033098</v>
      </c>
      <c r="C9" s="496" t="n">
        <v>4.033104</v>
      </c>
      <c r="D9" s="496" t="n">
        <v>8.067508</v>
      </c>
      <c r="E9" s="496" t="n">
        <v>4.009849</v>
      </c>
      <c r="F9" s="496" t="n">
        <v>0.0114987</v>
      </c>
      <c r="G9" s="496" t="n">
        <v>0</v>
      </c>
      <c r="H9" s="496" t="n">
        <v>4.033106</v>
      </c>
      <c r="I9" s="496" t="n">
        <v>4.033754</v>
      </c>
      <c r="J9" s="496" t="n">
        <v>0.1059603</v>
      </c>
      <c r="K9" s="496" t="n">
        <v>0.1059603</v>
      </c>
      <c r="L9" s="496" t="n">
        <v>4.033106</v>
      </c>
      <c r="M9" s="496" t="n">
        <v>0</v>
      </c>
      <c r="N9" s="496" t="n">
        <v>0</v>
      </c>
      <c r="O9" s="496" t="n">
        <v>4.022196</v>
      </c>
      <c r="P9" s="496" t="n">
        <v>0</v>
      </c>
      <c r="Q9" s="1099" t="n">
        <v>2.35E-023</v>
      </c>
      <c r="R9" s="1099" t="n">
        <v>2.35E-023</v>
      </c>
      <c r="S9" s="1099" t="n">
        <v>5.73E-024</v>
      </c>
      <c r="T9" s="1099" t="n">
        <v>5.73E-024</v>
      </c>
      <c r="U9" s="496" t="n">
        <v>0.0109106</v>
      </c>
      <c r="V9" s="1099" t="n">
        <v>6.25E-011</v>
      </c>
      <c r="W9" s="1099" t="n">
        <v>6.25E-011</v>
      </c>
      <c r="X9" s="1099" t="n">
        <v>6.25E-011</v>
      </c>
      <c r="Y9" s="1099" t="n">
        <v>6.25E-011</v>
      </c>
      <c r="Z9" s="1099" t="n">
        <v>6.25E-011</v>
      </c>
      <c r="AA9" s="496" t="n">
        <v>4.022196</v>
      </c>
      <c r="AB9" s="496" t="n">
        <v>0.0115581</v>
      </c>
      <c r="AC9" s="496" t="n">
        <v>4.033754</v>
      </c>
      <c r="AD9" s="1099" t="n">
        <v>5.24E-005</v>
      </c>
      <c r="AE9" s="1099" t="n">
        <v>5.24E-005</v>
      </c>
      <c r="AF9" s="1099" t="n">
        <v>7.73E-007</v>
      </c>
      <c r="AG9" s="1099" t="n">
        <v>7.73E-007</v>
      </c>
      <c r="AH9" s="1099" t="n">
        <v>4.44E-005</v>
      </c>
      <c r="AI9" s="1099" t="n">
        <v>4.44E-005</v>
      </c>
      <c r="AJ9" s="1099" t="n">
        <v>4.44E-005</v>
      </c>
      <c r="AK9" s="1099" t="n">
        <v>4.44E-005</v>
      </c>
      <c r="AL9" s="1099" t="n">
        <v>4.44E-005</v>
      </c>
      <c r="AM9" s="1099" t="n">
        <v>4.44E-005</v>
      </c>
      <c r="AN9" s="1099" t="n">
        <v>5.38E-005</v>
      </c>
      <c r="AO9" s="1099" t="n">
        <v>5.38E-005</v>
      </c>
      <c r="AP9" s="496" t="n">
        <v>0</v>
      </c>
      <c r="AQ9" s="496" t="n">
        <v>0</v>
      </c>
      <c r="AR9" s="1099" t="n">
        <v>7.4E-005</v>
      </c>
      <c r="AS9" s="1099" t="n">
        <v>7.4E-005</v>
      </c>
      <c r="AT9" s="1099" t="n">
        <v>7.57E-005</v>
      </c>
      <c r="AU9" s="1099" t="n">
        <v>7.57E-005</v>
      </c>
      <c r="AV9" s="1099" t="n">
        <v>1.82E-006</v>
      </c>
      <c r="AW9" s="1099" t="n">
        <v>1.82E-006</v>
      </c>
      <c r="AX9" s="496" t="n">
        <v>4.033106</v>
      </c>
      <c r="AY9" s="496" t="n">
        <v>4.033106</v>
      </c>
      <c r="AZ9" s="496" t="n">
        <v>4.033106</v>
      </c>
      <c r="BA9" s="496" t="n">
        <v>4.033106</v>
      </c>
      <c r="BB9" s="496" t="n">
        <v>0.0115581</v>
      </c>
      <c r="BC9" s="496" t="n">
        <v>4.033106</v>
      </c>
      <c r="BD9" s="1099" t="n">
        <v>0.000647</v>
      </c>
      <c r="BE9" s="496" t="n">
        <v>0.8752262</v>
      </c>
      <c r="BF9" s="1099" t="n">
        <v>9.57E-010</v>
      </c>
      <c r="BG9" s="1099" t="n">
        <v>9.57E-010</v>
      </c>
      <c r="BH9" s="496" t="n">
        <v>4.033754</v>
      </c>
      <c r="BI9" s="496" t="n">
        <v>8.067508</v>
      </c>
      <c r="BJ9" s="496" t="n">
        <v>5.953579</v>
      </c>
      <c r="BK9" s="496" t="n">
        <v>4.908333</v>
      </c>
      <c r="BL9" s="496" t="n">
        <v>0.023905</v>
      </c>
      <c r="BM9" s="496" t="n">
        <v>4.009849</v>
      </c>
      <c r="BN9" s="1099" t="n">
        <v>2.35E-023</v>
      </c>
      <c r="BO9" s="496" t="n">
        <v>0.023905</v>
      </c>
      <c r="BP9" s="496" t="n">
        <v>0.0124063</v>
      </c>
      <c r="BQ9" s="1099" t="n">
        <v>4.59E-023</v>
      </c>
      <c r="BR9" s="1099" t="n">
        <v>5.45E-020</v>
      </c>
      <c r="BS9" s="496" t="n">
        <v>0.1059603</v>
      </c>
      <c r="BT9" s="496" t="n">
        <v>0.025106</v>
      </c>
      <c r="BU9" s="496" t="n">
        <v>0</v>
      </c>
      <c r="BV9" s="496" t="n">
        <v>4.022196</v>
      </c>
      <c r="BW9" s="496" t="n">
        <v>0</v>
      </c>
      <c r="BX9" s="496" t="n">
        <v>0.0115581</v>
      </c>
      <c r="BY9" s="496" t="n">
        <v>0</v>
      </c>
      <c r="BZ9" s="496" t="n">
        <v>4.009849</v>
      </c>
      <c r="CA9" s="496" t="n">
        <v>0</v>
      </c>
      <c r="CB9" s="496" t="n">
        <v>4.033106</v>
      </c>
      <c r="CC9" s="496" t="n">
        <v>4.033104</v>
      </c>
      <c r="CD9" s="496" t="n">
        <v>4.033098</v>
      </c>
      <c r="CE9" s="496" t="n">
        <v>4.022196</v>
      </c>
      <c r="CF9" s="496" t="n">
        <v>4.022196</v>
      </c>
      <c r="CG9" s="496" t="n">
        <v>0.0115581</v>
      </c>
      <c r="CH9" s="496" t="n">
        <v>0.0115581</v>
      </c>
      <c r="CI9" s="496" t="n">
        <v>4.033106</v>
      </c>
      <c r="CJ9" s="496" t="n">
        <v>4.033106</v>
      </c>
      <c r="CK9" s="496" t="n">
        <v>4.033106</v>
      </c>
      <c r="CL9" s="496" t="n">
        <v>4.033106</v>
      </c>
      <c r="CM9" s="496" t="n">
        <v>4.033106</v>
      </c>
      <c r="CN9" s="496" t="n">
        <v>4.033106</v>
      </c>
      <c r="CO9" s="496" t="n">
        <v>5.953579</v>
      </c>
      <c r="CP9" s="496" t="n">
        <v>5.953579</v>
      </c>
      <c r="CQ9" s="496" t="n">
        <v>0</v>
      </c>
      <c r="CR9" s="496" t="n">
        <v>0</v>
      </c>
      <c r="CS9" s="496" t="n">
        <v>8.067508</v>
      </c>
      <c r="CT9" s="496" t="n">
        <v>8.067508</v>
      </c>
      <c r="CU9" s="496" t="n">
        <v>4.009849</v>
      </c>
      <c r="CV9" s="496" t="n">
        <v>4.009849</v>
      </c>
      <c r="CW9" s="496" t="n">
        <v>4.009849</v>
      </c>
      <c r="CX9" s="496" t="n">
        <v>4.009849</v>
      </c>
      <c r="CY9" s="496" t="n">
        <v>0.025106</v>
      </c>
      <c r="CZ9" s="496" t="n">
        <v>0.025106</v>
      </c>
      <c r="DA9" s="496" t="n">
        <v>0</v>
      </c>
      <c r="DB9" s="496" t="n">
        <v>0</v>
      </c>
      <c r="DC9" s="1099" t="n">
        <v>7.57E-005</v>
      </c>
      <c r="DD9" s="1099" t="n">
        <v>7.57E-005</v>
      </c>
      <c r="DE9" s="496" t="n">
        <v>0</v>
      </c>
      <c r="DF9" s="496" t="n">
        <v>0</v>
      </c>
    </row>
    <row r="10" customFormat="false" ht="15" hidden="false" customHeight="false" outlineLevel="0" collapsed="false">
      <c r="A10" s="496" t="s">
        <v>1986</v>
      </c>
      <c r="B10" s="496" t="n">
        <v>431.125</v>
      </c>
      <c r="C10" s="496" t="n">
        <v>431.125</v>
      </c>
      <c r="D10" s="496" t="n">
        <v>862.307</v>
      </c>
      <c r="E10" s="496" t="n">
        <v>430.3132</v>
      </c>
      <c r="F10" s="496" t="n">
        <v>0.5100373</v>
      </c>
      <c r="G10" s="496" t="n">
        <v>0</v>
      </c>
      <c r="H10" s="496" t="n">
        <v>431.1249</v>
      </c>
      <c r="I10" s="496" t="n">
        <v>431.1535</v>
      </c>
      <c r="J10" s="496" t="n">
        <v>4.47995</v>
      </c>
      <c r="K10" s="496" t="n">
        <v>4.47995</v>
      </c>
      <c r="L10" s="496" t="n">
        <v>431.1249</v>
      </c>
      <c r="M10" s="496" t="n">
        <v>0</v>
      </c>
      <c r="N10" s="496" t="n">
        <v>0</v>
      </c>
      <c r="O10" s="496" t="n">
        <v>430.6431</v>
      </c>
      <c r="P10" s="496" t="n">
        <v>0</v>
      </c>
      <c r="Q10" s="1099" t="n">
        <v>1.65E-027</v>
      </c>
      <c r="R10" s="1099" t="n">
        <v>1.65E-027</v>
      </c>
      <c r="S10" s="1099" t="n">
        <v>1.4E-022</v>
      </c>
      <c r="T10" s="1099" t="n">
        <v>1.4E-022</v>
      </c>
      <c r="U10" s="496" t="n">
        <v>0.4818133</v>
      </c>
      <c r="V10" s="1099" t="n">
        <v>3.91E-006</v>
      </c>
      <c r="W10" s="1099" t="n">
        <v>3.91E-006</v>
      </c>
      <c r="X10" s="1099" t="n">
        <v>3.91E-006</v>
      </c>
      <c r="Y10" s="1099" t="n">
        <v>3.91E-006</v>
      </c>
      <c r="Z10" s="1099" t="n">
        <v>3.91E-006</v>
      </c>
      <c r="AA10" s="496" t="n">
        <v>430.6431</v>
      </c>
      <c r="AB10" s="496" t="n">
        <v>0.5104052</v>
      </c>
      <c r="AC10" s="496" t="n">
        <v>431.1535</v>
      </c>
      <c r="AD10" s="1099" t="n">
        <v>0.00561</v>
      </c>
      <c r="AE10" s="1099" t="n">
        <v>0.00561</v>
      </c>
      <c r="AF10" s="1099" t="n">
        <v>3.41E-005</v>
      </c>
      <c r="AG10" s="1099" t="n">
        <v>3.41E-005</v>
      </c>
      <c r="AH10" s="1099" t="n">
        <v>0.00475</v>
      </c>
      <c r="AI10" s="1099" t="n">
        <v>0.00475</v>
      </c>
      <c r="AJ10" s="1099" t="n">
        <v>0.00475</v>
      </c>
      <c r="AK10" s="1099" t="n">
        <v>0.00475</v>
      </c>
      <c r="AL10" s="1099" t="n">
        <v>0.00475</v>
      </c>
      <c r="AM10" s="1099" t="n">
        <v>0.00475</v>
      </c>
      <c r="AN10" s="1099" t="n">
        <v>0.00756</v>
      </c>
      <c r="AO10" s="1099" t="n">
        <v>0.00756</v>
      </c>
      <c r="AP10" s="496" t="n">
        <v>0</v>
      </c>
      <c r="AQ10" s="496" t="n">
        <v>0</v>
      </c>
      <c r="AR10" s="1099" t="n">
        <v>0.00791</v>
      </c>
      <c r="AS10" s="1099" t="n">
        <v>0.00791</v>
      </c>
      <c r="AT10" s="1099" t="n">
        <v>0.00813</v>
      </c>
      <c r="AU10" s="1099" t="n">
        <v>0.00813</v>
      </c>
      <c r="AV10" s="1099" t="n">
        <v>6.6E-005</v>
      </c>
      <c r="AW10" s="1099" t="n">
        <v>6.6E-005</v>
      </c>
      <c r="AX10" s="496" t="n">
        <v>431.1249</v>
      </c>
      <c r="AY10" s="496" t="n">
        <v>431.1249</v>
      </c>
      <c r="AZ10" s="496" t="n">
        <v>431.1249</v>
      </c>
      <c r="BA10" s="496" t="n">
        <v>431.1249</v>
      </c>
      <c r="BB10" s="496" t="n">
        <v>0.5104052</v>
      </c>
      <c r="BC10" s="496" t="n">
        <v>431.1249</v>
      </c>
      <c r="BD10" s="496" t="n">
        <v>0.0285918</v>
      </c>
      <c r="BE10" s="496" t="n">
        <v>210.7001</v>
      </c>
      <c r="BF10" s="1099" t="n">
        <v>5.98E-005</v>
      </c>
      <c r="BG10" s="1099" t="n">
        <v>5.98E-005</v>
      </c>
      <c r="BH10" s="496" t="n">
        <v>431.1535</v>
      </c>
      <c r="BI10" s="496" t="n">
        <v>862.307</v>
      </c>
      <c r="BJ10" s="496" t="n">
        <v>835.8889</v>
      </c>
      <c r="BK10" s="496" t="n">
        <v>641.825</v>
      </c>
      <c r="BL10" s="496" t="n">
        <v>0.8403158</v>
      </c>
      <c r="BM10" s="496" t="n">
        <v>430.3132</v>
      </c>
      <c r="BN10" s="1099" t="n">
        <v>1.65E-027</v>
      </c>
      <c r="BO10" s="496" t="n">
        <v>0.8403158</v>
      </c>
      <c r="BP10" s="496" t="n">
        <v>0.3302784</v>
      </c>
      <c r="BQ10" s="1099" t="n">
        <v>3.24E-027</v>
      </c>
      <c r="BR10" s="1099" t="n">
        <v>1.01E-023</v>
      </c>
      <c r="BS10" s="496" t="n">
        <v>4.47995</v>
      </c>
      <c r="BT10" s="496" t="n">
        <v>0.9127177</v>
      </c>
      <c r="BU10" s="496" t="n">
        <v>0</v>
      </c>
      <c r="BV10" s="496" t="n">
        <v>430.6431</v>
      </c>
      <c r="BW10" s="496" t="n">
        <v>0</v>
      </c>
      <c r="BX10" s="496" t="n">
        <v>0.5104052</v>
      </c>
      <c r="BY10" s="496" t="n">
        <v>0</v>
      </c>
      <c r="BZ10" s="496" t="n">
        <v>430.3132</v>
      </c>
      <c r="CA10" s="496" t="n">
        <v>0</v>
      </c>
      <c r="CB10" s="496" t="n">
        <v>431.1249</v>
      </c>
      <c r="CC10" s="496" t="n">
        <v>431.125</v>
      </c>
      <c r="CD10" s="496" t="n">
        <v>431.125</v>
      </c>
      <c r="CE10" s="496" t="n">
        <v>430.6431</v>
      </c>
      <c r="CF10" s="496" t="n">
        <v>430.6431</v>
      </c>
      <c r="CG10" s="496" t="n">
        <v>0.5104052</v>
      </c>
      <c r="CH10" s="496" t="n">
        <v>0.5104052</v>
      </c>
      <c r="CI10" s="496" t="n">
        <v>431.1249</v>
      </c>
      <c r="CJ10" s="496" t="n">
        <v>431.1249</v>
      </c>
      <c r="CK10" s="496" t="n">
        <v>431.1249</v>
      </c>
      <c r="CL10" s="496" t="n">
        <v>431.1249</v>
      </c>
      <c r="CM10" s="496" t="n">
        <v>431.1249</v>
      </c>
      <c r="CN10" s="496" t="n">
        <v>431.1249</v>
      </c>
      <c r="CO10" s="496" t="n">
        <v>835.8889</v>
      </c>
      <c r="CP10" s="496" t="n">
        <v>835.8889</v>
      </c>
      <c r="CQ10" s="496" t="n">
        <v>0</v>
      </c>
      <c r="CR10" s="496" t="n">
        <v>0</v>
      </c>
      <c r="CS10" s="496" t="n">
        <v>862.307</v>
      </c>
      <c r="CT10" s="496" t="n">
        <v>862.307</v>
      </c>
      <c r="CU10" s="496" t="n">
        <v>430.3132</v>
      </c>
      <c r="CV10" s="496" t="n">
        <v>430.3132</v>
      </c>
      <c r="CW10" s="496" t="n">
        <v>430.3132</v>
      </c>
      <c r="CX10" s="496" t="n">
        <v>430.3132</v>
      </c>
      <c r="CY10" s="496" t="n">
        <v>0.9127177</v>
      </c>
      <c r="CZ10" s="496" t="n">
        <v>0.9127177</v>
      </c>
      <c r="DA10" s="496" t="n">
        <v>0</v>
      </c>
      <c r="DB10" s="496" t="n">
        <v>0</v>
      </c>
      <c r="DC10" s="1099" t="n">
        <v>0.00813</v>
      </c>
      <c r="DD10" s="1099" t="n">
        <v>0.00813</v>
      </c>
      <c r="DE10" s="496" t="n">
        <v>0</v>
      </c>
      <c r="DF10" s="496" t="n">
        <v>0</v>
      </c>
    </row>
    <row r="11" customFormat="false" ht="15" hidden="false" customHeight="false" outlineLevel="0" collapsed="false">
      <c r="A11" s="496" t="s">
        <v>1987</v>
      </c>
      <c r="B11" s="496" t="n">
        <v>103.6436</v>
      </c>
      <c r="C11" s="496" t="n">
        <v>31.92223</v>
      </c>
      <c r="D11" s="496" t="n">
        <v>0.1967992</v>
      </c>
      <c r="E11" s="496" t="n">
        <v>0.0981072</v>
      </c>
      <c r="F11" s="1099" t="n">
        <v>0.000199</v>
      </c>
      <c r="G11" s="496" t="n">
        <v>0</v>
      </c>
      <c r="H11" s="496" t="n">
        <v>416.9678</v>
      </c>
      <c r="I11" s="496" t="n">
        <v>0.0983996</v>
      </c>
      <c r="J11" s="1099" t="n">
        <v>0.00171</v>
      </c>
      <c r="K11" s="1099" t="n">
        <v>0.00171</v>
      </c>
      <c r="L11" s="496" t="n">
        <v>103.6436</v>
      </c>
      <c r="M11" s="496" t="n">
        <v>0</v>
      </c>
      <c r="N11" s="496" t="n">
        <v>0</v>
      </c>
      <c r="O11" s="496" t="n">
        <v>416.9676</v>
      </c>
      <c r="P11" s="496" t="n">
        <v>0</v>
      </c>
      <c r="Q11" s="1099" t="n">
        <v>2.01E-025</v>
      </c>
      <c r="R11" s="1099" t="n">
        <v>2.01E-025</v>
      </c>
      <c r="S11" s="1099" t="n">
        <v>1.02E-025</v>
      </c>
      <c r="T11" s="1099" t="n">
        <v>1.02E-025</v>
      </c>
      <c r="U11" s="1099" t="n">
        <v>0.00019</v>
      </c>
      <c r="V11" s="1099" t="n">
        <v>1.02E-006</v>
      </c>
      <c r="W11" s="1099" t="n">
        <v>1.02E-006</v>
      </c>
      <c r="X11" s="1099" t="n">
        <v>1.02E-006</v>
      </c>
      <c r="Y11" s="1099" t="n">
        <v>1.02E-006</v>
      </c>
      <c r="Z11" s="1099" t="n">
        <v>1.02E-006</v>
      </c>
      <c r="AA11" s="496" t="n">
        <v>416.9676</v>
      </c>
      <c r="AB11" s="1099" t="n">
        <v>0.000201</v>
      </c>
      <c r="AC11" s="496" t="n">
        <v>0.0983996</v>
      </c>
      <c r="AD11" s="1099" t="n">
        <v>0.00544</v>
      </c>
      <c r="AE11" s="1099" t="n">
        <v>0.00544</v>
      </c>
      <c r="AF11" s="1099" t="n">
        <v>1.35E-008</v>
      </c>
      <c r="AG11" s="1099" t="n">
        <v>1.35E-008</v>
      </c>
      <c r="AH11" s="1099" t="n">
        <v>0.00114</v>
      </c>
      <c r="AI11" s="1099" t="n">
        <v>0.00114</v>
      </c>
      <c r="AJ11" s="1099" t="n">
        <v>0.00114</v>
      </c>
      <c r="AK11" s="1099" t="n">
        <v>0.00114</v>
      </c>
      <c r="AL11" s="1099" t="n">
        <v>0.000351</v>
      </c>
      <c r="AM11" s="1099" t="n">
        <v>0.000351</v>
      </c>
      <c r="AN11" s="1099" t="n">
        <v>1.77E-006</v>
      </c>
      <c r="AO11" s="1099" t="n">
        <v>1.77E-006</v>
      </c>
      <c r="AP11" s="496" t="n">
        <v>0</v>
      </c>
      <c r="AQ11" s="496" t="n">
        <v>0</v>
      </c>
      <c r="AR11" s="1099" t="n">
        <v>1.81E-006</v>
      </c>
      <c r="AS11" s="1099" t="n">
        <v>1.81E-006</v>
      </c>
      <c r="AT11" s="1099" t="n">
        <v>1.85E-006</v>
      </c>
      <c r="AU11" s="1099" t="n">
        <v>1.85E-006</v>
      </c>
      <c r="AV11" s="1099" t="n">
        <v>2.38E-008</v>
      </c>
      <c r="AW11" s="1099" t="n">
        <v>2.38E-008</v>
      </c>
      <c r="AX11" s="496" t="n">
        <v>103.6436</v>
      </c>
      <c r="AY11" s="496" t="n">
        <v>103.6436</v>
      </c>
      <c r="AZ11" s="496" t="n">
        <v>31.92222</v>
      </c>
      <c r="BA11" s="496" t="n">
        <v>416.9678</v>
      </c>
      <c r="BB11" s="1099" t="n">
        <v>0.000201</v>
      </c>
      <c r="BC11" s="496" t="n">
        <v>31.92222</v>
      </c>
      <c r="BD11" s="1099" t="n">
        <v>1.13E-005</v>
      </c>
      <c r="BE11" s="496" t="n">
        <v>16.33915</v>
      </c>
      <c r="BF11" s="1099" t="n">
        <v>1.57E-005</v>
      </c>
      <c r="BG11" s="1099" t="n">
        <v>1.57E-005</v>
      </c>
      <c r="BH11" s="496" t="n">
        <v>0.0983996</v>
      </c>
      <c r="BI11" s="496" t="n">
        <v>0.1967992</v>
      </c>
      <c r="BJ11" s="496" t="n">
        <v>0.1957394</v>
      </c>
      <c r="BK11" s="496" t="n">
        <v>48.26137</v>
      </c>
      <c r="BL11" s="1099" t="n">
        <v>0.000292</v>
      </c>
      <c r="BM11" s="496" t="n">
        <v>0.0981072</v>
      </c>
      <c r="BN11" s="1099" t="n">
        <v>2.01E-025</v>
      </c>
      <c r="BO11" s="1099" t="n">
        <v>0.000292</v>
      </c>
      <c r="BP11" s="1099" t="n">
        <v>9.35E-005</v>
      </c>
      <c r="BQ11" s="1099" t="n">
        <v>3.93E-025</v>
      </c>
      <c r="BR11" s="1099" t="n">
        <v>4.77E-022</v>
      </c>
      <c r="BS11" s="1099" t="n">
        <v>0.00171</v>
      </c>
      <c r="BT11" s="1099" t="n">
        <v>0.000328</v>
      </c>
      <c r="BU11" s="496" t="n">
        <v>0</v>
      </c>
      <c r="BV11" s="496" t="n">
        <v>416.9676</v>
      </c>
      <c r="BW11" s="496" t="n">
        <v>0</v>
      </c>
      <c r="BX11" s="1099" t="n">
        <v>0.000201</v>
      </c>
      <c r="BY11" s="496" t="n">
        <v>0</v>
      </c>
      <c r="BZ11" s="496" t="n">
        <v>0.0981072</v>
      </c>
      <c r="CA11" s="496" t="n">
        <v>0</v>
      </c>
      <c r="CB11" s="496" t="n">
        <v>103.6436</v>
      </c>
      <c r="CC11" s="496" t="n">
        <v>103.6436</v>
      </c>
      <c r="CD11" s="496" t="n">
        <v>416.9679</v>
      </c>
      <c r="CE11" s="496" t="n">
        <v>416.9676</v>
      </c>
      <c r="CF11" s="496" t="n">
        <v>416.9676</v>
      </c>
      <c r="CG11" s="1099" t="n">
        <v>0.000201</v>
      </c>
      <c r="CH11" s="1099" t="n">
        <v>0.000201</v>
      </c>
      <c r="CI11" s="496" t="n">
        <v>103.6436</v>
      </c>
      <c r="CJ11" s="496" t="n">
        <v>103.6436</v>
      </c>
      <c r="CK11" s="496" t="n">
        <v>103.6436</v>
      </c>
      <c r="CL11" s="496" t="n">
        <v>103.6436</v>
      </c>
      <c r="CM11" s="496" t="n">
        <v>31.92222</v>
      </c>
      <c r="CN11" s="496" t="n">
        <v>31.92222</v>
      </c>
      <c r="CO11" s="496" t="n">
        <v>0.1957394</v>
      </c>
      <c r="CP11" s="496" t="n">
        <v>0.1957394</v>
      </c>
      <c r="CQ11" s="496" t="n">
        <v>0</v>
      </c>
      <c r="CR11" s="496" t="n">
        <v>0</v>
      </c>
      <c r="CS11" s="496" t="n">
        <v>0.1967992</v>
      </c>
      <c r="CT11" s="496" t="n">
        <v>0.1967992</v>
      </c>
      <c r="CU11" s="496" t="n">
        <v>0.0981072</v>
      </c>
      <c r="CV11" s="496" t="n">
        <v>0.0981072</v>
      </c>
      <c r="CW11" s="496" t="n">
        <v>0.0981072</v>
      </c>
      <c r="CX11" s="496" t="n">
        <v>0.0981072</v>
      </c>
      <c r="CY11" s="1099" t="n">
        <v>0.000328</v>
      </c>
      <c r="CZ11" s="1099" t="n">
        <v>0.000328</v>
      </c>
      <c r="DA11" s="496" t="n">
        <v>0</v>
      </c>
      <c r="DB11" s="496" t="n">
        <v>0</v>
      </c>
      <c r="DC11" s="1099" t="n">
        <v>1.85E-006</v>
      </c>
      <c r="DD11" s="1099" t="n">
        <v>1.85E-006</v>
      </c>
      <c r="DE11" s="496" t="n">
        <v>0</v>
      </c>
      <c r="DF11" s="496" t="n">
        <v>0</v>
      </c>
    </row>
    <row r="12" customFormat="false" ht="15" hidden="false" customHeight="false" outlineLevel="0" collapsed="false">
      <c r="A12" s="496" t="s">
        <v>1988</v>
      </c>
      <c r="B12" s="496" t="n">
        <v>293.5836</v>
      </c>
      <c r="C12" s="496" t="n">
        <v>293.5837</v>
      </c>
      <c r="D12" s="496" t="n">
        <v>587.2104</v>
      </c>
      <c r="E12" s="496" t="n">
        <v>293.0323</v>
      </c>
      <c r="F12" s="496" t="n">
        <v>0.387533</v>
      </c>
      <c r="G12" s="496" t="n">
        <v>0</v>
      </c>
      <c r="H12" s="496" t="n">
        <v>293.5836</v>
      </c>
      <c r="I12" s="496" t="n">
        <v>293.6052</v>
      </c>
      <c r="J12" s="496" t="n">
        <v>3.338345</v>
      </c>
      <c r="K12" s="496" t="n">
        <v>3.338345</v>
      </c>
      <c r="L12" s="496" t="n">
        <v>293.5836</v>
      </c>
      <c r="M12" s="496" t="n">
        <v>0</v>
      </c>
      <c r="N12" s="496" t="n">
        <v>0</v>
      </c>
      <c r="O12" s="496" t="n">
        <v>293.2181</v>
      </c>
      <c r="P12" s="496" t="n">
        <v>0</v>
      </c>
      <c r="Q12" s="1099" t="n">
        <v>2.66E-019</v>
      </c>
      <c r="R12" s="1099" t="n">
        <v>2.66E-019</v>
      </c>
      <c r="S12" s="1099" t="n">
        <v>1.69E-018</v>
      </c>
      <c r="T12" s="1099" t="n">
        <v>1.69E-018</v>
      </c>
      <c r="U12" s="496" t="n">
        <v>0.3654976</v>
      </c>
      <c r="V12" s="1099" t="n">
        <v>5.73E-005</v>
      </c>
      <c r="W12" s="1099" t="n">
        <v>5.73E-005</v>
      </c>
      <c r="X12" s="1099" t="n">
        <v>5.73E-005</v>
      </c>
      <c r="Y12" s="1099" t="n">
        <v>5.73E-005</v>
      </c>
      <c r="Z12" s="1099" t="n">
        <v>5.73E-005</v>
      </c>
      <c r="AA12" s="496" t="n">
        <v>293.2181</v>
      </c>
      <c r="AB12" s="496" t="n">
        <v>0.3871871</v>
      </c>
      <c r="AC12" s="496" t="n">
        <v>293.6052</v>
      </c>
      <c r="AD12" s="1099" t="n">
        <v>0.00382</v>
      </c>
      <c r="AE12" s="1099" t="n">
        <v>0.00382</v>
      </c>
      <c r="AF12" s="1099" t="n">
        <v>2.59E-005</v>
      </c>
      <c r="AG12" s="1099" t="n">
        <v>2.59E-005</v>
      </c>
      <c r="AH12" s="1099" t="n">
        <v>0.00323</v>
      </c>
      <c r="AI12" s="1099" t="n">
        <v>0.00323</v>
      </c>
      <c r="AJ12" s="1099" t="n">
        <v>0.00323</v>
      </c>
      <c r="AK12" s="1099" t="n">
        <v>0.00323</v>
      </c>
      <c r="AL12" s="1099" t="n">
        <v>0.00323</v>
      </c>
      <c r="AM12" s="1099" t="n">
        <v>0.00323</v>
      </c>
      <c r="AN12" s="1099" t="n">
        <v>0.00588</v>
      </c>
      <c r="AO12" s="1099" t="n">
        <v>0.00588</v>
      </c>
      <c r="AP12" s="496" t="n">
        <v>0</v>
      </c>
      <c r="AQ12" s="496" t="n">
        <v>0</v>
      </c>
      <c r="AR12" s="1099" t="n">
        <v>0.00539</v>
      </c>
      <c r="AS12" s="1099" t="n">
        <v>0.00539</v>
      </c>
      <c r="AT12" s="1099" t="n">
        <v>0.00553</v>
      </c>
      <c r="AU12" s="1099" t="n">
        <v>0.00553</v>
      </c>
      <c r="AV12" s="1099" t="n">
        <v>4.64E-005</v>
      </c>
      <c r="AW12" s="1099" t="n">
        <v>4.64E-005</v>
      </c>
      <c r="AX12" s="496" t="n">
        <v>293.5836</v>
      </c>
      <c r="AY12" s="496" t="n">
        <v>293.5836</v>
      </c>
      <c r="AZ12" s="496" t="n">
        <v>293.5836</v>
      </c>
      <c r="BA12" s="496" t="n">
        <v>293.5836</v>
      </c>
      <c r="BB12" s="496" t="n">
        <v>0.3871871</v>
      </c>
      <c r="BC12" s="496" t="n">
        <v>293.5836</v>
      </c>
      <c r="BD12" s="496" t="n">
        <v>0.0216894</v>
      </c>
      <c r="BE12" s="496" t="n">
        <v>211.4796</v>
      </c>
      <c r="BF12" s="1099" t="n">
        <v>0.000877</v>
      </c>
      <c r="BG12" s="1099" t="n">
        <v>0.000877</v>
      </c>
      <c r="BH12" s="496" t="n">
        <v>293.6052</v>
      </c>
      <c r="BI12" s="496" t="n">
        <v>587.2104</v>
      </c>
      <c r="BJ12" s="496" t="n">
        <v>650.7092</v>
      </c>
      <c r="BK12" s="496" t="n">
        <v>505.0631</v>
      </c>
      <c r="BL12" s="496" t="n">
        <v>0.5729034</v>
      </c>
      <c r="BM12" s="496" t="n">
        <v>293.0323</v>
      </c>
      <c r="BN12" s="1099" t="n">
        <v>2.66E-019</v>
      </c>
      <c r="BO12" s="496" t="n">
        <v>0.5729034</v>
      </c>
      <c r="BP12" s="496" t="n">
        <v>0.1853704</v>
      </c>
      <c r="BQ12" s="1099" t="n">
        <v>5.21E-019</v>
      </c>
      <c r="BR12" s="1099" t="n">
        <v>1.14E-015</v>
      </c>
      <c r="BS12" s="496" t="n">
        <v>3.338345</v>
      </c>
      <c r="BT12" s="496" t="n">
        <v>0.6410173</v>
      </c>
      <c r="BU12" s="496" t="n">
        <v>0</v>
      </c>
      <c r="BV12" s="496" t="n">
        <v>293.2181</v>
      </c>
      <c r="BW12" s="496" t="n">
        <v>0</v>
      </c>
      <c r="BX12" s="496" t="n">
        <v>0.3871871</v>
      </c>
      <c r="BY12" s="496" t="n">
        <v>0</v>
      </c>
      <c r="BZ12" s="496" t="n">
        <v>293.0323</v>
      </c>
      <c r="CA12" s="496" t="n">
        <v>0</v>
      </c>
      <c r="CB12" s="496" t="n">
        <v>293.5836</v>
      </c>
      <c r="CC12" s="496" t="n">
        <v>293.5837</v>
      </c>
      <c r="CD12" s="496" t="n">
        <v>293.5836</v>
      </c>
      <c r="CE12" s="496" t="n">
        <v>293.2181</v>
      </c>
      <c r="CF12" s="496" t="n">
        <v>293.2181</v>
      </c>
      <c r="CG12" s="496" t="n">
        <v>0.3871871</v>
      </c>
      <c r="CH12" s="496" t="n">
        <v>0.3871871</v>
      </c>
      <c r="CI12" s="496" t="n">
        <v>293.5836</v>
      </c>
      <c r="CJ12" s="496" t="n">
        <v>293.5836</v>
      </c>
      <c r="CK12" s="496" t="n">
        <v>293.5836</v>
      </c>
      <c r="CL12" s="496" t="n">
        <v>293.5836</v>
      </c>
      <c r="CM12" s="496" t="n">
        <v>293.5836</v>
      </c>
      <c r="CN12" s="496" t="n">
        <v>293.5836</v>
      </c>
      <c r="CO12" s="496" t="n">
        <v>650.7092</v>
      </c>
      <c r="CP12" s="496" t="n">
        <v>650.7092</v>
      </c>
      <c r="CQ12" s="496" t="n">
        <v>0</v>
      </c>
      <c r="CR12" s="496" t="n">
        <v>0</v>
      </c>
      <c r="CS12" s="496" t="n">
        <v>587.2104</v>
      </c>
      <c r="CT12" s="496" t="n">
        <v>587.2104</v>
      </c>
      <c r="CU12" s="496" t="n">
        <v>293.0323</v>
      </c>
      <c r="CV12" s="496" t="n">
        <v>293.0323</v>
      </c>
      <c r="CW12" s="496" t="n">
        <v>293.0323</v>
      </c>
      <c r="CX12" s="496" t="n">
        <v>293.0323</v>
      </c>
      <c r="CY12" s="496" t="n">
        <v>0.6410173</v>
      </c>
      <c r="CZ12" s="496" t="n">
        <v>0.6410173</v>
      </c>
      <c r="DA12" s="496" t="n">
        <v>0</v>
      </c>
      <c r="DB12" s="496" t="n">
        <v>0</v>
      </c>
      <c r="DC12" s="1099" t="n">
        <v>0.00553</v>
      </c>
      <c r="DD12" s="1099" t="n">
        <v>0.00553</v>
      </c>
      <c r="DE12" s="496" t="n">
        <v>0</v>
      </c>
      <c r="DF12" s="496" t="n">
        <v>0</v>
      </c>
    </row>
    <row r="13" customFormat="false" ht="15" hidden="false" customHeight="false" outlineLevel="0" collapsed="false">
      <c r="A13" s="496" t="s">
        <v>1989</v>
      </c>
      <c r="B13" s="496" t="n">
        <v>188.841</v>
      </c>
      <c r="C13" s="496" t="n">
        <v>188.841</v>
      </c>
      <c r="D13" s="496" t="n">
        <v>377.7216</v>
      </c>
      <c r="E13" s="496" t="n">
        <v>188.3519</v>
      </c>
      <c r="F13" s="496" t="n">
        <v>0.354626</v>
      </c>
      <c r="G13" s="496" t="n">
        <v>0</v>
      </c>
      <c r="H13" s="496" t="n">
        <v>188.841</v>
      </c>
      <c r="I13" s="496" t="n">
        <v>188.8608</v>
      </c>
      <c r="J13" s="496" t="n">
        <v>3.039513</v>
      </c>
      <c r="K13" s="496" t="n">
        <v>3.039513</v>
      </c>
      <c r="L13" s="496" t="n">
        <v>188.841</v>
      </c>
      <c r="M13" s="496" t="n">
        <v>0</v>
      </c>
      <c r="N13" s="496" t="n">
        <v>0</v>
      </c>
      <c r="O13" s="496" t="n">
        <v>188.5069</v>
      </c>
      <c r="P13" s="496" t="n">
        <v>0</v>
      </c>
      <c r="Q13" s="1099" t="n">
        <v>1.31E-019</v>
      </c>
      <c r="R13" s="1099" t="n">
        <v>1.31E-019</v>
      </c>
      <c r="S13" s="1099" t="n">
        <v>2.09E-022</v>
      </c>
      <c r="T13" s="1099" t="n">
        <v>2.09E-022</v>
      </c>
      <c r="U13" s="496" t="n">
        <v>0.3340695</v>
      </c>
      <c r="V13" s="1099" t="n">
        <v>8.8E-006</v>
      </c>
      <c r="W13" s="1099" t="n">
        <v>8.8E-006</v>
      </c>
      <c r="X13" s="1099" t="n">
        <v>8.8E-006</v>
      </c>
      <c r="Y13" s="1099" t="n">
        <v>8.8E-006</v>
      </c>
      <c r="Z13" s="1099" t="n">
        <v>8.8E-006</v>
      </c>
      <c r="AA13" s="496" t="n">
        <v>188.5069</v>
      </c>
      <c r="AB13" s="496" t="n">
        <v>0.353894</v>
      </c>
      <c r="AC13" s="496" t="n">
        <v>188.8608</v>
      </c>
      <c r="AD13" s="1099" t="n">
        <v>0.00246</v>
      </c>
      <c r="AE13" s="1099" t="n">
        <v>0.00246</v>
      </c>
      <c r="AF13" s="1099" t="n">
        <v>2.37E-005</v>
      </c>
      <c r="AG13" s="1099" t="n">
        <v>2.37E-005</v>
      </c>
      <c r="AH13" s="1099" t="n">
        <v>0.00208</v>
      </c>
      <c r="AI13" s="1099" t="n">
        <v>0.00208</v>
      </c>
      <c r="AJ13" s="1099" t="n">
        <v>0.00208</v>
      </c>
      <c r="AK13" s="1099" t="n">
        <v>0.00208</v>
      </c>
      <c r="AL13" s="1099" t="n">
        <v>0.00208</v>
      </c>
      <c r="AM13" s="1099" t="n">
        <v>0.00208</v>
      </c>
      <c r="AN13" s="1099" t="n">
        <v>0.00341</v>
      </c>
      <c r="AO13" s="1099" t="n">
        <v>0.00341</v>
      </c>
      <c r="AP13" s="496" t="n">
        <v>0</v>
      </c>
      <c r="AQ13" s="496" t="n">
        <v>0</v>
      </c>
      <c r="AR13" s="1099" t="n">
        <v>0.00346</v>
      </c>
      <c r="AS13" s="1099" t="n">
        <v>0.00346</v>
      </c>
      <c r="AT13" s="1099" t="n">
        <v>0.00356</v>
      </c>
      <c r="AU13" s="1099" t="n">
        <v>0.00356</v>
      </c>
      <c r="AV13" s="1099" t="n">
        <v>4.18E-005</v>
      </c>
      <c r="AW13" s="1099" t="n">
        <v>4.18E-005</v>
      </c>
      <c r="AX13" s="496" t="n">
        <v>188.841</v>
      </c>
      <c r="AY13" s="496" t="n">
        <v>188.841</v>
      </c>
      <c r="AZ13" s="496" t="n">
        <v>188.841</v>
      </c>
      <c r="BA13" s="496" t="n">
        <v>188.841</v>
      </c>
      <c r="BB13" s="496" t="n">
        <v>0.353894</v>
      </c>
      <c r="BC13" s="496" t="n">
        <v>188.841</v>
      </c>
      <c r="BD13" s="496" t="n">
        <v>0.0198244</v>
      </c>
      <c r="BE13" s="496" t="n">
        <v>103.5547</v>
      </c>
      <c r="BF13" s="1099" t="n">
        <v>0.000135</v>
      </c>
      <c r="BG13" s="1099" t="n">
        <v>0.000135</v>
      </c>
      <c r="BH13" s="496" t="n">
        <v>188.8608</v>
      </c>
      <c r="BI13" s="496" t="n">
        <v>377.7216</v>
      </c>
      <c r="BJ13" s="496" t="n">
        <v>377.3326</v>
      </c>
      <c r="BK13" s="496" t="n">
        <v>292.3956</v>
      </c>
      <c r="BL13" s="496" t="n">
        <v>0.5088963</v>
      </c>
      <c r="BM13" s="496" t="n">
        <v>188.3519</v>
      </c>
      <c r="BN13" s="1099" t="n">
        <v>1.31E-019</v>
      </c>
      <c r="BO13" s="496" t="n">
        <v>0.5088963</v>
      </c>
      <c r="BP13" s="496" t="n">
        <v>0.1542704</v>
      </c>
      <c r="BQ13" s="1099" t="n">
        <v>2.57E-019</v>
      </c>
      <c r="BR13" s="1099" t="n">
        <v>4.22E-016</v>
      </c>
      <c r="BS13" s="496" t="n">
        <v>3.039513</v>
      </c>
      <c r="BT13" s="496" t="n">
        <v>0.5778147</v>
      </c>
      <c r="BU13" s="496" t="n">
        <v>0</v>
      </c>
      <c r="BV13" s="496" t="n">
        <v>188.5069</v>
      </c>
      <c r="BW13" s="496" t="n">
        <v>0</v>
      </c>
      <c r="BX13" s="496" t="n">
        <v>0.353894</v>
      </c>
      <c r="BY13" s="496" t="n">
        <v>0</v>
      </c>
      <c r="BZ13" s="496" t="n">
        <v>188.3519</v>
      </c>
      <c r="CA13" s="496" t="n">
        <v>0</v>
      </c>
      <c r="CB13" s="496" t="n">
        <v>188.841</v>
      </c>
      <c r="CC13" s="496" t="n">
        <v>188.841</v>
      </c>
      <c r="CD13" s="496" t="n">
        <v>188.841</v>
      </c>
      <c r="CE13" s="496" t="n">
        <v>188.5069</v>
      </c>
      <c r="CF13" s="496" t="n">
        <v>188.5069</v>
      </c>
      <c r="CG13" s="496" t="n">
        <v>0.353894</v>
      </c>
      <c r="CH13" s="496" t="n">
        <v>0.353894</v>
      </c>
      <c r="CI13" s="496" t="n">
        <v>188.841</v>
      </c>
      <c r="CJ13" s="496" t="n">
        <v>188.841</v>
      </c>
      <c r="CK13" s="496" t="n">
        <v>188.841</v>
      </c>
      <c r="CL13" s="496" t="n">
        <v>188.841</v>
      </c>
      <c r="CM13" s="496" t="n">
        <v>188.841</v>
      </c>
      <c r="CN13" s="496" t="n">
        <v>188.841</v>
      </c>
      <c r="CO13" s="496" t="n">
        <v>377.3326</v>
      </c>
      <c r="CP13" s="496" t="n">
        <v>377.3326</v>
      </c>
      <c r="CQ13" s="496" t="n">
        <v>0</v>
      </c>
      <c r="CR13" s="496" t="n">
        <v>0</v>
      </c>
      <c r="CS13" s="496" t="n">
        <v>377.7216</v>
      </c>
      <c r="CT13" s="496" t="n">
        <v>377.7216</v>
      </c>
      <c r="CU13" s="496" t="n">
        <v>188.3519</v>
      </c>
      <c r="CV13" s="496" t="n">
        <v>188.3519</v>
      </c>
      <c r="CW13" s="496" t="n">
        <v>188.3519</v>
      </c>
      <c r="CX13" s="496" t="n">
        <v>188.3519</v>
      </c>
      <c r="CY13" s="496" t="n">
        <v>0.5778146</v>
      </c>
      <c r="CZ13" s="496" t="n">
        <v>0.5778146</v>
      </c>
      <c r="DA13" s="496" t="n">
        <v>0</v>
      </c>
      <c r="DB13" s="496" t="n">
        <v>0</v>
      </c>
      <c r="DC13" s="1099" t="n">
        <v>0.00356</v>
      </c>
      <c r="DD13" s="1099" t="n">
        <v>0.00356</v>
      </c>
      <c r="DE13" s="496" t="n">
        <v>0</v>
      </c>
      <c r="DF13" s="496" t="n">
        <v>0</v>
      </c>
    </row>
    <row r="14" customFormat="false" ht="15" hidden="false" customHeight="false" outlineLevel="0" collapsed="false">
      <c r="A14" s="496" t="s">
        <v>1990</v>
      </c>
      <c r="B14" s="496" t="n">
        <v>0</v>
      </c>
      <c r="C14" s="496" t="n">
        <v>0</v>
      </c>
      <c r="D14" s="496" t="n">
        <v>0</v>
      </c>
      <c r="E14" s="496" t="n">
        <v>0</v>
      </c>
      <c r="F14" s="496" t="n">
        <v>0</v>
      </c>
      <c r="G14" s="496" t="n">
        <v>0</v>
      </c>
      <c r="H14" s="496" t="n">
        <v>0</v>
      </c>
      <c r="I14" s="496" t="n">
        <v>0</v>
      </c>
      <c r="J14" s="496" t="n">
        <v>0</v>
      </c>
      <c r="K14" s="496" t="n">
        <v>0</v>
      </c>
      <c r="L14" s="496" t="n">
        <v>0</v>
      </c>
      <c r="M14" s="496" t="n">
        <v>0</v>
      </c>
      <c r="N14" s="496" t="n">
        <v>0</v>
      </c>
      <c r="O14" s="496" t="n">
        <v>0</v>
      </c>
      <c r="P14" s="496" t="n">
        <v>0</v>
      </c>
      <c r="Q14" s="496" t="n">
        <v>0</v>
      </c>
      <c r="R14" s="496" t="n">
        <v>0</v>
      </c>
      <c r="S14" s="496" t="n">
        <v>0</v>
      </c>
      <c r="T14" s="496" t="n">
        <v>0</v>
      </c>
      <c r="U14" s="496" t="n">
        <v>0</v>
      </c>
      <c r="V14" s="496" t="n">
        <v>0</v>
      </c>
      <c r="W14" s="496" t="n">
        <v>0</v>
      </c>
      <c r="X14" s="496" t="n">
        <v>0</v>
      </c>
      <c r="Y14" s="496" t="n">
        <v>0</v>
      </c>
      <c r="Z14" s="496" t="n">
        <v>0</v>
      </c>
      <c r="AA14" s="496" t="n">
        <v>0</v>
      </c>
      <c r="AB14" s="496" t="n">
        <v>0</v>
      </c>
      <c r="AC14" s="496" t="n">
        <v>0</v>
      </c>
      <c r="AD14" s="496" t="n">
        <v>0</v>
      </c>
      <c r="AE14" s="496" t="n">
        <v>0</v>
      </c>
      <c r="AF14" s="496" t="n">
        <v>0</v>
      </c>
      <c r="AG14" s="496" t="n">
        <v>0</v>
      </c>
      <c r="AH14" s="496" t="n">
        <v>0</v>
      </c>
      <c r="AI14" s="496" t="n">
        <v>0</v>
      </c>
      <c r="AJ14" s="496" t="n">
        <v>0</v>
      </c>
      <c r="AK14" s="496" t="n">
        <v>0</v>
      </c>
      <c r="AL14" s="496" t="n">
        <v>0</v>
      </c>
      <c r="AM14" s="496" t="n">
        <v>0</v>
      </c>
      <c r="AN14" s="496" t="n">
        <v>0</v>
      </c>
      <c r="AO14" s="496" t="n">
        <v>0</v>
      </c>
      <c r="AP14" s="496" t="n">
        <v>0</v>
      </c>
      <c r="AQ14" s="496" t="n">
        <v>0</v>
      </c>
      <c r="AR14" s="496" t="n">
        <v>0</v>
      </c>
      <c r="AS14" s="496" t="n">
        <v>0</v>
      </c>
      <c r="AT14" s="496" t="n">
        <v>0</v>
      </c>
      <c r="AU14" s="496" t="n">
        <v>0</v>
      </c>
      <c r="AV14" s="496" t="n">
        <v>0</v>
      </c>
      <c r="AW14" s="496" t="n">
        <v>0</v>
      </c>
      <c r="AX14" s="496" t="n">
        <v>0</v>
      </c>
      <c r="AY14" s="496" t="n">
        <v>0</v>
      </c>
      <c r="AZ14" s="496" t="n">
        <v>0</v>
      </c>
      <c r="BA14" s="496" t="n">
        <v>0</v>
      </c>
      <c r="BB14" s="496" t="n">
        <v>0</v>
      </c>
      <c r="BC14" s="496" t="n">
        <v>0</v>
      </c>
      <c r="BD14" s="496" t="n">
        <v>0</v>
      </c>
      <c r="BE14" s="496" t="n">
        <v>0</v>
      </c>
      <c r="BF14" s="496" t="n">
        <v>0</v>
      </c>
      <c r="BG14" s="496" t="n">
        <v>0</v>
      </c>
      <c r="BH14" s="496" t="n">
        <v>0</v>
      </c>
      <c r="BI14" s="496" t="n">
        <v>0</v>
      </c>
      <c r="BJ14" s="496" t="n">
        <v>0</v>
      </c>
      <c r="BK14" s="496" t="n">
        <v>0</v>
      </c>
      <c r="BL14" s="496" t="n">
        <v>0</v>
      </c>
      <c r="BM14" s="496" t="n">
        <v>0</v>
      </c>
      <c r="BN14" s="496" t="n">
        <v>0</v>
      </c>
      <c r="BO14" s="496" t="n">
        <v>0</v>
      </c>
      <c r="BP14" s="496" t="n">
        <v>0</v>
      </c>
      <c r="BQ14" s="496" t="n">
        <v>0</v>
      </c>
      <c r="BR14" s="496" t="n">
        <v>0</v>
      </c>
      <c r="BS14" s="496" t="n">
        <v>0</v>
      </c>
      <c r="BT14" s="496" t="n">
        <v>0</v>
      </c>
      <c r="BU14" s="496" t="n">
        <v>0</v>
      </c>
      <c r="BV14" s="496" t="n">
        <v>0</v>
      </c>
      <c r="BW14" s="496" t="n">
        <v>0</v>
      </c>
      <c r="BX14" s="496" t="n">
        <v>0</v>
      </c>
      <c r="BY14" s="496" t="n">
        <v>0</v>
      </c>
      <c r="BZ14" s="496" t="n">
        <v>0</v>
      </c>
      <c r="CA14" s="496" t="n">
        <v>0</v>
      </c>
      <c r="CB14" s="496" t="n">
        <v>0</v>
      </c>
      <c r="CC14" s="496" t="n">
        <v>0</v>
      </c>
      <c r="CD14" s="496" t="n">
        <v>0</v>
      </c>
      <c r="CE14" s="496" t="n">
        <v>0</v>
      </c>
      <c r="CF14" s="496" t="n">
        <v>0</v>
      </c>
      <c r="CG14" s="496" t="n">
        <v>0</v>
      </c>
      <c r="CH14" s="496" t="n">
        <v>0</v>
      </c>
      <c r="CI14" s="496" t="n">
        <v>0</v>
      </c>
      <c r="CJ14" s="496" t="n">
        <v>0</v>
      </c>
      <c r="CK14" s="496" t="n">
        <v>0</v>
      </c>
      <c r="CL14" s="496" t="n">
        <v>0</v>
      </c>
      <c r="CM14" s="496" t="n">
        <v>0</v>
      </c>
      <c r="CN14" s="496" t="n">
        <v>0</v>
      </c>
      <c r="CO14" s="496" t="n">
        <v>0</v>
      </c>
      <c r="CP14" s="496" t="n">
        <v>0</v>
      </c>
      <c r="CQ14" s="496" t="n">
        <v>0</v>
      </c>
      <c r="CR14" s="496" t="n">
        <v>0</v>
      </c>
      <c r="CS14" s="496" t="n">
        <v>0</v>
      </c>
      <c r="CT14" s="496" t="n">
        <v>0</v>
      </c>
      <c r="CU14" s="496" t="n">
        <v>0</v>
      </c>
      <c r="CV14" s="496" t="n">
        <v>0</v>
      </c>
      <c r="CW14" s="496" t="n">
        <v>0</v>
      </c>
      <c r="CX14" s="496" t="n">
        <v>0</v>
      </c>
      <c r="CY14" s="496" t="n">
        <v>0</v>
      </c>
      <c r="CZ14" s="496" t="n">
        <v>0</v>
      </c>
      <c r="DA14" s="496" t="n">
        <v>0</v>
      </c>
      <c r="DB14" s="496" t="n">
        <v>0</v>
      </c>
      <c r="DC14" s="496" t="n">
        <v>0</v>
      </c>
      <c r="DD14" s="496" t="n">
        <v>0</v>
      </c>
      <c r="DE14" s="496" t="n">
        <v>0</v>
      </c>
      <c r="DF14" s="496" t="n">
        <v>0</v>
      </c>
    </row>
    <row r="15" customFormat="false" ht="15" hidden="false" customHeight="false" outlineLevel="0" collapsed="false">
      <c r="A15" s="496" t="s">
        <v>1991</v>
      </c>
      <c r="B15" s="496" t="n">
        <v>0</v>
      </c>
      <c r="C15" s="496" t="n">
        <v>0</v>
      </c>
      <c r="D15" s="496" t="n">
        <v>0</v>
      </c>
      <c r="E15" s="496" t="n">
        <v>0</v>
      </c>
      <c r="F15" s="496" t="n">
        <v>0</v>
      </c>
      <c r="G15" s="496" t="n">
        <v>0</v>
      </c>
      <c r="H15" s="496" t="n">
        <v>0</v>
      </c>
      <c r="I15" s="496" t="n">
        <v>0</v>
      </c>
      <c r="J15" s="496" t="n">
        <v>0</v>
      </c>
      <c r="K15" s="496" t="n">
        <v>0</v>
      </c>
      <c r="L15" s="496" t="n">
        <v>0</v>
      </c>
      <c r="M15" s="496" t="n">
        <v>0</v>
      </c>
      <c r="N15" s="496" t="n">
        <v>0</v>
      </c>
      <c r="O15" s="496" t="n">
        <v>0</v>
      </c>
      <c r="P15" s="496" t="n">
        <v>0</v>
      </c>
      <c r="Q15" s="496" t="n">
        <v>0</v>
      </c>
      <c r="R15" s="496" t="n">
        <v>0</v>
      </c>
      <c r="S15" s="496" t="n">
        <v>0</v>
      </c>
      <c r="T15" s="496" t="n">
        <v>0</v>
      </c>
      <c r="U15" s="496" t="n">
        <v>0</v>
      </c>
      <c r="V15" s="496" t="n">
        <v>0</v>
      </c>
      <c r="W15" s="496" t="n">
        <v>0</v>
      </c>
      <c r="X15" s="496" t="n">
        <v>0</v>
      </c>
      <c r="Y15" s="496" t="n">
        <v>0</v>
      </c>
      <c r="Z15" s="496" t="n">
        <v>0</v>
      </c>
      <c r="AA15" s="496" t="n">
        <v>0</v>
      </c>
      <c r="AB15" s="496" t="n">
        <v>0</v>
      </c>
      <c r="AC15" s="496" t="n">
        <v>0</v>
      </c>
      <c r="AD15" s="496" t="n">
        <v>0</v>
      </c>
      <c r="AE15" s="496" t="n">
        <v>0</v>
      </c>
      <c r="AF15" s="496" t="n">
        <v>0</v>
      </c>
      <c r="AG15" s="496" t="n">
        <v>0</v>
      </c>
      <c r="AH15" s="496" t="n">
        <v>0</v>
      </c>
      <c r="AI15" s="496" t="n">
        <v>0</v>
      </c>
      <c r="AJ15" s="496" t="n">
        <v>0</v>
      </c>
      <c r="AK15" s="496" t="n">
        <v>0</v>
      </c>
      <c r="AL15" s="496" t="n">
        <v>0</v>
      </c>
      <c r="AM15" s="496" t="n">
        <v>0</v>
      </c>
      <c r="AN15" s="496" t="n">
        <v>0</v>
      </c>
      <c r="AO15" s="496" t="n">
        <v>0</v>
      </c>
      <c r="AP15" s="496" t="n">
        <v>0</v>
      </c>
      <c r="AQ15" s="496" t="n">
        <v>0</v>
      </c>
      <c r="AR15" s="496" t="n">
        <v>0</v>
      </c>
      <c r="AS15" s="496" t="n">
        <v>0</v>
      </c>
      <c r="AT15" s="496" t="n">
        <v>0</v>
      </c>
      <c r="AU15" s="496" t="n">
        <v>0</v>
      </c>
      <c r="AV15" s="496" t="n">
        <v>0</v>
      </c>
      <c r="AW15" s="496" t="n">
        <v>0</v>
      </c>
      <c r="AX15" s="496" t="n">
        <v>0</v>
      </c>
      <c r="AY15" s="496" t="n">
        <v>0</v>
      </c>
      <c r="AZ15" s="496" t="n">
        <v>0</v>
      </c>
      <c r="BA15" s="496" t="n">
        <v>0</v>
      </c>
      <c r="BB15" s="496" t="n">
        <v>0</v>
      </c>
      <c r="BC15" s="496" t="n">
        <v>0</v>
      </c>
      <c r="BD15" s="496" t="n">
        <v>0</v>
      </c>
      <c r="BE15" s="496" t="n">
        <v>0</v>
      </c>
      <c r="BF15" s="496" t="n">
        <v>0</v>
      </c>
      <c r="BG15" s="496" t="n">
        <v>0</v>
      </c>
      <c r="BH15" s="496" t="n">
        <v>0</v>
      </c>
      <c r="BI15" s="496" t="n">
        <v>0</v>
      </c>
      <c r="BJ15" s="496" t="n">
        <v>0</v>
      </c>
      <c r="BK15" s="496" t="n">
        <v>0</v>
      </c>
      <c r="BL15" s="496" t="n">
        <v>0</v>
      </c>
      <c r="BM15" s="496" t="n">
        <v>0</v>
      </c>
      <c r="BN15" s="496" t="n">
        <v>0</v>
      </c>
      <c r="BO15" s="496" t="n">
        <v>0</v>
      </c>
      <c r="BP15" s="496" t="n">
        <v>0</v>
      </c>
      <c r="BQ15" s="496" t="n">
        <v>0</v>
      </c>
      <c r="BR15" s="496" t="n">
        <v>0</v>
      </c>
      <c r="BS15" s="496" t="n">
        <v>0</v>
      </c>
      <c r="BT15" s="496" t="n">
        <v>0</v>
      </c>
      <c r="BU15" s="496" t="n">
        <v>0</v>
      </c>
      <c r="BV15" s="496" t="n">
        <v>0</v>
      </c>
      <c r="BW15" s="496" t="n">
        <v>0</v>
      </c>
      <c r="BX15" s="496" t="n">
        <v>0</v>
      </c>
      <c r="BY15" s="496" t="n">
        <v>0</v>
      </c>
      <c r="BZ15" s="496" t="n">
        <v>0</v>
      </c>
      <c r="CA15" s="496" t="n">
        <v>0</v>
      </c>
      <c r="CB15" s="496" t="n">
        <v>0</v>
      </c>
      <c r="CC15" s="496" t="n">
        <v>0</v>
      </c>
      <c r="CD15" s="496" t="n">
        <v>0</v>
      </c>
      <c r="CE15" s="496" t="n">
        <v>0</v>
      </c>
      <c r="CF15" s="496" t="n">
        <v>0</v>
      </c>
      <c r="CG15" s="496" t="n">
        <v>0</v>
      </c>
      <c r="CH15" s="496" t="n">
        <v>0</v>
      </c>
      <c r="CI15" s="496" t="n">
        <v>0</v>
      </c>
      <c r="CJ15" s="496" t="n">
        <v>0</v>
      </c>
      <c r="CK15" s="496" t="n">
        <v>0</v>
      </c>
      <c r="CL15" s="496" t="n">
        <v>0</v>
      </c>
      <c r="CM15" s="496" t="n">
        <v>0</v>
      </c>
      <c r="CN15" s="496" t="n">
        <v>0</v>
      </c>
      <c r="CO15" s="496" t="n">
        <v>0</v>
      </c>
      <c r="CP15" s="496" t="n">
        <v>0</v>
      </c>
      <c r="CQ15" s="496" t="n">
        <v>0</v>
      </c>
      <c r="CR15" s="496" t="n">
        <v>0</v>
      </c>
      <c r="CS15" s="496" t="n">
        <v>0</v>
      </c>
      <c r="CT15" s="496" t="n">
        <v>0</v>
      </c>
      <c r="CU15" s="496" t="n">
        <v>0</v>
      </c>
      <c r="CV15" s="496" t="n">
        <v>0</v>
      </c>
      <c r="CW15" s="496" t="n">
        <v>0</v>
      </c>
      <c r="CX15" s="496" t="n">
        <v>0</v>
      </c>
      <c r="CY15" s="496" t="n">
        <v>0</v>
      </c>
      <c r="CZ15" s="496" t="n">
        <v>0</v>
      </c>
      <c r="DA15" s="496" t="n">
        <v>0</v>
      </c>
      <c r="DB15" s="496" t="n">
        <v>0</v>
      </c>
      <c r="DC15" s="496" t="n">
        <v>0</v>
      </c>
      <c r="DD15" s="496" t="n">
        <v>0</v>
      </c>
      <c r="DE15" s="496" t="n">
        <v>0</v>
      </c>
      <c r="DF15" s="496" t="n">
        <v>0</v>
      </c>
    </row>
    <row r="16" customFormat="false" ht="15" hidden="false" customHeight="false" outlineLevel="0" collapsed="false">
      <c r="A16" s="496" t="s">
        <v>1992</v>
      </c>
      <c r="B16" s="496" t="n">
        <v>5.899295</v>
      </c>
      <c r="C16" s="496" t="n">
        <v>5.899287</v>
      </c>
      <c r="D16" s="496" t="n">
        <v>0.3122408</v>
      </c>
      <c r="E16" s="496" t="n">
        <v>0.1560202</v>
      </c>
      <c r="F16" s="1099" t="n">
        <v>8.31E-005</v>
      </c>
      <c r="G16" s="496" t="n">
        <v>0</v>
      </c>
      <c r="H16" s="496" t="n">
        <v>5.899295</v>
      </c>
      <c r="I16" s="496" t="n">
        <v>0.1561204</v>
      </c>
      <c r="J16" s="1099" t="n">
        <v>0.000693</v>
      </c>
      <c r="K16" s="1099" t="n">
        <v>0.000693</v>
      </c>
      <c r="L16" s="496" t="n">
        <v>5.899295</v>
      </c>
      <c r="M16" s="496" t="n">
        <v>0</v>
      </c>
      <c r="N16" s="496" t="n">
        <v>0</v>
      </c>
      <c r="O16" s="496" t="n">
        <v>5.89922</v>
      </c>
      <c r="P16" s="496" t="n">
        <v>0</v>
      </c>
      <c r="Q16" s="1099" t="n">
        <v>1.79E-024</v>
      </c>
      <c r="R16" s="1099" t="n">
        <v>1.79E-024</v>
      </c>
      <c r="S16" s="1099" t="n">
        <v>5.72E-019</v>
      </c>
      <c r="T16" s="1099" t="n">
        <v>5.72E-019</v>
      </c>
      <c r="U16" s="1099" t="n">
        <v>7.45E-005</v>
      </c>
      <c r="V16" s="496" t="n">
        <v>5.743179</v>
      </c>
      <c r="W16" s="496" t="n">
        <v>5.743179</v>
      </c>
      <c r="X16" s="496" t="n">
        <v>5.743179</v>
      </c>
      <c r="Y16" s="496" t="n">
        <v>5.743179</v>
      </c>
      <c r="Z16" s="496" t="n">
        <v>5.743179</v>
      </c>
      <c r="AA16" s="496" t="n">
        <v>5.89922</v>
      </c>
      <c r="AB16" s="1099" t="n">
        <v>7.89E-005</v>
      </c>
      <c r="AC16" s="496" t="n">
        <v>0.1561204</v>
      </c>
      <c r="AD16" s="1099" t="n">
        <v>7.69E-005</v>
      </c>
      <c r="AE16" s="1099" t="n">
        <v>7.69E-005</v>
      </c>
      <c r="AF16" s="1099" t="n">
        <v>5.28E-009</v>
      </c>
      <c r="AG16" s="1099" t="n">
        <v>5.28E-009</v>
      </c>
      <c r="AH16" s="1099" t="n">
        <v>6.5E-005</v>
      </c>
      <c r="AI16" s="1099" t="n">
        <v>6.5E-005</v>
      </c>
      <c r="AJ16" s="1099" t="n">
        <v>6.5E-005</v>
      </c>
      <c r="AK16" s="1099" t="n">
        <v>6.5E-005</v>
      </c>
      <c r="AL16" s="1099" t="n">
        <v>6.5E-005</v>
      </c>
      <c r="AM16" s="1099" t="n">
        <v>6.5E-005</v>
      </c>
      <c r="AN16" s="1099" t="n">
        <v>5.99E-006</v>
      </c>
      <c r="AO16" s="1099" t="n">
        <v>5.99E-006</v>
      </c>
      <c r="AP16" s="496" t="n">
        <v>0</v>
      </c>
      <c r="AQ16" s="496" t="n">
        <v>0</v>
      </c>
      <c r="AR16" s="1099" t="n">
        <v>2.86E-006</v>
      </c>
      <c r="AS16" s="1099" t="n">
        <v>2.86E-006</v>
      </c>
      <c r="AT16" s="1099" t="n">
        <v>2.95E-006</v>
      </c>
      <c r="AU16" s="1099" t="n">
        <v>2.95E-006</v>
      </c>
      <c r="AV16" s="1099" t="n">
        <v>9.21E-009</v>
      </c>
      <c r="AW16" s="1099" t="n">
        <v>9.21E-009</v>
      </c>
      <c r="AX16" s="496" t="n">
        <v>5.899295</v>
      </c>
      <c r="AY16" s="496" t="n">
        <v>5.899295</v>
      </c>
      <c r="AZ16" s="496" t="n">
        <v>5.899295</v>
      </c>
      <c r="BA16" s="496" t="n">
        <v>5.899295</v>
      </c>
      <c r="BB16" s="1099" t="n">
        <v>7.89E-005</v>
      </c>
      <c r="BC16" s="496" t="n">
        <v>5.899295</v>
      </c>
      <c r="BD16" s="1099" t="n">
        <v>4.42E-006</v>
      </c>
      <c r="BE16" s="496" t="n">
        <v>94.92696</v>
      </c>
      <c r="BF16" s="496" t="n">
        <v>87.93438</v>
      </c>
      <c r="BG16" s="496" t="n">
        <v>87.93438</v>
      </c>
      <c r="BH16" s="496" t="n">
        <v>0.1561204</v>
      </c>
      <c r="BI16" s="496" t="n">
        <v>0.3122408</v>
      </c>
      <c r="BJ16" s="496" t="n">
        <v>0.6630737</v>
      </c>
      <c r="BK16" s="496" t="n">
        <v>95.08307</v>
      </c>
      <c r="BL16" s="1099" t="n">
        <v>0.0001</v>
      </c>
      <c r="BM16" s="496" t="n">
        <v>0.1560202</v>
      </c>
      <c r="BN16" s="1099" t="n">
        <v>1.79E-024</v>
      </c>
      <c r="BO16" s="1099" t="n">
        <v>0.0001</v>
      </c>
      <c r="BP16" s="1099" t="n">
        <v>1.71E-005</v>
      </c>
      <c r="BQ16" s="1099" t="n">
        <v>3.5E-024</v>
      </c>
      <c r="BR16" s="1099" t="n">
        <v>1.15E-020</v>
      </c>
      <c r="BS16" s="1099" t="n">
        <v>0.000693</v>
      </c>
      <c r="BT16" s="1099" t="n">
        <v>0.000127</v>
      </c>
      <c r="BU16" s="496" t="n">
        <v>0</v>
      </c>
      <c r="BV16" s="496" t="n">
        <v>5.89922</v>
      </c>
      <c r="BW16" s="496" t="n">
        <v>0</v>
      </c>
      <c r="BX16" s="1099" t="n">
        <v>7.89E-005</v>
      </c>
      <c r="BY16" s="496" t="n">
        <v>0</v>
      </c>
      <c r="BZ16" s="496" t="n">
        <v>0.1560202</v>
      </c>
      <c r="CA16" s="496" t="n">
        <v>0</v>
      </c>
      <c r="CB16" s="496" t="n">
        <v>5.899295</v>
      </c>
      <c r="CC16" s="496" t="n">
        <v>5.899287</v>
      </c>
      <c r="CD16" s="496" t="n">
        <v>5.899295</v>
      </c>
      <c r="CE16" s="496" t="n">
        <v>5.89922</v>
      </c>
      <c r="CF16" s="496" t="n">
        <v>5.89922</v>
      </c>
      <c r="CG16" s="1099" t="n">
        <v>7.89E-005</v>
      </c>
      <c r="CH16" s="1099" t="n">
        <v>7.89E-005</v>
      </c>
      <c r="CI16" s="496" t="n">
        <v>5.899295</v>
      </c>
      <c r="CJ16" s="496" t="n">
        <v>5.899295</v>
      </c>
      <c r="CK16" s="496" t="n">
        <v>5.899295</v>
      </c>
      <c r="CL16" s="496" t="n">
        <v>5.899295</v>
      </c>
      <c r="CM16" s="496" t="n">
        <v>5.899295</v>
      </c>
      <c r="CN16" s="496" t="n">
        <v>5.899295</v>
      </c>
      <c r="CO16" s="496" t="n">
        <v>0.6630737</v>
      </c>
      <c r="CP16" s="496" t="n">
        <v>0.6630737</v>
      </c>
      <c r="CQ16" s="496" t="n">
        <v>0</v>
      </c>
      <c r="CR16" s="496" t="n">
        <v>0</v>
      </c>
      <c r="CS16" s="496" t="n">
        <v>0.3122408</v>
      </c>
      <c r="CT16" s="496" t="n">
        <v>0.3122408</v>
      </c>
      <c r="CU16" s="496" t="n">
        <v>0.1560202</v>
      </c>
      <c r="CV16" s="496" t="n">
        <v>0.1560202</v>
      </c>
      <c r="CW16" s="496" t="n">
        <v>0.1560202</v>
      </c>
      <c r="CX16" s="496" t="n">
        <v>0.1560202</v>
      </c>
      <c r="CY16" s="1099" t="n">
        <v>0.000127</v>
      </c>
      <c r="CZ16" s="1099" t="n">
        <v>0.000127</v>
      </c>
      <c r="DA16" s="496" t="n">
        <v>0</v>
      </c>
      <c r="DB16" s="496" t="n">
        <v>0</v>
      </c>
      <c r="DC16" s="1099" t="n">
        <v>2.95E-006</v>
      </c>
      <c r="DD16" s="1099" t="n">
        <v>2.95E-006</v>
      </c>
      <c r="DE16" s="496" t="n">
        <v>0</v>
      </c>
      <c r="DF16" s="496" t="n">
        <v>0</v>
      </c>
    </row>
    <row r="17" customFormat="false" ht="15" hidden="false" customHeight="false" outlineLevel="0" collapsed="false">
      <c r="A17" s="496" t="s">
        <v>1993</v>
      </c>
      <c r="B17" s="496" t="n">
        <v>312.7262</v>
      </c>
      <c r="C17" s="496" t="n">
        <v>384.4475</v>
      </c>
      <c r="D17" s="496" t="n">
        <v>0.0494823</v>
      </c>
      <c r="E17" s="496" t="n">
        <v>0.0244837</v>
      </c>
      <c r="F17" s="1099" t="n">
        <v>0.000251</v>
      </c>
      <c r="G17" s="496" t="n">
        <v>0</v>
      </c>
      <c r="H17" s="1099" t="n">
        <v>0.000235</v>
      </c>
      <c r="I17" s="496" t="n">
        <v>0.0247411</v>
      </c>
      <c r="J17" s="1099" t="n">
        <v>0.00205</v>
      </c>
      <c r="K17" s="1099" t="n">
        <v>0.00205</v>
      </c>
      <c r="L17" s="496" t="n">
        <v>312.7261</v>
      </c>
      <c r="M17" s="496" t="n">
        <v>0</v>
      </c>
      <c r="N17" s="496" t="n">
        <v>0</v>
      </c>
      <c r="O17" s="496" t="n">
        <v>0</v>
      </c>
      <c r="P17" s="496" t="n">
        <v>0</v>
      </c>
      <c r="Q17" s="1099" t="n">
        <v>4.05E-025</v>
      </c>
      <c r="R17" s="1099" t="n">
        <v>4.05E-025</v>
      </c>
      <c r="S17" s="1099" t="n">
        <v>5.81E-028</v>
      </c>
      <c r="T17" s="1099" t="n">
        <v>5.81E-028</v>
      </c>
      <c r="U17" s="1099" t="n">
        <v>0.000235</v>
      </c>
      <c r="V17" s="496" t="n">
        <v>416.2465</v>
      </c>
      <c r="W17" s="496" t="n">
        <v>416.2465</v>
      </c>
      <c r="X17" s="496" t="n">
        <v>416.2465</v>
      </c>
      <c r="Y17" s="496" t="n">
        <v>416.2465</v>
      </c>
      <c r="Z17" s="496" t="n">
        <v>416.2465</v>
      </c>
      <c r="AA17" s="496" t="n">
        <v>0</v>
      </c>
      <c r="AB17" s="1099" t="n">
        <v>0.000248</v>
      </c>
      <c r="AC17" s="496" t="n">
        <v>0.0247411</v>
      </c>
      <c r="AD17" s="496" t="n">
        <v>0</v>
      </c>
      <c r="AE17" s="496" t="n">
        <v>0</v>
      </c>
      <c r="AF17" s="1099" t="n">
        <v>1.66E-008</v>
      </c>
      <c r="AG17" s="1099" t="n">
        <v>1.66E-008</v>
      </c>
      <c r="AH17" s="1099" t="n">
        <v>0.00344</v>
      </c>
      <c r="AI17" s="1099" t="n">
        <v>0.00344</v>
      </c>
      <c r="AJ17" s="1099" t="n">
        <v>0.00344</v>
      </c>
      <c r="AK17" s="1099" t="n">
        <v>0.00344</v>
      </c>
      <c r="AL17" s="1099" t="n">
        <v>0.00423</v>
      </c>
      <c r="AM17" s="1099" t="n">
        <v>0.00423</v>
      </c>
      <c r="AN17" s="1099" t="n">
        <v>1.22E-006</v>
      </c>
      <c r="AO17" s="1099" t="n">
        <v>1.22E-006</v>
      </c>
      <c r="AP17" s="496" t="n">
        <v>0</v>
      </c>
      <c r="AQ17" s="496" t="n">
        <v>0</v>
      </c>
      <c r="AR17" s="1099" t="n">
        <v>4.54E-007</v>
      </c>
      <c r="AS17" s="1099" t="n">
        <v>4.54E-007</v>
      </c>
      <c r="AT17" s="1099" t="n">
        <v>4.62E-007</v>
      </c>
      <c r="AU17" s="1099" t="n">
        <v>4.62E-007</v>
      </c>
      <c r="AV17" s="1099" t="n">
        <v>5.74E-008</v>
      </c>
      <c r="AW17" s="1099" t="n">
        <v>5.74E-008</v>
      </c>
      <c r="AX17" s="496" t="n">
        <v>312.7261</v>
      </c>
      <c r="AY17" s="496" t="n">
        <v>312.7261</v>
      </c>
      <c r="AZ17" s="496" t="n">
        <v>384.4474</v>
      </c>
      <c r="BA17" s="1099" t="n">
        <v>0.000235</v>
      </c>
      <c r="BB17" s="1099" t="n">
        <v>0.000248</v>
      </c>
      <c r="BC17" s="496" t="n">
        <v>384.4474</v>
      </c>
      <c r="BD17" s="1099" t="n">
        <v>1.39E-005</v>
      </c>
      <c r="BE17" s="496" t="n">
        <v>132.32</v>
      </c>
      <c r="BF17" s="496" t="n">
        <v>6373.192</v>
      </c>
      <c r="BG17" s="496" t="n">
        <v>6373.192</v>
      </c>
      <c r="BH17" s="496" t="n">
        <v>0.0247411</v>
      </c>
      <c r="BI17" s="496" t="n">
        <v>0.0494823</v>
      </c>
      <c r="BJ17" s="496" t="n">
        <v>0.135148</v>
      </c>
      <c r="BK17" s="496" t="n">
        <v>100.5209</v>
      </c>
      <c r="BL17" s="1099" t="n">
        <v>0.000257</v>
      </c>
      <c r="BM17" s="496" t="n">
        <v>0.0244837</v>
      </c>
      <c r="BN17" s="1099" t="n">
        <v>4.05E-025</v>
      </c>
      <c r="BO17" s="1099" t="n">
        <v>0.000257</v>
      </c>
      <c r="BP17" s="1099" t="n">
        <v>6.53E-006</v>
      </c>
      <c r="BQ17" s="1099" t="n">
        <v>7.93E-025</v>
      </c>
      <c r="BR17" s="1099" t="n">
        <v>1.9E-022</v>
      </c>
      <c r="BS17" s="1099" t="n">
        <v>0.00205</v>
      </c>
      <c r="BT17" s="1099" t="n">
        <v>0.000794</v>
      </c>
      <c r="BU17" s="496" t="n">
        <v>0</v>
      </c>
      <c r="BV17" s="496" t="n">
        <v>0</v>
      </c>
      <c r="BW17" s="496" t="n">
        <v>0</v>
      </c>
      <c r="BX17" s="1099" t="n">
        <v>0.000248</v>
      </c>
      <c r="BY17" s="496" t="n">
        <v>0</v>
      </c>
      <c r="BZ17" s="496" t="n">
        <v>0.0244837</v>
      </c>
      <c r="CA17" s="496" t="n">
        <v>0</v>
      </c>
      <c r="CB17" s="496" t="n">
        <v>312.7261</v>
      </c>
      <c r="CC17" s="496" t="n">
        <v>312.7262</v>
      </c>
      <c r="CD17" s="1099" t="n">
        <v>0.000235</v>
      </c>
      <c r="CE17" s="496" t="n">
        <v>0</v>
      </c>
      <c r="CF17" s="496" t="n">
        <v>0</v>
      </c>
      <c r="CG17" s="1099" t="n">
        <v>0.000248</v>
      </c>
      <c r="CH17" s="1099" t="n">
        <v>0.000248</v>
      </c>
      <c r="CI17" s="496" t="n">
        <v>312.7261</v>
      </c>
      <c r="CJ17" s="496" t="n">
        <v>312.7261</v>
      </c>
      <c r="CK17" s="496" t="n">
        <v>312.7261</v>
      </c>
      <c r="CL17" s="496" t="n">
        <v>312.7261</v>
      </c>
      <c r="CM17" s="496" t="n">
        <v>384.4474</v>
      </c>
      <c r="CN17" s="496" t="n">
        <v>384.4474</v>
      </c>
      <c r="CO17" s="496" t="n">
        <v>0.135148</v>
      </c>
      <c r="CP17" s="496" t="n">
        <v>0.135148</v>
      </c>
      <c r="CQ17" s="496" t="n">
        <v>0</v>
      </c>
      <c r="CR17" s="496" t="n">
        <v>0</v>
      </c>
      <c r="CS17" s="496" t="n">
        <v>0.0494823</v>
      </c>
      <c r="CT17" s="496" t="n">
        <v>0.0494823</v>
      </c>
      <c r="CU17" s="496" t="n">
        <v>0.0244837</v>
      </c>
      <c r="CV17" s="496" t="n">
        <v>0.0244837</v>
      </c>
      <c r="CW17" s="496" t="n">
        <v>0.0244837</v>
      </c>
      <c r="CX17" s="496" t="n">
        <v>0.0244837</v>
      </c>
      <c r="CY17" s="1099" t="n">
        <v>0.000794</v>
      </c>
      <c r="CZ17" s="1099" t="n">
        <v>0.000794</v>
      </c>
      <c r="DA17" s="496" t="n">
        <v>0</v>
      </c>
      <c r="DB17" s="496" t="n">
        <v>0</v>
      </c>
      <c r="DC17" s="1099" t="n">
        <v>4.62E-007</v>
      </c>
      <c r="DD17" s="1099" t="n">
        <v>4.62E-007</v>
      </c>
      <c r="DE17" s="496" t="n">
        <v>0</v>
      </c>
      <c r="DF17" s="496" t="n">
        <v>0</v>
      </c>
    </row>
    <row r="18" customFormat="false" ht="15" hidden="false" customHeight="false" outlineLevel="0" collapsed="false">
      <c r="A18" s="496" t="s">
        <v>1994</v>
      </c>
      <c r="B18" s="496" t="n">
        <v>124.9653</v>
      </c>
      <c r="C18" s="496" t="n">
        <v>53.24391</v>
      </c>
      <c r="D18" s="496" t="n">
        <v>94.80211</v>
      </c>
      <c r="E18" s="496" t="n">
        <v>0</v>
      </c>
      <c r="F18" s="496" t="n">
        <v>47.11556</v>
      </c>
      <c r="G18" s="496" t="n">
        <v>0</v>
      </c>
      <c r="H18" s="496" t="n">
        <v>437.8162</v>
      </c>
      <c r="I18" s="496" t="n">
        <v>47.40105</v>
      </c>
      <c r="J18" s="496" t="n">
        <v>383.5853</v>
      </c>
      <c r="K18" s="496" t="n">
        <v>383.5853</v>
      </c>
      <c r="L18" s="496" t="n">
        <v>124.9653</v>
      </c>
      <c r="M18" s="496" t="n">
        <v>416.6896</v>
      </c>
      <c r="N18" s="496" t="n">
        <v>0</v>
      </c>
      <c r="O18" s="496" t="n">
        <v>0</v>
      </c>
      <c r="P18" s="496" t="n">
        <v>0</v>
      </c>
      <c r="Q18" s="496" t="n">
        <v>0.0331261</v>
      </c>
      <c r="R18" s="496" t="n">
        <v>0.0331261</v>
      </c>
      <c r="S18" s="496" t="n">
        <v>0.0331276</v>
      </c>
      <c r="T18" s="496" t="n">
        <v>0.0331276</v>
      </c>
      <c r="U18" s="496" t="n">
        <v>437.8162</v>
      </c>
      <c r="V18" s="1099" t="n">
        <v>4.34E-007</v>
      </c>
      <c r="W18" s="1099" t="n">
        <v>4.34E-007</v>
      </c>
      <c r="X18" s="1099" t="n">
        <v>4.34E-007</v>
      </c>
      <c r="Y18" s="1099" t="n">
        <v>4.34E-007</v>
      </c>
      <c r="Z18" s="1099" t="n">
        <v>4.34E-007</v>
      </c>
      <c r="AA18" s="496" t="n">
        <v>0</v>
      </c>
      <c r="AB18" s="496" t="n">
        <v>463.7972</v>
      </c>
      <c r="AC18" s="496" t="n">
        <v>47.40105</v>
      </c>
      <c r="AD18" s="496" t="n">
        <v>0</v>
      </c>
      <c r="AE18" s="496" t="n">
        <v>0</v>
      </c>
      <c r="AF18" s="496" t="n">
        <v>0.0310244</v>
      </c>
      <c r="AG18" s="496" t="n">
        <v>0.0310244</v>
      </c>
      <c r="AH18" s="1099" t="n">
        <v>0.00138</v>
      </c>
      <c r="AI18" s="1099" t="n">
        <v>0.00138</v>
      </c>
      <c r="AJ18" s="1099" t="n">
        <v>0.00138</v>
      </c>
      <c r="AK18" s="1099" t="n">
        <v>0.00138</v>
      </c>
      <c r="AL18" s="1099" t="n">
        <v>0.000586</v>
      </c>
      <c r="AM18" s="1099" t="n">
        <v>0.000586</v>
      </c>
      <c r="AN18" s="1099" t="n">
        <v>0.000721</v>
      </c>
      <c r="AO18" s="1099" t="n">
        <v>0.000721</v>
      </c>
      <c r="AP18" s="496" t="n">
        <v>0</v>
      </c>
      <c r="AQ18" s="496" t="n">
        <v>0</v>
      </c>
      <c r="AR18" s="1099" t="n">
        <v>0.00087</v>
      </c>
      <c r="AS18" s="1099" t="n">
        <v>0.00087</v>
      </c>
      <c r="AT18" s="1099" t="n">
        <v>1.23E-021</v>
      </c>
      <c r="AU18" s="1099" t="n">
        <v>1.23E-021</v>
      </c>
      <c r="AV18" s="496" t="n">
        <v>0.0308884</v>
      </c>
      <c r="AW18" s="496" t="n">
        <v>0.0308884</v>
      </c>
      <c r="AX18" s="496" t="n">
        <v>124.9653</v>
      </c>
      <c r="AY18" s="496" t="n">
        <v>124.9653</v>
      </c>
      <c r="AZ18" s="496" t="n">
        <v>53.2439</v>
      </c>
      <c r="BA18" s="496" t="n">
        <v>437.8162</v>
      </c>
      <c r="BB18" s="496" t="n">
        <v>47.10758</v>
      </c>
      <c r="BC18" s="496" t="n">
        <v>53.2439</v>
      </c>
      <c r="BD18" s="496" t="n">
        <v>25.98099</v>
      </c>
      <c r="BE18" s="496" t="n">
        <v>21.01684</v>
      </c>
      <c r="BF18" s="1099" t="n">
        <v>6.65E-006</v>
      </c>
      <c r="BG18" s="1099" t="n">
        <v>6.65E-006</v>
      </c>
      <c r="BH18" s="496" t="n">
        <v>47.40105</v>
      </c>
      <c r="BI18" s="496" t="n">
        <v>94.80211</v>
      </c>
      <c r="BJ18" s="496" t="n">
        <v>79.70162</v>
      </c>
      <c r="BK18" s="496" t="n">
        <v>74.26073</v>
      </c>
      <c r="BL18" s="496" t="n">
        <v>47.40105</v>
      </c>
      <c r="BM18" s="1099" t="n">
        <v>6.53E-017</v>
      </c>
      <c r="BN18" s="496" t="n">
        <v>0.0331261</v>
      </c>
      <c r="BO18" s="496" t="n">
        <v>47.40105</v>
      </c>
      <c r="BP18" s="496" t="n">
        <v>0.2523683</v>
      </c>
      <c r="BQ18" s="496" t="n">
        <v>0.0649074</v>
      </c>
      <c r="BR18" s="496" t="n">
        <v>0.0649074</v>
      </c>
      <c r="BS18" s="496" t="n">
        <v>383.5853</v>
      </c>
      <c r="BT18" s="496" t="n">
        <v>427.1037</v>
      </c>
      <c r="BU18" s="496" t="n">
        <v>0</v>
      </c>
      <c r="BV18" s="496" t="n">
        <v>0</v>
      </c>
      <c r="BW18" s="496" t="n">
        <v>0</v>
      </c>
      <c r="BX18" s="496" t="n">
        <v>463.7972</v>
      </c>
      <c r="BY18" s="496" t="n">
        <v>0</v>
      </c>
      <c r="BZ18" s="496" t="n">
        <v>0</v>
      </c>
      <c r="CA18" s="496" t="n">
        <v>0</v>
      </c>
      <c r="CB18" s="496" t="n">
        <v>124.9653</v>
      </c>
      <c r="CC18" s="496" t="n">
        <v>124.9653</v>
      </c>
      <c r="CD18" s="496" t="n">
        <v>437.8163</v>
      </c>
      <c r="CE18" s="496" t="n">
        <v>0</v>
      </c>
      <c r="CF18" s="496" t="n">
        <v>0</v>
      </c>
      <c r="CG18" s="496" t="n">
        <v>463.7972</v>
      </c>
      <c r="CH18" s="496" t="n">
        <v>463.7972</v>
      </c>
      <c r="CI18" s="496" t="n">
        <v>124.9653</v>
      </c>
      <c r="CJ18" s="496" t="n">
        <v>124.9653</v>
      </c>
      <c r="CK18" s="496" t="n">
        <v>124.9653</v>
      </c>
      <c r="CL18" s="496" t="n">
        <v>124.9653</v>
      </c>
      <c r="CM18" s="496" t="n">
        <v>53.2439</v>
      </c>
      <c r="CN18" s="496" t="n">
        <v>53.2439</v>
      </c>
      <c r="CO18" s="496" t="n">
        <v>79.70162</v>
      </c>
      <c r="CP18" s="496" t="n">
        <v>79.70162</v>
      </c>
      <c r="CQ18" s="496" t="n">
        <v>0</v>
      </c>
      <c r="CR18" s="496" t="n">
        <v>0</v>
      </c>
      <c r="CS18" s="496" t="n">
        <v>94.80211</v>
      </c>
      <c r="CT18" s="496" t="n">
        <v>94.80211</v>
      </c>
      <c r="CU18" s="1099" t="n">
        <v>6.53E-017</v>
      </c>
      <c r="CV18" s="1099" t="n">
        <v>6.53E-017</v>
      </c>
      <c r="CW18" s="496" t="n">
        <v>0</v>
      </c>
      <c r="CX18" s="496" t="n">
        <v>0</v>
      </c>
      <c r="CY18" s="496" t="n">
        <v>427.1037</v>
      </c>
      <c r="CZ18" s="496" t="n">
        <v>427.1037</v>
      </c>
      <c r="DA18" s="496" t="n">
        <v>0</v>
      </c>
      <c r="DB18" s="496" t="n">
        <v>0</v>
      </c>
      <c r="DC18" s="1099" t="n">
        <v>1.23E-021</v>
      </c>
      <c r="DD18" s="1099" t="n">
        <v>1.23E-021</v>
      </c>
      <c r="DE18" s="496" t="n">
        <v>0</v>
      </c>
      <c r="DF18" s="496" t="n">
        <v>0</v>
      </c>
    </row>
    <row r="19" customFormat="false" ht="15" hidden="false" customHeight="false" outlineLevel="0" collapsed="false">
      <c r="A19" s="496" t="s">
        <v>1995</v>
      </c>
      <c r="B19" s="496" t="n">
        <v>0.1681403</v>
      </c>
      <c r="C19" s="496" t="n">
        <v>0.1681365</v>
      </c>
      <c r="D19" s="496" t="n">
        <v>0.4181022</v>
      </c>
      <c r="E19" s="496" t="n">
        <v>4.697747</v>
      </c>
      <c r="F19" s="1099" t="n">
        <v>0.00194</v>
      </c>
      <c r="G19" s="496" t="n">
        <v>4.440675</v>
      </c>
      <c r="H19" s="496" t="n">
        <v>0.7039695</v>
      </c>
      <c r="I19" s="496" t="n">
        <v>0.2090511</v>
      </c>
      <c r="J19" s="496" t="n">
        <v>0.0157535</v>
      </c>
      <c r="K19" s="496" t="n">
        <v>0.0157535</v>
      </c>
      <c r="L19" s="496" t="n">
        <v>0.1681406</v>
      </c>
      <c r="M19" s="496" t="n">
        <v>0.7418702</v>
      </c>
      <c r="N19" s="496" t="n">
        <v>0</v>
      </c>
      <c r="O19" s="496" t="n">
        <v>0</v>
      </c>
      <c r="P19" s="496" t="n">
        <v>832.6265</v>
      </c>
      <c r="Q19" s="496" t="n">
        <v>832.5766</v>
      </c>
      <c r="R19" s="496" t="n">
        <v>832.5766</v>
      </c>
      <c r="S19" s="496" t="n">
        <v>832.5766</v>
      </c>
      <c r="T19" s="496" t="n">
        <v>832.5766</v>
      </c>
      <c r="U19" s="496" t="n">
        <v>0.7039695</v>
      </c>
      <c r="V19" s="1099" t="n">
        <v>0.000865</v>
      </c>
      <c r="W19" s="1099" t="n">
        <v>0.000865</v>
      </c>
      <c r="X19" s="1099" t="n">
        <v>0.000865</v>
      </c>
      <c r="Y19" s="1099" t="n">
        <v>0.000865</v>
      </c>
      <c r="Z19" s="1099" t="n">
        <v>0.000865</v>
      </c>
      <c r="AA19" s="496" t="n">
        <v>0</v>
      </c>
      <c r="AB19" s="496" t="n">
        <v>0.7457446</v>
      </c>
      <c r="AC19" s="496" t="n">
        <v>0.2090511</v>
      </c>
      <c r="AD19" s="496" t="n">
        <v>0</v>
      </c>
      <c r="AE19" s="496" t="n">
        <v>0</v>
      </c>
      <c r="AF19" s="1099" t="n">
        <v>4.99E-005</v>
      </c>
      <c r="AG19" s="1099" t="n">
        <v>4.99E-005</v>
      </c>
      <c r="AH19" s="1099" t="n">
        <v>1.85E-006</v>
      </c>
      <c r="AI19" s="1099" t="n">
        <v>1.85E-006</v>
      </c>
      <c r="AJ19" s="1099" t="n">
        <v>1.85E-006</v>
      </c>
      <c r="AK19" s="1099" t="n">
        <v>1.85E-006</v>
      </c>
      <c r="AL19" s="1099" t="n">
        <v>1.85E-006</v>
      </c>
      <c r="AM19" s="1099" t="n">
        <v>1.85E-006</v>
      </c>
      <c r="AN19" s="1099" t="n">
        <v>2.64E-006</v>
      </c>
      <c r="AO19" s="1099" t="n">
        <v>2.64E-006</v>
      </c>
      <c r="AP19" s="496" t="n">
        <v>0.0555084</v>
      </c>
      <c r="AQ19" s="496" t="n">
        <v>0.0555084</v>
      </c>
      <c r="AR19" s="1099" t="n">
        <v>3.83E-006</v>
      </c>
      <c r="AS19" s="1099" t="n">
        <v>3.83E-006</v>
      </c>
      <c r="AT19" s="1099" t="n">
        <v>8.87E-005</v>
      </c>
      <c r="AU19" s="1099" t="n">
        <v>8.87E-005</v>
      </c>
      <c r="AV19" s="1099" t="n">
        <v>2.77E-006</v>
      </c>
      <c r="AW19" s="1099" t="n">
        <v>2.77E-006</v>
      </c>
      <c r="AX19" s="496" t="n">
        <v>0.1681406</v>
      </c>
      <c r="AY19" s="496" t="n">
        <v>0.1681406</v>
      </c>
      <c r="AZ19" s="496" t="n">
        <v>0.1681406</v>
      </c>
      <c r="BA19" s="496" t="n">
        <v>0.7039695</v>
      </c>
      <c r="BB19" s="1099" t="n">
        <v>0.00387</v>
      </c>
      <c r="BC19" s="496" t="n">
        <v>0.1681406</v>
      </c>
      <c r="BD19" s="496" t="n">
        <v>0.0417751</v>
      </c>
      <c r="BE19" s="496" t="n">
        <v>0.1139444</v>
      </c>
      <c r="BF19" s="496" t="n">
        <v>0.0132379</v>
      </c>
      <c r="BG19" s="496" t="n">
        <v>0.0132379</v>
      </c>
      <c r="BH19" s="496" t="n">
        <v>0.2090511</v>
      </c>
      <c r="BI19" s="496" t="n">
        <v>0.4181022</v>
      </c>
      <c r="BJ19" s="496" t="n">
        <v>0.2916557</v>
      </c>
      <c r="BK19" s="496" t="n">
        <v>0.2812204</v>
      </c>
      <c r="BL19" s="496" t="n">
        <v>828.1378</v>
      </c>
      <c r="BM19" s="496" t="n">
        <v>4.697747</v>
      </c>
      <c r="BN19" s="496" t="n">
        <v>828.1359</v>
      </c>
      <c r="BO19" s="496" t="n">
        <v>828.1378</v>
      </c>
      <c r="BP19" s="1099" t="n">
        <v>3.68E-006</v>
      </c>
      <c r="BQ19" s="496" t="n">
        <v>1622.65</v>
      </c>
      <c r="BR19" s="496" t="n">
        <v>1622.65</v>
      </c>
      <c r="BS19" s="496" t="n">
        <v>0.0157535</v>
      </c>
      <c r="BT19" s="496" t="n">
        <v>0.0382703</v>
      </c>
      <c r="BU19" s="496" t="n">
        <v>0</v>
      </c>
      <c r="BV19" s="496" t="n">
        <v>0</v>
      </c>
      <c r="BW19" s="496" t="n">
        <v>0</v>
      </c>
      <c r="BX19" s="496" t="n">
        <v>0.7457446</v>
      </c>
      <c r="BY19" s="496" t="n">
        <v>0</v>
      </c>
      <c r="BZ19" s="496" t="n">
        <v>4.697747</v>
      </c>
      <c r="CA19" s="496" t="n">
        <v>0</v>
      </c>
      <c r="CB19" s="496" t="n">
        <v>0.1681406</v>
      </c>
      <c r="CC19" s="496" t="n">
        <v>0.1681365</v>
      </c>
      <c r="CD19" s="496" t="n">
        <v>0.7039677</v>
      </c>
      <c r="CE19" s="496" t="n">
        <v>0</v>
      </c>
      <c r="CF19" s="496" t="n">
        <v>0</v>
      </c>
      <c r="CG19" s="496" t="n">
        <v>0.7457446</v>
      </c>
      <c r="CH19" s="496" t="n">
        <v>0.7457446</v>
      </c>
      <c r="CI19" s="496" t="n">
        <v>0.1681406</v>
      </c>
      <c r="CJ19" s="496" t="n">
        <v>0.1681406</v>
      </c>
      <c r="CK19" s="496" t="n">
        <v>0.1681406</v>
      </c>
      <c r="CL19" s="496" t="n">
        <v>0.1681406</v>
      </c>
      <c r="CM19" s="496" t="n">
        <v>0.1681406</v>
      </c>
      <c r="CN19" s="496" t="n">
        <v>0.1681406</v>
      </c>
      <c r="CO19" s="496" t="n">
        <v>0.2916557</v>
      </c>
      <c r="CP19" s="496" t="n">
        <v>0.2916557</v>
      </c>
      <c r="CQ19" s="496" t="n">
        <v>906.7691</v>
      </c>
      <c r="CR19" s="496" t="n">
        <v>906.7691</v>
      </c>
      <c r="CS19" s="496" t="n">
        <v>0.4181022</v>
      </c>
      <c r="CT19" s="496" t="n">
        <v>0.4181022</v>
      </c>
      <c r="CU19" s="496" t="n">
        <v>4.697747</v>
      </c>
      <c r="CV19" s="496" t="n">
        <v>4.697747</v>
      </c>
      <c r="CW19" s="496" t="n">
        <v>4.697747</v>
      </c>
      <c r="CX19" s="496" t="n">
        <v>4.697747</v>
      </c>
      <c r="CY19" s="496" t="n">
        <v>0.0382703</v>
      </c>
      <c r="CZ19" s="496" t="n">
        <v>0.0382703</v>
      </c>
      <c r="DA19" s="496" t="n">
        <v>293.4681</v>
      </c>
      <c r="DB19" s="496" t="n">
        <v>293.4681</v>
      </c>
      <c r="DC19" s="1099" t="n">
        <v>8.87E-005</v>
      </c>
      <c r="DD19" s="1099" t="n">
        <v>8.87E-005</v>
      </c>
      <c r="DE19" s="496" t="n">
        <v>0.0555084</v>
      </c>
      <c r="DF19" s="496" t="n">
        <v>0.0555084</v>
      </c>
    </row>
    <row r="20" customFormat="false" ht="15" hidden="false" customHeight="false" outlineLevel="0" collapsed="false">
      <c r="A20" s="496" t="s">
        <v>1996</v>
      </c>
      <c r="B20" s="496" t="n">
        <v>0.6146577</v>
      </c>
      <c r="C20" s="496" t="n">
        <v>0.6146518</v>
      </c>
      <c r="D20" s="496" t="n">
        <v>0.1136331</v>
      </c>
      <c r="E20" s="496" t="n">
        <v>0.0396248</v>
      </c>
      <c r="F20" s="496" t="n">
        <v>0.0171408</v>
      </c>
      <c r="G20" s="496" t="n">
        <v>0</v>
      </c>
      <c r="H20" s="496" t="n">
        <v>0.0162851</v>
      </c>
      <c r="I20" s="496" t="n">
        <v>0.0568165</v>
      </c>
      <c r="J20" s="496" t="n">
        <v>0.1395094</v>
      </c>
      <c r="K20" s="496" t="n">
        <v>0.1395094</v>
      </c>
      <c r="L20" s="496" t="n">
        <v>0.6146592</v>
      </c>
      <c r="M20" s="496" t="n">
        <v>0</v>
      </c>
      <c r="N20" s="496" t="n">
        <v>0</v>
      </c>
      <c r="O20" s="496" t="n">
        <v>0</v>
      </c>
      <c r="P20" s="496" t="n">
        <v>0</v>
      </c>
      <c r="Q20" s="1099" t="n">
        <v>7.42E-017</v>
      </c>
      <c r="R20" s="1099" t="n">
        <v>7.42E-017</v>
      </c>
      <c r="S20" s="1099" t="n">
        <v>6.51E-016</v>
      </c>
      <c r="T20" s="1099" t="n">
        <v>6.51E-016</v>
      </c>
      <c r="U20" s="496" t="n">
        <v>0.0162851</v>
      </c>
      <c r="V20" s="496" t="n">
        <v>0.558809</v>
      </c>
      <c r="W20" s="496" t="n">
        <v>0.558809</v>
      </c>
      <c r="X20" s="496" t="n">
        <v>0.558809</v>
      </c>
      <c r="Y20" s="496" t="n">
        <v>0.558809</v>
      </c>
      <c r="Z20" s="496" t="n">
        <v>0.558809</v>
      </c>
      <c r="AA20" s="496" t="n">
        <v>0</v>
      </c>
      <c r="AB20" s="496" t="n">
        <v>0.0172515</v>
      </c>
      <c r="AC20" s="496" t="n">
        <v>0.0568165</v>
      </c>
      <c r="AD20" s="496" t="n">
        <v>0</v>
      </c>
      <c r="AE20" s="496" t="n">
        <v>0</v>
      </c>
      <c r="AF20" s="1099" t="n">
        <v>1.15E-006</v>
      </c>
      <c r="AG20" s="1099" t="n">
        <v>1.15E-006</v>
      </c>
      <c r="AH20" s="1099" t="n">
        <v>6.77E-006</v>
      </c>
      <c r="AI20" s="1099" t="n">
        <v>6.77E-006</v>
      </c>
      <c r="AJ20" s="1099" t="n">
        <v>6.77E-006</v>
      </c>
      <c r="AK20" s="1099" t="n">
        <v>6.77E-006</v>
      </c>
      <c r="AL20" s="1099" t="n">
        <v>6.77E-006</v>
      </c>
      <c r="AM20" s="1099" t="n">
        <v>6.77E-006</v>
      </c>
      <c r="AN20" s="1099" t="n">
        <v>1.86E-006</v>
      </c>
      <c r="AO20" s="1099" t="n">
        <v>1.86E-006</v>
      </c>
      <c r="AP20" s="496" t="n">
        <v>0</v>
      </c>
      <c r="AQ20" s="496" t="n">
        <v>0</v>
      </c>
      <c r="AR20" s="1099" t="n">
        <v>1.04E-006</v>
      </c>
      <c r="AS20" s="1099" t="n">
        <v>1.04E-006</v>
      </c>
      <c r="AT20" s="1099" t="n">
        <v>7.48E-007</v>
      </c>
      <c r="AU20" s="1099" t="n">
        <v>7.48E-007</v>
      </c>
      <c r="AV20" s="1099" t="n">
        <v>1.51E-005</v>
      </c>
      <c r="AW20" s="1099" t="n">
        <v>1.51E-005</v>
      </c>
      <c r="AX20" s="496" t="n">
        <v>0.6146592</v>
      </c>
      <c r="AY20" s="496" t="n">
        <v>0.6146592</v>
      </c>
      <c r="AZ20" s="496" t="n">
        <v>0.6146592</v>
      </c>
      <c r="BA20" s="496" t="n">
        <v>0.0162851</v>
      </c>
      <c r="BB20" s="496" t="n">
        <v>0.0172515</v>
      </c>
      <c r="BC20" s="496" t="n">
        <v>0.6146592</v>
      </c>
      <c r="BD20" s="1099" t="n">
        <v>0.000966</v>
      </c>
      <c r="BE20" s="496" t="n">
        <v>1.295429</v>
      </c>
      <c r="BF20" s="496" t="n">
        <v>8.55598</v>
      </c>
      <c r="BG20" s="496" t="n">
        <v>8.55598</v>
      </c>
      <c r="BH20" s="496" t="n">
        <v>0.0568165</v>
      </c>
      <c r="BI20" s="496" t="n">
        <v>0.1136331</v>
      </c>
      <c r="BJ20" s="496" t="n">
        <v>0.2059045</v>
      </c>
      <c r="BK20" s="496" t="n">
        <v>1.351279</v>
      </c>
      <c r="BL20" s="496" t="n">
        <v>0.0171917</v>
      </c>
      <c r="BM20" s="496" t="n">
        <v>0.0396248</v>
      </c>
      <c r="BN20" s="1099" t="n">
        <v>7.42E-017</v>
      </c>
      <c r="BO20" s="496" t="n">
        <v>0.0171917</v>
      </c>
      <c r="BP20" s="1099" t="n">
        <v>5.08E-005</v>
      </c>
      <c r="BQ20" s="1099" t="n">
        <v>1.45E-016</v>
      </c>
      <c r="BR20" s="1099" t="n">
        <v>1.45E-016</v>
      </c>
      <c r="BS20" s="496" t="n">
        <v>0.1395094</v>
      </c>
      <c r="BT20" s="496" t="n">
        <v>0.2091267</v>
      </c>
      <c r="BU20" s="496" t="n">
        <v>0</v>
      </c>
      <c r="BV20" s="496" t="n">
        <v>0</v>
      </c>
      <c r="BW20" s="496" t="n">
        <v>0</v>
      </c>
      <c r="BX20" s="496" t="n">
        <v>0.0172515</v>
      </c>
      <c r="BY20" s="496" t="n">
        <v>0</v>
      </c>
      <c r="BZ20" s="496" t="n">
        <v>0.0396248</v>
      </c>
      <c r="CA20" s="496" t="n">
        <v>0</v>
      </c>
      <c r="CB20" s="496" t="n">
        <v>0.6146592</v>
      </c>
      <c r="CC20" s="496" t="n">
        <v>0.6146518</v>
      </c>
      <c r="CD20" s="496" t="n">
        <v>0.0162851</v>
      </c>
      <c r="CE20" s="496" t="n">
        <v>0</v>
      </c>
      <c r="CF20" s="496" t="n">
        <v>0</v>
      </c>
      <c r="CG20" s="496" t="n">
        <v>0.0172515</v>
      </c>
      <c r="CH20" s="496" t="n">
        <v>0.0172515</v>
      </c>
      <c r="CI20" s="496" t="n">
        <v>0.6146592</v>
      </c>
      <c r="CJ20" s="496" t="n">
        <v>0.6146592</v>
      </c>
      <c r="CK20" s="496" t="n">
        <v>0.6146592</v>
      </c>
      <c r="CL20" s="496" t="n">
        <v>0.6146592</v>
      </c>
      <c r="CM20" s="496" t="n">
        <v>0.6146592</v>
      </c>
      <c r="CN20" s="496" t="n">
        <v>0.6146592</v>
      </c>
      <c r="CO20" s="496" t="n">
        <v>0.2059045</v>
      </c>
      <c r="CP20" s="496" t="n">
        <v>0.2059045</v>
      </c>
      <c r="CQ20" s="496" t="n">
        <v>0</v>
      </c>
      <c r="CR20" s="496" t="n">
        <v>0</v>
      </c>
      <c r="CS20" s="496" t="n">
        <v>0.1136332</v>
      </c>
      <c r="CT20" s="496" t="n">
        <v>0.1136332</v>
      </c>
      <c r="CU20" s="496" t="n">
        <v>0.0396248</v>
      </c>
      <c r="CV20" s="496" t="n">
        <v>0.0396248</v>
      </c>
      <c r="CW20" s="496" t="n">
        <v>0.0396248</v>
      </c>
      <c r="CX20" s="496" t="n">
        <v>0.0396248</v>
      </c>
      <c r="CY20" s="496" t="n">
        <v>0.2091267</v>
      </c>
      <c r="CZ20" s="496" t="n">
        <v>0.2091267</v>
      </c>
      <c r="DA20" s="496" t="n">
        <v>0</v>
      </c>
      <c r="DB20" s="496" t="n">
        <v>0</v>
      </c>
      <c r="DC20" s="1099" t="n">
        <v>7.48E-007</v>
      </c>
      <c r="DD20" s="1099" t="n">
        <v>7.48E-007</v>
      </c>
      <c r="DE20" s="496" t="n">
        <v>0</v>
      </c>
      <c r="DF20" s="496" t="n">
        <v>0</v>
      </c>
    </row>
    <row r="21" customFormat="false" ht="15" hidden="false" customHeight="false" outlineLevel="0" collapsed="false">
      <c r="A21" s="496" t="s">
        <v>1997</v>
      </c>
      <c r="B21" s="496" t="n">
        <v>0.0789233</v>
      </c>
      <c r="C21" s="496" t="n">
        <v>0.0789229</v>
      </c>
      <c r="D21" s="496" t="n">
        <v>0.1597906</v>
      </c>
      <c r="E21" s="496" t="n">
        <v>0.0594603</v>
      </c>
      <c r="F21" s="496" t="n">
        <v>0.0173472</v>
      </c>
      <c r="G21" s="496" t="n">
        <v>0</v>
      </c>
      <c r="H21" s="496" t="n">
        <v>0.0163782</v>
      </c>
      <c r="I21" s="496" t="n">
        <v>0.0798953</v>
      </c>
      <c r="J21" s="496" t="n">
        <v>0.144225</v>
      </c>
      <c r="K21" s="496" t="n">
        <v>0.144225</v>
      </c>
      <c r="L21" s="496" t="n">
        <v>0.0789233</v>
      </c>
      <c r="M21" s="496" t="n">
        <v>0</v>
      </c>
      <c r="N21" s="496" t="n">
        <v>0</v>
      </c>
      <c r="O21" s="496" t="n">
        <v>0</v>
      </c>
      <c r="P21" s="496" t="n">
        <v>0</v>
      </c>
      <c r="Q21" s="1099" t="n">
        <v>6.06E-019</v>
      </c>
      <c r="R21" s="1099" t="n">
        <v>6.06E-019</v>
      </c>
      <c r="S21" s="1099" t="n">
        <v>7.73E-020</v>
      </c>
      <c r="T21" s="1099" t="n">
        <v>7.73E-020</v>
      </c>
      <c r="U21" s="496" t="n">
        <v>0.0163782</v>
      </c>
      <c r="V21" s="1099" t="n">
        <v>7.94E-013</v>
      </c>
      <c r="W21" s="1099" t="n">
        <v>7.94E-013</v>
      </c>
      <c r="X21" s="1099" t="n">
        <v>7.94E-013</v>
      </c>
      <c r="Y21" s="1099" t="n">
        <v>7.94E-013</v>
      </c>
      <c r="Z21" s="1099" t="n">
        <v>7.94E-013</v>
      </c>
      <c r="AA21" s="496" t="n">
        <v>0</v>
      </c>
      <c r="AB21" s="496" t="n">
        <v>0.0173501</v>
      </c>
      <c r="AC21" s="496" t="n">
        <v>0.0798953</v>
      </c>
      <c r="AD21" s="496" t="n">
        <v>0</v>
      </c>
      <c r="AE21" s="496" t="n">
        <v>0</v>
      </c>
      <c r="AF21" s="1099" t="n">
        <v>1.16E-006</v>
      </c>
      <c r="AG21" s="1099" t="n">
        <v>1.16E-006</v>
      </c>
      <c r="AH21" s="1099" t="n">
        <v>8.69E-007</v>
      </c>
      <c r="AI21" s="1099" t="n">
        <v>8.69E-007</v>
      </c>
      <c r="AJ21" s="1099" t="n">
        <v>8.69E-007</v>
      </c>
      <c r="AK21" s="1099" t="n">
        <v>8.69E-007</v>
      </c>
      <c r="AL21" s="1099" t="n">
        <v>8.69E-007</v>
      </c>
      <c r="AM21" s="1099" t="n">
        <v>8.69E-007</v>
      </c>
      <c r="AN21" s="1099" t="n">
        <v>9.96E-007</v>
      </c>
      <c r="AO21" s="1099" t="n">
        <v>9.96E-007</v>
      </c>
      <c r="AP21" s="496" t="n">
        <v>0</v>
      </c>
      <c r="AQ21" s="496" t="n">
        <v>0</v>
      </c>
      <c r="AR21" s="1099" t="n">
        <v>1.47E-006</v>
      </c>
      <c r="AS21" s="1099" t="n">
        <v>1.47E-006</v>
      </c>
      <c r="AT21" s="1099" t="n">
        <v>1.12E-006</v>
      </c>
      <c r="AU21" s="1099" t="n">
        <v>1.12E-006</v>
      </c>
      <c r="AV21" s="1099" t="n">
        <v>2.09E-006</v>
      </c>
      <c r="AW21" s="1099" t="n">
        <v>2.09E-006</v>
      </c>
      <c r="AX21" s="496" t="n">
        <v>0.0789233</v>
      </c>
      <c r="AY21" s="496" t="n">
        <v>0.0789233</v>
      </c>
      <c r="AZ21" s="496" t="n">
        <v>0.0789233</v>
      </c>
      <c r="BA21" s="496" t="n">
        <v>0.0163782</v>
      </c>
      <c r="BB21" s="496" t="n">
        <v>0.0173501</v>
      </c>
      <c r="BC21" s="496" t="n">
        <v>0.0789233</v>
      </c>
      <c r="BD21" s="1099" t="n">
        <v>0.000972</v>
      </c>
      <c r="BE21" s="496" t="n">
        <v>0.0147188</v>
      </c>
      <c r="BF21" s="1099" t="n">
        <v>1.22E-011</v>
      </c>
      <c r="BG21" s="1099" t="n">
        <v>1.22E-011</v>
      </c>
      <c r="BH21" s="496" t="n">
        <v>0.0798953</v>
      </c>
      <c r="BI21" s="496" t="n">
        <v>0.1597906</v>
      </c>
      <c r="BJ21" s="496" t="n">
        <v>0.1101135</v>
      </c>
      <c r="BK21" s="496" t="n">
        <v>0.0936422</v>
      </c>
      <c r="BL21" s="496" t="n">
        <v>0.0204349</v>
      </c>
      <c r="BM21" s="496" t="n">
        <v>0.0594603</v>
      </c>
      <c r="BN21" s="1099" t="n">
        <v>6.06E-019</v>
      </c>
      <c r="BO21" s="496" t="n">
        <v>0.0204349</v>
      </c>
      <c r="BP21" s="1099" t="n">
        <v>0.00309</v>
      </c>
      <c r="BQ21" s="1099" t="n">
        <v>1.19E-018</v>
      </c>
      <c r="BR21" s="1099" t="n">
        <v>1.56E-018</v>
      </c>
      <c r="BS21" s="496" t="n">
        <v>0.144225</v>
      </c>
      <c r="BT21" s="496" t="n">
        <v>0.0288977</v>
      </c>
      <c r="BU21" s="496" t="n">
        <v>0</v>
      </c>
      <c r="BV21" s="496" t="n">
        <v>0</v>
      </c>
      <c r="BW21" s="496" t="n">
        <v>0</v>
      </c>
      <c r="BX21" s="496" t="n">
        <v>0.0173501</v>
      </c>
      <c r="BY21" s="496" t="n">
        <v>0</v>
      </c>
      <c r="BZ21" s="496" t="n">
        <v>0.0594603</v>
      </c>
      <c r="CA21" s="496" t="n">
        <v>0</v>
      </c>
      <c r="CB21" s="496" t="n">
        <v>0.0789233</v>
      </c>
      <c r="CC21" s="496" t="n">
        <v>0.0789229</v>
      </c>
      <c r="CD21" s="496" t="n">
        <v>0.0163781</v>
      </c>
      <c r="CE21" s="496" t="n">
        <v>0</v>
      </c>
      <c r="CF21" s="496" t="n">
        <v>0</v>
      </c>
      <c r="CG21" s="496" t="n">
        <v>0.0173501</v>
      </c>
      <c r="CH21" s="496" t="n">
        <v>0.0173501</v>
      </c>
      <c r="CI21" s="496" t="n">
        <v>0.0789233</v>
      </c>
      <c r="CJ21" s="496" t="n">
        <v>0.0789233</v>
      </c>
      <c r="CK21" s="496" t="n">
        <v>0.0789233</v>
      </c>
      <c r="CL21" s="496" t="n">
        <v>0.0789233</v>
      </c>
      <c r="CM21" s="496" t="n">
        <v>0.0789233</v>
      </c>
      <c r="CN21" s="496" t="n">
        <v>0.0789233</v>
      </c>
      <c r="CO21" s="496" t="n">
        <v>0.1101135</v>
      </c>
      <c r="CP21" s="496" t="n">
        <v>0.1101135</v>
      </c>
      <c r="CQ21" s="496" t="n">
        <v>0</v>
      </c>
      <c r="CR21" s="496" t="n">
        <v>0</v>
      </c>
      <c r="CS21" s="496" t="n">
        <v>0.1597906</v>
      </c>
      <c r="CT21" s="496" t="n">
        <v>0.1597906</v>
      </c>
      <c r="CU21" s="496" t="n">
        <v>0.0594603</v>
      </c>
      <c r="CV21" s="496" t="n">
        <v>0.0594603</v>
      </c>
      <c r="CW21" s="496" t="n">
        <v>0.0594603</v>
      </c>
      <c r="CX21" s="496" t="n">
        <v>0.0594603</v>
      </c>
      <c r="CY21" s="496" t="n">
        <v>0.0288977</v>
      </c>
      <c r="CZ21" s="496" t="n">
        <v>0.0288977</v>
      </c>
      <c r="DA21" s="496" t="n">
        <v>0</v>
      </c>
      <c r="DB21" s="496" t="n">
        <v>0</v>
      </c>
      <c r="DC21" s="1099" t="n">
        <v>1.12E-006</v>
      </c>
      <c r="DD21" s="1099" t="n">
        <v>1.12E-006</v>
      </c>
      <c r="DE21" s="496" t="n">
        <v>0</v>
      </c>
      <c r="DF21" s="496" t="n">
        <v>0</v>
      </c>
    </row>
    <row r="22" customFormat="false" ht="15" hidden="false" customHeight="false" outlineLevel="0" collapsed="false">
      <c r="A22" s="496" t="s">
        <v>1998</v>
      </c>
      <c r="B22" s="496" t="s">
        <v>469</v>
      </c>
      <c r="C22" s="496" t="s">
        <v>469</v>
      </c>
      <c r="D22" s="496" t="s">
        <v>469</v>
      </c>
      <c r="E22" s="496" t="s">
        <v>469</v>
      </c>
      <c r="F22" s="496" t="s">
        <v>469</v>
      </c>
      <c r="G22" s="496" t="s">
        <v>469</v>
      </c>
      <c r="H22" s="496" t="s">
        <v>469</v>
      </c>
      <c r="I22" s="496" t="s">
        <v>469</v>
      </c>
      <c r="J22" s="496" t="s">
        <v>469</v>
      </c>
      <c r="K22" s="496" t="s">
        <v>469</v>
      </c>
      <c r="L22" s="496" t="s">
        <v>469</v>
      </c>
      <c r="M22" s="496" t="s">
        <v>469</v>
      </c>
      <c r="N22" s="496" t="s">
        <v>469</v>
      </c>
      <c r="O22" s="496" t="s">
        <v>469</v>
      </c>
      <c r="P22" s="496" t="s">
        <v>469</v>
      </c>
      <c r="Q22" s="496" t="s">
        <v>469</v>
      </c>
      <c r="R22" s="496" t="s">
        <v>469</v>
      </c>
      <c r="S22" s="496" t="s">
        <v>469</v>
      </c>
      <c r="T22" s="496" t="s">
        <v>469</v>
      </c>
      <c r="U22" s="496" t="s">
        <v>469</v>
      </c>
      <c r="V22" s="496" t="s">
        <v>469</v>
      </c>
      <c r="W22" s="496" t="s">
        <v>469</v>
      </c>
      <c r="X22" s="496" t="s">
        <v>469</v>
      </c>
      <c r="Y22" s="496" t="s">
        <v>469</v>
      </c>
      <c r="Z22" s="496" t="s">
        <v>469</v>
      </c>
      <c r="AA22" s="496" t="s">
        <v>469</v>
      </c>
      <c r="AB22" s="496" t="s">
        <v>469</v>
      </c>
      <c r="AC22" s="496" t="s">
        <v>469</v>
      </c>
      <c r="AD22" s="496" t="s">
        <v>469</v>
      </c>
      <c r="AE22" s="496" t="s">
        <v>469</v>
      </c>
      <c r="AF22" s="496" t="s">
        <v>469</v>
      </c>
      <c r="AG22" s="496" t="s">
        <v>469</v>
      </c>
      <c r="AH22" s="496" t="s">
        <v>469</v>
      </c>
      <c r="AI22" s="496" t="s">
        <v>469</v>
      </c>
      <c r="AJ22" s="496" t="s">
        <v>469</v>
      </c>
      <c r="AK22" s="496" t="s">
        <v>469</v>
      </c>
      <c r="AL22" s="496" t="s">
        <v>469</v>
      </c>
      <c r="AM22" s="496" t="s">
        <v>469</v>
      </c>
      <c r="AN22" s="496" t="s">
        <v>469</v>
      </c>
      <c r="AO22" s="496" t="s">
        <v>469</v>
      </c>
      <c r="AP22" s="496" t="s">
        <v>469</v>
      </c>
      <c r="AQ22" s="496" t="s">
        <v>469</v>
      </c>
      <c r="AR22" s="496" t="s">
        <v>469</v>
      </c>
      <c r="AS22" s="496" t="s">
        <v>469</v>
      </c>
      <c r="AT22" s="496" t="s">
        <v>469</v>
      </c>
      <c r="AU22" s="496" t="s">
        <v>469</v>
      </c>
      <c r="AV22" s="496" t="s">
        <v>469</v>
      </c>
      <c r="AW22" s="496" t="s">
        <v>469</v>
      </c>
      <c r="AX22" s="496" t="s">
        <v>469</v>
      </c>
      <c r="AY22" s="496" t="s">
        <v>469</v>
      </c>
      <c r="AZ22" s="496" t="s">
        <v>469</v>
      </c>
      <c r="BA22" s="496" t="s">
        <v>469</v>
      </c>
      <c r="BB22" s="496" t="s">
        <v>469</v>
      </c>
      <c r="BC22" s="496" t="s">
        <v>469</v>
      </c>
      <c r="BD22" s="496" t="s">
        <v>469</v>
      </c>
      <c r="BE22" s="496" t="s">
        <v>469</v>
      </c>
      <c r="BF22" s="496" t="s">
        <v>469</v>
      </c>
      <c r="BG22" s="496" t="s">
        <v>469</v>
      </c>
      <c r="BH22" s="496" t="s">
        <v>469</v>
      </c>
      <c r="BI22" s="496" t="s">
        <v>469</v>
      </c>
      <c r="BJ22" s="496" t="s">
        <v>469</v>
      </c>
      <c r="BK22" s="496" t="s">
        <v>469</v>
      </c>
      <c r="BL22" s="496" t="s">
        <v>469</v>
      </c>
      <c r="BM22" s="496" t="s">
        <v>469</v>
      </c>
      <c r="BN22" s="496" t="s">
        <v>469</v>
      </c>
      <c r="BO22" s="496" t="s">
        <v>469</v>
      </c>
      <c r="BP22" s="496" t="s">
        <v>469</v>
      </c>
      <c r="BQ22" s="496" t="s">
        <v>469</v>
      </c>
      <c r="BR22" s="496" t="s">
        <v>469</v>
      </c>
      <c r="BS22" s="496" t="s">
        <v>469</v>
      </c>
      <c r="BT22" s="496" t="s">
        <v>469</v>
      </c>
      <c r="BU22" s="496" t="s">
        <v>469</v>
      </c>
      <c r="BV22" s="496" t="s">
        <v>469</v>
      </c>
      <c r="BW22" s="496" t="s">
        <v>469</v>
      </c>
      <c r="BX22" s="496" t="s">
        <v>469</v>
      </c>
      <c r="BY22" s="496" t="s">
        <v>469</v>
      </c>
      <c r="BZ22" s="496" t="s">
        <v>469</v>
      </c>
      <c r="CA22" s="496" t="s">
        <v>469</v>
      </c>
      <c r="CB22" s="496" t="s">
        <v>469</v>
      </c>
      <c r="CC22" s="496" t="s">
        <v>469</v>
      </c>
      <c r="CD22" s="496" t="s">
        <v>469</v>
      </c>
      <c r="CE22" s="496" t="s">
        <v>469</v>
      </c>
      <c r="CF22" s="496" t="s">
        <v>469</v>
      </c>
      <c r="CG22" s="496" t="s">
        <v>469</v>
      </c>
      <c r="CH22" s="496" t="s">
        <v>469</v>
      </c>
      <c r="CI22" s="496" t="s">
        <v>469</v>
      </c>
      <c r="CJ22" s="496" t="s">
        <v>469</v>
      </c>
      <c r="CK22" s="496" t="s">
        <v>469</v>
      </c>
      <c r="CL22" s="496" t="s">
        <v>469</v>
      </c>
      <c r="CM22" s="496" t="s">
        <v>469</v>
      </c>
      <c r="CN22" s="496" t="s">
        <v>469</v>
      </c>
      <c r="CO22" s="496" t="s">
        <v>469</v>
      </c>
      <c r="CP22" s="496" t="s">
        <v>469</v>
      </c>
      <c r="CQ22" s="496" t="s">
        <v>469</v>
      </c>
      <c r="CR22" s="496" t="s">
        <v>469</v>
      </c>
      <c r="CS22" s="496" t="s">
        <v>469</v>
      </c>
      <c r="CT22" s="496" t="s">
        <v>469</v>
      </c>
      <c r="CU22" s="496" t="s">
        <v>469</v>
      </c>
      <c r="CV22" s="496" t="s">
        <v>469</v>
      </c>
      <c r="CW22" s="496" t="s">
        <v>469</v>
      </c>
      <c r="CX22" s="496" t="s">
        <v>469</v>
      </c>
      <c r="CY22" s="496" t="s">
        <v>469</v>
      </c>
      <c r="CZ22" s="496" t="s">
        <v>469</v>
      </c>
      <c r="DA22" s="496" t="s">
        <v>469</v>
      </c>
      <c r="DB22" s="496" t="s">
        <v>469</v>
      </c>
      <c r="DC22" s="496" t="s">
        <v>469</v>
      </c>
      <c r="DD22" s="496" t="s">
        <v>469</v>
      </c>
      <c r="DE22" s="496" t="s">
        <v>469</v>
      </c>
      <c r="DF22" s="496" t="s">
        <v>469</v>
      </c>
    </row>
    <row r="23" customFormat="false" ht="15" hidden="false" customHeight="false" outlineLevel="0" collapsed="false">
      <c r="A23" s="496" t="s">
        <v>1984</v>
      </c>
      <c r="B23" s="1099" t="n">
        <v>0.00101</v>
      </c>
      <c r="C23" s="1099" t="n">
        <v>0.00106</v>
      </c>
      <c r="D23" s="1099" t="n">
        <v>0.00153</v>
      </c>
      <c r="E23" s="1099" t="n">
        <v>0.00159</v>
      </c>
      <c r="F23" s="1099" t="n">
        <v>0.000127</v>
      </c>
      <c r="G23" s="496" t="n">
        <v>0</v>
      </c>
      <c r="H23" s="1099" t="n">
        <v>0.000832</v>
      </c>
      <c r="I23" s="1099" t="n">
        <v>0.00153</v>
      </c>
      <c r="J23" s="1099" t="n">
        <v>0.000141</v>
      </c>
      <c r="K23" s="1099" t="n">
        <v>0.000141</v>
      </c>
      <c r="L23" s="1099" t="n">
        <v>0.00101</v>
      </c>
      <c r="M23" s="496" t="n">
        <v>0</v>
      </c>
      <c r="N23" s="496" t="n">
        <v>0</v>
      </c>
      <c r="O23" s="1099" t="n">
        <v>0.0011</v>
      </c>
      <c r="P23" s="496" t="n">
        <v>0</v>
      </c>
      <c r="Q23" s="1099" t="n">
        <v>4.94E-028</v>
      </c>
      <c r="R23" s="1099" t="n">
        <v>4.94E-028</v>
      </c>
      <c r="S23" s="1099" t="n">
        <v>2.49E-028</v>
      </c>
      <c r="T23" s="1099" t="n">
        <v>2.49E-028</v>
      </c>
      <c r="U23" s="1099" t="n">
        <v>1.32E-005</v>
      </c>
      <c r="V23" s="1099" t="n">
        <v>2.18E-014</v>
      </c>
      <c r="W23" s="1099" t="n">
        <v>2.18E-014</v>
      </c>
      <c r="X23" s="1099" t="n">
        <v>2.18E-014</v>
      </c>
      <c r="Y23" s="1099" t="n">
        <v>2.18E-014</v>
      </c>
      <c r="Z23" s="1099" t="n">
        <v>2.18E-014</v>
      </c>
      <c r="AA23" s="1099" t="n">
        <v>0.0011</v>
      </c>
      <c r="AB23" s="1099" t="n">
        <v>1.32E-005</v>
      </c>
      <c r="AC23" s="1099" t="n">
        <v>0.00153</v>
      </c>
      <c r="AD23" s="1099" t="n">
        <v>0.0011</v>
      </c>
      <c r="AE23" s="1099" t="n">
        <v>0.0011</v>
      </c>
      <c r="AF23" s="1099" t="n">
        <v>1.32E-005</v>
      </c>
      <c r="AG23" s="1099" t="n">
        <v>1.32E-005</v>
      </c>
      <c r="AH23" s="1099" t="n">
        <v>0.00101</v>
      </c>
      <c r="AI23" s="1099" t="n">
        <v>0.00101</v>
      </c>
      <c r="AJ23" s="1099" t="n">
        <v>0.00101</v>
      </c>
      <c r="AK23" s="1099" t="n">
        <v>0.00101</v>
      </c>
      <c r="AL23" s="1099" t="n">
        <v>0.00106</v>
      </c>
      <c r="AM23" s="1099" t="n">
        <v>0.00106</v>
      </c>
      <c r="AN23" s="1099" t="n">
        <v>0.00106</v>
      </c>
      <c r="AO23" s="1099" t="n">
        <v>0.00106</v>
      </c>
      <c r="AP23" s="496" t="n">
        <v>0</v>
      </c>
      <c r="AQ23" s="496" t="n">
        <v>0</v>
      </c>
      <c r="AR23" s="1099" t="n">
        <v>0.00153</v>
      </c>
      <c r="AS23" s="1099" t="n">
        <v>0.00153</v>
      </c>
      <c r="AT23" s="1099" t="n">
        <v>0.00159</v>
      </c>
      <c r="AU23" s="1099" t="n">
        <v>0.00159</v>
      </c>
      <c r="AV23" s="1099" t="n">
        <v>2.99E-005</v>
      </c>
      <c r="AW23" s="1099" t="n">
        <v>2.99E-005</v>
      </c>
      <c r="AX23" s="1099" t="n">
        <v>0.00101</v>
      </c>
      <c r="AY23" s="1099" t="n">
        <v>0.00101</v>
      </c>
      <c r="AZ23" s="1099" t="n">
        <v>0.00106</v>
      </c>
      <c r="BA23" s="1099" t="n">
        <v>0.000832</v>
      </c>
      <c r="BB23" s="1099" t="n">
        <v>0.000127</v>
      </c>
      <c r="BC23" s="1099" t="n">
        <v>0.00106</v>
      </c>
      <c r="BD23" s="1099" t="n">
        <v>1.32E-005</v>
      </c>
      <c r="BE23" s="1099" t="n">
        <v>0.000339</v>
      </c>
      <c r="BF23" s="1099" t="n">
        <v>2.18E-014</v>
      </c>
      <c r="BG23" s="1099" t="n">
        <v>2.18E-014</v>
      </c>
      <c r="BH23" s="1099" t="n">
        <v>0.00153</v>
      </c>
      <c r="BI23" s="1099" t="n">
        <v>0.00153</v>
      </c>
      <c r="BJ23" s="1099" t="n">
        <v>0.00106</v>
      </c>
      <c r="BK23" s="1099" t="n">
        <v>0.000991</v>
      </c>
      <c r="BL23" s="1099" t="n">
        <v>1.38E-005</v>
      </c>
      <c r="BM23" s="1099" t="n">
        <v>0.00159</v>
      </c>
      <c r="BN23" s="1099" t="n">
        <v>4.97E-028</v>
      </c>
      <c r="BO23" s="1099" t="n">
        <v>1.38E-005</v>
      </c>
      <c r="BP23" s="1099" t="n">
        <v>0.00633</v>
      </c>
      <c r="BQ23" s="1099" t="n">
        <v>4.97E-028</v>
      </c>
      <c r="BR23" s="1099" t="n">
        <v>6.71E-025</v>
      </c>
      <c r="BS23" s="1099" t="n">
        <v>0.000141</v>
      </c>
      <c r="BT23" s="1099" t="n">
        <v>2.99E-005</v>
      </c>
      <c r="BU23" s="496" t="n">
        <v>0</v>
      </c>
      <c r="BV23" s="1099" t="n">
        <v>0.0011</v>
      </c>
      <c r="BW23" s="496" t="n">
        <v>0</v>
      </c>
      <c r="BX23" s="1099" t="n">
        <v>1.32E-005</v>
      </c>
      <c r="BY23" s="496" t="n">
        <v>0</v>
      </c>
      <c r="BZ23" s="1099" t="n">
        <v>0.00159</v>
      </c>
      <c r="CA23" s="496" t="n">
        <v>0</v>
      </c>
      <c r="CB23" s="1099" t="n">
        <v>0.00101</v>
      </c>
      <c r="CC23" s="1099" t="n">
        <v>0.00101</v>
      </c>
      <c r="CD23" s="1099" t="n">
        <v>0.000832</v>
      </c>
      <c r="CE23" s="1099" t="n">
        <v>0.0011</v>
      </c>
      <c r="CF23" s="1099" t="n">
        <v>0.0011</v>
      </c>
      <c r="CG23" s="1099" t="n">
        <v>1.32E-005</v>
      </c>
      <c r="CH23" s="1099" t="n">
        <v>1.32E-005</v>
      </c>
      <c r="CI23" s="1099" t="n">
        <v>0.00101</v>
      </c>
      <c r="CJ23" s="1099" t="n">
        <v>0.00101</v>
      </c>
      <c r="CK23" s="1099" t="n">
        <v>0.00101</v>
      </c>
      <c r="CL23" s="1099" t="n">
        <v>0.00101</v>
      </c>
      <c r="CM23" s="1099" t="n">
        <v>0.00106</v>
      </c>
      <c r="CN23" s="1099" t="n">
        <v>0.00106</v>
      </c>
      <c r="CO23" s="1099" t="n">
        <v>0.00106</v>
      </c>
      <c r="CP23" s="1099" t="n">
        <v>0.00106</v>
      </c>
      <c r="CQ23" s="496" t="n">
        <v>0</v>
      </c>
      <c r="CR23" s="496" t="n">
        <v>0</v>
      </c>
      <c r="CS23" s="1099" t="n">
        <v>0.00153</v>
      </c>
      <c r="CT23" s="1099" t="n">
        <v>0.00153</v>
      </c>
      <c r="CU23" s="1099" t="n">
        <v>0.00159</v>
      </c>
      <c r="CV23" s="1099" t="n">
        <v>0.00159</v>
      </c>
      <c r="CW23" s="1099" t="n">
        <v>0.00159</v>
      </c>
      <c r="CX23" s="1099" t="n">
        <v>0.00159</v>
      </c>
      <c r="CY23" s="1099" t="n">
        <v>2.99E-005</v>
      </c>
      <c r="CZ23" s="1099" t="n">
        <v>2.99E-005</v>
      </c>
      <c r="DA23" s="496" t="n">
        <v>0</v>
      </c>
      <c r="DB23" s="496" t="n">
        <v>0</v>
      </c>
      <c r="DC23" s="1099" t="n">
        <v>0.00159</v>
      </c>
      <c r="DD23" s="1099" t="n">
        <v>0.00159</v>
      </c>
      <c r="DE23" s="496" t="n">
        <v>0</v>
      </c>
      <c r="DF23" s="496" t="n">
        <v>0</v>
      </c>
    </row>
    <row r="24" customFormat="false" ht="15" hidden="false" customHeight="false" outlineLevel="0" collapsed="false">
      <c r="A24" s="496" t="s">
        <v>1985</v>
      </c>
      <c r="B24" s="1099" t="n">
        <v>0.00275</v>
      </c>
      <c r="C24" s="1099" t="n">
        <v>0.00289</v>
      </c>
      <c r="D24" s="1099" t="n">
        <v>0.00417</v>
      </c>
      <c r="E24" s="1099" t="n">
        <v>0.00435</v>
      </c>
      <c r="F24" s="1099" t="n">
        <v>0.000237</v>
      </c>
      <c r="G24" s="496" t="n">
        <v>0</v>
      </c>
      <c r="H24" s="1099" t="n">
        <v>0.00227</v>
      </c>
      <c r="I24" s="1099" t="n">
        <v>0.00417</v>
      </c>
      <c r="J24" s="1099" t="n">
        <v>0.000268</v>
      </c>
      <c r="K24" s="1099" t="n">
        <v>0.000268</v>
      </c>
      <c r="L24" s="1099" t="n">
        <v>0.00275</v>
      </c>
      <c r="M24" s="496" t="n">
        <v>0</v>
      </c>
      <c r="N24" s="496" t="n">
        <v>0</v>
      </c>
      <c r="O24" s="1099" t="n">
        <v>0.003</v>
      </c>
      <c r="P24" s="496" t="n">
        <v>0</v>
      </c>
      <c r="Q24" s="1099" t="n">
        <v>2.82E-026</v>
      </c>
      <c r="R24" s="1099" t="n">
        <v>2.82E-026</v>
      </c>
      <c r="S24" s="1099" t="n">
        <v>6.88E-027</v>
      </c>
      <c r="T24" s="1099" t="n">
        <v>6.88E-027</v>
      </c>
      <c r="U24" s="1099" t="n">
        <v>2.48E-005</v>
      </c>
      <c r="V24" s="1099" t="n">
        <v>1.48E-013</v>
      </c>
      <c r="W24" s="1099" t="n">
        <v>1.48E-013</v>
      </c>
      <c r="X24" s="1099" t="n">
        <v>1.48E-013</v>
      </c>
      <c r="Y24" s="1099" t="n">
        <v>1.48E-013</v>
      </c>
      <c r="Z24" s="1099" t="n">
        <v>1.48E-013</v>
      </c>
      <c r="AA24" s="1099" t="n">
        <v>0.003</v>
      </c>
      <c r="AB24" s="1099" t="n">
        <v>2.48E-005</v>
      </c>
      <c r="AC24" s="1099" t="n">
        <v>0.00417</v>
      </c>
      <c r="AD24" s="1099" t="n">
        <v>0.003</v>
      </c>
      <c r="AE24" s="1099" t="n">
        <v>0.003</v>
      </c>
      <c r="AF24" s="1099" t="n">
        <v>2.48E-005</v>
      </c>
      <c r="AG24" s="1099" t="n">
        <v>2.48E-005</v>
      </c>
      <c r="AH24" s="1099" t="n">
        <v>0.00275</v>
      </c>
      <c r="AI24" s="1099" t="n">
        <v>0.00275</v>
      </c>
      <c r="AJ24" s="1099" t="n">
        <v>0.00275</v>
      </c>
      <c r="AK24" s="1099" t="n">
        <v>0.00275</v>
      </c>
      <c r="AL24" s="1099" t="n">
        <v>0.00289</v>
      </c>
      <c r="AM24" s="1099" t="n">
        <v>0.00289</v>
      </c>
      <c r="AN24" s="1099" t="n">
        <v>0.00305</v>
      </c>
      <c r="AO24" s="1099" t="n">
        <v>0.00305</v>
      </c>
      <c r="AP24" s="496" t="n">
        <v>0</v>
      </c>
      <c r="AQ24" s="496" t="n">
        <v>0</v>
      </c>
      <c r="AR24" s="1099" t="n">
        <v>0.00417</v>
      </c>
      <c r="AS24" s="1099" t="n">
        <v>0.00417</v>
      </c>
      <c r="AT24" s="1099" t="n">
        <v>0.00435</v>
      </c>
      <c r="AU24" s="1099" t="n">
        <v>0.00435</v>
      </c>
      <c r="AV24" s="1099" t="n">
        <v>5.84E-005</v>
      </c>
      <c r="AW24" s="1099" t="n">
        <v>5.84E-005</v>
      </c>
      <c r="AX24" s="1099" t="n">
        <v>0.00275</v>
      </c>
      <c r="AY24" s="1099" t="n">
        <v>0.00275</v>
      </c>
      <c r="AZ24" s="1099" t="n">
        <v>0.00289</v>
      </c>
      <c r="BA24" s="1099" t="n">
        <v>0.00227</v>
      </c>
      <c r="BB24" s="1099" t="n">
        <v>0.000239</v>
      </c>
      <c r="BC24" s="1099" t="n">
        <v>0.00289</v>
      </c>
      <c r="BD24" s="1099" t="n">
        <v>2.48E-005</v>
      </c>
      <c r="BE24" s="1099" t="n">
        <v>0.0011</v>
      </c>
      <c r="BF24" s="1099" t="n">
        <v>1.48E-013</v>
      </c>
      <c r="BG24" s="1099" t="n">
        <v>1.48E-013</v>
      </c>
      <c r="BH24" s="1099" t="n">
        <v>0.00417</v>
      </c>
      <c r="BI24" s="1099" t="n">
        <v>0.00417</v>
      </c>
      <c r="BJ24" s="1099" t="n">
        <v>0.00305</v>
      </c>
      <c r="BK24" s="1099" t="n">
        <v>0.00278</v>
      </c>
      <c r="BL24" s="1099" t="n">
        <v>2.72E-005</v>
      </c>
      <c r="BM24" s="1099" t="n">
        <v>0.00435</v>
      </c>
      <c r="BN24" s="1099" t="n">
        <v>2.83E-026</v>
      </c>
      <c r="BO24" s="1099" t="n">
        <v>2.72E-005</v>
      </c>
      <c r="BP24" s="496" t="n">
        <v>0.0131432</v>
      </c>
      <c r="BQ24" s="1099" t="n">
        <v>2.83E-026</v>
      </c>
      <c r="BR24" s="1099" t="n">
        <v>3.36E-023</v>
      </c>
      <c r="BS24" s="1099" t="n">
        <v>0.000268</v>
      </c>
      <c r="BT24" s="1099" t="n">
        <v>5.84E-005</v>
      </c>
      <c r="BU24" s="496" t="n">
        <v>0</v>
      </c>
      <c r="BV24" s="1099" t="n">
        <v>0.003</v>
      </c>
      <c r="BW24" s="496" t="n">
        <v>0</v>
      </c>
      <c r="BX24" s="1099" t="n">
        <v>2.48E-005</v>
      </c>
      <c r="BY24" s="496" t="n">
        <v>0</v>
      </c>
      <c r="BZ24" s="1099" t="n">
        <v>0.00435</v>
      </c>
      <c r="CA24" s="496" t="n">
        <v>0</v>
      </c>
      <c r="CB24" s="1099" t="n">
        <v>0.00275</v>
      </c>
      <c r="CC24" s="1099" t="n">
        <v>0.00275</v>
      </c>
      <c r="CD24" s="1099" t="n">
        <v>0.00227</v>
      </c>
      <c r="CE24" s="1099" t="n">
        <v>0.003</v>
      </c>
      <c r="CF24" s="1099" t="n">
        <v>0.003</v>
      </c>
      <c r="CG24" s="1099" t="n">
        <v>2.48E-005</v>
      </c>
      <c r="CH24" s="1099" t="n">
        <v>2.48E-005</v>
      </c>
      <c r="CI24" s="1099" t="n">
        <v>0.00275</v>
      </c>
      <c r="CJ24" s="1099" t="n">
        <v>0.00275</v>
      </c>
      <c r="CK24" s="1099" t="n">
        <v>0.00275</v>
      </c>
      <c r="CL24" s="1099" t="n">
        <v>0.00275</v>
      </c>
      <c r="CM24" s="1099" t="n">
        <v>0.00289</v>
      </c>
      <c r="CN24" s="1099" t="n">
        <v>0.00289</v>
      </c>
      <c r="CO24" s="1099" t="n">
        <v>0.00305</v>
      </c>
      <c r="CP24" s="1099" t="n">
        <v>0.00305</v>
      </c>
      <c r="CQ24" s="496" t="n">
        <v>0</v>
      </c>
      <c r="CR24" s="496" t="n">
        <v>0</v>
      </c>
      <c r="CS24" s="1099" t="n">
        <v>0.00417</v>
      </c>
      <c r="CT24" s="1099" t="n">
        <v>0.00417</v>
      </c>
      <c r="CU24" s="1099" t="n">
        <v>0.00435</v>
      </c>
      <c r="CV24" s="1099" t="n">
        <v>0.00435</v>
      </c>
      <c r="CW24" s="1099" t="n">
        <v>0.00435</v>
      </c>
      <c r="CX24" s="1099" t="n">
        <v>0.00435</v>
      </c>
      <c r="CY24" s="1099" t="n">
        <v>5.84E-005</v>
      </c>
      <c r="CZ24" s="1099" t="n">
        <v>5.84E-005</v>
      </c>
      <c r="DA24" s="496" t="n">
        <v>0</v>
      </c>
      <c r="DB24" s="496" t="n">
        <v>0</v>
      </c>
      <c r="DC24" s="1099" t="n">
        <v>0.00435</v>
      </c>
      <c r="DD24" s="1099" t="n">
        <v>0.00435</v>
      </c>
      <c r="DE24" s="496" t="n">
        <v>0</v>
      </c>
      <c r="DF24" s="496" t="n">
        <v>0</v>
      </c>
    </row>
    <row r="25" customFormat="false" ht="15" hidden="false" customHeight="false" outlineLevel="0" collapsed="false">
      <c r="A25" s="496" t="s">
        <v>1986</v>
      </c>
      <c r="B25" s="496" t="n">
        <v>0.2938501</v>
      </c>
      <c r="C25" s="496" t="n">
        <v>0.3089532</v>
      </c>
      <c r="D25" s="496" t="n">
        <v>0.4457932</v>
      </c>
      <c r="E25" s="496" t="n">
        <v>0.4665898</v>
      </c>
      <c r="F25" s="496" t="n">
        <v>0.0105331</v>
      </c>
      <c r="G25" s="496" t="n">
        <v>0</v>
      </c>
      <c r="H25" s="496" t="n">
        <v>0.2421393</v>
      </c>
      <c r="I25" s="496" t="n">
        <v>0.4457932</v>
      </c>
      <c r="J25" s="496" t="n">
        <v>0.0113442</v>
      </c>
      <c r="K25" s="496" t="n">
        <v>0.0113442</v>
      </c>
      <c r="L25" s="496" t="n">
        <v>0.2938501</v>
      </c>
      <c r="M25" s="496" t="n">
        <v>0</v>
      </c>
      <c r="N25" s="496" t="n">
        <v>0</v>
      </c>
      <c r="O25" s="496" t="n">
        <v>0.3212</v>
      </c>
      <c r="P25" s="496" t="n">
        <v>0</v>
      </c>
      <c r="Q25" s="1099" t="n">
        <v>1.98E-030</v>
      </c>
      <c r="R25" s="1099" t="n">
        <v>1.98E-030</v>
      </c>
      <c r="S25" s="1099" t="n">
        <v>1.68E-025</v>
      </c>
      <c r="T25" s="1099" t="n">
        <v>1.68E-025</v>
      </c>
      <c r="U25" s="1099" t="n">
        <v>0.0011</v>
      </c>
      <c r="V25" s="1099" t="n">
        <v>9.25E-009</v>
      </c>
      <c r="W25" s="1099" t="n">
        <v>9.25E-009</v>
      </c>
      <c r="X25" s="1099" t="n">
        <v>9.25E-009</v>
      </c>
      <c r="Y25" s="1099" t="n">
        <v>9.25E-009</v>
      </c>
      <c r="Z25" s="1099" t="n">
        <v>9.25E-009</v>
      </c>
      <c r="AA25" s="496" t="n">
        <v>0.3212</v>
      </c>
      <c r="AB25" s="1099" t="n">
        <v>0.0011</v>
      </c>
      <c r="AC25" s="496" t="n">
        <v>0.4457932</v>
      </c>
      <c r="AD25" s="496" t="n">
        <v>0.3212</v>
      </c>
      <c r="AE25" s="496" t="n">
        <v>0.3212</v>
      </c>
      <c r="AF25" s="1099" t="n">
        <v>0.0011</v>
      </c>
      <c r="AG25" s="1099" t="n">
        <v>0.0011</v>
      </c>
      <c r="AH25" s="496" t="n">
        <v>0.2938501</v>
      </c>
      <c r="AI25" s="496" t="n">
        <v>0.2938501</v>
      </c>
      <c r="AJ25" s="496" t="n">
        <v>0.2938501</v>
      </c>
      <c r="AK25" s="496" t="n">
        <v>0.2938501</v>
      </c>
      <c r="AL25" s="496" t="n">
        <v>0.3089532</v>
      </c>
      <c r="AM25" s="496" t="n">
        <v>0.3089532</v>
      </c>
      <c r="AN25" s="496" t="n">
        <v>0.4279475</v>
      </c>
      <c r="AO25" s="496" t="n">
        <v>0.4279475</v>
      </c>
      <c r="AP25" s="496" t="n">
        <v>0</v>
      </c>
      <c r="AQ25" s="496" t="n">
        <v>0</v>
      </c>
      <c r="AR25" s="496" t="n">
        <v>0.4457932</v>
      </c>
      <c r="AS25" s="496" t="n">
        <v>0.4457932</v>
      </c>
      <c r="AT25" s="496" t="n">
        <v>0.4665898</v>
      </c>
      <c r="AU25" s="496" t="n">
        <v>0.4665898</v>
      </c>
      <c r="AV25" s="1099" t="n">
        <v>0.00212</v>
      </c>
      <c r="AW25" s="1099" t="n">
        <v>0.00212</v>
      </c>
      <c r="AX25" s="496" t="n">
        <v>0.2938501</v>
      </c>
      <c r="AY25" s="496" t="n">
        <v>0.2938501</v>
      </c>
      <c r="AZ25" s="496" t="n">
        <v>0.3089532</v>
      </c>
      <c r="BA25" s="496" t="n">
        <v>0.2421393</v>
      </c>
      <c r="BB25" s="496" t="n">
        <v>0.0105421</v>
      </c>
      <c r="BC25" s="496" t="n">
        <v>0.3089532</v>
      </c>
      <c r="BD25" s="1099" t="n">
        <v>0.0011</v>
      </c>
      <c r="BE25" s="496" t="n">
        <v>0.2657317</v>
      </c>
      <c r="BF25" s="1099" t="n">
        <v>9.25E-009</v>
      </c>
      <c r="BG25" s="1099" t="n">
        <v>9.25E-009</v>
      </c>
      <c r="BH25" s="496" t="n">
        <v>0.4457932</v>
      </c>
      <c r="BI25" s="496" t="n">
        <v>0.4457932</v>
      </c>
      <c r="BJ25" s="496" t="n">
        <v>0.4279474</v>
      </c>
      <c r="BK25" s="496" t="n">
        <v>0.3634768</v>
      </c>
      <c r="BL25" s="1099" t="n">
        <v>0.000958</v>
      </c>
      <c r="BM25" s="496" t="n">
        <v>0.4665898</v>
      </c>
      <c r="BN25" s="1099" t="n">
        <v>2E-030</v>
      </c>
      <c r="BO25" s="1099" t="n">
        <v>0.000958</v>
      </c>
      <c r="BP25" s="496" t="n">
        <v>0.3498961</v>
      </c>
      <c r="BQ25" s="1099" t="n">
        <v>2E-030</v>
      </c>
      <c r="BR25" s="1099" t="n">
        <v>6.23E-027</v>
      </c>
      <c r="BS25" s="496" t="n">
        <v>0.0113442</v>
      </c>
      <c r="BT25" s="1099" t="n">
        <v>0.00212</v>
      </c>
      <c r="BU25" s="496" t="n">
        <v>0</v>
      </c>
      <c r="BV25" s="496" t="n">
        <v>0.3212</v>
      </c>
      <c r="BW25" s="496" t="n">
        <v>0</v>
      </c>
      <c r="BX25" s="1099" t="n">
        <v>0.0011</v>
      </c>
      <c r="BY25" s="496" t="n">
        <v>0</v>
      </c>
      <c r="BZ25" s="496" t="n">
        <v>0.4665898</v>
      </c>
      <c r="CA25" s="496" t="n">
        <v>0</v>
      </c>
      <c r="CB25" s="496" t="n">
        <v>0.2938501</v>
      </c>
      <c r="CC25" s="496" t="n">
        <v>0.2938501</v>
      </c>
      <c r="CD25" s="496" t="n">
        <v>0.2421393</v>
      </c>
      <c r="CE25" s="496" t="n">
        <v>0.3212</v>
      </c>
      <c r="CF25" s="496" t="n">
        <v>0.3212</v>
      </c>
      <c r="CG25" s="1099" t="n">
        <v>0.0011</v>
      </c>
      <c r="CH25" s="1099" t="n">
        <v>0.0011</v>
      </c>
      <c r="CI25" s="496" t="n">
        <v>0.2938501</v>
      </c>
      <c r="CJ25" s="496" t="n">
        <v>0.2938501</v>
      </c>
      <c r="CK25" s="496" t="n">
        <v>0.2938501</v>
      </c>
      <c r="CL25" s="496" t="n">
        <v>0.2938501</v>
      </c>
      <c r="CM25" s="496" t="n">
        <v>0.3089532</v>
      </c>
      <c r="CN25" s="496" t="n">
        <v>0.3089532</v>
      </c>
      <c r="CO25" s="496" t="n">
        <v>0.4279474</v>
      </c>
      <c r="CP25" s="496" t="n">
        <v>0.4279474</v>
      </c>
      <c r="CQ25" s="496" t="n">
        <v>0</v>
      </c>
      <c r="CR25" s="496" t="n">
        <v>0</v>
      </c>
      <c r="CS25" s="496" t="n">
        <v>0.4457932</v>
      </c>
      <c r="CT25" s="496" t="n">
        <v>0.4457932</v>
      </c>
      <c r="CU25" s="496" t="n">
        <v>0.4665898</v>
      </c>
      <c r="CV25" s="496" t="n">
        <v>0.4665898</v>
      </c>
      <c r="CW25" s="496" t="n">
        <v>0.4665898</v>
      </c>
      <c r="CX25" s="496" t="n">
        <v>0.4665898</v>
      </c>
      <c r="CY25" s="1099" t="n">
        <v>0.00212</v>
      </c>
      <c r="CZ25" s="1099" t="n">
        <v>0.00212</v>
      </c>
      <c r="DA25" s="496" t="n">
        <v>0</v>
      </c>
      <c r="DB25" s="496" t="n">
        <v>0</v>
      </c>
      <c r="DC25" s="496" t="n">
        <v>0.4665898</v>
      </c>
      <c r="DD25" s="496" t="n">
        <v>0.4665898</v>
      </c>
      <c r="DE25" s="496" t="n">
        <v>0</v>
      </c>
      <c r="DF25" s="496" t="n">
        <v>0</v>
      </c>
    </row>
    <row r="26" customFormat="false" ht="15" hidden="false" customHeight="false" outlineLevel="0" collapsed="false">
      <c r="A26" s="496" t="s">
        <v>1987</v>
      </c>
      <c r="B26" s="496" t="n">
        <v>0.0706423</v>
      </c>
      <c r="C26" s="496" t="n">
        <v>0.0228761</v>
      </c>
      <c r="D26" s="1099" t="n">
        <v>0.000102</v>
      </c>
      <c r="E26" s="1099" t="n">
        <v>0.000106</v>
      </c>
      <c r="F26" s="1099" t="n">
        <v>4.11E-006</v>
      </c>
      <c r="G26" s="496" t="n">
        <v>0</v>
      </c>
      <c r="H26" s="496" t="n">
        <v>0.234188</v>
      </c>
      <c r="I26" s="1099" t="n">
        <v>0.000102</v>
      </c>
      <c r="J26" s="1099" t="n">
        <v>4.33E-006</v>
      </c>
      <c r="K26" s="1099" t="n">
        <v>4.33E-006</v>
      </c>
      <c r="L26" s="496" t="n">
        <v>0.0706423</v>
      </c>
      <c r="M26" s="496" t="n">
        <v>0</v>
      </c>
      <c r="N26" s="496" t="n">
        <v>0</v>
      </c>
      <c r="O26" s="496" t="n">
        <v>0.311</v>
      </c>
      <c r="P26" s="496" t="n">
        <v>0</v>
      </c>
      <c r="Q26" s="1099" t="n">
        <v>2.41E-028</v>
      </c>
      <c r="R26" s="1099" t="n">
        <v>2.41E-028</v>
      </c>
      <c r="S26" s="1099" t="n">
        <v>1.23E-028</v>
      </c>
      <c r="T26" s="1099" t="n">
        <v>1.23E-028</v>
      </c>
      <c r="U26" s="1099" t="n">
        <v>4.32E-007</v>
      </c>
      <c r="V26" s="1099" t="n">
        <v>2.42E-009</v>
      </c>
      <c r="W26" s="1099" t="n">
        <v>2.42E-009</v>
      </c>
      <c r="X26" s="1099" t="n">
        <v>2.42E-009</v>
      </c>
      <c r="Y26" s="1099" t="n">
        <v>2.42E-009</v>
      </c>
      <c r="Z26" s="1099" t="n">
        <v>2.42E-009</v>
      </c>
      <c r="AA26" s="496" t="n">
        <v>0.311</v>
      </c>
      <c r="AB26" s="1099" t="n">
        <v>4.32E-007</v>
      </c>
      <c r="AC26" s="1099" t="n">
        <v>0.000102</v>
      </c>
      <c r="AD26" s="496" t="n">
        <v>0.311</v>
      </c>
      <c r="AE26" s="496" t="n">
        <v>0.311</v>
      </c>
      <c r="AF26" s="1099" t="n">
        <v>4.32E-007</v>
      </c>
      <c r="AG26" s="1099" t="n">
        <v>4.32E-007</v>
      </c>
      <c r="AH26" s="496" t="n">
        <v>0.0706423</v>
      </c>
      <c r="AI26" s="496" t="n">
        <v>0.0706423</v>
      </c>
      <c r="AJ26" s="496" t="n">
        <v>0.0706423</v>
      </c>
      <c r="AK26" s="496" t="n">
        <v>0.0706423</v>
      </c>
      <c r="AL26" s="496" t="n">
        <v>0.0228761</v>
      </c>
      <c r="AM26" s="496" t="n">
        <v>0.0228761</v>
      </c>
      <c r="AN26" s="1099" t="n">
        <v>0.0001</v>
      </c>
      <c r="AO26" s="1099" t="n">
        <v>0.0001</v>
      </c>
      <c r="AP26" s="496" t="n">
        <v>0</v>
      </c>
      <c r="AQ26" s="496" t="n">
        <v>0</v>
      </c>
      <c r="AR26" s="1099" t="n">
        <v>0.000102</v>
      </c>
      <c r="AS26" s="1099" t="n">
        <v>0.000102</v>
      </c>
      <c r="AT26" s="1099" t="n">
        <v>0.000106</v>
      </c>
      <c r="AU26" s="1099" t="n">
        <v>0.000106</v>
      </c>
      <c r="AV26" s="1099" t="n">
        <v>7.65E-007</v>
      </c>
      <c r="AW26" s="1099" t="n">
        <v>7.65E-007</v>
      </c>
      <c r="AX26" s="496" t="n">
        <v>0.0706423</v>
      </c>
      <c r="AY26" s="496" t="n">
        <v>0.0706423</v>
      </c>
      <c r="AZ26" s="496" t="n">
        <v>0.0228761</v>
      </c>
      <c r="BA26" s="496" t="n">
        <v>0.234188</v>
      </c>
      <c r="BB26" s="1099" t="n">
        <v>4.15E-006</v>
      </c>
      <c r="BC26" s="496" t="n">
        <v>0.0228761</v>
      </c>
      <c r="BD26" s="1099" t="n">
        <v>4.32E-007</v>
      </c>
      <c r="BE26" s="496" t="n">
        <v>0.0206066</v>
      </c>
      <c r="BF26" s="1099" t="n">
        <v>2.42E-009</v>
      </c>
      <c r="BG26" s="1099" t="n">
        <v>2.42E-009</v>
      </c>
      <c r="BH26" s="1099" t="n">
        <v>0.000102</v>
      </c>
      <c r="BI26" s="1099" t="n">
        <v>0.000102</v>
      </c>
      <c r="BJ26" s="1099" t="n">
        <v>0.0001</v>
      </c>
      <c r="BK26" s="496" t="n">
        <v>0.0273312</v>
      </c>
      <c r="BL26" s="1099" t="n">
        <v>3.33E-007</v>
      </c>
      <c r="BM26" s="1099" t="n">
        <v>0.000106</v>
      </c>
      <c r="BN26" s="1099" t="n">
        <v>2.42E-028</v>
      </c>
      <c r="BO26" s="1099" t="n">
        <v>3.33E-007</v>
      </c>
      <c r="BP26" s="1099" t="n">
        <v>9.91E-005</v>
      </c>
      <c r="BQ26" s="1099" t="n">
        <v>2.42E-028</v>
      </c>
      <c r="BR26" s="1099" t="n">
        <v>2.94E-025</v>
      </c>
      <c r="BS26" s="1099" t="n">
        <v>4.33E-006</v>
      </c>
      <c r="BT26" s="1099" t="n">
        <v>7.65E-007</v>
      </c>
      <c r="BU26" s="496" t="n">
        <v>0</v>
      </c>
      <c r="BV26" s="496" t="n">
        <v>0.311</v>
      </c>
      <c r="BW26" s="496" t="n">
        <v>0</v>
      </c>
      <c r="BX26" s="1099" t="n">
        <v>4.32E-007</v>
      </c>
      <c r="BY26" s="496" t="n">
        <v>0</v>
      </c>
      <c r="BZ26" s="1099" t="n">
        <v>0.000106</v>
      </c>
      <c r="CA26" s="496" t="n">
        <v>0</v>
      </c>
      <c r="CB26" s="496" t="n">
        <v>0.0706423</v>
      </c>
      <c r="CC26" s="496" t="n">
        <v>0.0706423</v>
      </c>
      <c r="CD26" s="496" t="n">
        <v>0.234188</v>
      </c>
      <c r="CE26" s="496" t="n">
        <v>0.311</v>
      </c>
      <c r="CF26" s="496" t="n">
        <v>0.311</v>
      </c>
      <c r="CG26" s="1099" t="n">
        <v>4.32E-007</v>
      </c>
      <c r="CH26" s="1099" t="n">
        <v>4.32E-007</v>
      </c>
      <c r="CI26" s="496" t="n">
        <v>0.0706423</v>
      </c>
      <c r="CJ26" s="496" t="n">
        <v>0.0706423</v>
      </c>
      <c r="CK26" s="496" t="n">
        <v>0.0706423</v>
      </c>
      <c r="CL26" s="496" t="n">
        <v>0.0706423</v>
      </c>
      <c r="CM26" s="496" t="n">
        <v>0.0228761</v>
      </c>
      <c r="CN26" s="496" t="n">
        <v>0.0228761</v>
      </c>
      <c r="CO26" s="1099" t="n">
        <v>0.0001</v>
      </c>
      <c r="CP26" s="1099" t="n">
        <v>0.0001</v>
      </c>
      <c r="CQ26" s="496" t="n">
        <v>0</v>
      </c>
      <c r="CR26" s="496" t="n">
        <v>0</v>
      </c>
      <c r="CS26" s="1099" t="n">
        <v>0.000102</v>
      </c>
      <c r="CT26" s="1099" t="n">
        <v>0.000102</v>
      </c>
      <c r="CU26" s="1099" t="n">
        <v>0.000106</v>
      </c>
      <c r="CV26" s="1099" t="n">
        <v>0.000106</v>
      </c>
      <c r="CW26" s="1099" t="n">
        <v>0.000106</v>
      </c>
      <c r="CX26" s="1099" t="n">
        <v>0.000106</v>
      </c>
      <c r="CY26" s="1099" t="n">
        <v>7.65E-007</v>
      </c>
      <c r="CZ26" s="1099" t="n">
        <v>7.65E-007</v>
      </c>
      <c r="DA26" s="496" t="n">
        <v>0</v>
      </c>
      <c r="DB26" s="496" t="n">
        <v>0</v>
      </c>
      <c r="DC26" s="1099" t="n">
        <v>0.000106</v>
      </c>
      <c r="DD26" s="1099" t="n">
        <v>0.000106</v>
      </c>
      <c r="DE26" s="496" t="n">
        <v>0</v>
      </c>
      <c r="DF26" s="496" t="n">
        <v>0</v>
      </c>
    </row>
    <row r="27" customFormat="false" ht="15" hidden="false" customHeight="false" outlineLevel="0" collapsed="false">
      <c r="A27" s="496" t="s">
        <v>1988</v>
      </c>
      <c r="B27" s="496" t="n">
        <v>0.2001034</v>
      </c>
      <c r="C27" s="496" t="n">
        <v>0.2103882</v>
      </c>
      <c r="D27" s="496" t="n">
        <v>0.3035745</v>
      </c>
      <c r="E27" s="496" t="n">
        <v>0.3177358</v>
      </c>
      <c r="F27" s="1099" t="n">
        <v>0.008</v>
      </c>
      <c r="G27" s="496" t="n">
        <v>0</v>
      </c>
      <c r="H27" s="496" t="n">
        <v>0.1648898</v>
      </c>
      <c r="I27" s="496" t="n">
        <v>0.3035745</v>
      </c>
      <c r="J27" s="1099" t="n">
        <v>0.00845</v>
      </c>
      <c r="K27" s="1099" t="n">
        <v>0.00845</v>
      </c>
      <c r="L27" s="496" t="n">
        <v>0.2001034</v>
      </c>
      <c r="M27" s="496" t="n">
        <v>0</v>
      </c>
      <c r="N27" s="496" t="n">
        <v>0</v>
      </c>
      <c r="O27" s="496" t="n">
        <v>0.2187</v>
      </c>
      <c r="P27" s="496" t="n">
        <v>0</v>
      </c>
      <c r="Q27" s="1099" t="n">
        <v>3.19E-022</v>
      </c>
      <c r="R27" s="1099" t="n">
        <v>3.19E-022</v>
      </c>
      <c r="S27" s="1099" t="n">
        <v>2.03E-021</v>
      </c>
      <c r="T27" s="1099" t="n">
        <v>2.03E-021</v>
      </c>
      <c r="U27" s="1099" t="n">
        <v>0.000831</v>
      </c>
      <c r="V27" s="1099" t="n">
        <v>1.36E-007</v>
      </c>
      <c r="W27" s="1099" t="n">
        <v>1.36E-007</v>
      </c>
      <c r="X27" s="1099" t="n">
        <v>1.36E-007</v>
      </c>
      <c r="Y27" s="1099" t="n">
        <v>1.36E-007</v>
      </c>
      <c r="Z27" s="1099" t="n">
        <v>1.36E-007</v>
      </c>
      <c r="AA27" s="496" t="n">
        <v>0.2187</v>
      </c>
      <c r="AB27" s="1099" t="n">
        <v>0.000831</v>
      </c>
      <c r="AC27" s="496" t="n">
        <v>0.3035745</v>
      </c>
      <c r="AD27" s="496" t="n">
        <v>0.2187</v>
      </c>
      <c r="AE27" s="496" t="n">
        <v>0.2187</v>
      </c>
      <c r="AF27" s="1099" t="n">
        <v>0.000831</v>
      </c>
      <c r="AG27" s="1099" t="n">
        <v>0.000831</v>
      </c>
      <c r="AH27" s="496" t="n">
        <v>0.2001034</v>
      </c>
      <c r="AI27" s="496" t="n">
        <v>0.2001034</v>
      </c>
      <c r="AJ27" s="496" t="n">
        <v>0.2001034</v>
      </c>
      <c r="AK27" s="496" t="n">
        <v>0.2001034</v>
      </c>
      <c r="AL27" s="496" t="n">
        <v>0.2103882</v>
      </c>
      <c r="AM27" s="496" t="n">
        <v>0.2103882</v>
      </c>
      <c r="AN27" s="496" t="n">
        <v>0.3331416</v>
      </c>
      <c r="AO27" s="496" t="n">
        <v>0.3331416</v>
      </c>
      <c r="AP27" s="496" t="n">
        <v>0</v>
      </c>
      <c r="AQ27" s="496" t="n">
        <v>0</v>
      </c>
      <c r="AR27" s="496" t="n">
        <v>0.3035745</v>
      </c>
      <c r="AS27" s="496" t="n">
        <v>0.3035745</v>
      </c>
      <c r="AT27" s="496" t="n">
        <v>0.3177358</v>
      </c>
      <c r="AU27" s="496" t="n">
        <v>0.3177358</v>
      </c>
      <c r="AV27" s="1099" t="n">
        <v>0.00149</v>
      </c>
      <c r="AW27" s="1099" t="n">
        <v>0.00149</v>
      </c>
      <c r="AX27" s="496" t="n">
        <v>0.2001034</v>
      </c>
      <c r="AY27" s="496" t="n">
        <v>0.2001034</v>
      </c>
      <c r="AZ27" s="496" t="n">
        <v>0.2103881</v>
      </c>
      <c r="BA27" s="496" t="n">
        <v>0.1648898</v>
      </c>
      <c r="BB27" s="1099" t="n">
        <v>0.008</v>
      </c>
      <c r="BC27" s="496" t="n">
        <v>0.2103881</v>
      </c>
      <c r="BD27" s="1099" t="n">
        <v>0.000831</v>
      </c>
      <c r="BE27" s="496" t="n">
        <v>0.2667148</v>
      </c>
      <c r="BF27" s="1099" t="n">
        <v>1.36E-007</v>
      </c>
      <c r="BG27" s="1099" t="n">
        <v>1.36E-007</v>
      </c>
      <c r="BH27" s="496" t="n">
        <v>0.3035745</v>
      </c>
      <c r="BI27" s="496" t="n">
        <v>0.3035745</v>
      </c>
      <c r="BJ27" s="496" t="n">
        <v>0.3331415</v>
      </c>
      <c r="BK27" s="496" t="n">
        <v>0.2860261</v>
      </c>
      <c r="BL27" s="1099" t="n">
        <v>0.000653</v>
      </c>
      <c r="BM27" s="496" t="n">
        <v>0.3177358</v>
      </c>
      <c r="BN27" s="1099" t="n">
        <v>3.21E-022</v>
      </c>
      <c r="BO27" s="1099" t="n">
        <v>0.000653</v>
      </c>
      <c r="BP27" s="496" t="n">
        <v>0.196381</v>
      </c>
      <c r="BQ27" s="1099" t="n">
        <v>3.21E-022</v>
      </c>
      <c r="BR27" s="1099" t="n">
        <v>7.02E-019</v>
      </c>
      <c r="BS27" s="1099" t="n">
        <v>0.00845</v>
      </c>
      <c r="BT27" s="1099" t="n">
        <v>0.00149</v>
      </c>
      <c r="BU27" s="496" t="n">
        <v>0</v>
      </c>
      <c r="BV27" s="496" t="n">
        <v>0.2187</v>
      </c>
      <c r="BW27" s="496" t="n">
        <v>0</v>
      </c>
      <c r="BX27" s="1099" t="n">
        <v>0.000831</v>
      </c>
      <c r="BY27" s="496" t="n">
        <v>0</v>
      </c>
      <c r="BZ27" s="496" t="n">
        <v>0.3177358</v>
      </c>
      <c r="CA27" s="496" t="n">
        <v>0</v>
      </c>
      <c r="CB27" s="496" t="n">
        <v>0.2001034</v>
      </c>
      <c r="CC27" s="496" t="n">
        <v>0.2001034</v>
      </c>
      <c r="CD27" s="496" t="n">
        <v>0.1648898</v>
      </c>
      <c r="CE27" s="496" t="n">
        <v>0.2187</v>
      </c>
      <c r="CF27" s="496" t="n">
        <v>0.2187</v>
      </c>
      <c r="CG27" s="1099" t="n">
        <v>0.000831</v>
      </c>
      <c r="CH27" s="1099" t="n">
        <v>0.000831</v>
      </c>
      <c r="CI27" s="496" t="n">
        <v>0.2001034</v>
      </c>
      <c r="CJ27" s="496" t="n">
        <v>0.2001034</v>
      </c>
      <c r="CK27" s="496" t="n">
        <v>0.2001034</v>
      </c>
      <c r="CL27" s="496" t="n">
        <v>0.2001034</v>
      </c>
      <c r="CM27" s="496" t="n">
        <v>0.2103881</v>
      </c>
      <c r="CN27" s="496" t="n">
        <v>0.2103881</v>
      </c>
      <c r="CO27" s="496" t="n">
        <v>0.3331415</v>
      </c>
      <c r="CP27" s="496" t="n">
        <v>0.3331415</v>
      </c>
      <c r="CQ27" s="496" t="n">
        <v>0</v>
      </c>
      <c r="CR27" s="496" t="n">
        <v>0</v>
      </c>
      <c r="CS27" s="496" t="n">
        <v>0.3035745</v>
      </c>
      <c r="CT27" s="496" t="n">
        <v>0.3035745</v>
      </c>
      <c r="CU27" s="496" t="n">
        <v>0.3177358</v>
      </c>
      <c r="CV27" s="496" t="n">
        <v>0.3177358</v>
      </c>
      <c r="CW27" s="496" t="n">
        <v>0.3177358</v>
      </c>
      <c r="CX27" s="496" t="n">
        <v>0.3177358</v>
      </c>
      <c r="CY27" s="1099" t="n">
        <v>0.00149</v>
      </c>
      <c r="CZ27" s="1099" t="n">
        <v>0.00149</v>
      </c>
      <c r="DA27" s="496" t="n">
        <v>0</v>
      </c>
      <c r="DB27" s="496" t="n">
        <v>0</v>
      </c>
      <c r="DC27" s="496" t="n">
        <v>0.3177358</v>
      </c>
      <c r="DD27" s="496" t="n">
        <v>0.3177358</v>
      </c>
      <c r="DE27" s="496" t="n">
        <v>0</v>
      </c>
      <c r="DF27" s="496" t="n">
        <v>0</v>
      </c>
    </row>
    <row r="28" customFormat="false" ht="15" hidden="false" customHeight="false" outlineLevel="0" collapsed="false">
      <c r="A28" s="496" t="s">
        <v>1989</v>
      </c>
      <c r="B28" s="496" t="n">
        <v>0.128712</v>
      </c>
      <c r="C28" s="496" t="n">
        <v>0.1353274</v>
      </c>
      <c r="D28" s="496" t="n">
        <v>0.1952735</v>
      </c>
      <c r="E28" s="496" t="n">
        <v>0.2042305</v>
      </c>
      <c r="F28" s="1099" t="n">
        <v>0.00732</v>
      </c>
      <c r="G28" s="496" t="n">
        <v>0</v>
      </c>
      <c r="H28" s="496" t="n">
        <v>0.1060616</v>
      </c>
      <c r="I28" s="496" t="n">
        <v>0.1952735</v>
      </c>
      <c r="J28" s="1099" t="n">
        <v>0.0077</v>
      </c>
      <c r="K28" s="1099" t="n">
        <v>0.0077</v>
      </c>
      <c r="L28" s="496" t="n">
        <v>0.128712</v>
      </c>
      <c r="M28" s="496" t="n">
        <v>0</v>
      </c>
      <c r="N28" s="496" t="n">
        <v>0</v>
      </c>
      <c r="O28" s="496" t="n">
        <v>0.1406</v>
      </c>
      <c r="P28" s="496" t="n">
        <v>0</v>
      </c>
      <c r="Q28" s="1099" t="n">
        <v>1.57E-022</v>
      </c>
      <c r="R28" s="1099" t="n">
        <v>1.57E-022</v>
      </c>
      <c r="S28" s="1099" t="n">
        <v>2.51E-025</v>
      </c>
      <c r="T28" s="1099" t="n">
        <v>2.51E-025</v>
      </c>
      <c r="U28" s="1099" t="n">
        <v>0.00076</v>
      </c>
      <c r="V28" s="1099" t="n">
        <v>2.08E-008</v>
      </c>
      <c r="W28" s="1099" t="n">
        <v>2.08E-008</v>
      </c>
      <c r="X28" s="1099" t="n">
        <v>2.08E-008</v>
      </c>
      <c r="Y28" s="1099" t="n">
        <v>2.08E-008</v>
      </c>
      <c r="Z28" s="1099" t="n">
        <v>2.08E-008</v>
      </c>
      <c r="AA28" s="496" t="n">
        <v>0.1406</v>
      </c>
      <c r="AB28" s="1099" t="n">
        <v>0.00076</v>
      </c>
      <c r="AC28" s="496" t="n">
        <v>0.1952735</v>
      </c>
      <c r="AD28" s="496" t="n">
        <v>0.1406</v>
      </c>
      <c r="AE28" s="496" t="n">
        <v>0.1406</v>
      </c>
      <c r="AF28" s="1099" t="n">
        <v>0.00076</v>
      </c>
      <c r="AG28" s="1099" t="n">
        <v>0.00076</v>
      </c>
      <c r="AH28" s="496" t="n">
        <v>0.128712</v>
      </c>
      <c r="AI28" s="496" t="n">
        <v>0.128712</v>
      </c>
      <c r="AJ28" s="496" t="n">
        <v>0.128712</v>
      </c>
      <c r="AK28" s="496" t="n">
        <v>0.128712</v>
      </c>
      <c r="AL28" s="496" t="n">
        <v>0.1353274</v>
      </c>
      <c r="AM28" s="496" t="n">
        <v>0.1353274</v>
      </c>
      <c r="AN28" s="496" t="n">
        <v>0.1931819</v>
      </c>
      <c r="AO28" s="496" t="n">
        <v>0.1931819</v>
      </c>
      <c r="AP28" s="496" t="n">
        <v>0</v>
      </c>
      <c r="AQ28" s="496" t="n">
        <v>0</v>
      </c>
      <c r="AR28" s="496" t="n">
        <v>0.1952735</v>
      </c>
      <c r="AS28" s="496" t="n">
        <v>0.1952735</v>
      </c>
      <c r="AT28" s="496" t="n">
        <v>0.2042305</v>
      </c>
      <c r="AU28" s="496" t="n">
        <v>0.2042305</v>
      </c>
      <c r="AV28" s="1099" t="n">
        <v>0.00135</v>
      </c>
      <c r="AW28" s="1099" t="n">
        <v>0.00135</v>
      </c>
      <c r="AX28" s="496" t="n">
        <v>0.128712</v>
      </c>
      <c r="AY28" s="496" t="n">
        <v>0.128712</v>
      </c>
      <c r="AZ28" s="496" t="n">
        <v>0.1353274</v>
      </c>
      <c r="BA28" s="496" t="n">
        <v>0.1060616</v>
      </c>
      <c r="BB28" s="1099" t="n">
        <v>0.00731</v>
      </c>
      <c r="BC28" s="496" t="n">
        <v>0.1353274</v>
      </c>
      <c r="BD28" s="1099" t="n">
        <v>0.00076</v>
      </c>
      <c r="BE28" s="496" t="n">
        <v>0.1306015</v>
      </c>
      <c r="BF28" s="1099" t="n">
        <v>2.08E-008</v>
      </c>
      <c r="BG28" s="1099" t="n">
        <v>2.08E-008</v>
      </c>
      <c r="BH28" s="496" t="n">
        <v>0.1952735</v>
      </c>
      <c r="BI28" s="496" t="n">
        <v>0.1952735</v>
      </c>
      <c r="BJ28" s="496" t="n">
        <v>0.1931818</v>
      </c>
      <c r="BK28" s="496" t="n">
        <v>0.1655888</v>
      </c>
      <c r="BL28" s="1099" t="n">
        <v>0.00058</v>
      </c>
      <c r="BM28" s="496" t="n">
        <v>0.2042305</v>
      </c>
      <c r="BN28" s="1099" t="n">
        <v>1.58E-022</v>
      </c>
      <c r="BO28" s="1099" t="n">
        <v>0.00058</v>
      </c>
      <c r="BP28" s="496" t="n">
        <v>0.1634336</v>
      </c>
      <c r="BQ28" s="1099" t="n">
        <v>1.58E-022</v>
      </c>
      <c r="BR28" s="1099" t="n">
        <v>2.6E-019</v>
      </c>
      <c r="BS28" s="1099" t="n">
        <v>0.0077</v>
      </c>
      <c r="BT28" s="1099" t="n">
        <v>0.00135</v>
      </c>
      <c r="BU28" s="496" t="n">
        <v>0</v>
      </c>
      <c r="BV28" s="496" t="n">
        <v>0.1406</v>
      </c>
      <c r="BW28" s="496" t="n">
        <v>0</v>
      </c>
      <c r="BX28" s="1099" t="n">
        <v>0.00076</v>
      </c>
      <c r="BY28" s="496" t="n">
        <v>0</v>
      </c>
      <c r="BZ28" s="496" t="n">
        <v>0.2042305</v>
      </c>
      <c r="CA28" s="496" t="n">
        <v>0</v>
      </c>
      <c r="CB28" s="496" t="n">
        <v>0.128712</v>
      </c>
      <c r="CC28" s="496" t="n">
        <v>0.128712</v>
      </c>
      <c r="CD28" s="496" t="n">
        <v>0.1060616</v>
      </c>
      <c r="CE28" s="496" t="n">
        <v>0.1406</v>
      </c>
      <c r="CF28" s="496" t="n">
        <v>0.1406</v>
      </c>
      <c r="CG28" s="1099" t="n">
        <v>0.00076</v>
      </c>
      <c r="CH28" s="1099" t="n">
        <v>0.00076</v>
      </c>
      <c r="CI28" s="496" t="n">
        <v>0.128712</v>
      </c>
      <c r="CJ28" s="496" t="n">
        <v>0.128712</v>
      </c>
      <c r="CK28" s="496" t="n">
        <v>0.128712</v>
      </c>
      <c r="CL28" s="496" t="n">
        <v>0.128712</v>
      </c>
      <c r="CM28" s="496" t="n">
        <v>0.1353274</v>
      </c>
      <c r="CN28" s="496" t="n">
        <v>0.1353274</v>
      </c>
      <c r="CO28" s="496" t="n">
        <v>0.1931818</v>
      </c>
      <c r="CP28" s="496" t="n">
        <v>0.1931818</v>
      </c>
      <c r="CQ28" s="496" t="n">
        <v>0</v>
      </c>
      <c r="CR28" s="496" t="n">
        <v>0</v>
      </c>
      <c r="CS28" s="496" t="n">
        <v>0.1952735</v>
      </c>
      <c r="CT28" s="496" t="n">
        <v>0.1952735</v>
      </c>
      <c r="CU28" s="496" t="n">
        <v>0.2042305</v>
      </c>
      <c r="CV28" s="496" t="n">
        <v>0.2042305</v>
      </c>
      <c r="CW28" s="496" t="n">
        <v>0.2042305</v>
      </c>
      <c r="CX28" s="496" t="n">
        <v>0.2042305</v>
      </c>
      <c r="CY28" s="1099" t="n">
        <v>0.00135</v>
      </c>
      <c r="CZ28" s="1099" t="n">
        <v>0.00135</v>
      </c>
      <c r="DA28" s="496" t="n">
        <v>0</v>
      </c>
      <c r="DB28" s="496" t="n">
        <v>0</v>
      </c>
      <c r="DC28" s="496" t="n">
        <v>0.2042305</v>
      </c>
      <c r="DD28" s="496" t="n">
        <v>0.2042305</v>
      </c>
      <c r="DE28" s="496" t="n">
        <v>0</v>
      </c>
      <c r="DF28" s="496" t="n">
        <v>0</v>
      </c>
    </row>
    <row r="29" customFormat="false" ht="15" hidden="false" customHeight="false" outlineLevel="0" collapsed="false">
      <c r="A29" s="496" t="s">
        <v>1990</v>
      </c>
      <c r="B29" s="496" t="n">
        <v>0</v>
      </c>
      <c r="C29" s="496" t="n">
        <v>0</v>
      </c>
      <c r="D29" s="496" t="n">
        <v>0</v>
      </c>
      <c r="E29" s="496" t="n">
        <v>0</v>
      </c>
      <c r="F29" s="496" t="n">
        <v>0</v>
      </c>
      <c r="G29" s="496" t="n">
        <v>0</v>
      </c>
      <c r="H29" s="496" t="n">
        <v>0</v>
      </c>
      <c r="I29" s="496" t="n">
        <v>0</v>
      </c>
      <c r="J29" s="496" t="n">
        <v>0</v>
      </c>
      <c r="K29" s="496" t="n">
        <v>0</v>
      </c>
      <c r="L29" s="496" t="n">
        <v>0</v>
      </c>
      <c r="M29" s="496" t="n">
        <v>0</v>
      </c>
      <c r="N29" s="496" t="n">
        <v>0</v>
      </c>
      <c r="O29" s="496" t="n">
        <v>0</v>
      </c>
      <c r="P29" s="496" t="n">
        <v>0</v>
      </c>
      <c r="Q29" s="496" t="n">
        <v>0</v>
      </c>
      <c r="R29" s="496" t="n">
        <v>0</v>
      </c>
      <c r="S29" s="496" t="n">
        <v>0</v>
      </c>
      <c r="T29" s="496" t="n">
        <v>0</v>
      </c>
      <c r="U29" s="496" t="n">
        <v>0</v>
      </c>
      <c r="V29" s="496" t="n">
        <v>0</v>
      </c>
      <c r="W29" s="496" t="n">
        <v>0</v>
      </c>
      <c r="X29" s="496" t="n">
        <v>0</v>
      </c>
      <c r="Y29" s="496" t="n">
        <v>0</v>
      </c>
      <c r="Z29" s="496" t="n">
        <v>0</v>
      </c>
      <c r="AA29" s="496" t="n">
        <v>0</v>
      </c>
      <c r="AB29" s="496" t="n">
        <v>0</v>
      </c>
      <c r="AC29" s="496" t="n">
        <v>0</v>
      </c>
      <c r="AD29" s="496" t="n">
        <v>0</v>
      </c>
      <c r="AE29" s="496" t="n">
        <v>0</v>
      </c>
      <c r="AF29" s="496" t="n">
        <v>0</v>
      </c>
      <c r="AG29" s="496" t="n">
        <v>0</v>
      </c>
      <c r="AH29" s="496" t="n">
        <v>0</v>
      </c>
      <c r="AI29" s="496" t="n">
        <v>0</v>
      </c>
      <c r="AJ29" s="496" t="n">
        <v>0</v>
      </c>
      <c r="AK29" s="496" t="n">
        <v>0</v>
      </c>
      <c r="AL29" s="496" t="n">
        <v>0</v>
      </c>
      <c r="AM29" s="496" t="n">
        <v>0</v>
      </c>
      <c r="AN29" s="496" t="n">
        <v>0</v>
      </c>
      <c r="AO29" s="496" t="n">
        <v>0</v>
      </c>
      <c r="AP29" s="496" t="n">
        <v>0</v>
      </c>
      <c r="AQ29" s="496" t="n">
        <v>0</v>
      </c>
      <c r="AR29" s="496" t="n">
        <v>0</v>
      </c>
      <c r="AS29" s="496" t="n">
        <v>0</v>
      </c>
      <c r="AT29" s="496" t="n">
        <v>0</v>
      </c>
      <c r="AU29" s="496" t="n">
        <v>0</v>
      </c>
      <c r="AV29" s="496" t="n">
        <v>0</v>
      </c>
      <c r="AW29" s="496" t="n">
        <v>0</v>
      </c>
      <c r="AX29" s="496" t="n">
        <v>0</v>
      </c>
      <c r="AY29" s="496" t="n">
        <v>0</v>
      </c>
      <c r="AZ29" s="496" t="n">
        <v>0</v>
      </c>
      <c r="BA29" s="496" t="n">
        <v>0</v>
      </c>
      <c r="BB29" s="496" t="n">
        <v>0</v>
      </c>
      <c r="BC29" s="496" t="n">
        <v>0</v>
      </c>
      <c r="BD29" s="496" t="n">
        <v>0</v>
      </c>
      <c r="BE29" s="496" t="n">
        <v>0</v>
      </c>
      <c r="BF29" s="496" t="n">
        <v>0</v>
      </c>
      <c r="BG29" s="496" t="n">
        <v>0</v>
      </c>
      <c r="BH29" s="496" t="n">
        <v>0</v>
      </c>
      <c r="BI29" s="496" t="n">
        <v>0</v>
      </c>
      <c r="BJ29" s="496" t="n">
        <v>0</v>
      </c>
      <c r="BK29" s="496" t="n">
        <v>0</v>
      </c>
      <c r="BL29" s="496" t="n">
        <v>0</v>
      </c>
      <c r="BM29" s="496" t="n">
        <v>0</v>
      </c>
      <c r="BN29" s="496" t="n">
        <v>0</v>
      </c>
      <c r="BO29" s="496" t="n">
        <v>0</v>
      </c>
      <c r="BP29" s="496" t="n">
        <v>0</v>
      </c>
      <c r="BQ29" s="496" t="n">
        <v>0</v>
      </c>
      <c r="BR29" s="496" t="n">
        <v>0</v>
      </c>
      <c r="BS29" s="496" t="n">
        <v>0</v>
      </c>
      <c r="BT29" s="496" t="n">
        <v>0</v>
      </c>
      <c r="BU29" s="496" t="n">
        <v>0</v>
      </c>
      <c r="BV29" s="496" t="n">
        <v>0</v>
      </c>
      <c r="BW29" s="496" t="n">
        <v>0</v>
      </c>
      <c r="BX29" s="496" t="n">
        <v>0</v>
      </c>
      <c r="BY29" s="496" t="n">
        <v>0</v>
      </c>
      <c r="BZ29" s="496" t="n">
        <v>0</v>
      </c>
      <c r="CA29" s="496" t="n">
        <v>0</v>
      </c>
      <c r="CB29" s="496" t="n">
        <v>0</v>
      </c>
      <c r="CC29" s="496" t="n">
        <v>0</v>
      </c>
      <c r="CD29" s="496" t="n">
        <v>0</v>
      </c>
      <c r="CE29" s="496" t="n">
        <v>0</v>
      </c>
      <c r="CF29" s="496" t="n">
        <v>0</v>
      </c>
      <c r="CG29" s="496" t="n">
        <v>0</v>
      </c>
      <c r="CH29" s="496" t="n">
        <v>0</v>
      </c>
      <c r="CI29" s="496" t="n">
        <v>0</v>
      </c>
      <c r="CJ29" s="496" t="n">
        <v>0</v>
      </c>
      <c r="CK29" s="496" t="n">
        <v>0</v>
      </c>
      <c r="CL29" s="496" t="n">
        <v>0</v>
      </c>
      <c r="CM29" s="496" t="n">
        <v>0</v>
      </c>
      <c r="CN29" s="496" t="n">
        <v>0</v>
      </c>
      <c r="CO29" s="496" t="n">
        <v>0</v>
      </c>
      <c r="CP29" s="496" t="n">
        <v>0</v>
      </c>
      <c r="CQ29" s="496" t="n">
        <v>0</v>
      </c>
      <c r="CR29" s="496" t="n">
        <v>0</v>
      </c>
      <c r="CS29" s="496" t="n">
        <v>0</v>
      </c>
      <c r="CT29" s="496" t="n">
        <v>0</v>
      </c>
      <c r="CU29" s="496" t="n">
        <v>0</v>
      </c>
      <c r="CV29" s="496" t="n">
        <v>0</v>
      </c>
      <c r="CW29" s="496" t="n">
        <v>0</v>
      </c>
      <c r="CX29" s="496" t="n">
        <v>0</v>
      </c>
      <c r="CY29" s="496" t="n">
        <v>0</v>
      </c>
      <c r="CZ29" s="496" t="n">
        <v>0</v>
      </c>
      <c r="DA29" s="496" t="n">
        <v>0</v>
      </c>
      <c r="DB29" s="496" t="n">
        <v>0</v>
      </c>
      <c r="DC29" s="496" t="n">
        <v>0</v>
      </c>
      <c r="DD29" s="496" t="n">
        <v>0</v>
      </c>
      <c r="DE29" s="496" t="n">
        <v>0</v>
      </c>
      <c r="DF29" s="496" t="n">
        <v>0</v>
      </c>
    </row>
    <row r="30" customFormat="false" ht="15" hidden="false" customHeight="false" outlineLevel="0" collapsed="false">
      <c r="A30" s="496" t="s">
        <v>1991</v>
      </c>
      <c r="B30" s="496" t="n">
        <v>0</v>
      </c>
      <c r="C30" s="496" t="n">
        <v>0</v>
      </c>
      <c r="D30" s="496" t="n">
        <v>0</v>
      </c>
      <c r="E30" s="496" t="n">
        <v>0</v>
      </c>
      <c r="F30" s="496" t="n">
        <v>0</v>
      </c>
      <c r="G30" s="496" t="n">
        <v>0</v>
      </c>
      <c r="H30" s="496" t="n">
        <v>0</v>
      </c>
      <c r="I30" s="496" t="n">
        <v>0</v>
      </c>
      <c r="J30" s="496" t="n">
        <v>0</v>
      </c>
      <c r="K30" s="496" t="n">
        <v>0</v>
      </c>
      <c r="L30" s="496" t="n">
        <v>0</v>
      </c>
      <c r="M30" s="496" t="n">
        <v>0</v>
      </c>
      <c r="N30" s="496" t="n">
        <v>0</v>
      </c>
      <c r="O30" s="496" t="n">
        <v>0</v>
      </c>
      <c r="P30" s="496" t="n">
        <v>0</v>
      </c>
      <c r="Q30" s="496" t="n">
        <v>0</v>
      </c>
      <c r="R30" s="496" t="n">
        <v>0</v>
      </c>
      <c r="S30" s="496" t="n">
        <v>0</v>
      </c>
      <c r="T30" s="496" t="n">
        <v>0</v>
      </c>
      <c r="U30" s="496" t="n">
        <v>0</v>
      </c>
      <c r="V30" s="496" t="n">
        <v>0</v>
      </c>
      <c r="W30" s="496" t="n">
        <v>0</v>
      </c>
      <c r="X30" s="496" t="n">
        <v>0</v>
      </c>
      <c r="Y30" s="496" t="n">
        <v>0</v>
      </c>
      <c r="Z30" s="496" t="n">
        <v>0</v>
      </c>
      <c r="AA30" s="496" t="n">
        <v>0</v>
      </c>
      <c r="AB30" s="496" t="n">
        <v>0</v>
      </c>
      <c r="AC30" s="496" t="n">
        <v>0</v>
      </c>
      <c r="AD30" s="496" t="n">
        <v>0</v>
      </c>
      <c r="AE30" s="496" t="n">
        <v>0</v>
      </c>
      <c r="AF30" s="496" t="n">
        <v>0</v>
      </c>
      <c r="AG30" s="496" t="n">
        <v>0</v>
      </c>
      <c r="AH30" s="496" t="n">
        <v>0</v>
      </c>
      <c r="AI30" s="496" t="n">
        <v>0</v>
      </c>
      <c r="AJ30" s="496" t="n">
        <v>0</v>
      </c>
      <c r="AK30" s="496" t="n">
        <v>0</v>
      </c>
      <c r="AL30" s="496" t="n">
        <v>0</v>
      </c>
      <c r="AM30" s="496" t="n">
        <v>0</v>
      </c>
      <c r="AN30" s="496" t="n">
        <v>0</v>
      </c>
      <c r="AO30" s="496" t="n">
        <v>0</v>
      </c>
      <c r="AP30" s="496" t="n">
        <v>0</v>
      </c>
      <c r="AQ30" s="496" t="n">
        <v>0</v>
      </c>
      <c r="AR30" s="496" t="n">
        <v>0</v>
      </c>
      <c r="AS30" s="496" t="n">
        <v>0</v>
      </c>
      <c r="AT30" s="496" t="n">
        <v>0</v>
      </c>
      <c r="AU30" s="496" t="n">
        <v>0</v>
      </c>
      <c r="AV30" s="496" t="n">
        <v>0</v>
      </c>
      <c r="AW30" s="496" t="n">
        <v>0</v>
      </c>
      <c r="AX30" s="496" t="n">
        <v>0</v>
      </c>
      <c r="AY30" s="496" t="n">
        <v>0</v>
      </c>
      <c r="AZ30" s="496" t="n">
        <v>0</v>
      </c>
      <c r="BA30" s="496" t="n">
        <v>0</v>
      </c>
      <c r="BB30" s="496" t="n">
        <v>0</v>
      </c>
      <c r="BC30" s="496" t="n">
        <v>0</v>
      </c>
      <c r="BD30" s="496" t="n">
        <v>0</v>
      </c>
      <c r="BE30" s="496" t="n">
        <v>0</v>
      </c>
      <c r="BF30" s="496" t="n">
        <v>0</v>
      </c>
      <c r="BG30" s="496" t="n">
        <v>0</v>
      </c>
      <c r="BH30" s="496" t="n">
        <v>0</v>
      </c>
      <c r="BI30" s="496" t="n">
        <v>0</v>
      </c>
      <c r="BJ30" s="496" t="n">
        <v>0</v>
      </c>
      <c r="BK30" s="496" t="n">
        <v>0</v>
      </c>
      <c r="BL30" s="496" t="n">
        <v>0</v>
      </c>
      <c r="BM30" s="496" t="n">
        <v>0</v>
      </c>
      <c r="BN30" s="496" t="n">
        <v>0</v>
      </c>
      <c r="BO30" s="496" t="n">
        <v>0</v>
      </c>
      <c r="BP30" s="496" t="n">
        <v>0</v>
      </c>
      <c r="BQ30" s="496" t="n">
        <v>0</v>
      </c>
      <c r="BR30" s="496" t="n">
        <v>0</v>
      </c>
      <c r="BS30" s="496" t="n">
        <v>0</v>
      </c>
      <c r="BT30" s="496" t="n">
        <v>0</v>
      </c>
      <c r="BU30" s="496" t="n">
        <v>0</v>
      </c>
      <c r="BV30" s="496" t="n">
        <v>0</v>
      </c>
      <c r="BW30" s="496" t="n">
        <v>0</v>
      </c>
      <c r="BX30" s="496" t="n">
        <v>0</v>
      </c>
      <c r="BY30" s="496" t="n">
        <v>0</v>
      </c>
      <c r="BZ30" s="496" t="n">
        <v>0</v>
      </c>
      <c r="CA30" s="496" t="n">
        <v>0</v>
      </c>
      <c r="CB30" s="496" t="n">
        <v>0</v>
      </c>
      <c r="CC30" s="496" t="n">
        <v>0</v>
      </c>
      <c r="CD30" s="496" t="n">
        <v>0</v>
      </c>
      <c r="CE30" s="496" t="n">
        <v>0</v>
      </c>
      <c r="CF30" s="496" t="n">
        <v>0</v>
      </c>
      <c r="CG30" s="496" t="n">
        <v>0</v>
      </c>
      <c r="CH30" s="496" t="n">
        <v>0</v>
      </c>
      <c r="CI30" s="496" t="n">
        <v>0</v>
      </c>
      <c r="CJ30" s="496" t="n">
        <v>0</v>
      </c>
      <c r="CK30" s="496" t="n">
        <v>0</v>
      </c>
      <c r="CL30" s="496" t="n">
        <v>0</v>
      </c>
      <c r="CM30" s="496" t="n">
        <v>0</v>
      </c>
      <c r="CN30" s="496" t="n">
        <v>0</v>
      </c>
      <c r="CO30" s="496" t="n">
        <v>0</v>
      </c>
      <c r="CP30" s="496" t="n">
        <v>0</v>
      </c>
      <c r="CQ30" s="496" t="n">
        <v>0</v>
      </c>
      <c r="CR30" s="496" t="n">
        <v>0</v>
      </c>
      <c r="CS30" s="496" t="n">
        <v>0</v>
      </c>
      <c r="CT30" s="496" t="n">
        <v>0</v>
      </c>
      <c r="CU30" s="496" t="n">
        <v>0</v>
      </c>
      <c r="CV30" s="496" t="n">
        <v>0</v>
      </c>
      <c r="CW30" s="496" t="n">
        <v>0</v>
      </c>
      <c r="CX30" s="496" t="n">
        <v>0</v>
      </c>
      <c r="CY30" s="496" t="n">
        <v>0</v>
      </c>
      <c r="CZ30" s="496" t="n">
        <v>0</v>
      </c>
      <c r="DA30" s="496" t="n">
        <v>0</v>
      </c>
      <c r="DB30" s="496" t="n">
        <v>0</v>
      </c>
      <c r="DC30" s="496" t="n">
        <v>0</v>
      </c>
      <c r="DD30" s="496" t="n">
        <v>0</v>
      </c>
      <c r="DE30" s="496" t="n">
        <v>0</v>
      </c>
      <c r="DF30" s="496" t="n">
        <v>0</v>
      </c>
    </row>
    <row r="31" customFormat="false" ht="15" hidden="false" customHeight="false" outlineLevel="0" collapsed="false">
      <c r="A31" s="496" t="s">
        <v>1992</v>
      </c>
      <c r="B31" s="1099" t="n">
        <v>0.00402</v>
      </c>
      <c r="C31" s="1099" t="n">
        <v>0.00423</v>
      </c>
      <c r="D31" s="1099" t="n">
        <v>0.000161</v>
      </c>
      <c r="E31" s="1099" t="n">
        <v>0.000169</v>
      </c>
      <c r="F31" s="1099" t="n">
        <v>1.72E-006</v>
      </c>
      <c r="G31" s="496" t="n">
        <v>0</v>
      </c>
      <c r="H31" s="1099" t="n">
        <v>0.00331</v>
      </c>
      <c r="I31" s="1099" t="n">
        <v>0.000161</v>
      </c>
      <c r="J31" s="1099" t="n">
        <v>1.76E-006</v>
      </c>
      <c r="K31" s="1099" t="n">
        <v>1.76E-006</v>
      </c>
      <c r="L31" s="1099" t="n">
        <v>0.00402</v>
      </c>
      <c r="M31" s="496" t="n">
        <v>0</v>
      </c>
      <c r="N31" s="496" t="n">
        <v>0</v>
      </c>
      <c r="O31" s="1099" t="n">
        <v>0.0044</v>
      </c>
      <c r="P31" s="496" t="n">
        <v>0</v>
      </c>
      <c r="Q31" s="1099" t="n">
        <v>2.15E-027</v>
      </c>
      <c r="R31" s="1099" t="n">
        <v>2.15E-027</v>
      </c>
      <c r="S31" s="1099" t="n">
        <v>6.87E-022</v>
      </c>
      <c r="T31" s="1099" t="n">
        <v>6.87E-022</v>
      </c>
      <c r="U31" s="1099" t="n">
        <v>1.69E-007</v>
      </c>
      <c r="V31" s="496" t="n">
        <v>0.0135917</v>
      </c>
      <c r="W31" s="496" t="n">
        <v>0.0135917</v>
      </c>
      <c r="X31" s="496" t="n">
        <v>0.0135917</v>
      </c>
      <c r="Y31" s="496" t="n">
        <v>0.0135917</v>
      </c>
      <c r="Z31" s="496" t="n">
        <v>0.0135917</v>
      </c>
      <c r="AA31" s="1099" t="n">
        <v>0.0044</v>
      </c>
      <c r="AB31" s="1099" t="n">
        <v>1.69E-007</v>
      </c>
      <c r="AC31" s="1099" t="n">
        <v>0.000161</v>
      </c>
      <c r="AD31" s="1099" t="n">
        <v>0.0044</v>
      </c>
      <c r="AE31" s="1099" t="n">
        <v>0.0044</v>
      </c>
      <c r="AF31" s="1099" t="n">
        <v>1.69E-007</v>
      </c>
      <c r="AG31" s="1099" t="n">
        <v>1.69E-007</v>
      </c>
      <c r="AH31" s="1099" t="n">
        <v>0.00402</v>
      </c>
      <c r="AI31" s="1099" t="n">
        <v>0.00402</v>
      </c>
      <c r="AJ31" s="1099" t="n">
        <v>0.00402</v>
      </c>
      <c r="AK31" s="1099" t="n">
        <v>0.00402</v>
      </c>
      <c r="AL31" s="1099" t="n">
        <v>0.00423</v>
      </c>
      <c r="AM31" s="1099" t="n">
        <v>0.00423</v>
      </c>
      <c r="AN31" s="1099" t="n">
        <v>0.000339</v>
      </c>
      <c r="AO31" s="1099" t="n">
        <v>0.000339</v>
      </c>
      <c r="AP31" s="496" t="n">
        <v>0</v>
      </c>
      <c r="AQ31" s="496" t="n">
        <v>0</v>
      </c>
      <c r="AR31" s="1099" t="n">
        <v>0.000161</v>
      </c>
      <c r="AS31" s="1099" t="n">
        <v>0.000161</v>
      </c>
      <c r="AT31" s="1099" t="n">
        <v>0.000169</v>
      </c>
      <c r="AU31" s="1099" t="n">
        <v>0.000169</v>
      </c>
      <c r="AV31" s="1099" t="n">
        <v>2.97E-007</v>
      </c>
      <c r="AW31" s="1099" t="n">
        <v>2.97E-007</v>
      </c>
      <c r="AX31" s="1099" t="n">
        <v>0.00402</v>
      </c>
      <c r="AY31" s="1099" t="n">
        <v>0.00402</v>
      </c>
      <c r="AZ31" s="1099" t="n">
        <v>0.00423</v>
      </c>
      <c r="BA31" s="1099" t="n">
        <v>0.00331</v>
      </c>
      <c r="BB31" s="1099" t="n">
        <v>1.63E-006</v>
      </c>
      <c r="BC31" s="1099" t="n">
        <v>0.00423</v>
      </c>
      <c r="BD31" s="1099" t="n">
        <v>1.69E-007</v>
      </c>
      <c r="BE31" s="496" t="n">
        <v>0.1197204</v>
      </c>
      <c r="BF31" s="496" t="n">
        <v>0.0135917</v>
      </c>
      <c r="BG31" s="496" t="n">
        <v>0.0135917</v>
      </c>
      <c r="BH31" s="1099" t="n">
        <v>0.000161</v>
      </c>
      <c r="BI31" s="1099" t="n">
        <v>0.000161</v>
      </c>
      <c r="BJ31" s="1099" t="n">
        <v>0.000339</v>
      </c>
      <c r="BK31" s="496" t="n">
        <v>0.0538472</v>
      </c>
      <c r="BL31" s="1099" t="n">
        <v>1.14E-007</v>
      </c>
      <c r="BM31" s="1099" t="n">
        <v>0.000169</v>
      </c>
      <c r="BN31" s="1099" t="n">
        <v>2.16E-027</v>
      </c>
      <c r="BO31" s="1099" t="n">
        <v>1.14E-007</v>
      </c>
      <c r="BP31" s="1099" t="n">
        <v>1.81E-005</v>
      </c>
      <c r="BQ31" s="1099" t="n">
        <v>2.16E-027</v>
      </c>
      <c r="BR31" s="1099" t="n">
        <v>7.07E-024</v>
      </c>
      <c r="BS31" s="1099" t="n">
        <v>1.76E-006</v>
      </c>
      <c r="BT31" s="1099" t="n">
        <v>2.97E-007</v>
      </c>
      <c r="BU31" s="496" t="n">
        <v>0</v>
      </c>
      <c r="BV31" s="1099" t="n">
        <v>0.0044</v>
      </c>
      <c r="BW31" s="496" t="n">
        <v>0</v>
      </c>
      <c r="BX31" s="1099" t="n">
        <v>1.69E-007</v>
      </c>
      <c r="BY31" s="496" t="n">
        <v>0</v>
      </c>
      <c r="BZ31" s="1099" t="n">
        <v>0.000169</v>
      </c>
      <c r="CA31" s="496" t="n">
        <v>0</v>
      </c>
      <c r="CB31" s="1099" t="n">
        <v>0.00402</v>
      </c>
      <c r="CC31" s="1099" t="n">
        <v>0.00402</v>
      </c>
      <c r="CD31" s="1099" t="n">
        <v>0.00331</v>
      </c>
      <c r="CE31" s="1099" t="n">
        <v>0.0044</v>
      </c>
      <c r="CF31" s="1099" t="n">
        <v>0.0044</v>
      </c>
      <c r="CG31" s="1099" t="n">
        <v>1.69E-007</v>
      </c>
      <c r="CH31" s="1099" t="n">
        <v>1.69E-007</v>
      </c>
      <c r="CI31" s="1099" t="n">
        <v>0.00402</v>
      </c>
      <c r="CJ31" s="1099" t="n">
        <v>0.00402</v>
      </c>
      <c r="CK31" s="1099" t="n">
        <v>0.00402</v>
      </c>
      <c r="CL31" s="1099" t="n">
        <v>0.00402</v>
      </c>
      <c r="CM31" s="1099" t="n">
        <v>0.00423</v>
      </c>
      <c r="CN31" s="1099" t="n">
        <v>0.00423</v>
      </c>
      <c r="CO31" s="1099" t="n">
        <v>0.000339</v>
      </c>
      <c r="CP31" s="1099" t="n">
        <v>0.000339</v>
      </c>
      <c r="CQ31" s="496" t="n">
        <v>0</v>
      </c>
      <c r="CR31" s="496" t="n">
        <v>0</v>
      </c>
      <c r="CS31" s="1099" t="n">
        <v>0.000161</v>
      </c>
      <c r="CT31" s="1099" t="n">
        <v>0.000161</v>
      </c>
      <c r="CU31" s="1099" t="n">
        <v>0.000169</v>
      </c>
      <c r="CV31" s="1099" t="n">
        <v>0.000169</v>
      </c>
      <c r="CW31" s="1099" t="n">
        <v>0.000169</v>
      </c>
      <c r="CX31" s="1099" t="n">
        <v>0.000169</v>
      </c>
      <c r="CY31" s="1099" t="n">
        <v>2.97E-007</v>
      </c>
      <c r="CZ31" s="1099" t="n">
        <v>2.97E-007</v>
      </c>
      <c r="DA31" s="496" t="n">
        <v>0</v>
      </c>
      <c r="DB31" s="496" t="n">
        <v>0</v>
      </c>
      <c r="DC31" s="1099" t="n">
        <v>0.000169</v>
      </c>
      <c r="DD31" s="1099" t="n">
        <v>0.000169</v>
      </c>
      <c r="DE31" s="496" t="n">
        <v>0</v>
      </c>
      <c r="DF31" s="496" t="n">
        <v>0</v>
      </c>
    </row>
    <row r="32" customFormat="false" ht="15" hidden="false" customHeight="false" outlineLevel="0" collapsed="false">
      <c r="A32" s="496" t="s">
        <v>1993</v>
      </c>
      <c r="B32" s="496" t="n">
        <v>0.2131508</v>
      </c>
      <c r="C32" s="496" t="n">
        <v>0.2755031</v>
      </c>
      <c r="D32" s="1099" t="n">
        <v>2.56E-005</v>
      </c>
      <c r="E32" s="1099" t="n">
        <v>2.65E-005</v>
      </c>
      <c r="F32" s="1099" t="n">
        <v>5.18E-006</v>
      </c>
      <c r="G32" s="496" t="n">
        <v>0</v>
      </c>
      <c r="H32" s="1099" t="n">
        <v>1.32E-007</v>
      </c>
      <c r="I32" s="1099" t="n">
        <v>2.56E-005</v>
      </c>
      <c r="J32" s="1099" t="n">
        <v>5.19E-006</v>
      </c>
      <c r="K32" s="1099" t="n">
        <v>5.19E-006</v>
      </c>
      <c r="L32" s="496" t="n">
        <v>0.2131508</v>
      </c>
      <c r="M32" s="496" t="n">
        <v>0</v>
      </c>
      <c r="N32" s="496" t="n">
        <v>0</v>
      </c>
      <c r="O32" s="496" t="n">
        <v>0</v>
      </c>
      <c r="P32" s="496" t="n">
        <v>0</v>
      </c>
      <c r="Q32" s="1099" t="n">
        <v>4.86E-028</v>
      </c>
      <c r="R32" s="1099" t="n">
        <v>4.86E-028</v>
      </c>
      <c r="S32" s="1099" t="n">
        <v>6.97E-031</v>
      </c>
      <c r="T32" s="1099" t="n">
        <v>6.97E-031</v>
      </c>
      <c r="U32" s="1099" t="n">
        <v>5.33E-007</v>
      </c>
      <c r="V32" s="496" t="n">
        <v>0.9850836</v>
      </c>
      <c r="W32" s="496" t="n">
        <v>0.9850836</v>
      </c>
      <c r="X32" s="496" t="n">
        <v>0.9850836</v>
      </c>
      <c r="Y32" s="496" t="n">
        <v>0.9850836</v>
      </c>
      <c r="Z32" s="496" t="n">
        <v>0.9850836</v>
      </c>
      <c r="AA32" s="496" t="n">
        <v>0</v>
      </c>
      <c r="AB32" s="1099" t="n">
        <v>5.33E-007</v>
      </c>
      <c r="AC32" s="1099" t="n">
        <v>2.56E-005</v>
      </c>
      <c r="AD32" s="496" t="n">
        <v>0</v>
      </c>
      <c r="AE32" s="496" t="n">
        <v>0</v>
      </c>
      <c r="AF32" s="1099" t="n">
        <v>5.33E-007</v>
      </c>
      <c r="AG32" s="1099" t="n">
        <v>5.33E-007</v>
      </c>
      <c r="AH32" s="496" t="n">
        <v>0.2131508</v>
      </c>
      <c r="AI32" s="496" t="n">
        <v>0.2131508</v>
      </c>
      <c r="AJ32" s="496" t="n">
        <v>0.2131508</v>
      </c>
      <c r="AK32" s="496" t="n">
        <v>0.2131508</v>
      </c>
      <c r="AL32" s="496" t="n">
        <v>0.2755031</v>
      </c>
      <c r="AM32" s="496" t="n">
        <v>0.2755031</v>
      </c>
      <c r="AN32" s="1099" t="n">
        <v>6.92E-005</v>
      </c>
      <c r="AO32" s="1099" t="n">
        <v>6.92E-005</v>
      </c>
      <c r="AP32" s="496" t="n">
        <v>0</v>
      </c>
      <c r="AQ32" s="496" t="n">
        <v>0</v>
      </c>
      <c r="AR32" s="1099" t="n">
        <v>2.56E-005</v>
      </c>
      <c r="AS32" s="1099" t="n">
        <v>2.56E-005</v>
      </c>
      <c r="AT32" s="1099" t="n">
        <v>2.65E-005</v>
      </c>
      <c r="AU32" s="1099" t="n">
        <v>2.65E-005</v>
      </c>
      <c r="AV32" s="1099" t="n">
        <v>1.85E-006</v>
      </c>
      <c r="AW32" s="1099" t="n">
        <v>1.85E-006</v>
      </c>
      <c r="AX32" s="496" t="n">
        <v>0.2131508</v>
      </c>
      <c r="AY32" s="496" t="n">
        <v>0.2131508</v>
      </c>
      <c r="AZ32" s="496" t="n">
        <v>0.2755031</v>
      </c>
      <c r="BA32" s="1099" t="n">
        <v>1.32E-007</v>
      </c>
      <c r="BB32" s="1099" t="n">
        <v>5.13E-006</v>
      </c>
      <c r="BC32" s="496" t="n">
        <v>0.2755031</v>
      </c>
      <c r="BD32" s="1099" t="n">
        <v>5.33E-007</v>
      </c>
      <c r="BE32" s="496" t="n">
        <v>0.1668799</v>
      </c>
      <c r="BF32" s="496" t="n">
        <v>0.9850836</v>
      </c>
      <c r="BG32" s="496" t="n">
        <v>0.9850836</v>
      </c>
      <c r="BH32" s="1099" t="n">
        <v>2.56E-005</v>
      </c>
      <c r="BI32" s="1099" t="n">
        <v>2.56E-005</v>
      </c>
      <c r="BJ32" s="1099" t="n">
        <v>6.92E-005</v>
      </c>
      <c r="BK32" s="496" t="n">
        <v>0.0569267</v>
      </c>
      <c r="BL32" s="1099" t="n">
        <v>2.93E-007</v>
      </c>
      <c r="BM32" s="1099" t="n">
        <v>2.65E-005</v>
      </c>
      <c r="BN32" s="1099" t="n">
        <v>4.89E-028</v>
      </c>
      <c r="BO32" s="1099" t="n">
        <v>2.93E-007</v>
      </c>
      <c r="BP32" s="1099" t="n">
        <v>6.92E-006</v>
      </c>
      <c r="BQ32" s="1099" t="n">
        <v>4.89E-028</v>
      </c>
      <c r="BR32" s="1099" t="n">
        <v>1.17E-025</v>
      </c>
      <c r="BS32" s="1099" t="n">
        <v>5.19E-006</v>
      </c>
      <c r="BT32" s="1099" t="n">
        <v>1.85E-006</v>
      </c>
      <c r="BU32" s="496" t="n">
        <v>0</v>
      </c>
      <c r="BV32" s="496" t="n">
        <v>0</v>
      </c>
      <c r="BW32" s="496" t="n">
        <v>0</v>
      </c>
      <c r="BX32" s="1099" t="n">
        <v>5.33E-007</v>
      </c>
      <c r="BY32" s="496" t="n">
        <v>0</v>
      </c>
      <c r="BZ32" s="1099" t="n">
        <v>2.65E-005</v>
      </c>
      <c r="CA32" s="496" t="n">
        <v>0</v>
      </c>
      <c r="CB32" s="496" t="n">
        <v>0.2131508</v>
      </c>
      <c r="CC32" s="496" t="n">
        <v>0.2131508</v>
      </c>
      <c r="CD32" s="1099" t="n">
        <v>1.32E-007</v>
      </c>
      <c r="CE32" s="496" t="n">
        <v>0</v>
      </c>
      <c r="CF32" s="496" t="n">
        <v>0</v>
      </c>
      <c r="CG32" s="1099" t="n">
        <v>5.33E-007</v>
      </c>
      <c r="CH32" s="1099" t="n">
        <v>5.33E-007</v>
      </c>
      <c r="CI32" s="496" t="n">
        <v>0.2131508</v>
      </c>
      <c r="CJ32" s="496" t="n">
        <v>0.2131508</v>
      </c>
      <c r="CK32" s="496" t="n">
        <v>0.2131508</v>
      </c>
      <c r="CL32" s="496" t="n">
        <v>0.2131508</v>
      </c>
      <c r="CM32" s="496" t="n">
        <v>0.2755031</v>
      </c>
      <c r="CN32" s="496" t="n">
        <v>0.2755031</v>
      </c>
      <c r="CO32" s="1099" t="n">
        <v>6.92E-005</v>
      </c>
      <c r="CP32" s="1099" t="n">
        <v>6.92E-005</v>
      </c>
      <c r="CQ32" s="496" t="n">
        <v>0</v>
      </c>
      <c r="CR32" s="496" t="n">
        <v>0</v>
      </c>
      <c r="CS32" s="1099" t="n">
        <v>2.56E-005</v>
      </c>
      <c r="CT32" s="1099" t="n">
        <v>2.56E-005</v>
      </c>
      <c r="CU32" s="1099" t="n">
        <v>2.65E-005</v>
      </c>
      <c r="CV32" s="1099" t="n">
        <v>2.65E-005</v>
      </c>
      <c r="CW32" s="1099" t="n">
        <v>2.65E-005</v>
      </c>
      <c r="CX32" s="1099" t="n">
        <v>2.65E-005</v>
      </c>
      <c r="CY32" s="1099" t="n">
        <v>1.85E-006</v>
      </c>
      <c r="CZ32" s="1099" t="n">
        <v>1.85E-006</v>
      </c>
      <c r="DA32" s="496" t="n">
        <v>0</v>
      </c>
      <c r="DB32" s="496" t="n">
        <v>0</v>
      </c>
      <c r="DC32" s="1099" t="n">
        <v>2.65E-005</v>
      </c>
      <c r="DD32" s="1099" t="n">
        <v>2.65E-005</v>
      </c>
      <c r="DE32" s="496" t="n">
        <v>0</v>
      </c>
      <c r="DF32" s="496" t="n">
        <v>0</v>
      </c>
    </row>
    <row r="33" customFormat="false" ht="15" hidden="false" customHeight="false" outlineLevel="0" collapsed="false">
      <c r="A33" s="496" t="s">
        <v>1994</v>
      </c>
      <c r="B33" s="496" t="n">
        <v>0.0851749</v>
      </c>
      <c r="C33" s="496" t="n">
        <v>0.0381557</v>
      </c>
      <c r="D33" s="496" t="n">
        <v>0.0490105</v>
      </c>
      <c r="E33" s="496" t="n">
        <v>0</v>
      </c>
      <c r="F33" s="496" t="n">
        <v>0.9730128</v>
      </c>
      <c r="G33" s="496" t="n">
        <v>0</v>
      </c>
      <c r="H33" s="496" t="n">
        <v>0.2458974</v>
      </c>
      <c r="I33" s="496" t="n">
        <v>0.0490105</v>
      </c>
      <c r="J33" s="496" t="n">
        <v>0.9713261</v>
      </c>
      <c r="K33" s="496" t="n">
        <v>0.9713261</v>
      </c>
      <c r="L33" s="496" t="n">
        <v>0.0851749</v>
      </c>
      <c r="M33" s="496" t="n">
        <v>0.9982228</v>
      </c>
      <c r="N33" s="496" t="n">
        <v>0</v>
      </c>
      <c r="O33" s="496" t="n">
        <v>0</v>
      </c>
      <c r="P33" s="496" t="n">
        <v>0</v>
      </c>
      <c r="Q33" s="1099" t="n">
        <v>3.98E-005</v>
      </c>
      <c r="R33" s="1099" t="n">
        <v>3.98E-005</v>
      </c>
      <c r="S33" s="1099" t="n">
        <v>3.98E-005</v>
      </c>
      <c r="T33" s="1099" t="n">
        <v>3.98E-005</v>
      </c>
      <c r="U33" s="496" t="n">
        <v>0.9955993</v>
      </c>
      <c r="V33" s="1099" t="n">
        <v>1.03E-009</v>
      </c>
      <c r="W33" s="1099" t="n">
        <v>1.03E-009</v>
      </c>
      <c r="X33" s="1099" t="n">
        <v>1.03E-009</v>
      </c>
      <c r="Y33" s="1099" t="n">
        <v>1.03E-009</v>
      </c>
      <c r="Z33" s="1099" t="n">
        <v>1.03E-009</v>
      </c>
      <c r="AA33" s="496" t="n">
        <v>0</v>
      </c>
      <c r="AB33" s="496" t="n">
        <v>0.9955993</v>
      </c>
      <c r="AC33" s="496" t="n">
        <v>0.0490105</v>
      </c>
      <c r="AD33" s="496" t="n">
        <v>0</v>
      </c>
      <c r="AE33" s="496" t="n">
        <v>0</v>
      </c>
      <c r="AF33" s="496" t="n">
        <v>0.9955993</v>
      </c>
      <c r="AG33" s="496" t="n">
        <v>0.9955993</v>
      </c>
      <c r="AH33" s="496" t="n">
        <v>0.0851749</v>
      </c>
      <c r="AI33" s="496" t="n">
        <v>0.0851749</v>
      </c>
      <c r="AJ33" s="496" t="n">
        <v>0.0851749</v>
      </c>
      <c r="AK33" s="496" t="n">
        <v>0.0851749</v>
      </c>
      <c r="AL33" s="496" t="n">
        <v>0.0381556</v>
      </c>
      <c r="AM33" s="496" t="n">
        <v>0.0381556</v>
      </c>
      <c r="AN33" s="496" t="n">
        <v>0.0408045</v>
      </c>
      <c r="AO33" s="496" t="n">
        <v>0.0408045</v>
      </c>
      <c r="AP33" s="496" t="n">
        <v>0</v>
      </c>
      <c r="AQ33" s="496" t="n">
        <v>0</v>
      </c>
      <c r="AR33" s="496" t="n">
        <v>0.0490105</v>
      </c>
      <c r="AS33" s="496" t="n">
        <v>0.0490105</v>
      </c>
      <c r="AT33" s="1099" t="n">
        <v>7.08E-020</v>
      </c>
      <c r="AU33" s="1099" t="n">
        <v>7.08E-020</v>
      </c>
      <c r="AV33" s="496" t="n">
        <v>0.9943033</v>
      </c>
      <c r="AW33" s="496" t="n">
        <v>0.9943033</v>
      </c>
      <c r="AX33" s="496" t="n">
        <v>0.0851749</v>
      </c>
      <c r="AY33" s="496" t="n">
        <v>0.0851749</v>
      </c>
      <c r="AZ33" s="496" t="n">
        <v>0.0381556</v>
      </c>
      <c r="BA33" s="496" t="n">
        <v>0.2458974</v>
      </c>
      <c r="BB33" s="496" t="n">
        <v>0.9729798</v>
      </c>
      <c r="BC33" s="496" t="n">
        <v>0.0381556</v>
      </c>
      <c r="BD33" s="496" t="n">
        <v>0.9955993</v>
      </c>
      <c r="BE33" s="496" t="n">
        <v>0.0265061</v>
      </c>
      <c r="BF33" s="1099" t="n">
        <v>1.03E-009</v>
      </c>
      <c r="BG33" s="1099" t="n">
        <v>1.03E-009</v>
      </c>
      <c r="BH33" s="496" t="n">
        <v>0.0490105</v>
      </c>
      <c r="BI33" s="496" t="n">
        <v>0.0490105</v>
      </c>
      <c r="BJ33" s="496" t="n">
        <v>0.0408045</v>
      </c>
      <c r="BK33" s="496" t="n">
        <v>0.0420551</v>
      </c>
      <c r="BL33" s="496" t="n">
        <v>0.0540161</v>
      </c>
      <c r="BM33" s="1099" t="n">
        <v>7.08E-020</v>
      </c>
      <c r="BN33" s="1099" t="n">
        <v>4E-005</v>
      </c>
      <c r="BO33" s="496" t="n">
        <v>0.0540161</v>
      </c>
      <c r="BP33" s="496" t="n">
        <v>0.2673583</v>
      </c>
      <c r="BQ33" s="1099" t="n">
        <v>4E-005</v>
      </c>
      <c r="BR33" s="1099" t="n">
        <v>4E-005</v>
      </c>
      <c r="BS33" s="496" t="n">
        <v>0.9713261</v>
      </c>
      <c r="BT33" s="496" t="n">
        <v>0.9943033</v>
      </c>
      <c r="BU33" s="496" t="n">
        <v>0</v>
      </c>
      <c r="BV33" s="496" t="n">
        <v>0</v>
      </c>
      <c r="BW33" s="496" t="n">
        <v>0</v>
      </c>
      <c r="BX33" s="496" t="n">
        <v>0.9955993</v>
      </c>
      <c r="BY33" s="496" t="n">
        <v>0</v>
      </c>
      <c r="BZ33" s="496" t="n">
        <v>0</v>
      </c>
      <c r="CA33" s="496" t="n">
        <v>0</v>
      </c>
      <c r="CB33" s="496" t="n">
        <v>0.0851749</v>
      </c>
      <c r="CC33" s="496" t="n">
        <v>0.0851749</v>
      </c>
      <c r="CD33" s="496" t="n">
        <v>0.2458974</v>
      </c>
      <c r="CE33" s="496" t="n">
        <v>0</v>
      </c>
      <c r="CF33" s="496" t="n">
        <v>0</v>
      </c>
      <c r="CG33" s="496" t="n">
        <v>0.9955993</v>
      </c>
      <c r="CH33" s="496" t="n">
        <v>0.9955993</v>
      </c>
      <c r="CI33" s="496" t="n">
        <v>0.0851749</v>
      </c>
      <c r="CJ33" s="496" t="n">
        <v>0.0851749</v>
      </c>
      <c r="CK33" s="496" t="n">
        <v>0.0851749</v>
      </c>
      <c r="CL33" s="496" t="n">
        <v>0.0851749</v>
      </c>
      <c r="CM33" s="496" t="n">
        <v>0.0381556</v>
      </c>
      <c r="CN33" s="496" t="n">
        <v>0.0381556</v>
      </c>
      <c r="CO33" s="496" t="n">
        <v>0.0408045</v>
      </c>
      <c r="CP33" s="496" t="n">
        <v>0.0408045</v>
      </c>
      <c r="CQ33" s="496" t="n">
        <v>0</v>
      </c>
      <c r="CR33" s="496" t="n">
        <v>0</v>
      </c>
      <c r="CS33" s="496" t="n">
        <v>0.0490105</v>
      </c>
      <c r="CT33" s="496" t="n">
        <v>0.0490105</v>
      </c>
      <c r="CU33" s="1099" t="n">
        <v>7.08E-020</v>
      </c>
      <c r="CV33" s="1099" t="n">
        <v>7.08E-020</v>
      </c>
      <c r="CW33" s="496" t="n">
        <v>0</v>
      </c>
      <c r="CX33" s="496" t="n">
        <v>0</v>
      </c>
      <c r="CY33" s="496" t="n">
        <v>0.9943033</v>
      </c>
      <c r="CZ33" s="496" t="n">
        <v>0.9943033</v>
      </c>
      <c r="DA33" s="496" t="n">
        <v>0</v>
      </c>
      <c r="DB33" s="496" t="n">
        <v>0</v>
      </c>
      <c r="DC33" s="1099" t="n">
        <v>7.08E-020</v>
      </c>
      <c r="DD33" s="1099" t="n">
        <v>7.08E-020</v>
      </c>
      <c r="DE33" s="496" t="n">
        <v>0</v>
      </c>
      <c r="DF33" s="496" t="n">
        <v>0</v>
      </c>
    </row>
    <row r="34" customFormat="false" ht="15" hidden="false" customHeight="false" outlineLevel="0" collapsed="false">
      <c r="A34" s="496" t="s">
        <v>1995</v>
      </c>
      <c r="B34" s="1099" t="n">
        <v>0.000115</v>
      </c>
      <c r="C34" s="1099" t="n">
        <v>0.00012</v>
      </c>
      <c r="D34" s="1099" t="n">
        <v>0.000216</v>
      </c>
      <c r="E34" s="1099" t="n">
        <v>0.00509</v>
      </c>
      <c r="F34" s="1099" t="n">
        <v>4E-005</v>
      </c>
      <c r="G34" s="496" t="n">
        <v>1</v>
      </c>
      <c r="H34" s="1099" t="n">
        <v>0.000395</v>
      </c>
      <c r="I34" s="1099" t="n">
        <v>0.000216</v>
      </c>
      <c r="J34" s="1099" t="n">
        <v>3.99E-005</v>
      </c>
      <c r="K34" s="1099" t="n">
        <v>3.99E-005</v>
      </c>
      <c r="L34" s="1099" t="n">
        <v>0.000115</v>
      </c>
      <c r="M34" s="1099" t="n">
        <v>0.00178</v>
      </c>
      <c r="N34" s="496" t="n">
        <v>0</v>
      </c>
      <c r="O34" s="496" t="n">
        <v>0</v>
      </c>
      <c r="P34" s="496" t="n">
        <v>1</v>
      </c>
      <c r="Q34" s="496" t="n">
        <v>0.9999602</v>
      </c>
      <c r="R34" s="496" t="n">
        <v>0.9999602</v>
      </c>
      <c r="S34" s="496" t="n">
        <v>0.9999602</v>
      </c>
      <c r="T34" s="496" t="n">
        <v>0.9999602</v>
      </c>
      <c r="U34" s="1099" t="n">
        <v>0.0016</v>
      </c>
      <c r="V34" s="1099" t="n">
        <v>2.05E-006</v>
      </c>
      <c r="W34" s="1099" t="n">
        <v>2.05E-006</v>
      </c>
      <c r="X34" s="1099" t="n">
        <v>2.05E-006</v>
      </c>
      <c r="Y34" s="1099" t="n">
        <v>2.05E-006</v>
      </c>
      <c r="Z34" s="1099" t="n">
        <v>2.05E-006</v>
      </c>
      <c r="AA34" s="496" t="n">
        <v>0</v>
      </c>
      <c r="AB34" s="1099" t="n">
        <v>0.0016</v>
      </c>
      <c r="AC34" s="1099" t="n">
        <v>0.000216</v>
      </c>
      <c r="AD34" s="496" t="n">
        <v>0</v>
      </c>
      <c r="AE34" s="496" t="n">
        <v>0</v>
      </c>
      <c r="AF34" s="1099" t="n">
        <v>0.0016</v>
      </c>
      <c r="AG34" s="1099" t="n">
        <v>0.0016</v>
      </c>
      <c r="AH34" s="1099" t="n">
        <v>0.000115</v>
      </c>
      <c r="AI34" s="1099" t="n">
        <v>0.000115</v>
      </c>
      <c r="AJ34" s="1099" t="n">
        <v>0.000115</v>
      </c>
      <c r="AK34" s="1099" t="n">
        <v>0.000115</v>
      </c>
      <c r="AL34" s="1099" t="n">
        <v>0.00012</v>
      </c>
      <c r="AM34" s="1099" t="n">
        <v>0.00012</v>
      </c>
      <c r="AN34" s="1099" t="n">
        <v>0.000149</v>
      </c>
      <c r="AO34" s="1099" t="n">
        <v>0.000149</v>
      </c>
      <c r="AP34" s="496" t="n">
        <v>1</v>
      </c>
      <c r="AQ34" s="496" t="n">
        <v>1</v>
      </c>
      <c r="AR34" s="1099" t="n">
        <v>0.000216</v>
      </c>
      <c r="AS34" s="1099" t="n">
        <v>0.000216</v>
      </c>
      <c r="AT34" s="1099" t="n">
        <v>0.00509</v>
      </c>
      <c r="AU34" s="1099" t="n">
        <v>0.00509</v>
      </c>
      <c r="AV34" s="1099" t="n">
        <v>8.91E-005</v>
      </c>
      <c r="AW34" s="1099" t="n">
        <v>8.91E-005</v>
      </c>
      <c r="AX34" s="1099" t="n">
        <v>0.000115</v>
      </c>
      <c r="AY34" s="1099" t="n">
        <v>0.000115</v>
      </c>
      <c r="AZ34" s="1099" t="n">
        <v>0.00012</v>
      </c>
      <c r="BA34" s="1099" t="n">
        <v>0.000395</v>
      </c>
      <c r="BB34" s="1099" t="n">
        <v>8E-005</v>
      </c>
      <c r="BC34" s="1099" t="n">
        <v>0.00012</v>
      </c>
      <c r="BD34" s="1099" t="n">
        <v>0.0016</v>
      </c>
      <c r="BE34" s="1099" t="n">
        <v>0.000144</v>
      </c>
      <c r="BF34" s="1099" t="n">
        <v>2.05E-006</v>
      </c>
      <c r="BG34" s="1099" t="n">
        <v>2.05E-006</v>
      </c>
      <c r="BH34" s="1099" t="n">
        <v>0.000216</v>
      </c>
      <c r="BI34" s="1099" t="n">
        <v>0.000216</v>
      </c>
      <c r="BJ34" s="1099" t="n">
        <v>0.000149</v>
      </c>
      <c r="BK34" s="1099" t="n">
        <v>0.000159</v>
      </c>
      <c r="BL34" s="496" t="n">
        <v>0.9437089</v>
      </c>
      <c r="BM34" s="1099" t="n">
        <v>0.00509</v>
      </c>
      <c r="BN34" s="496" t="n">
        <v>0.99996</v>
      </c>
      <c r="BO34" s="496" t="n">
        <v>0.9437089</v>
      </c>
      <c r="BP34" s="1099" t="n">
        <v>3.9E-006</v>
      </c>
      <c r="BQ34" s="496" t="n">
        <v>0.99996</v>
      </c>
      <c r="BR34" s="496" t="n">
        <v>0.99996</v>
      </c>
      <c r="BS34" s="1099" t="n">
        <v>3.99E-005</v>
      </c>
      <c r="BT34" s="1099" t="n">
        <v>8.91E-005</v>
      </c>
      <c r="BU34" s="496" t="n">
        <v>0</v>
      </c>
      <c r="BV34" s="496" t="n">
        <v>0</v>
      </c>
      <c r="BW34" s="496" t="n">
        <v>0</v>
      </c>
      <c r="BX34" s="1099" t="n">
        <v>0.0016</v>
      </c>
      <c r="BY34" s="496" t="n">
        <v>0</v>
      </c>
      <c r="BZ34" s="1099" t="n">
        <v>0.00509</v>
      </c>
      <c r="CA34" s="496" t="n">
        <v>0</v>
      </c>
      <c r="CB34" s="1099" t="n">
        <v>0.000115</v>
      </c>
      <c r="CC34" s="1099" t="n">
        <v>0.000115</v>
      </c>
      <c r="CD34" s="1099" t="n">
        <v>0.000395</v>
      </c>
      <c r="CE34" s="496" t="n">
        <v>0</v>
      </c>
      <c r="CF34" s="496" t="n">
        <v>0</v>
      </c>
      <c r="CG34" s="1099" t="n">
        <v>0.0016</v>
      </c>
      <c r="CH34" s="1099" t="n">
        <v>0.0016</v>
      </c>
      <c r="CI34" s="1099" t="n">
        <v>0.000115</v>
      </c>
      <c r="CJ34" s="1099" t="n">
        <v>0.000115</v>
      </c>
      <c r="CK34" s="1099" t="n">
        <v>0.000115</v>
      </c>
      <c r="CL34" s="1099" t="n">
        <v>0.000115</v>
      </c>
      <c r="CM34" s="1099" t="n">
        <v>0.00012</v>
      </c>
      <c r="CN34" s="1099" t="n">
        <v>0.00012</v>
      </c>
      <c r="CO34" s="1099" t="n">
        <v>0.000149</v>
      </c>
      <c r="CP34" s="1099" t="n">
        <v>0.000149</v>
      </c>
      <c r="CQ34" s="496" t="n">
        <v>1</v>
      </c>
      <c r="CR34" s="496" t="n">
        <v>1</v>
      </c>
      <c r="CS34" s="1099" t="n">
        <v>0.000216</v>
      </c>
      <c r="CT34" s="1099" t="n">
        <v>0.000216</v>
      </c>
      <c r="CU34" s="1099" t="n">
        <v>0.00509</v>
      </c>
      <c r="CV34" s="1099" t="n">
        <v>0.00509</v>
      </c>
      <c r="CW34" s="1099" t="n">
        <v>0.00509</v>
      </c>
      <c r="CX34" s="1099" t="n">
        <v>0.00509</v>
      </c>
      <c r="CY34" s="1099" t="n">
        <v>8.91E-005</v>
      </c>
      <c r="CZ34" s="1099" t="n">
        <v>8.91E-005</v>
      </c>
      <c r="DA34" s="496" t="n">
        <v>1</v>
      </c>
      <c r="DB34" s="496" t="n">
        <v>1</v>
      </c>
      <c r="DC34" s="1099" t="n">
        <v>0.00509</v>
      </c>
      <c r="DD34" s="1099" t="n">
        <v>0.00509</v>
      </c>
      <c r="DE34" s="496" t="n">
        <v>1</v>
      </c>
      <c r="DF34" s="496" t="n">
        <v>1</v>
      </c>
    </row>
    <row r="35" customFormat="false" ht="15" hidden="false" customHeight="false" outlineLevel="0" collapsed="false">
      <c r="A35" s="496" t="s">
        <v>1996</v>
      </c>
      <c r="B35" s="1099" t="n">
        <v>0.000419</v>
      </c>
      <c r="C35" s="1099" t="n">
        <v>0.00044</v>
      </c>
      <c r="D35" s="1099" t="n">
        <v>5.87E-005</v>
      </c>
      <c r="E35" s="1099" t="n">
        <v>4.3E-005</v>
      </c>
      <c r="F35" s="1099" t="n">
        <v>0.000354</v>
      </c>
      <c r="G35" s="496" t="n">
        <v>0</v>
      </c>
      <c r="H35" s="1099" t="n">
        <v>9.15E-006</v>
      </c>
      <c r="I35" s="1099" t="n">
        <v>5.87E-005</v>
      </c>
      <c r="J35" s="1099" t="n">
        <v>0.000353</v>
      </c>
      <c r="K35" s="1099" t="n">
        <v>0.000353</v>
      </c>
      <c r="L35" s="1099" t="n">
        <v>0.000419</v>
      </c>
      <c r="M35" s="496" t="n">
        <v>0</v>
      </c>
      <c r="N35" s="496" t="n">
        <v>0</v>
      </c>
      <c r="O35" s="496" t="n">
        <v>0</v>
      </c>
      <c r="P35" s="496" t="n">
        <v>0</v>
      </c>
      <c r="Q35" s="1099" t="n">
        <v>8.91E-020</v>
      </c>
      <c r="R35" s="1099" t="n">
        <v>8.91E-020</v>
      </c>
      <c r="S35" s="1099" t="n">
        <v>7.82E-019</v>
      </c>
      <c r="T35" s="1099" t="n">
        <v>7.82E-019</v>
      </c>
      <c r="U35" s="1099" t="n">
        <v>3.7E-005</v>
      </c>
      <c r="V35" s="1099" t="n">
        <v>0.00132</v>
      </c>
      <c r="W35" s="1099" t="n">
        <v>0.00132</v>
      </c>
      <c r="X35" s="1099" t="n">
        <v>0.00132</v>
      </c>
      <c r="Y35" s="1099" t="n">
        <v>0.00132</v>
      </c>
      <c r="Z35" s="1099" t="n">
        <v>0.00132</v>
      </c>
      <c r="AA35" s="496" t="n">
        <v>0</v>
      </c>
      <c r="AB35" s="1099" t="n">
        <v>3.7E-005</v>
      </c>
      <c r="AC35" s="1099" t="n">
        <v>5.87E-005</v>
      </c>
      <c r="AD35" s="496" t="n">
        <v>0</v>
      </c>
      <c r="AE35" s="496" t="n">
        <v>0</v>
      </c>
      <c r="AF35" s="1099" t="n">
        <v>3.7E-005</v>
      </c>
      <c r="AG35" s="1099" t="n">
        <v>3.7E-005</v>
      </c>
      <c r="AH35" s="1099" t="n">
        <v>0.000419</v>
      </c>
      <c r="AI35" s="1099" t="n">
        <v>0.000419</v>
      </c>
      <c r="AJ35" s="1099" t="n">
        <v>0.000419</v>
      </c>
      <c r="AK35" s="1099" t="n">
        <v>0.000419</v>
      </c>
      <c r="AL35" s="1099" t="n">
        <v>0.00044</v>
      </c>
      <c r="AM35" s="1099" t="n">
        <v>0.00044</v>
      </c>
      <c r="AN35" s="1099" t="n">
        <v>0.000105</v>
      </c>
      <c r="AO35" s="1099" t="n">
        <v>0.000105</v>
      </c>
      <c r="AP35" s="496" t="n">
        <v>0</v>
      </c>
      <c r="AQ35" s="496" t="n">
        <v>0</v>
      </c>
      <c r="AR35" s="1099" t="n">
        <v>5.87E-005</v>
      </c>
      <c r="AS35" s="1099" t="n">
        <v>5.87E-005</v>
      </c>
      <c r="AT35" s="1099" t="n">
        <v>4.3E-005</v>
      </c>
      <c r="AU35" s="1099" t="n">
        <v>4.3E-005</v>
      </c>
      <c r="AV35" s="1099" t="n">
        <v>0.000487</v>
      </c>
      <c r="AW35" s="1099" t="n">
        <v>0.000487</v>
      </c>
      <c r="AX35" s="1099" t="n">
        <v>0.000419</v>
      </c>
      <c r="AY35" s="1099" t="n">
        <v>0.000419</v>
      </c>
      <c r="AZ35" s="1099" t="n">
        <v>0.00044</v>
      </c>
      <c r="BA35" s="1099" t="n">
        <v>9.15E-006</v>
      </c>
      <c r="BB35" s="1099" t="n">
        <v>0.000356</v>
      </c>
      <c r="BC35" s="1099" t="n">
        <v>0.00044</v>
      </c>
      <c r="BD35" s="1099" t="n">
        <v>3.7E-005</v>
      </c>
      <c r="BE35" s="1099" t="n">
        <v>0.00163</v>
      </c>
      <c r="BF35" s="1099" t="n">
        <v>0.00132</v>
      </c>
      <c r="BG35" s="1099" t="n">
        <v>0.00132</v>
      </c>
      <c r="BH35" s="1099" t="n">
        <v>5.87E-005</v>
      </c>
      <c r="BI35" s="1099" t="n">
        <v>5.87E-005</v>
      </c>
      <c r="BJ35" s="1099" t="n">
        <v>0.000105</v>
      </c>
      <c r="BK35" s="1099" t="n">
        <v>0.000765</v>
      </c>
      <c r="BL35" s="1099" t="n">
        <v>1.96E-005</v>
      </c>
      <c r="BM35" s="1099" t="n">
        <v>4.3E-005</v>
      </c>
      <c r="BN35" s="1099" t="n">
        <v>8.96E-020</v>
      </c>
      <c r="BO35" s="1099" t="n">
        <v>1.96E-005</v>
      </c>
      <c r="BP35" s="1099" t="n">
        <v>5.38E-005</v>
      </c>
      <c r="BQ35" s="1099" t="n">
        <v>8.96E-020</v>
      </c>
      <c r="BR35" s="1099" t="n">
        <v>8.96E-020</v>
      </c>
      <c r="BS35" s="1099" t="n">
        <v>0.000353</v>
      </c>
      <c r="BT35" s="1099" t="n">
        <v>0.000487</v>
      </c>
      <c r="BU35" s="496" t="n">
        <v>0</v>
      </c>
      <c r="BV35" s="496" t="n">
        <v>0</v>
      </c>
      <c r="BW35" s="496" t="n">
        <v>0</v>
      </c>
      <c r="BX35" s="1099" t="n">
        <v>3.7E-005</v>
      </c>
      <c r="BY35" s="496" t="n">
        <v>0</v>
      </c>
      <c r="BZ35" s="1099" t="n">
        <v>4.3E-005</v>
      </c>
      <c r="CA35" s="496" t="n">
        <v>0</v>
      </c>
      <c r="CB35" s="1099" t="n">
        <v>0.000419</v>
      </c>
      <c r="CC35" s="1099" t="n">
        <v>0.000419</v>
      </c>
      <c r="CD35" s="1099" t="n">
        <v>9.15E-006</v>
      </c>
      <c r="CE35" s="496" t="n">
        <v>0</v>
      </c>
      <c r="CF35" s="496" t="n">
        <v>0</v>
      </c>
      <c r="CG35" s="1099" t="n">
        <v>3.7E-005</v>
      </c>
      <c r="CH35" s="1099" t="n">
        <v>3.7E-005</v>
      </c>
      <c r="CI35" s="1099" t="n">
        <v>0.000419</v>
      </c>
      <c r="CJ35" s="1099" t="n">
        <v>0.000419</v>
      </c>
      <c r="CK35" s="1099" t="n">
        <v>0.000419</v>
      </c>
      <c r="CL35" s="1099" t="n">
        <v>0.000419</v>
      </c>
      <c r="CM35" s="1099" t="n">
        <v>0.00044</v>
      </c>
      <c r="CN35" s="1099" t="n">
        <v>0.00044</v>
      </c>
      <c r="CO35" s="1099" t="n">
        <v>0.000105</v>
      </c>
      <c r="CP35" s="1099" t="n">
        <v>0.000105</v>
      </c>
      <c r="CQ35" s="496" t="n">
        <v>0</v>
      </c>
      <c r="CR35" s="496" t="n">
        <v>0</v>
      </c>
      <c r="CS35" s="1099" t="n">
        <v>5.87E-005</v>
      </c>
      <c r="CT35" s="1099" t="n">
        <v>5.87E-005</v>
      </c>
      <c r="CU35" s="1099" t="n">
        <v>4.3E-005</v>
      </c>
      <c r="CV35" s="1099" t="n">
        <v>4.3E-005</v>
      </c>
      <c r="CW35" s="1099" t="n">
        <v>4.3E-005</v>
      </c>
      <c r="CX35" s="1099" t="n">
        <v>4.3E-005</v>
      </c>
      <c r="CY35" s="1099" t="n">
        <v>0.000487</v>
      </c>
      <c r="CZ35" s="1099" t="n">
        <v>0.000487</v>
      </c>
      <c r="DA35" s="496" t="n">
        <v>0</v>
      </c>
      <c r="DB35" s="496" t="n">
        <v>0</v>
      </c>
      <c r="DC35" s="1099" t="n">
        <v>4.3E-005</v>
      </c>
      <c r="DD35" s="1099" t="n">
        <v>4.3E-005</v>
      </c>
      <c r="DE35" s="496" t="n">
        <v>0</v>
      </c>
      <c r="DF35" s="496" t="n">
        <v>0</v>
      </c>
    </row>
    <row r="36" customFormat="false" ht="15" hidden="false" customHeight="false" outlineLevel="0" collapsed="false">
      <c r="A36" s="496" t="s">
        <v>1997</v>
      </c>
      <c r="B36" s="1099" t="n">
        <v>5.38E-005</v>
      </c>
      <c r="C36" s="1099" t="n">
        <v>5.66E-005</v>
      </c>
      <c r="D36" s="1099" t="n">
        <v>8.26E-005</v>
      </c>
      <c r="E36" s="1099" t="n">
        <v>6.45E-005</v>
      </c>
      <c r="F36" s="1099" t="n">
        <v>0.000358</v>
      </c>
      <c r="G36" s="496" t="n">
        <v>0</v>
      </c>
      <c r="H36" s="1099" t="n">
        <v>9.2E-006</v>
      </c>
      <c r="I36" s="1099" t="n">
        <v>8.26E-005</v>
      </c>
      <c r="J36" s="1099" t="n">
        <v>0.000365</v>
      </c>
      <c r="K36" s="1099" t="n">
        <v>0.000365</v>
      </c>
      <c r="L36" s="1099" t="n">
        <v>5.38E-005</v>
      </c>
      <c r="M36" s="496" t="n">
        <v>0</v>
      </c>
      <c r="N36" s="496" t="n">
        <v>0</v>
      </c>
      <c r="O36" s="496" t="n">
        <v>0</v>
      </c>
      <c r="P36" s="496" t="n">
        <v>0</v>
      </c>
      <c r="Q36" s="1099" t="n">
        <v>7.28E-022</v>
      </c>
      <c r="R36" s="1099" t="n">
        <v>7.28E-022</v>
      </c>
      <c r="S36" s="1099" t="n">
        <v>9.28E-023</v>
      </c>
      <c r="T36" s="1099" t="n">
        <v>9.28E-023</v>
      </c>
      <c r="U36" s="1099" t="n">
        <v>3.72E-005</v>
      </c>
      <c r="V36" s="1099" t="n">
        <v>1.88E-015</v>
      </c>
      <c r="W36" s="1099" t="n">
        <v>1.88E-015</v>
      </c>
      <c r="X36" s="1099" t="n">
        <v>1.88E-015</v>
      </c>
      <c r="Y36" s="1099" t="n">
        <v>1.88E-015</v>
      </c>
      <c r="Z36" s="1099" t="n">
        <v>1.88E-015</v>
      </c>
      <c r="AA36" s="496" t="n">
        <v>0</v>
      </c>
      <c r="AB36" s="1099" t="n">
        <v>3.72E-005</v>
      </c>
      <c r="AC36" s="1099" t="n">
        <v>8.26E-005</v>
      </c>
      <c r="AD36" s="496" t="n">
        <v>0</v>
      </c>
      <c r="AE36" s="496" t="n">
        <v>0</v>
      </c>
      <c r="AF36" s="1099" t="n">
        <v>3.72E-005</v>
      </c>
      <c r="AG36" s="1099" t="n">
        <v>3.72E-005</v>
      </c>
      <c r="AH36" s="1099" t="n">
        <v>5.38E-005</v>
      </c>
      <c r="AI36" s="1099" t="n">
        <v>5.38E-005</v>
      </c>
      <c r="AJ36" s="1099" t="n">
        <v>5.38E-005</v>
      </c>
      <c r="AK36" s="1099" t="n">
        <v>5.38E-005</v>
      </c>
      <c r="AL36" s="1099" t="n">
        <v>5.66E-005</v>
      </c>
      <c r="AM36" s="1099" t="n">
        <v>5.66E-005</v>
      </c>
      <c r="AN36" s="1099" t="n">
        <v>5.64E-005</v>
      </c>
      <c r="AO36" s="1099" t="n">
        <v>5.64E-005</v>
      </c>
      <c r="AP36" s="496" t="n">
        <v>0</v>
      </c>
      <c r="AQ36" s="496" t="n">
        <v>0</v>
      </c>
      <c r="AR36" s="1099" t="n">
        <v>8.26E-005</v>
      </c>
      <c r="AS36" s="1099" t="n">
        <v>8.26E-005</v>
      </c>
      <c r="AT36" s="1099" t="n">
        <v>6.45E-005</v>
      </c>
      <c r="AU36" s="1099" t="n">
        <v>6.45E-005</v>
      </c>
      <c r="AV36" s="1099" t="n">
        <v>6.73E-005</v>
      </c>
      <c r="AW36" s="1099" t="n">
        <v>6.73E-005</v>
      </c>
      <c r="AX36" s="1099" t="n">
        <v>5.38E-005</v>
      </c>
      <c r="AY36" s="1099" t="n">
        <v>5.38E-005</v>
      </c>
      <c r="AZ36" s="1099" t="n">
        <v>5.66E-005</v>
      </c>
      <c r="BA36" s="1099" t="n">
        <v>9.2E-006</v>
      </c>
      <c r="BB36" s="1099" t="n">
        <v>0.000358</v>
      </c>
      <c r="BC36" s="1099" t="n">
        <v>5.66E-005</v>
      </c>
      <c r="BD36" s="1099" t="n">
        <v>3.72E-005</v>
      </c>
      <c r="BE36" s="1099" t="n">
        <v>1.86E-005</v>
      </c>
      <c r="BF36" s="1099" t="n">
        <v>1.88E-015</v>
      </c>
      <c r="BG36" s="1099" t="n">
        <v>1.88E-015</v>
      </c>
      <c r="BH36" s="1099" t="n">
        <v>8.26E-005</v>
      </c>
      <c r="BI36" s="1099" t="n">
        <v>8.26E-005</v>
      </c>
      <c r="BJ36" s="1099" t="n">
        <v>5.64E-005</v>
      </c>
      <c r="BK36" s="1099" t="n">
        <v>5.3E-005</v>
      </c>
      <c r="BL36" s="1099" t="n">
        <v>2.33E-005</v>
      </c>
      <c r="BM36" s="1099" t="n">
        <v>6.45E-005</v>
      </c>
      <c r="BN36" s="1099" t="n">
        <v>7.32E-022</v>
      </c>
      <c r="BO36" s="1099" t="n">
        <v>2.33E-005</v>
      </c>
      <c r="BP36" s="1099" t="n">
        <v>0.00327</v>
      </c>
      <c r="BQ36" s="1099" t="n">
        <v>7.32E-022</v>
      </c>
      <c r="BR36" s="1099" t="n">
        <v>9.59E-022</v>
      </c>
      <c r="BS36" s="1099" t="n">
        <v>0.000365</v>
      </c>
      <c r="BT36" s="1099" t="n">
        <v>6.73E-005</v>
      </c>
      <c r="BU36" s="496" t="n">
        <v>0</v>
      </c>
      <c r="BV36" s="496" t="n">
        <v>0</v>
      </c>
      <c r="BW36" s="496" t="n">
        <v>0</v>
      </c>
      <c r="BX36" s="1099" t="n">
        <v>3.72E-005</v>
      </c>
      <c r="BY36" s="496" t="n">
        <v>0</v>
      </c>
      <c r="BZ36" s="1099" t="n">
        <v>6.45E-005</v>
      </c>
      <c r="CA36" s="496" t="n">
        <v>0</v>
      </c>
      <c r="CB36" s="1099" t="n">
        <v>5.38E-005</v>
      </c>
      <c r="CC36" s="1099" t="n">
        <v>5.38E-005</v>
      </c>
      <c r="CD36" s="1099" t="n">
        <v>9.2E-006</v>
      </c>
      <c r="CE36" s="496" t="n">
        <v>0</v>
      </c>
      <c r="CF36" s="496" t="n">
        <v>0</v>
      </c>
      <c r="CG36" s="1099" t="n">
        <v>3.72E-005</v>
      </c>
      <c r="CH36" s="1099" t="n">
        <v>3.72E-005</v>
      </c>
      <c r="CI36" s="1099" t="n">
        <v>5.38E-005</v>
      </c>
      <c r="CJ36" s="1099" t="n">
        <v>5.38E-005</v>
      </c>
      <c r="CK36" s="1099" t="n">
        <v>5.38E-005</v>
      </c>
      <c r="CL36" s="1099" t="n">
        <v>5.38E-005</v>
      </c>
      <c r="CM36" s="1099" t="n">
        <v>5.66E-005</v>
      </c>
      <c r="CN36" s="1099" t="n">
        <v>5.66E-005</v>
      </c>
      <c r="CO36" s="1099" t="n">
        <v>5.64E-005</v>
      </c>
      <c r="CP36" s="1099" t="n">
        <v>5.64E-005</v>
      </c>
      <c r="CQ36" s="496" t="n">
        <v>0</v>
      </c>
      <c r="CR36" s="496" t="n">
        <v>0</v>
      </c>
      <c r="CS36" s="1099" t="n">
        <v>8.26E-005</v>
      </c>
      <c r="CT36" s="1099" t="n">
        <v>8.26E-005</v>
      </c>
      <c r="CU36" s="1099" t="n">
        <v>6.45E-005</v>
      </c>
      <c r="CV36" s="1099" t="n">
        <v>6.45E-005</v>
      </c>
      <c r="CW36" s="1099" t="n">
        <v>6.45E-005</v>
      </c>
      <c r="CX36" s="1099" t="n">
        <v>6.45E-005</v>
      </c>
      <c r="CY36" s="1099" t="n">
        <v>6.73E-005</v>
      </c>
      <c r="CZ36" s="1099" t="n">
        <v>6.73E-005</v>
      </c>
      <c r="DA36" s="496" t="n">
        <v>0</v>
      </c>
      <c r="DB36" s="496" t="n">
        <v>0</v>
      </c>
      <c r="DC36" s="1099" t="n">
        <v>6.45E-005</v>
      </c>
      <c r="DD36" s="1099" t="n">
        <v>6.45E-005</v>
      </c>
      <c r="DE36" s="496" t="n">
        <v>0</v>
      </c>
      <c r="DF36" s="496" t="n">
        <v>0</v>
      </c>
    </row>
    <row r="37" customFormat="false" ht="15" hidden="false" customHeight="false" outlineLevel="0" collapsed="false">
      <c r="A37" s="496" t="s">
        <v>1999</v>
      </c>
      <c r="B37" s="496" t="s">
        <v>469</v>
      </c>
      <c r="C37" s="496" t="s">
        <v>469</v>
      </c>
      <c r="D37" s="496" t="s">
        <v>469</v>
      </c>
      <c r="E37" s="496" t="s">
        <v>469</v>
      </c>
      <c r="F37" s="496" t="s">
        <v>469</v>
      </c>
      <c r="G37" s="496" t="s">
        <v>469</v>
      </c>
      <c r="H37" s="496" t="s">
        <v>469</v>
      </c>
      <c r="I37" s="496" t="s">
        <v>469</v>
      </c>
      <c r="J37" s="496" t="s">
        <v>469</v>
      </c>
      <c r="K37" s="496" t="s">
        <v>469</v>
      </c>
      <c r="L37" s="496" t="s">
        <v>469</v>
      </c>
      <c r="M37" s="496" t="s">
        <v>469</v>
      </c>
      <c r="N37" s="496" t="s">
        <v>469</v>
      </c>
      <c r="O37" s="496" t="s">
        <v>469</v>
      </c>
      <c r="P37" s="496" t="s">
        <v>469</v>
      </c>
      <c r="Q37" s="496" t="s">
        <v>469</v>
      </c>
      <c r="R37" s="496" t="s">
        <v>469</v>
      </c>
      <c r="S37" s="496" t="s">
        <v>469</v>
      </c>
      <c r="T37" s="496" t="s">
        <v>469</v>
      </c>
      <c r="U37" s="496" t="s">
        <v>469</v>
      </c>
      <c r="V37" s="496" t="s">
        <v>469</v>
      </c>
      <c r="W37" s="496" t="s">
        <v>469</v>
      </c>
      <c r="X37" s="496" t="s">
        <v>469</v>
      </c>
      <c r="Y37" s="496" t="s">
        <v>469</v>
      </c>
      <c r="Z37" s="496" t="s">
        <v>469</v>
      </c>
      <c r="AA37" s="496" t="s">
        <v>469</v>
      </c>
      <c r="AB37" s="496" t="s">
        <v>469</v>
      </c>
      <c r="AC37" s="496" t="s">
        <v>469</v>
      </c>
      <c r="AD37" s="496" t="s">
        <v>469</v>
      </c>
      <c r="AE37" s="496" t="s">
        <v>469</v>
      </c>
      <c r="AF37" s="496" t="s">
        <v>469</v>
      </c>
      <c r="AG37" s="496" t="s">
        <v>469</v>
      </c>
      <c r="AH37" s="496" t="s">
        <v>469</v>
      </c>
      <c r="AI37" s="496" t="s">
        <v>469</v>
      </c>
      <c r="AJ37" s="496" t="s">
        <v>469</v>
      </c>
      <c r="AK37" s="496" t="s">
        <v>469</v>
      </c>
      <c r="AL37" s="496" t="s">
        <v>469</v>
      </c>
      <c r="AM37" s="496" t="s">
        <v>469</v>
      </c>
      <c r="AN37" s="496" t="s">
        <v>469</v>
      </c>
      <c r="AO37" s="496" t="s">
        <v>469</v>
      </c>
      <c r="AP37" s="496" t="s">
        <v>469</v>
      </c>
      <c r="AQ37" s="496" t="s">
        <v>469</v>
      </c>
      <c r="AR37" s="496" t="s">
        <v>469</v>
      </c>
      <c r="AS37" s="496" t="s">
        <v>469</v>
      </c>
      <c r="AT37" s="496" t="s">
        <v>469</v>
      </c>
      <c r="AU37" s="496" t="s">
        <v>469</v>
      </c>
      <c r="AV37" s="496" t="s">
        <v>469</v>
      </c>
      <c r="AW37" s="496" t="s">
        <v>469</v>
      </c>
      <c r="AX37" s="496" t="s">
        <v>469</v>
      </c>
      <c r="AY37" s="496" t="s">
        <v>469</v>
      </c>
      <c r="AZ37" s="496" t="s">
        <v>469</v>
      </c>
      <c r="BA37" s="496" t="s">
        <v>469</v>
      </c>
      <c r="BB37" s="496" t="s">
        <v>469</v>
      </c>
      <c r="BC37" s="496" t="s">
        <v>469</v>
      </c>
      <c r="BD37" s="496" t="s">
        <v>469</v>
      </c>
      <c r="BE37" s="496" t="s">
        <v>469</v>
      </c>
      <c r="BF37" s="496" t="s">
        <v>469</v>
      </c>
      <c r="BG37" s="496" t="s">
        <v>469</v>
      </c>
      <c r="BH37" s="496" t="s">
        <v>469</v>
      </c>
      <c r="BI37" s="496" t="s">
        <v>469</v>
      </c>
      <c r="BJ37" s="496" t="s">
        <v>469</v>
      </c>
      <c r="BK37" s="496" t="s">
        <v>469</v>
      </c>
      <c r="BL37" s="496" t="s">
        <v>469</v>
      </c>
      <c r="BM37" s="496" t="s">
        <v>469</v>
      </c>
      <c r="BN37" s="496" t="s">
        <v>469</v>
      </c>
      <c r="BO37" s="496" t="s">
        <v>469</v>
      </c>
      <c r="BP37" s="496" t="s">
        <v>469</v>
      </c>
      <c r="BQ37" s="496" t="s">
        <v>469</v>
      </c>
      <c r="BR37" s="496" t="s">
        <v>469</v>
      </c>
      <c r="BS37" s="496" t="s">
        <v>469</v>
      </c>
      <c r="BT37" s="496" t="s">
        <v>469</v>
      </c>
      <c r="BU37" s="496" t="s">
        <v>469</v>
      </c>
      <c r="BV37" s="496" t="s">
        <v>469</v>
      </c>
      <c r="BW37" s="496" t="s">
        <v>469</v>
      </c>
      <c r="BX37" s="496" t="s">
        <v>469</v>
      </c>
      <c r="BY37" s="496" t="s">
        <v>469</v>
      </c>
      <c r="BZ37" s="496" t="s">
        <v>469</v>
      </c>
      <c r="CA37" s="496" t="s">
        <v>469</v>
      </c>
      <c r="CB37" s="496" t="s">
        <v>469</v>
      </c>
      <c r="CC37" s="496" t="s">
        <v>469</v>
      </c>
      <c r="CD37" s="496" t="s">
        <v>469</v>
      </c>
      <c r="CE37" s="496" t="s">
        <v>469</v>
      </c>
      <c r="CF37" s="496" t="s">
        <v>469</v>
      </c>
      <c r="CG37" s="496" t="s">
        <v>469</v>
      </c>
      <c r="CH37" s="496" t="s">
        <v>469</v>
      </c>
      <c r="CI37" s="496" t="s">
        <v>469</v>
      </c>
      <c r="CJ37" s="496" t="s">
        <v>469</v>
      </c>
      <c r="CK37" s="496" t="s">
        <v>469</v>
      </c>
      <c r="CL37" s="496" t="s">
        <v>469</v>
      </c>
      <c r="CM37" s="496" t="s">
        <v>469</v>
      </c>
      <c r="CN37" s="496" t="s">
        <v>469</v>
      </c>
      <c r="CO37" s="496" t="s">
        <v>469</v>
      </c>
      <c r="CP37" s="496" t="s">
        <v>469</v>
      </c>
      <c r="CQ37" s="496" t="s">
        <v>469</v>
      </c>
      <c r="CR37" s="496" t="s">
        <v>469</v>
      </c>
      <c r="CS37" s="496" t="s">
        <v>469</v>
      </c>
      <c r="CT37" s="496" t="s">
        <v>469</v>
      </c>
      <c r="CU37" s="496" t="s">
        <v>469</v>
      </c>
      <c r="CV37" s="496" t="s">
        <v>469</v>
      </c>
      <c r="CW37" s="496" t="s">
        <v>469</v>
      </c>
      <c r="CX37" s="496" t="s">
        <v>469</v>
      </c>
      <c r="CY37" s="496" t="s">
        <v>469</v>
      </c>
      <c r="CZ37" s="496" t="s">
        <v>469</v>
      </c>
      <c r="DA37" s="496" t="s">
        <v>469</v>
      </c>
      <c r="DB37" s="496" t="s">
        <v>469</v>
      </c>
      <c r="DC37" s="496" t="s">
        <v>469</v>
      </c>
      <c r="DD37" s="496" t="s">
        <v>469</v>
      </c>
      <c r="DE37" s="496" t="s">
        <v>469</v>
      </c>
      <c r="DF37" s="496" t="s">
        <v>469</v>
      </c>
    </row>
    <row r="38" customFormat="false" ht="15" hidden="false" customHeight="false" outlineLevel="0" collapsed="false">
      <c r="A38" s="496" t="s">
        <v>1984</v>
      </c>
      <c r="B38" s="496" t="n">
        <v>62.30521</v>
      </c>
      <c r="C38" s="496" t="n">
        <v>62.30516</v>
      </c>
      <c r="D38" s="496" t="n">
        <v>124.6396</v>
      </c>
      <c r="E38" s="496" t="n">
        <v>61.81011</v>
      </c>
      <c r="F38" s="496" t="n">
        <v>0.2580541</v>
      </c>
      <c r="G38" s="496" t="n">
        <v>0</v>
      </c>
      <c r="H38" s="496" t="n">
        <v>62.30528</v>
      </c>
      <c r="I38" s="496" t="n">
        <v>62.31979</v>
      </c>
      <c r="J38" s="496" t="n">
        <v>2.351158</v>
      </c>
      <c r="K38" s="496" t="n">
        <v>2.351158</v>
      </c>
      <c r="L38" s="496" t="n">
        <v>62.30528</v>
      </c>
      <c r="M38" s="496" t="n">
        <v>0</v>
      </c>
      <c r="N38" s="496" t="n">
        <v>0</v>
      </c>
      <c r="O38" s="496" t="n">
        <v>62.06074</v>
      </c>
      <c r="P38" s="496" t="n">
        <v>0</v>
      </c>
      <c r="Q38" s="1099" t="n">
        <v>1.73E-023</v>
      </c>
      <c r="R38" s="1099" t="n">
        <v>1.73E-023</v>
      </c>
      <c r="S38" s="1099" t="n">
        <v>8.73E-024</v>
      </c>
      <c r="T38" s="1099" t="n">
        <v>8.73E-024</v>
      </c>
      <c r="U38" s="496" t="n">
        <v>0.2445397</v>
      </c>
      <c r="V38" s="1099" t="n">
        <v>3.87E-010</v>
      </c>
      <c r="W38" s="1099" t="n">
        <v>3.87E-010</v>
      </c>
      <c r="X38" s="1099" t="n">
        <v>3.87E-010</v>
      </c>
      <c r="Y38" s="1099" t="n">
        <v>3.87E-010</v>
      </c>
      <c r="Z38" s="1099" t="n">
        <v>3.87E-010</v>
      </c>
      <c r="AA38" s="496" t="n">
        <v>62.06074</v>
      </c>
      <c r="AB38" s="496" t="n">
        <v>0.2590513</v>
      </c>
      <c r="AC38" s="496" t="n">
        <v>62.31979</v>
      </c>
      <c r="AD38" s="1099" t="n">
        <v>0.000809</v>
      </c>
      <c r="AE38" s="1099" t="n">
        <v>0.000809</v>
      </c>
      <c r="AF38" s="1099" t="n">
        <v>1.73E-005</v>
      </c>
      <c r="AG38" s="1099" t="n">
        <v>1.73E-005</v>
      </c>
      <c r="AH38" s="1099" t="n">
        <v>0.000686</v>
      </c>
      <c r="AI38" s="1099" t="n">
        <v>0.000686</v>
      </c>
      <c r="AJ38" s="1099" t="n">
        <v>0.000686</v>
      </c>
      <c r="AK38" s="1099" t="n">
        <v>0.000686</v>
      </c>
      <c r="AL38" s="1099" t="n">
        <v>0.000686</v>
      </c>
      <c r="AM38" s="1099" t="n">
        <v>0.000686</v>
      </c>
      <c r="AN38" s="1099" t="n">
        <v>0.000785</v>
      </c>
      <c r="AO38" s="1099" t="n">
        <v>0.000785</v>
      </c>
      <c r="AP38" s="496" t="n">
        <v>0</v>
      </c>
      <c r="AQ38" s="496" t="n">
        <v>0</v>
      </c>
      <c r="AR38" s="1099" t="n">
        <v>0.00114</v>
      </c>
      <c r="AS38" s="1099" t="n">
        <v>0.00114</v>
      </c>
      <c r="AT38" s="1099" t="n">
        <v>0.00117</v>
      </c>
      <c r="AU38" s="1099" t="n">
        <v>0.00117</v>
      </c>
      <c r="AV38" s="1099" t="n">
        <v>3.9E-005</v>
      </c>
      <c r="AW38" s="1099" t="n">
        <v>3.9E-005</v>
      </c>
      <c r="AX38" s="496" t="n">
        <v>62.30528</v>
      </c>
      <c r="AY38" s="496" t="n">
        <v>62.30528</v>
      </c>
      <c r="AZ38" s="496" t="n">
        <v>62.30528</v>
      </c>
      <c r="BA38" s="496" t="n">
        <v>62.30528</v>
      </c>
      <c r="BB38" s="496" t="n">
        <v>0.2590513</v>
      </c>
      <c r="BC38" s="496" t="n">
        <v>62.30528</v>
      </c>
      <c r="BD38" s="496" t="n">
        <v>0.0145115</v>
      </c>
      <c r="BE38" s="496" t="n">
        <v>11.31111</v>
      </c>
      <c r="BF38" s="1099" t="n">
        <v>5.92E-009</v>
      </c>
      <c r="BG38" s="1099" t="n">
        <v>5.92E-009</v>
      </c>
      <c r="BH38" s="496" t="n">
        <v>62.31979</v>
      </c>
      <c r="BI38" s="496" t="n">
        <v>124.6396</v>
      </c>
      <c r="BJ38" s="496" t="n">
        <v>86.85282</v>
      </c>
      <c r="BK38" s="496" t="n">
        <v>73.6164</v>
      </c>
      <c r="BL38" s="496" t="n">
        <v>0.5096804</v>
      </c>
      <c r="BM38" s="496" t="n">
        <v>61.81011</v>
      </c>
      <c r="BN38" s="1099" t="n">
        <v>1.73E-023</v>
      </c>
      <c r="BO38" s="496" t="n">
        <v>0.5096804</v>
      </c>
      <c r="BP38" s="496" t="n">
        <v>0.2516263</v>
      </c>
      <c r="BQ38" s="1099" t="n">
        <v>3.39E-023</v>
      </c>
      <c r="BR38" s="1099" t="n">
        <v>4.58E-020</v>
      </c>
      <c r="BS38" s="496" t="n">
        <v>2.351158</v>
      </c>
      <c r="BT38" s="496" t="n">
        <v>0.5396556</v>
      </c>
      <c r="BU38" s="496" t="n">
        <v>0</v>
      </c>
      <c r="BV38" s="496" t="n">
        <v>62.06074</v>
      </c>
      <c r="BW38" s="496" t="n">
        <v>0</v>
      </c>
      <c r="BX38" s="496" t="n">
        <v>0.2590513</v>
      </c>
      <c r="BY38" s="496" t="n">
        <v>0</v>
      </c>
      <c r="BZ38" s="496" t="n">
        <v>61.81011</v>
      </c>
      <c r="CA38" s="496" t="n">
        <v>0</v>
      </c>
      <c r="CB38" s="496" t="n">
        <v>62.30528</v>
      </c>
      <c r="CC38" s="496" t="n">
        <v>62.30516</v>
      </c>
      <c r="CD38" s="496" t="n">
        <v>62.30521</v>
      </c>
      <c r="CE38" s="496" t="n">
        <v>62.06074</v>
      </c>
      <c r="CF38" s="496" t="n">
        <v>62.06074</v>
      </c>
      <c r="CG38" s="496" t="n">
        <v>0.2590509</v>
      </c>
      <c r="CH38" s="496" t="n">
        <v>0.2590509</v>
      </c>
      <c r="CI38" s="496" t="n">
        <v>62.30528</v>
      </c>
      <c r="CJ38" s="496" t="n">
        <v>62.30528</v>
      </c>
      <c r="CK38" s="496" t="n">
        <v>62.30528</v>
      </c>
      <c r="CL38" s="496" t="n">
        <v>62.30528</v>
      </c>
      <c r="CM38" s="496" t="n">
        <v>62.30528</v>
      </c>
      <c r="CN38" s="496" t="n">
        <v>62.30528</v>
      </c>
      <c r="CO38" s="496" t="n">
        <v>86.85282</v>
      </c>
      <c r="CP38" s="496" t="n">
        <v>86.85282</v>
      </c>
      <c r="CQ38" s="496" t="n">
        <v>0</v>
      </c>
      <c r="CR38" s="496" t="n">
        <v>0</v>
      </c>
      <c r="CS38" s="496" t="n">
        <v>124.6396</v>
      </c>
      <c r="CT38" s="496" t="n">
        <v>124.6396</v>
      </c>
      <c r="CU38" s="496" t="n">
        <v>61.81011</v>
      </c>
      <c r="CV38" s="496" t="n">
        <v>61.81011</v>
      </c>
      <c r="CW38" s="496" t="n">
        <v>61.81011</v>
      </c>
      <c r="CX38" s="496" t="n">
        <v>61.81011</v>
      </c>
      <c r="CY38" s="496" t="n">
        <v>0.5396556</v>
      </c>
      <c r="CZ38" s="496" t="n">
        <v>0.5396556</v>
      </c>
      <c r="DA38" s="496" t="n">
        <v>0</v>
      </c>
      <c r="DB38" s="496" t="n">
        <v>0</v>
      </c>
      <c r="DC38" s="1099" t="n">
        <v>0.00117</v>
      </c>
      <c r="DD38" s="1099" t="n">
        <v>0.00117</v>
      </c>
      <c r="DE38" s="496" t="n">
        <v>0</v>
      </c>
      <c r="DF38" s="496" t="n">
        <v>0</v>
      </c>
    </row>
    <row r="39" customFormat="false" ht="15" hidden="false" customHeight="false" outlineLevel="0" collapsed="false">
      <c r="A39" s="496" t="s">
        <v>1985</v>
      </c>
      <c r="B39" s="496" t="n">
        <v>177.8456</v>
      </c>
      <c r="C39" s="496" t="n">
        <v>177.8459</v>
      </c>
      <c r="D39" s="496" t="n">
        <v>355.749</v>
      </c>
      <c r="E39" s="496" t="n">
        <v>176.8204</v>
      </c>
      <c r="F39" s="496" t="n">
        <v>0.5070548</v>
      </c>
      <c r="G39" s="496" t="n">
        <v>0</v>
      </c>
      <c r="H39" s="496" t="n">
        <v>177.846</v>
      </c>
      <c r="I39" s="496" t="n">
        <v>177.8745</v>
      </c>
      <c r="J39" s="496" t="n">
        <v>4.672481</v>
      </c>
      <c r="K39" s="496" t="n">
        <v>4.672481</v>
      </c>
      <c r="L39" s="496" t="n">
        <v>177.846</v>
      </c>
      <c r="M39" s="496" t="n">
        <v>0</v>
      </c>
      <c r="N39" s="496" t="n">
        <v>0</v>
      </c>
      <c r="O39" s="496" t="n">
        <v>177.3648</v>
      </c>
      <c r="P39" s="496" t="n">
        <v>0</v>
      </c>
      <c r="Q39" s="1099" t="n">
        <v>1.03E-021</v>
      </c>
      <c r="R39" s="1099" t="n">
        <v>1.03E-021</v>
      </c>
      <c r="S39" s="1099" t="n">
        <v>2.53E-022</v>
      </c>
      <c r="T39" s="1099" t="n">
        <v>2.53E-022</v>
      </c>
      <c r="U39" s="496" t="n">
        <v>0.4811226</v>
      </c>
      <c r="V39" s="1099" t="n">
        <v>2.76E-009</v>
      </c>
      <c r="W39" s="1099" t="n">
        <v>2.76E-009</v>
      </c>
      <c r="X39" s="1099" t="n">
        <v>2.76E-009</v>
      </c>
      <c r="Y39" s="1099" t="n">
        <v>2.76E-009</v>
      </c>
      <c r="Z39" s="1099" t="n">
        <v>2.76E-009</v>
      </c>
      <c r="AA39" s="496" t="n">
        <v>177.3648</v>
      </c>
      <c r="AB39" s="496" t="n">
        <v>0.5096734</v>
      </c>
      <c r="AC39" s="496" t="n">
        <v>177.8745</v>
      </c>
      <c r="AD39" s="1099" t="n">
        <v>0.00231</v>
      </c>
      <c r="AE39" s="1099" t="n">
        <v>0.00231</v>
      </c>
      <c r="AF39" s="1099" t="n">
        <v>3.41E-005</v>
      </c>
      <c r="AG39" s="1099" t="n">
        <v>3.41E-005</v>
      </c>
      <c r="AH39" s="1099" t="n">
        <v>0.00196</v>
      </c>
      <c r="AI39" s="1099" t="n">
        <v>0.00196</v>
      </c>
      <c r="AJ39" s="1099" t="n">
        <v>0.00196</v>
      </c>
      <c r="AK39" s="1099" t="n">
        <v>0.00196</v>
      </c>
      <c r="AL39" s="1099" t="n">
        <v>0.00196</v>
      </c>
      <c r="AM39" s="1099" t="n">
        <v>0.00196</v>
      </c>
      <c r="AN39" s="1099" t="n">
        <v>0.00237</v>
      </c>
      <c r="AO39" s="1099" t="n">
        <v>0.00237</v>
      </c>
      <c r="AP39" s="496" t="n">
        <v>0</v>
      </c>
      <c r="AQ39" s="496" t="n">
        <v>0</v>
      </c>
      <c r="AR39" s="1099" t="n">
        <v>0.00326</v>
      </c>
      <c r="AS39" s="1099" t="n">
        <v>0.00326</v>
      </c>
      <c r="AT39" s="1099" t="n">
        <v>0.00334</v>
      </c>
      <c r="AU39" s="1099" t="n">
        <v>0.00334</v>
      </c>
      <c r="AV39" s="1099" t="n">
        <v>8.01E-005</v>
      </c>
      <c r="AW39" s="1099" t="n">
        <v>8.01E-005</v>
      </c>
      <c r="AX39" s="496" t="n">
        <v>177.846</v>
      </c>
      <c r="AY39" s="496" t="n">
        <v>177.846</v>
      </c>
      <c r="AZ39" s="496" t="n">
        <v>177.846</v>
      </c>
      <c r="BA39" s="496" t="n">
        <v>177.846</v>
      </c>
      <c r="BB39" s="496" t="n">
        <v>0.5096734</v>
      </c>
      <c r="BC39" s="496" t="n">
        <v>177.846</v>
      </c>
      <c r="BD39" s="496" t="n">
        <v>0.0285508</v>
      </c>
      <c r="BE39" s="496" t="n">
        <v>38.59443</v>
      </c>
      <c r="BF39" s="1099" t="n">
        <v>4.22E-008</v>
      </c>
      <c r="BG39" s="1099" t="n">
        <v>4.22E-008</v>
      </c>
      <c r="BH39" s="496" t="n">
        <v>177.8745</v>
      </c>
      <c r="BI39" s="496" t="n">
        <v>355.749</v>
      </c>
      <c r="BJ39" s="496" t="n">
        <v>262.5321</v>
      </c>
      <c r="BK39" s="496" t="n">
        <v>216.4404</v>
      </c>
      <c r="BL39" s="496" t="n">
        <v>1.05413</v>
      </c>
      <c r="BM39" s="496" t="n">
        <v>176.8204</v>
      </c>
      <c r="BN39" s="1099" t="n">
        <v>1.03E-021</v>
      </c>
      <c r="BO39" s="496" t="n">
        <v>1.05413</v>
      </c>
      <c r="BP39" s="496" t="n">
        <v>0.5470752</v>
      </c>
      <c r="BQ39" s="1099" t="n">
        <v>2.03E-021</v>
      </c>
      <c r="BR39" s="1099" t="n">
        <v>2.4E-018</v>
      </c>
      <c r="BS39" s="496" t="n">
        <v>4.672481</v>
      </c>
      <c r="BT39" s="496" t="n">
        <v>1.107088</v>
      </c>
      <c r="BU39" s="496" t="n">
        <v>0</v>
      </c>
      <c r="BV39" s="496" t="n">
        <v>177.3648</v>
      </c>
      <c r="BW39" s="496" t="n">
        <v>0</v>
      </c>
      <c r="BX39" s="496" t="n">
        <v>0.5096734</v>
      </c>
      <c r="BY39" s="496" t="n">
        <v>0</v>
      </c>
      <c r="BZ39" s="496" t="n">
        <v>176.8204</v>
      </c>
      <c r="CA39" s="496" t="n">
        <v>0</v>
      </c>
      <c r="CB39" s="496" t="n">
        <v>177.846</v>
      </c>
      <c r="CC39" s="496" t="n">
        <v>177.8459</v>
      </c>
      <c r="CD39" s="496" t="n">
        <v>177.8456</v>
      </c>
      <c r="CE39" s="496" t="n">
        <v>177.3648</v>
      </c>
      <c r="CF39" s="496" t="n">
        <v>177.3648</v>
      </c>
      <c r="CG39" s="496" t="n">
        <v>0.5096733</v>
      </c>
      <c r="CH39" s="496" t="n">
        <v>0.5096733</v>
      </c>
      <c r="CI39" s="496" t="n">
        <v>177.846</v>
      </c>
      <c r="CJ39" s="496" t="n">
        <v>177.846</v>
      </c>
      <c r="CK39" s="496" t="n">
        <v>177.846</v>
      </c>
      <c r="CL39" s="496" t="n">
        <v>177.846</v>
      </c>
      <c r="CM39" s="496" t="n">
        <v>177.846</v>
      </c>
      <c r="CN39" s="496" t="n">
        <v>177.846</v>
      </c>
      <c r="CO39" s="496" t="n">
        <v>262.5321</v>
      </c>
      <c r="CP39" s="496" t="n">
        <v>262.5321</v>
      </c>
      <c r="CQ39" s="496" t="n">
        <v>0</v>
      </c>
      <c r="CR39" s="496" t="n">
        <v>0</v>
      </c>
      <c r="CS39" s="496" t="n">
        <v>355.749</v>
      </c>
      <c r="CT39" s="496" t="n">
        <v>355.749</v>
      </c>
      <c r="CU39" s="496" t="n">
        <v>176.8204</v>
      </c>
      <c r="CV39" s="496" t="n">
        <v>176.8204</v>
      </c>
      <c r="CW39" s="496" t="n">
        <v>176.8204</v>
      </c>
      <c r="CX39" s="496" t="n">
        <v>176.8204</v>
      </c>
      <c r="CY39" s="496" t="n">
        <v>1.107088</v>
      </c>
      <c r="CZ39" s="496" t="n">
        <v>1.107088</v>
      </c>
      <c r="DA39" s="496" t="n">
        <v>0</v>
      </c>
      <c r="DB39" s="496" t="n">
        <v>0</v>
      </c>
      <c r="DC39" s="1099" t="n">
        <v>0.00334</v>
      </c>
      <c r="DD39" s="1099" t="n">
        <v>0.00334</v>
      </c>
      <c r="DE39" s="496" t="n">
        <v>0</v>
      </c>
      <c r="DF39" s="496" t="n">
        <v>0</v>
      </c>
    </row>
    <row r="40" customFormat="false" ht="15" hidden="false" customHeight="false" outlineLevel="0" collapsed="false">
      <c r="A40" s="496" t="s">
        <v>1986</v>
      </c>
      <c r="B40" s="496" t="n">
        <v>25058.45</v>
      </c>
      <c r="C40" s="496" t="n">
        <v>25058.45</v>
      </c>
      <c r="D40" s="496" t="n">
        <v>50120.21</v>
      </c>
      <c r="E40" s="496" t="n">
        <v>25011.26</v>
      </c>
      <c r="F40" s="496" t="n">
        <v>29.6451</v>
      </c>
      <c r="G40" s="496" t="n">
        <v>0</v>
      </c>
      <c r="H40" s="496" t="n">
        <v>25058.44</v>
      </c>
      <c r="I40" s="496" t="n">
        <v>25060.11</v>
      </c>
      <c r="J40" s="496" t="n">
        <v>260.3899</v>
      </c>
      <c r="K40" s="496" t="n">
        <v>260.3899</v>
      </c>
      <c r="L40" s="496" t="n">
        <v>25058.44</v>
      </c>
      <c r="M40" s="496" t="n">
        <v>0</v>
      </c>
      <c r="N40" s="496" t="n">
        <v>0</v>
      </c>
      <c r="O40" s="496" t="n">
        <v>25030.44</v>
      </c>
      <c r="P40" s="496" t="n">
        <v>0</v>
      </c>
      <c r="Q40" s="1099" t="n">
        <v>9.6E-026</v>
      </c>
      <c r="R40" s="1099" t="n">
        <v>9.6E-026</v>
      </c>
      <c r="S40" s="1099" t="n">
        <v>8.11E-021</v>
      </c>
      <c r="T40" s="1099" t="n">
        <v>8.11E-021</v>
      </c>
      <c r="U40" s="496" t="n">
        <v>28.00463</v>
      </c>
      <c r="V40" s="1099" t="n">
        <v>0.000227</v>
      </c>
      <c r="W40" s="1099" t="n">
        <v>0.000227</v>
      </c>
      <c r="X40" s="1099" t="n">
        <v>0.000227</v>
      </c>
      <c r="Y40" s="1099" t="n">
        <v>0.000227</v>
      </c>
      <c r="Z40" s="1099" t="n">
        <v>0.000227</v>
      </c>
      <c r="AA40" s="496" t="n">
        <v>25030.44</v>
      </c>
      <c r="AB40" s="496" t="n">
        <v>29.66649</v>
      </c>
      <c r="AC40" s="496" t="n">
        <v>25060.11</v>
      </c>
      <c r="AD40" s="496" t="n">
        <v>0.3262996</v>
      </c>
      <c r="AE40" s="496" t="n">
        <v>0.3262996</v>
      </c>
      <c r="AF40" s="1099" t="n">
        <v>0.00198</v>
      </c>
      <c r="AG40" s="1099" t="n">
        <v>0.00198</v>
      </c>
      <c r="AH40" s="496" t="n">
        <v>0.2759073</v>
      </c>
      <c r="AI40" s="496" t="n">
        <v>0.2759073</v>
      </c>
      <c r="AJ40" s="496" t="n">
        <v>0.2759073</v>
      </c>
      <c r="AK40" s="496" t="n">
        <v>0.2759073</v>
      </c>
      <c r="AL40" s="496" t="n">
        <v>0.2759073</v>
      </c>
      <c r="AM40" s="496" t="n">
        <v>0.2759073</v>
      </c>
      <c r="AN40" s="496" t="n">
        <v>0.4393751</v>
      </c>
      <c r="AO40" s="496" t="n">
        <v>0.4393751</v>
      </c>
      <c r="AP40" s="496" t="n">
        <v>0</v>
      </c>
      <c r="AQ40" s="496" t="n">
        <v>0</v>
      </c>
      <c r="AR40" s="496" t="n">
        <v>0.4597206</v>
      </c>
      <c r="AS40" s="496" t="n">
        <v>0.4597206</v>
      </c>
      <c r="AT40" s="496" t="n">
        <v>0.472275</v>
      </c>
      <c r="AU40" s="496" t="n">
        <v>0.472275</v>
      </c>
      <c r="AV40" s="1099" t="n">
        <v>0.00384</v>
      </c>
      <c r="AW40" s="1099" t="n">
        <v>0.00384</v>
      </c>
      <c r="AX40" s="496" t="n">
        <v>25058.44</v>
      </c>
      <c r="AY40" s="496" t="n">
        <v>25058.44</v>
      </c>
      <c r="AZ40" s="496" t="n">
        <v>25058.44</v>
      </c>
      <c r="BA40" s="496" t="n">
        <v>25058.44</v>
      </c>
      <c r="BB40" s="496" t="n">
        <v>29.66649</v>
      </c>
      <c r="BC40" s="496" t="n">
        <v>25058.44</v>
      </c>
      <c r="BD40" s="496" t="n">
        <v>1.661857</v>
      </c>
      <c r="BE40" s="496" t="n">
        <v>12246.61</v>
      </c>
      <c r="BF40" s="1099" t="n">
        <v>0.00348</v>
      </c>
      <c r="BG40" s="1099" t="n">
        <v>0.00348</v>
      </c>
      <c r="BH40" s="496" t="n">
        <v>25060.11</v>
      </c>
      <c r="BI40" s="496" t="n">
        <v>50120.21</v>
      </c>
      <c r="BJ40" s="496" t="n">
        <v>48584.71</v>
      </c>
      <c r="BK40" s="496" t="n">
        <v>37305.05</v>
      </c>
      <c r="BL40" s="496" t="n">
        <v>48.84201</v>
      </c>
      <c r="BM40" s="496" t="n">
        <v>25011.26</v>
      </c>
      <c r="BN40" s="1099" t="n">
        <v>9.6E-026</v>
      </c>
      <c r="BO40" s="496" t="n">
        <v>48.84201</v>
      </c>
      <c r="BP40" s="496" t="n">
        <v>19.19691</v>
      </c>
      <c r="BQ40" s="1099" t="n">
        <v>1.88E-025</v>
      </c>
      <c r="BR40" s="1099" t="n">
        <v>5.87E-022</v>
      </c>
      <c r="BS40" s="496" t="n">
        <v>260.3899</v>
      </c>
      <c r="BT40" s="496" t="n">
        <v>53.05026</v>
      </c>
      <c r="BU40" s="496" t="n">
        <v>0</v>
      </c>
      <c r="BV40" s="496" t="n">
        <v>25030.44</v>
      </c>
      <c r="BW40" s="496" t="n">
        <v>0</v>
      </c>
      <c r="BX40" s="496" t="n">
        <v>29.66649</v>
      </c>
      <c r="BY40" s="496" t="n">
        <v>0</v>
      </c>
      <c r="BZ40" s="496" t="n">
        <v>25011.26</v>
      </c>
      <c r="CA40" s="496" t="n">
        <v>0</v>
      </c>
      <c r="CB40" s="496" t="n">
        <v>25058.44</v>
      </c>
      <c r="CC40" s="496" t="n">
        <v>25058.45</v>
      </c>
      <c r="CD40" s="496" t="n">
        <v>25058.45</v>
      </c>
      <c r="CE40" s="496" t="n">
        <v>25030.44</v>
      </c>
      <c r="CF40" s="496" t="n">
        <v>25030.44</v>
      </c>
      <c r="CG40" s="496" t="n">
        <v>29.66649</v>
      </c>
      <c r="CH40" s="496" t="n">
        <v>29.66649</v>
      </c>
      <c r="CI40" s="496" t="n">
        <v>25058.44</v>
      </c>
      <c r="CJ40" s="496" t="n">
        <v>25058.44</v>
      </c>
      <c r="CK40" s="496" t="n">
        <v>25058.44</v>
      </c>
      <c r="CL40" s="496" t="n">
        <v>25058.44</v>
      </c>
      <c r="CM40" s="496" t="n">
        <v>25058.44</v>
      </c>
      <c r="CN40" s="496" t="n">
        <v>25058.44</v>
      </c>
      <c r="CO40" s="496" t="n">
        <v>48584.71</v>
      </c>
      <c r="CP40" s="496" t="n">
        <v>48584.71</v>
      </c>
      <c r="CQ40" s="496" t="n">
        <v>0</v>
      </c>
      <c r="CR40" s="496" t="n">
        <v>0</v>
      </c>
      <c r="CS40" s="496" t="n">
        <v>50120.21</v>
      </c>
      <c r="CT40" s="496" t="n">
        <v>50120.21</v>
      </c>
      <c r="CU40" s="496" t="n">
        <v>25011.26</v>
      </c>
      <c r="CV40" s="496" t="n">
        <v>25011.26</v>
      </c>
      <c r="CW40" s="496" t="n">
        <v>25011.26</v>
      </c>
      <c r="CX40" s="496" t="n">
        <v>25011.26</v>
      </c>
      <c r="CY40" s="496" t="n">
        <v>53.05026</v>
      </c>
      <c r="CZ40" s="496" t="n">
        <v>53.05026</v>
      </c>
      <c r="DA40" s="496" t="n">
        <v>0</v>
      </c>
      <c r="DB40" s="496" t="n">
        <v>0</v>
      </c>
      <c r="DC40" s="496" t="n">
        <v>0.472275</v>
      </c>
      <c r="DD40" s="496" t="n">
        <v>0.472275</v>
      </c>
      <c r="DE40" s="496" t="n">
        <v>0</v>
      </c>
      <c r="DF40" s="496" t="n">
        <v>0</v>
      </c>
    </row>
    <row r="41" customFormat="false" ht="15" hidden="false" customHeight="false" outlineLevel="0" collapsed="false">
      <c r="A41" s="496" t="s">
        <v>1987</v>
      </c>
      <c r="B41" s="496" t="n">
        <v>5815.186</v>
      </c>
      <c r="C41" s="496" t="n">
        <v>1791.077</v>
      </c>
      <c r="D41" s="496" t="n">
        <v>11.04192</v>
      </c>
      <c r="E41" s="496" t="n">
        <v>5.504556</v>
      </c>
      <c r="F41" s="496" t="n">
        <v>0.0111537</v>
      </c>
      <c r="G41" s="496" t="n">
        <v>0</v>
      </c>
      <c r="H41" s="496" t="n">
        <v>23395.03</v>
      </c>
      <c r="I41" s="496" t="n">
        <v>5.520958</v>
      </c>
      <c r="J41" s="496" t="n">
        <v>0.0959954</v>
      </c>
      <c r="K41" s="496" t="n">
        <v>0.0959954</v>
      </c>
      <c r="L41" s="496" t="n">
        <v>5815.184</v>
      </c>
      <c r="M41" s="496" t="n">
        <v>0</v>
      </c>
      <c r="N41" s="496" t="n">
        <v>0</v>
      </c>
      <c r="O41" s="496" t="n">
        <v>23395.02</v>
      </c>
      <c r="P41" s="496" t="n">
        <v>0</v>
      </c>
      <c r="Q41" s="1099" t="n">
        <v>1.13E-023</v>
      </c>
      <c r="R41" s="1099" t="n">
        <v>1.13E-023</v>
      </c>
      <c r="S41" s="1099" t="n">
        <v>5.75E-024</v>
      </c>
      <c r="T41" s="1099" t="n">
        <v>5.75E-024</v>
      </c>
      <c r="U41" s="496" t="n">
        <v>0.0106531</v>
      </c>
      <c r="V41" s="1099" t="n">
        <v>5.74E-005</v>
      </c>
      <c r="W41" s="1099" t="n">
        <v>5.74E-005</v>
      </c>
      <c r="X41" s="1099" t="n">
        <v>5.74E-005</v>
      </c>
      <c r="Y41" s="1099" t="n">
        <v>5.74E-005</v>
      </c>
      <c r="Z41" s="1099" t="n">
        <v>5.74E-005</v>
      </c>
      <c r="AA41" s="496" t="n">
        <v>23395.02</v>
      </c>
      <c r="AB41" s="496" t="n">
        <v>0.0112852</v>
      </c>
      <c r="AC41" s="496" t="n">
        <v>5.520958</v>
      </c>
      <c r="AD41" s="496" t="n">
        <v>0.30498</v>
      </c>
      <c r="AE41" s="496" t="n">
        <v>0.30498</v>
      </c>
      <c r="AF41" s="1099" t="n">
        <v>7.55E-007</v>
      </c>
      <c r="AG41" s="1099" t="n">
        <v>7.55E-007</v>
      </c>
      <c r="AH41" s="496" t="n">
        <v>0.0640283</v>
      </c>
      <c r="AI41" s="496" t="n">
        <v>0.0640283</v>
      </c>
      <c r="AJ41" s="496" t="n">
        <v>0.0640283</v>
      </c>
      <c r="AK41" s="496" t="n">
        <v>0.0640283</v>
      </c>
      <c r="AL41" s="496" t="n">
        <v>0.0197207</v>
      </c>
      <c r="AM41" s="496" t="n">
        <v>0.0197207</v>
      </c>
      <c r="AN41" s="1099" t="n">
        <v>9.93E-005</v>
      </c>
      <c r="AO41" s="1099" t="n">
        <v>9.93E-005</v>
      </c>
      <c r="AP41" s="496" t="n">
        <v>0</v>
      </c>
      <c r="AQ41" s="496" t="n">
        <v>0</v>
      </c>
      <c r="AR41" s="1099" t="n">
        <v>0.000101</v>
      </c>
      <c r="AS41" s="1099" t="n">
        <v>0.000101</v>
      </c>
      <c r="AT41" s="1099" t="n">
        <v>0.000104</v>
      </c>
      <c r="AU41" s="1099" t="n">
        <v>0.000104</v>
      </c>
      <c r="AV41" s="1099" t="n">
        <v>1.33E-006</v>
      </c>
      <c r="AW41" s="1099" t="n">
        <v>1.33E-006</v>
      </c>
      <c r="AX41" s="496" t="n">
        <v>5815.184</v>
      </c>
      <c r="AY41" s="496" t="n">
        <v>5815.184</v>
      </c>
      <c r="AZ41" s="496" t="n">
        <v>1791.077</v>
      </c>
      <c r="BA41" s="496" t="n">
        <v>23395.03</v>
      </c>
      <c r="BB41" s="496" t="n">
        <v>0.0112852</v>
      </c>
      <c r="BC41" s="496" t="n">
        <v>1791.077</v>
      </c>
      <c r="BD41" s="1099" t="n">
        <v>0.000632</v>
      </c>
      <c r="BE41" s="496" t="n">
        <v>916.7493</v>
      </c>
      <c r="BF41" s="1099" t="n">
        <v>0.00088</v>
      </c>
      <c r="BG41" s="1099" t="n">
        <v>0.00088</v>
      </c>
      <c r="BH41" s="496" t="n">
        <v>5.520958</v>
      </c>
      <c r="BI41" s="496" t="n">
        <v>11.04192</v>
      </c>
      <c r="BJ41" s="496" t="n">
        <v>10.98245</v>
      </c>
      <c r="BK41" s="496" t="n">
        <v>2707.826</v>
      </c>
      <c r="BL41" s="496" t="n">
        <v>0.0164021</v>
      </c>
      <c r="BM41" s="496" t="n">
        <v>5.504556</v>
      </c>
      <c r="BN41" s="1099" t="n">
        <v>1.13E-023</v>
      </c>
      <c r="BO41" s="496" t="n">
        <v>0.0164021</v>
      </c>
      <c r="BP41" s="1099" t="n">
        <v>0.00525</v>
      </c>
      <c r="BQ41" s="1099" t="n">
        <v>2.21E-023</v>
      </c>
      <c r="BR41" s="1099" t="n">
        <v>2.68E-020</v>
      </c>
      <c r="BS41" s="496" t="n">
        <v>0.0959954</v>
      </c>
      <c r="BT41" s="496" t="n">
        <v>0.0184271</v>
      </c>
      <c r="BU41" s="496" t="n">
        <v>0</v>
      </c>
      <c r="BV41" s="496" t="n">
        <v>23395.02</v>
      </c>
      <c r="BW41" s="496" t="n">
        <v>0</v>
      </c>
      <c r="BX41" s="496" t="n">
        <v>0.0112852</v>
      </c>
      <c r="BY41" s="496" t="n">
        <v>0</v>
      </c>
      <c r="BZ41" s="496" t="n">
        <v>5.504556</v>
      </c>
      <c r="CA41" s="496" t="n">
        <v>0</v>
      </c>
      <c r="CB41" s="496" t="n">
        <v>5815.184</v>
      </c>
      <c r="CC41" s="496" t="n">
        <v>5815.185</v>
      </c>
      <c r="CD41" s="496" t="n">
        <v>23395.04</v>
      </c>
      <c r="CE41" s="496" t="n">
        <v>23395.02</v>
      </c>
      <c r="CF41" s="496" t="n">
        <v>23395.02</v>
      </c>
      <c r="CG41" s="496" t="n">
        <v>0.0112849</v>
      </c>
      <c r="CH41" s="496" t="n">
        <v>0.0112849</v>
      </c>
      <c r="CI41" s="496" t="n">
        <v>5815.184</v>
      </c>
      <c r="CJ41" s="496" t="n">
        <v>5815.184</v>
      </c>
      <c r="CK41" s="496" t="n">
        <v>5815.184</v>
      </c>
      <c r="CL41" s="496" t="n">
        <v>5815.184</v>
      </c>
      <c r="CM41" s="496" t="n">
        <v>1791.077</v>
      </c>
      <c r="CN41" s="496" t="n">
        <v>1791.077</v>
      </c>
      <c r="CO41" s="496" t="n">
        <v>10.98245</v>
      </c>
      <c r="CP41" s="496" t="n">
        <v>10.98245</v>
      </c>
      <c r="CQ41" s="496" t="n">
        <v>0</v>
      </c>
      <c r="CR41" s="496" t="n">
        <v>0</v>
      </c>
      <c r="CS41" s="496" t="n">
        <v>11.04192</v>
      </c>
      <c r="CT41" s="496" t="n">
        <v>11.04192</v>
      </c>
      <c r="CU41" s="496" t="n">
        <v>5.504556</v>
      </c>
      <c r="CV41" s="496" t="n">
        <v>5.504556</v>
      </c>
      <c r="CW41" s="496" t="n">
        <v>5.504556</v>
      </c>
      <c r="CX41" s="496" t="n">
        <v>5.504556</v>
      </c>
      <c r="CY41" s="496" t="n">
        <v>0.0184268</v>
      </c>
      <c r="CZ41" s="496" t="n">
        <v>0.0184268</v>
      </c>
      <c r="DA41" s="496" t="n">
        <v>0</v>
      </c>
      <c r="DB41" s="496" t="n">
        <v>0</v>
      </c>
      <c r="DC41" s="1099" t="n">
        <v>0.000104</v>
      </c>
      <c r="DD41" s="1099" t="n">
        <v>0.000104</v>
      </c>
      <c r="DE41" s="496" t="n">
        <v>0</v>
      </c>
      <c r="DF41" s="496" t="n">
        <v>0</v>
      </c>
    </row>
    <row r="42" customFormat="false" ht="15" hidden="false" customHeight="false" outlineLevel="0" collapsed="false">
      <c r="A42" s="496" t="s">
        <v>1988</v>
      </c>
      <c r="B42" s="496" t="n">
        <v>17064.08</v>
      </c>
      <c r="C42" s="496" t="n">
        <v>17064.08</v>
      </c>
      <c r="D42" s="496" t="n">
        <v>34130.66</v>
      </c>
      <c r="E42" s="496" t="n">
        <v>17032.03</v>
      </c>
      <c r="F42" s="496" t="n">
        <v>22.52473</v>
      </c>
      <c r="G42" s="496" t="n">
        <v>0</v>
      </c>
      <c r="H42" s="496" t="n">
        <v>17064.07</v>
      </c>
      <c r="I42" s="496" t="n">
        <v>17065.33</v>
      </c>
      <c r="J42" s="496" t="n">
        <v>194.0359</v>
      </c>
      <c r="K42" s="496" t="n">
        <v>194.0359</v>
      </c>
      <c r="L42" s="496" t="n">
        <v>17064.07</v>
      </c>
      <c r="M42" s="496" t="n">
        <v>0</v>
      </c>
      <c r="N42" s="496" t="n">
        <v>0</v>
      </c>
      <c r="O42" s="496" t="n">
        <v>17042.83</v>
      </c>
      <c r="P42" s="496" t="n">
        <v>0</v>
      </c>
      <c r="Q42" s="1099" t="n">
        <v>1.55E-017</v>
      </c>
      <c r="R42" s="1099" t="n">
        <v>1.55E-017</v>
      </c>
      <c r="S42" s="1099" t="n">
        <v>9.84E-017</v>
      </c>
      <c r="T42" s="1099" t="n">
        <v>9.84E-017</v>
      </c>
      <c r="U42" s="496" t="n">
        <v>21.24397</v>
      </c>
      <c r="V42" s="1099" t="n">
        <v>0.00333</v>
      </c>
      <c r="W42" s="1099" t="n">
        <v>0.00333</v>
      </c>
      <c r="X42" s="1099" t="n">
        <v>0.00333</v>
      </c>
      <c r="Y42" s="1099" t="n">
        <v>0.00333</v>
      </c>
      <c r="Z42" s="1099" t="n">
        <v>0.00333</v>
      </c>
      <c r="AA42" s="496" t="n">
        <v>17042.83</v>
      </c>
      <c r="AB42" s="496" t="n">
        <v>22.50463</v>
      </c>
      <c r="AC42" s="496" t="n">
        <v>17065.33</v>
      </c>
      <c r="AD42" s="496" t="n">
        <v>0.2221722</v>
      </c>
      <c r="AE42" s="496" t="n">
        <v>0.2221722</v>
      </c>
      <c r="AF42" s="1099" t="n">
        <v>0.00151</v>
      </c>
      <c r="AG42" s="1099" t="n">
        <v>0.00151</v>
      </c>
      <c r="AH42" s="496" t="n">
        <v>0.1878849</v>
      </c>
      <c r="AI42" s="496" t="n">
        <v>0.1878849</v>
      </c>
      <c r="AJ42" s="496" t="n">
        <v>0.1878849</v>
      </c>
      <c r="AK42" s="496" t="n">
        <v>0.1878849</v>
      </c>
      <c r="AL42" s="496" t="n">
        <v>0.1878849</v>
      </c>
      <c r="AM42" s="496" t="n">
        <v>0.1878849</v>
      </c>
      <c r="AN42" s="496" t="n">
        <v>0.3420376</v>
      </c>
      <c r="AO42" s="496" t="n">
        <v>0.3420376</v>
      </c>
      <c r="AP42" s="496" t="n">
        <v>0</v>
      </c>
      <c r="AQ42" s="496" t="n">
        <v>0</v>
      </c>
      <c r="AR42" s="496" t="n">
        <v>0.3130587</v>
      </c>
      <c r="AS42" s="496" t="n">
        <v>0.3130587</v>
      </c>
      <c r="AT42" s="496" t="n">
        <v>0.3216072</v>
      </c>
      <c r="AU42" s="496" t="n">
        <v>0.3216072</v>
      </c>
      <c r="AV42" s="1099" t="n">
        <v>0.00269</v>
      </c>
      <c r="AW42" s="1099" t="n">
        <v>0.00269</v>
      </c>
      <c r="AX42" s="496" t="n">
        <v>17064.07</v>
      </c>
      <c r="AY42" s="496" t="n">
        <v>17064.07</v>
      </c>
      <c r="AZ42" s="496" t="n">
        <v>17064.07</v>
      </c>
      <c r="BA42" s="496" t="n">
        <v>17064.07</v>
      </c>
      <c r="BB42" s="496" t="n">
        <v>22.50463</v>
      </c>
      <c r="BC42" s="496" t="n">
        <v>17064.07</v>
      </c>
      <c r="BD42" s="496" t="n">
        <v>1.260664</v>
      </c>
      <c r="BE42" s="496" t="n">
        <v>12291.91</v>
      </c>
      <c r="BF42" s="496" t="n">
        <v>0.051002</v>
      </c>
      <c r="BG42" s="496" t="n">
        <v>0.051002</v>
      </c>
      <c r="BH42" s="496" t="n">
        <v>17065.33</v>
      </c>
      <c r="BI42" s="496" t="n">
        <v>34130.66</v>
      </c>
      <c r="BJ42" s="496" t="n">
        <v>37821.43</v>
      </c>
      <c r="BK42" s="496" t="n">
        <v>29355.99</v>
      </c>
      <c r="BL42" s="496" t="n">
        <v>33.29909</v>
      </c>
      <c r="BM42" s="496" t="n">
        <v>17032.03</v>
      </c>
      <c r="BN42" s="1099" t="n">
        <v>1.55E-017</v>
      </c>
      <c r="BO42" s="496" t="n">
        <v>33.29909</v>
      </c>
      <c r="BP42" s="496" t="n">
        <v>10.77436</v>
      </c>
      <c r="BQ42" s="1099" t="n">
        <v>3.03E-017</v>
      </c>
      <c r="BR42" s="1099" t="n">
        <v>6.62E-014</v>
      </c>
      <c r="BS42" s="496" t="n">
        <v>194.0359</v>
      </c>
      <c r="BT42" s="496" t="n">
        <v>37.25811</v>
      </c>
      <c r="BU42" s="496" t="n">
        <v>0</v>
      </c>
      <c r="BV42" s="496" t="n">
        <v>17042.83</v>
      </c>
      <c r="BW42" s="496" t="n">
        <v>0</v>
      </c>
      <c r="BX42" s="496" t="n">
        <v>22.50463</v>
      </c>
      <c r="BY42" s="496" t="n">
        <v>0</v>
      </c>
      <c r="BZ42" s="496" t="n">
        <v>17032.03</v>
      </c>
      <c r="CA42" s="496" t="n">
        <v>0</v>
      </c>
      <c r="CB42" s="496" t="n">
        <v>17064.07</v>
      </c>
      <c r="CC42" s="496" t="n">
        <v>17064.08</v>
      </c>
      <c r="CD42" s="496" t="n">
        <v>17064.08</v>
      </c>
      <c r="CE42" s="496" t="n">
        <v>17042.83</v>
      </c>
      <c r="CF42" s="496" t="n">
        <v>17042.83</v>
      </c>
      <c r="CG42" s="496" t="n">
        <v>22.50463</v>
      </c>
      <c r="CH42" s="496" t="n">
        <v>22.50463</v>
      </c>
      <c r="CI42" s="496" t="n">
        <v>17064.07</v>
      </c>
      <c r="CJ42" s="496" t="n">
        <v>17064.07</v>
      </c>
      <c r="CK42" s="496" t="n">
        <v>17064.07</v>
      </c>
      <c r="CL42" s="496" t="n">
        <v>17064.07</v>
      </c>
      <c r="CM42" s="496" t="n">
        <v>17064.07</v>
      </c>
      <c r="CN42" s="496" t="n">
        <v>17064.07</v>
      </c>
      <c r="CO42" s="496" t="n">
        <v>37821.43</v>
      </c>
      <c r="CP42" s="496" t="n">
        <v>37821.43</v>
      </c>
      <c r="CQ42" s="496" t="n">
        <v>0</v>
      </c>
      <c r="CR42" s="496" t="n">
        <v>0</v>
      </c>
      <c r="CS42" s="496" t="n">
        <v>34130.66</v>
      </c>
      <c r="CT42" s="496" t="n">
        <v>34130.66</v>
      </c>
      <c r="CU42" s="496" t="n">
        <v>17032.03</v>
      </c>
      <c r="CV42" s="496" t="n">
        <v>17032.03</v>
      </c>
      <c r="CW42" s="496" t="n">
        <v>17032.03</v>
      </c>
      <c r="CX42" s="496" t="n">
        <v>17032.03</v>
      </c>
      <c r="CY42" s="496" t="n">
        <v>37.25811</v>
      </c>
      <c r="CZ42" s="496" t="n">
        <v>37.25811</v>
      </c>
      <c r="DA42" s="496" t="n">
        <v>0</v>
      </c>
      <c r="DB42" s="496" t="n">
        <v>0</v>
      </c>
      <c r="DC42" s="496" t="n">
        <v>0.3216072</v>
      </c>
      <c r="DD42" s="496" t="n">
        <v>0.3216072</v>
      </c>
      <c r="DE42" s="496" t="n">
        <v>0</v>
      </c>
      <c r="DF42" s="496" t="n">
        <v>0</v>
      </c>
    </row>
    <row r="43" customFormat="false" ht="15" hidden="false" customHeight="false" outlineLevel="0" collapsed="false">
      <c r="A43" s="496" t="s">
        <v>1989</v>
      </c>
      <c r="B43" s="496" t="n">
        <v>10595.4</v>
      </c>
      <c r="C43" s="496" t="n">
        <v>10595.4</v>
      </c>
      <c r="D43" s="496" t="n">
        <v>21193.02</v>
      </c>
      <c r="E43" s="496" t="n">
        <v>10567.96</v>
      </c>
      <c r="F43" s="496" t="n">
        <v>19.89718</v>
      </c>
      <c r="G43" s="496" t="n">
        <v>0</v>
      </c>
      <c r="H43" s="496" t="n">
        <v>10595.4</v>
      </c>
      <c r="I43" s="496" t="n">
        <v>10596.51</v>
      </c>
      <c r="J43" s="496" t="n">
        <v>170.5395</v>
      </c>
      <c r="K43" s="496" t="n">
        <v>170.5395</v>
      </c>
      <c r="L43" s="496" t="n">
        <v>10595.4</v>
      </c>
      <c r="M43" s="496" t="n">
        <v>0</v>
      </c>
      <c r="N43" s="496" t="n">
        <v>0</v>
      </c>
      <c r="O43" s="496" t="n">
        <v>10576.65</v>
      </c>
      <c r="P43" s="496" t="n">
        <v>0</v>
      </c>
      <c r="Q43" s="1099" t="n">
        <v>7.35E-018</v>
      </c>
      <c r="R43" s="1099" t="n">
        <v>7.35E-018</v>
      </c>
      <c r="S43" s="1099" t="n">
        <v>1.17E-020</v>
      </c>
      <c r="T43" s="1099" t="n">
        <v>1.17E-020</v>
      </c>
      <c r="U43" s="496" t="n">
        <v>18.74381</v>
      </c>
      <c r="V43" s="1099" t="n">
        <v>0.000494</v>
      </c>
      <c r="W43" s="1099" t="n">
        <v>0.000494</v>
      </c>
      <c r="X43" s="1099" t="n">
        <v>0.000494</v>
      </c>
      <c r="Y43" s="1099" t="n">
        <v>0.000494</v>
      </c>
      <c r="Z43" s="1099" t="n">
        <v>0.000494</v>
      </c>
      <c r="AA43" s="496" t="n">
        <v>10576.65</v>
      </c>
      <c r="AB43" s="496" t="n">
        <v>19.85611</v>
      </c>
      <c r="AC43" s="496" t="n">
        <v>10596.51</v>
      </c>
      <c r="AD43" s="496" t="n">
        <v>0.1378784</v>
      </c>
      <c r="AE43" s="496" t="n">
        <v>0.1378784</v>
      </c>
      <c r="AF43" s="1099" t="n">
        <v>0.00133</v>
      </c>
      <c r="AG43" s="1099" t="n">
        <v>0.00133</v>
      </c>
      <c r="AH43" s="496" t="n">
        <v>0.1166612</v>
      </c>
      <c r="AI43" s="496" t="n">
        <v>0.1166612</v>
      </c>
      <c r="AJ43" s="496" t="n">
        <v>0.1166612</v>
      </c>
      <c r="AK43" s="496" t="n">
        <v>0.1166612</v>
      </c>
      <c r="AL43" s="496" t="n">
        <v>0.1166612</v>
      </c>
      <c r="AM43" s="496" t="n">
        <v>0.1166612</v>
      </c>
      <c r="AN43" s="496" t="n">
        <v>0.1914614</v>
      </c>
      <c r="AO43" s="496" t="n">
        <v>0.1914614</v>
      </c>
      <c r="AP43" s="496" t="n">
        <v>0</v>
      </c>
      <c r="AQ43" s="496" t="n">
        <v>0</v>
      </c>
      <c r="AR43" s="496" t="n">
        <v>0.19439</v>
      </c>
      <c r="AS43" s="496" t="n">
        <v>0.19439</v>
      </c>
      <c r="AT43" s="496" t="n">
        <v>0.1995494</v>
      </c>
      <c r="AU43" s="496" t="n">
        <v>0.1995494</v>
      </c>
      <c r="AV43" s="1099" t="n">
        <v>0.00234</v>
      </c>
      <c r="AW43" s="1099" t="n">
        <v>0.00234</v>
      </c>
      <c r="AX43" s="496" t="n">
        <v>10595.4</v>
      </c>
      <c r="AY43" s="496" t="n">
        <v>10595.4</v>
      </c>
      <c r="AZ43" s="496" t="n">
        <v>10595.4</v>
      </c>
      <c r="BA43" s="496" t="n">
        <v>10595.4</v>
      </c>
      <c r="BB43" s="496" t="n">
        <v>19.85611</v>
      </c>
      <c r="BC43" s="496" t="n">
        <v>10595.4</v>
      </c>
      <c r="BD43" s="496" t="n">
        <v>1.1123</v>
      </c>
      <c r="BE43" s="496" t="n">
        <v>5810.195</v>
      </c>
      <c r="BF43" s="1099" t="n">
        <v>0.00756</v>
      </c>
      <c r="BG43" s="1099" t="n">
        <v>0.00756</v>
      </c>
      <c r="BH43" s="496" t="n">
        <v>10596.51</v>
      </c>
      <c r="BI43" s="496" t="n">
        <v>21193.02</v>
      </c>
      <c r="BJ43" s="496" t="n">
        <v>21171.2</v>
      </c>
      <c r="BK43" s="496" t="n">
        <v>16405.59</v>
      </c>
      <c r="BL43" s="496" t="n">
        <v>28.55291</v>
      </c>
      <c r="BM43" s="496" t="n">
        <v>10567.96</v>
      </c>
      <c r="BN43" s="1099" t="n">
        <v>7.35E-018</v>
      </c>
      <c r="BO43" s="496" t="n">
        <v>28.55291</v>
      </c>
      <c r="BP43" s="496" t="n">
        <v>8.655728</v>
      </c>
      <c r="BQ43" s="1099" t="n">
        <v>1.44E-017</v>
      </c>
      <c r="BR43" s="1099" t="n">
        <v>2.37E-014</v>
      </c>
      <c r="BS43" s="496" t="n">
        <v>170.5395</v>
      </c>
      <c r="BT43" s="496" t="n">
        <v>32.41975</v>
      </c>
      <c r="BU43" s="496" t="n">
        <v>0</v>
      </c>
      <c r="BV43" s="496" t="n">
        <v>10576.65</v>
      </c>
      <c r="BW43" s="496" t="n">
        <v>0</v>
      </c>
      <c r="BX43" s="496" t="n">
        <v>19.85611</v>
      </c>
      <c r="BY43" s="496" t="n">
        <v>0</v>
      </c>
      <c r="BZ43" s="496" t="n">
        <v>10567.96</v>
      </c>
      <c r="CA43" s="496" t="n">
        <v>0</v>
      </c>
      <c r="CB43" s="496" t="n">
        <v>10595.4</v>
      </c>
      <c r="CC43" s="496" t="n">
        <v>10595.4</v>
      </c>
      <c r="CD43" s="496" t="n">
        <v>10595.4</v>
      </c>
      <c r="CE43" s="496" t="n">
        <v>10576.65</v>
      </c>
      <c r="CF43" s="496" t="n">
        <v>10576.65</v>
      </c>
      <c r="CG43" s="496" t="n">
        <v>19.85611</v>
      </c>
      <c r="CH43" s="496" t="n">
        <v>19.85611</v>
      </c>
      <c r="CI43" s="496" t="n">
        <v>10595.4</v>
      </c>
      <c r="CJ43" s="496" t="n">
        <v>10595.4</v>
      </c>
      <c r="CK43" s="496" t="n">
        <v>10595.4</v>
      </c>
      <c r="CL43" s="496" t="n">
        <v>10595.4</v>
      </c>
      <c r="CM43" s="496" t="n">
        <v>10595.4</v>
      </c>
      <c r="CN43" s="496" t="n">
        <v>10595.4</v>
      </c>
      <c r="CO43" s="496" t="n">
        <v>21171.2</v>
      </c>
      <c r="CP43" s="496" t="n">
        <v>21171.2</v>
      </c>
      <c r="CQ43" s="496" t="n">
        <v>0</v>
      </c>
      <c r="CR43" s="496" t="n">
        <v>0</v>
      </c>
      <c r="CS43" s="496" t="n">
        <v>21193.02</v>
      </c>
      <c r="CT43" s="496" t="n">
        <v>21193.02</v>
      </c>
      <c r="CU43" s="496" t="n">
        <v>10567.96</v>
      </c>
      <c r="CV43" s="496" t="n">
        <v>10567.96</v>
      </c>
      <c r="CW43" s="496" t="n">
        <v>10567.96</v>
      </c>
      <c r="CX43" s="496" t="n">
        <v>10567.96</v>
      </c>
      <c r="CY43" s="496" t="n">
        <v>32.41975</v>
      </c>
      <c r="CZ43" s="496" t="n">
        <v>32.41975</v>
      </c>
      <c r="DA43" s="496" t="n">
        <v>0</v>
      </c>
      <c r="DB43" s="496" t="n">
        <v>0</v>
      </c>
      <c r="DC43" s="496" t="n">
        <v>0.1995494</v>
      </c>
      <c r="DD43" s="496" t="n">
        <v>0.1995494</v>
      </c>
      <c r="DE43" s="496" t="n">
        <v>0</v>
      </c>
      <c r="DF43" s="496" t="n">
        <v>0</v>
      </c>
    </row>
    <row r="44" customFormat="false" ht="15" hidden="false" customHeight="false" outlineLevel="0" collapsed="false">
      <c r="A44" s="496" t="s">
        <v>1990</v>
      </c>
      <c r="B44" s="496" t="n">
        <v>0</v>
      </c>
      <c r="C44" s="496" t="n">
        <v>0</v>
      </c>
      <c r="D44" s="496" t="n">
        <v>0</v>
      </c>
      <c r="E44" s="496" t="n">
        <v>0</v>
      </c>
      <c r="F44" s="496" t="n">
        <v>0</v>
      </c>
      <c r="G44" s="496" t="n">
        <v>0</v>
      </c>
      <c r="H44" s="496" t="n">
        <v>0</v>
      </c>
      <c r="I44" s="496" t="n">
        <v>0</v>
      </c>
      <c r="J44" s="496" t="n">
        <v>0</v>
      </c>
      <c r="K44" s="496" t="n">
        <v>0</v>
      </c>
      <c r="L44" s="496" t="n">
        <v>0</v>
      </c>
      <c r="M44" s="496" t="n">
        <v>0</v>
      </c>
      <c r="N44" s="496" t="n">
        <v>0</v>
      </c>
      <c r="O44" s="496" t="n">
        <v>0</v>
      </c>
      <c r="P44" s="496" t="n">
        <v>0</v>
      </c>
      <c r="Q44" s="496" t="n">
        <v>0</v>
      </c>
      <c r="R44" s="496" t="n">
        <v>0</v>
      </c>
      <c r="S44" s="496" t="n">
        <v>0</v>
      </c>
      <c r="T44" s="496" t="n">
        <v>0</v>
      </c>
      <c r="U44" s="496" t="n">
        <v>0</v>
      </c>
      <c r="V44" s="496" t="n">
        <v>0</v>
      </c>
      <c r="W44" s="496" t="n">
        <v>0</v>
      </c>
      <c r="X44" s="496" t="n">
        <v>0</v>
      </c>
      <c r="Y44" s="496" t="n">
        <v>0</v>
      </c>
      <c r="Z44" s="496" t="n">
        <v>0</v>
      </c>
      <c r="AA44" s="496" t="n">
        <v>0</v>
      </c>
      <c r="AB44" s="496" t="n">
        <v>0</v>
      </c>
      <c r="AC44" s="496" t="n">
        <v>0</v>
      </c>
      <c r="AD44" s="496" t="n">
        <v>0</v>
      </c>
      <c r="AE44" s="496" t="n">
        <v>0</v>
      </c>
      <c r="AF44" s="496" t="n">
        <v>0</v>
      </c>
      <c r="AG44" s="496" t="n">
        <v>0</v>
      </c>
      <c r="AH44" s="496" t="n">
        <v>0</v>
      </c>
      <c r="AI44" s="496" t="n">
        <v>0</v>
      </c>
      <c r="AJ44" s="496" t="n">
        <v>0</v>
      </c>
      <c r="AK44" s="496" t="n">
        <v>0</v>
      </c>
      <c r="AL44" s="496" t="n">
        <v>0</v>
      </c>
      <c r="AM44" s="496" t="n">
        <v>0</v>
      </c>
      <c r="AN44" s="496" t="n">
        <v>0</v>
      </c>
      <c r="AO44" s="496" t="n">
        <v>0</v>
      </c>
      <c r="AP44" s="496" t="n">
        <v>0</v>
      </c>
      <c r="AQ44" s="496" t="n">
        <v>0</v>
      </c>
      <c r="AR44" s="496" t="n">
        <v>0</v>
      </c>
      <c r="AS44" s="496" t="n">
        <v>0</v>
      </c>
      <c r="AT44" s="496" t="n">
        <v>0</v>
      </c>
      <c r="AU44" s="496" t="n">
        <v>0</v>
      </c>
      <c r="AV44" s="496" t="n">
        <v>0</v>
      </c>
      <c r="AW44" s="496" t="n">
        <v>0</v>
      </c>
      <c r="AX44" s="496" t="n">
        <v>0</v>
      </c>
      <c r="AY44" s="496" t="n">
        <v>0</v>
      </c>
      <c r="AZ44" s="496" t="n">
        <v>0</v>
      </c>
      <c r="BA44" s="496" t="n">
        <v>0</v>
      </c>
      <c r="BB44" s="496" t="n">
        <v>0</v>
      </c>
      <c r="BC44" s="496" t="n">
        <v>0</v>
      </c>
      <c r="BD44" s="496" t="n">
        <v>0</v>
      </c>
      <c r="BE44" s="496" t="n">
        <v>0</v>
      </c>
      <c r="BF44" s="496" t="n">
        <v>0</v>
      </c>
      <c r="BG44" s="496" t="n">
        <v>0</v>
      </c>
      <c r="BH44" s="496" t="n">
        <v>0</v>
      </c>
      <c r="BI44" s="496" t="n">
        <v>0</v>
      </c>
      <c r="BJ44" s="496" t="n">
        <v>0</v>
      </c>
      <c r="BK44" s="496" t="n">
        <v>0</v>
      </c>
      <c r="BL44" s="496" t="n">
        <v>0</v>
      </c>
      <c r="BM44" s="496" t="n">
        <v>0</v>
      </c>
      <c r="BN44" s="496" t="n">
        <v>0</v>
      </c>
      <c r="BO44" s="496" t="n">
        <v>0</v>
      </c>
      <c r="BP44" s="496" t="n">
        <v>0</v>
      </c>
      <c r="BQ44" s="496" t="n">
        <v>0</v>
      </c>
      <c r="BR44" s="496" t="n">
        <v>0</v>
      </c>
      <c r="BS44" s="496" t="n">
        <v>0</v>
      </c>
      <c r="BT44" s="496" t="n">
        <v>0</v>
      </c>
      <c r="BU44" s="496" t="n">
        <v>0</v>
      </c>
      <c r="BV44" s="496" t="n">
        <v>0</v>
      </c>
      <c r="BW44" s="496" t="n">
        <v>0</v>
      </c>
      <c r="BX44" s="496" t="n">
        <v>0</v>
      </c>
      <c r="BY44" s="496" t="n">
        <v>0</v>
      </c>
      <c r="BZ44" s="496" t="n">
        <v>0</v>
      </c>
      <c r="CA44" s="496" t="n">
        <v>0</v>
      </c>
      <c r="CB44" s="496" t="n">
        <v>0</v>
      </c>
      <c r="CC44" s="496" t="n">
        <v>0</v>
      </c>
      <c r="CD44" s="496" t="n">
        <v>0</v>
      </c>
      <c r="CE44" s="496" t="n">
        <v>0</v>
      </c>
      <c r="CF44" s="496" t="n">
        <v>0</v>
      </c>
      <c r="CG44" s="496" t="n">
        <v>0</v>
      </c>
      <c r="CH44" s="496" t="n">
        <v>0</v>
      </c>
      <c r="CI44" s="496" t="n">
        <v>0</v>
      </c>
      <c r="CJ44" s="496" t="n">
        <v>0</v>
      </c>
      <c r="CK44" s="496" t="n">
        <v>0</v>
      </c>
      <c r="CL44" s="496" t="n">
        <v>0</v>
      </c>
      <c r="CM44" s="496" t="n">
        <v>0</v>
      </c>
      <c r="CN44" s="496" t="n">
        <v>0</v>
      </c>
      <c r="CO44" s="496" t="n">
        <v>0</v>
      </c>
      <c r="CP44" s="496" t="n">
        <v>0</v>
      </c>
      <c r="CQ44" s="496" t="n">
        <v>0</v>
      </c>
      <c r="CR44" s="496" t="n">
        <v>0</v>
      </c>
      <c r="CS44" s="496" t="n">
        <v>0</v>
      </c>
      <c r="CT44" s="496" t="n">
        <v>0</v>
      </c>
      <c r="CU44" s="496" t="n">
        <v>0</v>
      </c>
      <c r="CV44" s="496" t="n">
        <v>0</v>
      </c>
      <c r="CW44" s="496" t="n">
        <v>0</v>
      </c>
      <c r="CX44" s="496" t="n">
        <v>0</v>
      </c>
      <c r="CY44" s="496" t="n">
        <v>0</v>
      </c>
      <c r="CZ44" s="496" t="n">
        <v>0</v>
      </c>
      <c r="DA44" s="496" t="n">
        <v>0</v>
      </c>
      <c r="DB44" s="496" t="n">
        <v>0</v>
      </c>
      <c r="DC44" s="496" t="n">
        <v>0</v>
      </c>
      <c r="DD44" s="496" t="n">
        <v>0</v>
      </c>
      <c r="DE44" s="496" t="n">
        <v>0</v>
      </c>
      <c r="DF44" s="496" t="n">
        <v>0</v>
      </c>
    </row>
    <row r="45" customFormat="false" ht="15" hidden="false" customHeight="false" outlineLevel="0" collapsed="false">
      <c r="A45" s="496" t="s">
        <v>1991</v>
      </c>
      <c r="B45" s="496" t="n">
        <v>0</v>
      </c>
      <c r="C45" s="496" t="n">
        <v>0</v>
      </c>
      <c r="D45" s="496" t="n">
        <v>0</v>
      </c>
      <c r="E45" s="496" t="n">
        <v>0</v>
      </c>
      <c r="F45" s="496" t="n">
        <v>0</v>
      </c>
      <c r="G45" s="496" t="n">
        <v>0</v>
      </c>
      <c r="H45" s="496" t="n">
        <v>0</v>
      </c>
      <c r="I45" s="496" t="n">
        <v>0</v>
      </c>
      <c r="J45" s="496" t="n">
        <v>0</v>
      </c>
      <c r="K45" s="496" t="n">
        <v>0</v>
      </c>
      <c r="L45" s="496" t="n">
        <v>0</v>
      </c>
      <c r="M45" s="496" t="n">
        <v>0</v>
      </c>
      <c r="N45" s="496" t="n">
        <v>0</v>
      </c>
      <c r="O45" s="496" t="n">
        <v>0</v>
      </c>
      <c r="P45" s="496" t="n">
        <v>0</v>
      </c>
      <c r="Q45" s="496" t="n">
        <v>0</v>
      </c>
      <c r="R45" s="496" t="n">
        <v>0</v>
      </c>
      <c r="S45" s="496" t="n">
        <v>0</v>
      </c>
      <c r="T45" s="496" t="n">
        <v>0</v>
      </c>
      <c r="U45" s="496" t="n">
        <v>0</v>
      </c>
      <c r="V45" s="496" t="n">
        <v>0</v>
      </c>
      <c r="W45" s="496" t="n">
        <v>0</v>
      </c>
      <c r="X45" s="496" t="n">
        <v>0</v>
      </c>
      <c r="Y45" s="496" t="n">
        <v>0</v>
      </c>
      <c r="Z45" s="496" t="n">
        <v>0</v>
      </c>
      <c r="AA45" s="496" t="n">
        <v>0</v>
      </c>
      <c r="AB45" s="496" t="n">
        <v>0</v>
      </c>
      <c r="AC45" s="496" t="n">
        <v>0</v>
      </c>
      <c r="AD45" s="496" t="n">
        <v>0</v>
      </c>
      <c r="AE45" s="496" t="n">
        <v>0</v>
      </c>
      <c r="AF45" s="496" t="n">
        <v>0</v>
      </c>
      <c r="AG45" s="496" t="n">
        <v>0</v>
      </c>
      <c r="AH45" s="496" t="n">
        <v>0</v>
      </c>
      <c r="AI45" s="496" t="n">
        <v>0</v>
      </c>
      <c r="AJ45" s="496" t="n">
        <v>0</v>
      </c>
      <c r="AK45" s="496" t="n">
        <v>0</v>
      </c>
      <c r="AL45" s="496" t="n">
        <v>0</v>
      </c>
      <c r="AM45" s="496" t="n">
        <v>0</v>
      </c>
      <c r="AN45" s="496" t="n">
        <v>0</v>
      </c>
      <c r="AO45" s="496" t="n">
        <v>0</v>
      </c>
      <c r="AP45" s="496" t="n">
        <v>0</v>
      </c>
      <c r="AQ45" s="496" t="n">
        <v>0</v>
      </c>
      <c r="AR45" s="496" t="n">
        <v>0</v>
      </c>
      <c r="AS45" s="496" t="n">
        <v>0</v>
      </c>
      <c r="AT45" s="496" t="n">
        <v>0</v>
      </c>
      <c r="AU45" s="496" t="n">
        <v>0</v>
      </c>
      <c r="AV45" s="496" t="n">
        <v>0</v>
      </c>
      <c r="AW45" s="496" t="n">
        <v>0</v>
      </c>
      <c r="AX45" s="496" t="n">
        <v>0</v>
      </c>
      <c r="AY45" s="496" t="n">
        <v>0</v>
      </c>
      <c r="AZ45" s="496" t="n">
        <v>0</v>
      </c>
      <c r="BA45" s="496" t="n">
        <v>0</v>
      </c>
      <c r="BB45" s="496" t="n">
        <v>0</v>
      </c>
      <c r="BC45" s="496" t="n">
        <v>0</v>
      </c>
      <c r="BD45" s="496" t="n">
        <v>0</v>
      </c>
      <c r="BE45" s="496" t="n">
        <v>0</v>
      </c>
      <c r="BF45" s="496" t="n">
        <v>0</v>
      </c>
      <c r="BG45" s="496" t="n">
        <v>0</v>
      </c>
      <c r="BH45" s="496" t="n">
        <v>0</v>
      </c>
      <c r="BI45" s="496" t="n">
        <v>0</v>
      </c>
      <c r="BJ45" s="496" t="n">
        <v>0</v>
      </c>
      <c r="BK45" s="496" t="n">
        <v>0</v>
      </c>
      <c r="BL45" s="496" t="n">
        <v>0</v>
      </c>
      <c r="BM45" s="496" t="n">
        <v>0</v>
      </c>
      <c r="BN45" s="496" t="n">
        <v>0</v>
      </c>
      <c r="BO45" s="496" t="n">
        <v>0</v>
      </c>
      <c r="BP45" s="496" t="n">
        <v>0</v>
      </c>
      <c r="BQ45" s="496" t="n">
        <v>0</v>
      </c>
      <c r="BR45" s="496" t="n">
        <v>0</v>
      </c>
      <c r="BS45" s="496" t="n">
        <v>0</v>
      </c>
      <c r="BT45" s="496" t="n">
        <v>0</v>
      </c>
      <c r="BU45" s="496" t="n">
        <v>0</v>
      </c>
      <c r="BV45" s="496" t="n">
        <v>0</v>
      </c>
      <c r="BW45" s="496" t="n">
        <v>0</v>
      </c>
      <c r="BX45" s="496" t="n">
        <v>0</v>
      </c>
      <c r="BY45" s="496" t="n">
        <v>0</v>
      </c>
      <c r="BZ45" s="496" t="n">
        <v>0</v>
      </c>
      <c r="CA45" s="496" t="n">
        <v>0</v>
      </c>
      <c r="CB45" s="496" t="n">
        <v>0</v>
      </c>
      <c r="CC45" s="496" t="n">
        <v>0</v>
      </c>
      <c r="CD45" s="496" t="n">
        <v>0</v>
      </c>
      <c r="CE45" s="496" t="n">
        <v>0</v>
      </c>
      <c r="CF45" s="496" t="n">
        <v>0</v>
      </c>
      <c r="CG45" s="496" t="n">
        <v>0</v>
      </c>
      <c r="CH45" s="496" t="n">
        <v>0</v>
      </c>
      <c r="CI45" s="496" t="n">
        <v>0</v>
      </c>
      <c r="CJ45" s="496" t="n">
        <v>0</v>
      </c>
      <c r="CK45" s="496" t="n">
        <v>0</v>
      </c>
      <c r="CL45" s="496" t="n">
        <v>0</v>
      </c>
      <c r="CM45" s="496" t="n">
        <v>0</v>
      </c>
      <c r="CN45" s="496" t="n">
        <v>0</v>
      </c>
      <c r="CO45" s="496" t="n">
        <v>0</v>
      </c>
      <c r="CP45" s="496" t="n">
        <v>0</v>
      </c>
      <c r="CQ45" s="496" t="n">
        <v>0</v>
      </c>
      <c r="CR45" s="496" t="n">
        <v>0</v>
      </c>
      <c r="CS45" s="496" t="n">
        <v>0</v>
      </c>
      <c r="CT45" s="496" t="n">
        <v>0</v>
      </c>
      <c r="CU45" s="496" t="n">
        <v>0</v>
      </c>
      <c r="CV45" s="496" t="n">
        <v>0</v>
      </c>
      <c r="CW45" s="496" t="n">
        <v>0</v>
      </c>
      <c r="CX45" s="496" t="n">
        <v>0</v>
      </c>
      <c r="CY45" s="496" t="n">
        <v>0</v>
      </c>
      <c r="CZ45" s="496" t="n">
        <v>0</v>
      </c>
      <c r="DA45" s="496" t="n">
        <v>0</v>
      </c>
      <c r="DB45" s="496" t="n">
        <v>0</v>
      </c>
      <c r="DC45" s="496" t="n">
        <v>0</v>
      </c>
      <c r="DD45" s="496" t="n">
        <v>0</v>
      </c>
      <c r="DE45" s="496" t="n">
        <v>0</v>
      </c>
      <c r="DF45" s="496" t="n">
        <v>0</v>
      </c>
    </row>
    <row r="46" customFormat="false" ht="15" hidden="false" customHeight="false" outlineLevel="0" collapsed="false">
      <c r="A46" s="496" t="s">
        <v>1992</v>
      </c>
      <c r="B46" s="496" t="n">
        <v>425.6358</v>
      </c>
      <c r="C46" s="496" t="n">
        <v>425.6352</v>
      </c>
      <c r="D46" s="496" t="n">
        <v>22.52826</v>
      </c>
      <c r="E46" s="496" t="n">
        <v>11.2569</v>
      </c>
      <c r="F46" s="1099" t="n">
        <v>0.006</v>
      </c>
      <c r="G46" s="496" t="n">
        <v>0</v>
      </c>
      <c r="H46" s="496" t="n">
        <v>425.6358</v>
      </c>
      <c r="I46" s="496" t="n">
        <v>11.26413</v>
      </c>
      <c r="J46" s="496" t="n">
        <v>0.050023</v>
      </c>
      <c r="K46" s="496" t="n">
        <v>0.050023</v>
      </c>
      <c r="L46" s="496" t="n">
        <v>425.6358</v>
      </c>
      <c r="M46" s="496" t="n">
        <v>0</v>
      </c>
      <c r="N46" s="496" t="n">
        <v>0</v>
      </c>
      <c r="O46" s="496" t="n">
        <v>425.6304</v>
      </c>
      <c r="P46" s="496" t="n">
        <v>0</v>
      </c>
      <c r="Q46" s="1099" t="n">
        <v>1.29E-022</v>
      </c>
      <c r="R46" s="1099" t="n">
        <v>1.29E-022</v>
      </c>
      <c r="S46" s="1099" t="n">
        <v>4.13E-017</v>
      </c>
      <c r="T46" s="1099" t="n">
        <v>4.13E-017</v>
      </c>
      <c r="U46" s="1099" t="n">
        <v>0.00537</v>
      </c>
      <c r="V46" s="496" t="n">
        <v>414.372</v>
      </c>
      <c r="W46" s="496" t="n">
        <v>414.372</v>
      </c>
      <c r="X46" s="496" t="n">
        <v>414.372</v>
      </c>
      <c r="Y46" s="496" t="n">
        <v>414.372</v>
      </c>
      <c r="Z46" s="496" t="n">
        <v>414.372</v>
      </c>
      <c r="AA46" s="496" t="n">
        <v>425.6304</v>
      </c>
      <c r="AB46" s="1099" t="n">
        <v>0.00569</v>
      </c>
      <c r="AC46" s="496" t="n">
        <v>11.26413</v>
      </c>
      <c r="AD46" s="1099" t="n">
        <v>0.00555</v>
      </c>
      <c r="AE46" s="1099" t="n">
        <v>0.00555</v>
      </c>
      <c r="AF46" s="1099" t="n">
        <v>3.81E-007</v>
      </c>
      <c r="AG46" s="1099" t="n">
        <v>3.81E-007</v>
      </c>
      <c r="AH46" s="1099" t="n">
        <v>0.00469</v>
      </c>
      <c r="AI46" s="1099" t="n">
        <v>0.00469</v>
      </c>
      <c r="AJ46" s="1099" t="n">
        <v>0.00469</v>
      </c>
      <c r="AK46" s="1099" t="n">
        <v>0.00469</v>
      </c>
      <c r="AL46" s="1099" t="n">
        <v>0.00469</v>
      </c>
      <c r="AM46" s="1099" t="n">
        <v>0.00469</v>
      </c>
      <c r="AN46" s="1099" t="n">
        <v>0.000433</v>
      </c>
      <c r="AO46" s="1099" t="n">
        <v>0.000433</v>
      </c>
      <c r="AP46" s="496" t="n">
        <v>0</v>
      </c>
      <c r="AQ46" s="496" t="n">
        <v>0</v>
      </c>
      <c r="AR46" s="1099" t="n">
        <v>0.000207</v>
      </c>
      <c r="AS46" s="1099" t="n">
        <v>0.000207</v>
      </c>
      <c r="AT46" s="1099" t="n">
        <v>0.000213</v>
      </c>
      <c r="AU46" s="1099" t="n">
        <v>0.000213</v>
      </c>
      <c r="AV46" s="1099" t="n">
        <v>6.65E-007</v>
      </c>
      <c r="AW46" s="1099" t="n">
        <v>6.65E-007</v>
      </c>
      <c r="AX46" s="496" t="n">
        <v>425.6358</v>
      </c>
      <c r="AY46" s="496" t="n">
        <v>425.6358</v>
      </c>
      <c r="AZ46" s="496" t="n">
        <v>425.6358</v>
      </c>
      <c r="BA46" s="496" t="n">
        <v>425.6358</v>
      </c>
      <c r="BB46" s="1099" t="n">
        <v>0.00569</v>
      </c>
      <c r="BC46" s="496" t="n">
        <v>425.6358</v>
      </c>
      <c r="BD46" s="1099" t="n">
        <v>0.000319</v>
      </c>
      <c r="BE46" s="496" t="n">
        <v>6849.006</v>
      </c>
      <c r="BF46" s="496" t="n">
        <v>6344.49</v>
      </c>
      <c r="BG46" s="496" t="n">
        <v>6344.49</v>
      </c>
      <c r="BH46" s="496" t="n">
        <v>11.26413</v>
      </c>
      <c r="BI46" s="496" t="n">
        <v>22.52826</v>
      </c>
      <c r="BJ46" s="496" t="n">
        <v>47.84095</v>
      </c>
      <c r="BK46" s="496" t="n">
        <v>6860.27</v>
      </c>
      <c r="BL46" s="1099" t="n">
        <v>0.00723</v>
      </c>
      <c r="BM46" s="496" t="n">
        <v>11.2569</v>
      </c>
      <c r="BN46" s="1099" t="n">
        <v>1.29E-022</v>
      </c>
      <c r="BO46" s="1099" t="n">
        <v>0.00723</v>
      </c>
      <c r="BP46" s="1099" t="n">
        <v>0.00124</v>
      </c>
      <c r="BQ46" s="1099" t="n">
        <v>2.53E-022</v>
      </c>
      <c r="BR46" s="1099" t="n">
        <v>8.27E-019</v>
      </c>
      <c r="BS46" s="496" t="n">
        <v>0.050023</v>
      </c>
      <c r="BT46" s="1099" t="n">
        <v>0.00919</v>
      </c>
      <c r="BU46" s="496" t="n">
        <v>0</v>
      </c>
      <c r="BV46" s="496" t="n">
        <v>425.6304</v>
      </c>
      <c r="BW46" s="496" t="n">
        <v>0</v>
      </c>
      <c r="BX46" s="1099" t="n">
        <v>0.00569</v>
      </c>
      <c r="BY46" s="496" t="n">
        <v>0</v>
      </c>
      <c r="BZ46" s="496" t="n">
        <v>11.2569</v>
      </c>
      <c r="CA46" s="496" t="n">
        <v>0</v>
      </c>
      <c r="CB46" s="496" t="n">
        <v>425.6358</v>
      </c>
      <c r="CC46" s="496" t="n">
        <v>425.6352</v>
      </c>
      <c r="CD46" s="496" t="n">
        <v>425.6358</v>
      </c>
      <c r="CE46" s="496" t="n">
        <v>425.6304</v>
      </c>
      <c r="CF46" s="496" t="n">
        <v>425.6304</v>
      </c>
      <c r="CG46" s="1099" t="n">
        <v>0.00569</v>
      </c>
      <c r="CH46" s="1099" t="n">
        <v>0.00569</v>
      </c>
      <c r="CI46" s="496" t="n">
        <v>425.6358</v>
      </c>
      <c r="CJ46" s="496" t="n">
        <v>425.6358</v>
      </c>
      <c r="CK46" s="496" t="n">
        <v>425.6358</v>
      </c>
      <c r="CL46" s="496" t="n">
        <v>425.6358</v>
      </c>
      <c r="CM46" s="496" t="n">
        <v>425.6358</v>
      </c>
      <c r="CN46" s="496" t="n">
        <v>425.6358</v>
      </c>
      <c r="CO46" s="496" t="n">
        <v>47.84095</v>
      </c>
      <c r="CP46" s="496" t="n">
        <v>47.84095</v>
      </c>
      <c r="CQ46" s="496" t="n">
        <v>0</v>
      </c>
      <c r="CR46" s="496" t="n">
        <v>0</v>
      </c>
      <c r="CS46" s="496" t="n">
        <v>22.52826</v>
      </c>
      <c r="CT46" s="496" t="n">
        <v>22.52826</v>
      </c>
      <c r="CU46" s="496" t="n">
        <v>11.2569</v>
      </c>
      <c r="CV46" s="496" t="n">
        <v>11.2569</v>
      </c>
      <c r="CW46" s="496" t="n">
        <v>11.2569</v>
      </c>
      <c r="CX46" s="496" t="n">
        <v>11.2569</v>
      </c>
      <c r="CY46" s="1099" t="n">
        <v>0.00919</v>
      </c>
      <c r="CZ46" s="1099" t="n">
        <v>0.00919</v>
      </c>
      <c r="DA46" s="496" t="n">
        <v>0</v>
      </c>
      <c r="DB46" s="496" t="n">
        <v>0</v>
      </c>
      <c r="DC46" s="1099" t="n">
        <v>0.000213</v>
      </c>
      <c r="DD46" s="1099" t="n">
        <v>0.000213</v>
      </c>
      <c r="DE46" s="496" t="n">
        <v>0</v>
      </c>
      <c r="DF46" s="496" t="n">
        <v>0</v>
      </c>
    </row>
    <row r="47" customFormat="false" ht="15" hidden="false" customHeight="false" outlineLevel="0" collapsed="false">
      <c r="A47" s="496" t="s">
        <v>1993</v>
      </c>
      <c r="B47" s="496" t="n">
        <v>27566.71</v>
      </c>
      <c r="C47" s="496" t="n">
        <v>33888.93</v>
      </c>
      <c r="D47" s="496" t="n">
        <v>4.361855</v>
      </c>
      <c r="E47" s="496" t="n">
        <v>2.158235</v>
      </c>
      <c r="F47" s="496" t="n">
        <v>0.0221171</v>
      </c>
      <c r="G47" s="496" t="n">
        <v>0</v>
      </c>
      <c r="H47" s="496" t="n">
        <v>0.0206759</v>
      </c>
      <c r="I47" s="496" t="n">
        <v>2.180928</v>
      </c>
      <c r="J47" s="496" t="n">
        <v>0.1805214</v>
      </c>
      <c r="K47" s="496" t="n">
        <v>0.1805214</v>
      </c>
      <c r="L47" s="496" t="n">
        <v>27566.7</v>
      </c>
      <c r="M47" s="496" t="n">
        <v>0</v>
      </c>
      <c r="N47" s="496" t="n">
        <v>0</v>
      </c>
      <c r="O47" s="496" t="n">
        <v>0</v>
      </c>
      <c r="P47" s="496" t="n">
        <v>0</v>
      </c>
      <c r="Q47" s="1099" t="n">
        <v>3.57E-023</v>
      </c>
      <c r="R47" s="1099" t="n">
        <v>3.57E-023</v>
      </c>
      <c r="S47" s="1099" t="n">
        <v>5.12E-026</v>
      </c>
      <c r="T47" s="1099" t="n">
        <v>5.12E-026</v>
      </c>
      <c r="U47" s="496" t="n">
        <v>0.0206759</v>
      </c>
      <c r="V47" s="496" t="n">
        <v>36692</v>
      </c>
      <c r="W47" s="496" t="n">
        <v>36692</v>
      </c>
      <c r="X47" s="496" t="n">
        <v>36692</v>
      </c>
      <c r="Y47" s="496" t="n">
        <v>36692</v>
      </c>
      <c r="Z47" s="496" t="n">
        <v>36692</v>
      </c>
      <c r="AA47" s="496" t="n">
        <v>0</v>
      </c>
      <c r="AB47" s="496" t="n">
        <v>0.0219029</v>
      </c>
      <c r="AC47" s="496" t="n">
        <v>2.180928</v>
      </c>
      <c r="AD47" s="496" t="n">
        <v>0</v>
      </c>
      <c r="AE47" s="496" t="n">
        <v>0</v>
      </c>
      <c r="AF47" s="1099" t="n">
        <v>1.47E-006</v>
      </c>
      <c r="AG47" s="1099" t="n">
        <v>1.47E-006</v>
      </c>
      <c r="AH47" s="496" t="n">
        <v>0.3035246</v>
      </c>
      <c r="AI47" s="496" t="n">
        <v>0.3035246</v>
      </c>
      <c r="AJ47" s="496" t="n">
        <v>0.3035246</v>
      </c>
      <c r="AK47" s="496" t="n">
        <v>0.3035246</v>
      </c>
      <c r="AL47" s="496" t="n">
        <v>0.3731357</v>
      </c>
      <c r="AM47" s="496" t="n">
        <v>0.3731357</v>
      </c>
      <c r="AN47" s="1099" t="n">
        <v>0.000108</v>
      </c>
      <c r="AO47" s="1099" t="n">
        <v>0.000108</v>
      </c>
      <c r="AP47" s="496" t="n">
        <v>0</v>
      </c>
      <c r="AQ47" s="496" t="n">
        <v>0</v>
      </c>
      <c r="AR47" s="1099" t="n">
        <v>4E-005</v>
      </c>
      <c r="AS47" s="1099" t="n">
        <v>4E-005</v>
      </c>
      <c r="AT47" s="1099" t="n">
        <v>4.08E-005</v>
      </c>
      <c r="AU47" s="1099" t="n">
        <v>4.08E-005</v>
      </c>
      <c r="AV47" s="1099" t="n">
        <v>5.06E-006</v>
      </c>
      <c r="AW47" s="1099" t="n">
        <v>5.06E-006</v>
      </c>
      <c r="AX47" s="496" t="n">
        <v>27566.7</v>
      </c>
      <c r="AY47" s="496" t="n">
        <v>27566.7</v>
      </c>
      <c r="AZ47" s="496" t="n">
        <v>33888.92</v>
      </c>
      <c r="BA47" s="496" t="n">
        <v>0.0206759</v>
      </c>
      <c r="BB47" s="496" t="n">
        <v>0.0219029</v>
      </c>
      <c r="BC47" s="496" t="n">
        <v>33888.92</v>
      </c>
      <c r="BD47" s="1099" t="n">
        <v>0.00123</v>
      </c>
      <c r="BE47" s="496" t="n">
        <v>11663.97</v>
      </c>
      <c r="BF47" s="1099" t="n">
        <v>562000</v>
      </c>
      <c r="BG47" s="1099" t="n">
        <v>562000</v>
      </c>
      <c r="BH47" s="496" t="n">
        <v>2.180928</v>
      </c>
      <c r="BI47" s="496" t="n">
        <v>4.361855</v>
      </c>
      <c r="BJ47" s="496" t="n">
        <v>11.91325</v>
      </c>
      <c r="BK47" s="496" t="n">
        <v>8860.885</v>
      </c>
      <c r="BL47" s="496" t="n">
        <v>0.0226928</v>
      </c>
      <c r="BM47" s="496" t="n">
        <v>2.158235</v>
      </c>
      <c r="BN47" s="1099" t="n">
        <v>3.57E-023</v>
      </c>
      <c r="BO47" s="496" t="n">
        <v>0.0226928</v>
      </c>
      <c r="BP47" s="1099" t="n">
        <v>0.000576</v>
      </c>
      <c r="BQ47" s="1099" t="n">
        <v>6.99E-023</v>
      </c>
      <c r="BR47" s="1099" t="n">
        <v>1.68E-020</v>
      </c>
      <c r="BS47" s="496" t="n">
        <v>0.1805214</v>
      </c>
      <c r="BT47" s="496" t="n">
        <v>0.0699775</v>
      </c>
      <c r="BU47" s="496" t="n">
        <v>0</v>
      </c>
      <c r="BV47" s="496" t="n">
        <v>0</v>
      </c>
      <c r="BW47" s="496" t="n">
        <v>0</v>
      </c>
      <c r="BX47" s="496" t="n">
        <v>0.0219029</v>
      </c>
      <c r="BY47" s="496" t="n">
        <v>0</v>
      </c>
      <c r="BZ47" s="496" t="n">
        <v>2.158235</v>
      </c>
      <c r="CA47" s="496" t="n">
        <v>0</v>
      </c>
      <c r="CB47" s="496" t="n">
        <v>27566.7</v>
      </c>
      <c r="CC47" s="496" t="n">
        <v>27566.71</v>
      </c>
      <c r="CD47" s="496" t="n">
        <v>0.0206764</v>
      </c>
      <c r="CE47" s="496" t="n">
        <v>0</v>
      </c>
      <c r="CF47" s="496" t="n">
        <v>0</v>
      </c>
      <c r="CG47" s="496" t="n">
        <v>0.0219025</v>
      </c>
      <c r="CH47" s="496" t="n">
        <v>0.0219025</v>
      </c>
      <c r="CI47" s="496" t="n">
        <v>27566.7</v>
      </c>
      <c r="CJ47" s="496" t="n">
        <v>27566.7</v>
      </c>
      <c r="CK47" s="496" t="n">
        <v>27566.7</v>
      </c>
      <c r="CL47" s="496" t="n">
        <v>27566.7</v>
      </c>
      <c r="CM47" s="496" t="n">
        <v>33888.92</v>
      </c>
      <c r="CN47" s="496" t="n">
        <v>33888.92</v>
      </c>
      <c r="CO47" s="496" t="n">
        <v>11.91325</v>
      </c>
      <c r="CP47" s="496" t="n">
        <v>11.91325</v>
      </c>
      <c r="CQ47" s="496" t="n">
        <v>0</v>
      </c>
      <c r="CR47" s="496" t="n">
        <v>0</v>
      </c>
      <c r="CS47" s="496" t="n">
        <v>4.361855</v>
      </c>
      <c r="CT47" s="496" t="n">
        <v>4.361855</v>
      </c>
      <c r="CU47" s="496" t="n">
        <v>2.158235</v>
      </c>
      <c r="CV47" s="496" t="n">
        <v>2.158235</v>
      </c>
      <c r="CW47" s="496" t="n">
        <v>2.158235</v>
      </c>
      <c r="CX47" s="496" t="n">
        <v>2.158235</v>
      </c>
      <c r="CY47" s="496" t="n">
        <v>0.0699767</v>
      </c>
      <c r="CZ47" s="496" t="n">
        <v>0.0699767</v>
      </c>
      <c r="DA47" s="496" t="n">
        <v>0</v>
      </c>
      <c r="DB47" s="496" t="n">
        <v>0</v>
      </c>
      <c r="DC47" s="1099" t="n">
        <v>4.08E-005</v>
      </c>
      <c r="DD47" s="1099" t="n">
        <v>4.08E-005</v>
      </c>
      <c r="DE47" s="496" t="n">
        <v>0</v>
      </c>
      <c r="DF47" s="496" t="n">
        <v>0</v>
      </c>
    </row>
    <row r="48" customFormat="false" ht="15" hidden="false" customHeight="false" outlineLevel="0" collapsed="false">
      <c r="A48" s="496" t="s">
        <v>1994</v>
      </c>
      <c r="B48" s="496" t="n">
        <v>4004.158</v>
      </c>
      <c r="C48" s="496" t="n">
        <v>1706.05</v>
      </c>
      <c r="D48" s="496" t="n">
        <v>3037.664</v>
      </c>
      <c r="E48" s="496" t="n">
        <v>0</v>
      </c>
      <c r="F48" s="496" t="n">
        <v>1509.684</v>
      </c>
      <c r="G48" s="496" t="n">
        <v>0</v>
      </c>
      <c r="H48" s="496" t="n">
        <v>14028.58</v>
      </c>
      <c r="I48" s="496" t="n">
        <v>1518.832</v>
      </c>
      <c r="J48" s="496" t="n">
        <v>12290.9</v>
      </c>
      <c r="K48" s="496" t="n">
        <v>12290.9</v>
      </c>
      <c r="L48" s="496" t="n">
        <v>4004.157</v>
      </c>
      <c r="M48" s="496" t="n">
        <v>13351.64</v>
      </c>
      <c r="N48" s="496" t="n">
        <v>0</v>
      </c>
      <c r="O48" s="496" t="n">
        <v>0</v>
      </c>
      <c r="P48" s="496" t="n">
        <v>0</v>
      </c>
      <c r="Q48" s="496" t="n">
        <v>1.061435</v>
      </c>
      <c r="R48" s="496" t="n">
        <v>1.061435</v>
      </c>
      <c r="S48" s="496" t="n">
        <v>1.061483</v>
      </c>
      <c r="T48" s="496" t="n">
        <v>1.061483</v>
      </c>
      <c r="U48" s="496" t="n">
        <v>14028.58</v>
      </c>
      <c r="V48" s="1099" t="n">
        <v>1.39E-005</v>
      </c>
      <c r="W48" s="1099" t="n">
        <v>1.39E-005</v>
      </c>
      <c r="X48" s="1099" t="n">
        <v>1.39E-005</v>
      </c>
      <c r="Y48" s="1099" t="n">
        <v>1.39E-005</v>
      </c>
      <c r="Z48" s="1099" t="n">
        <v>1.39E-005</v>
      </c>
      <c r="AA48" s="496" t="n">
        <v>0</v>
      </c>
      <c r="AB48" s="496" t="n">
        <v>14861.06</v>
      </c>
      <c r="AC48" s="496" t="n">
        <v>1518.832</v>
      </c>
      <c r="AD48" s="496" t="n">
        <v>0</v>
      </c>
      <c r="AE48" s="496" t="n">
        <v>0</v>
      </c>
      <c r="AF48" s="496" t="n">
        <v>0.9940903</v>
      </c>
      <c r="AG48" s="496" t="n">
        <v>0.9940903</v>
      </c>
      <c r="AH48" s="496" t="n">
        <v>0.0440879</v>
      </c>
      <c r="AI48" s="496" t="n">
        <v>0.0440879</v>
      </c>
      <c r="AJ48" s="496" t="n">
        <v>0.0440879</v>
      </c>
      <c r="AK48" s="496" t="n">
        <v>0.0440879</v>
      </c>
      <c r="AL48" s="496" t="n">
        <v>0.0187845</v>
      </c>
      <c r="AM48" s="496" t="n">
        <v>0.0187845</v>
      </c>
      <c r="AN48" s="496" t="n">
        <v>0.0230953</v>
      </c>
      <c r="AO48" s="496" t="n">
        <v>0.0230953</v>
      </c>
      <c r="AP48" s="496" t="n">
        <v>0</v>
      </c>
      <c r="AQ48" s="496" t="n">
        <v>0</v>
      </c>
      <c r="AR48" s="496" t="n">
        <v>0.0278625</v>
      </c>
      <c r="AS48" s="496" t="n">
        <v>0.0278625</v>
      </c>
      <c r="AT48" s="1099" t="n">
        <v>3.95E-020</v>
      </c>
      <c r="AU48" s="1099" t="n">
        <v>3.95E-020</v>
      </c>
      <c r="AV48" s="496" t="n">
        <v>0.9897309</v>
      </c>
      <c r="AW48" s="496" t="n">
        <v>0.9897309</v>
      </c>
      <c r="AX48" s="496" t="n">
        <v>4004.157</v>
      </c>
      <c r="AY48" s="496" t="n">
        <v>4004.157</v>
      </c>
      <c r="AZ48" s="496" t="n">
        <v>1706.049</v>
      </c>
      <c r="BA48" s="496" t="n">
        <v>14028.58</v>
      </c>
      <c r="BB48" s="496" t="n">
        <v>1509.429</v>
      </c>
      <c r="BC48" s="496" t="n">
        <v>1706.049</v>
      </c>
      <c r="BD48" s="496" t="n">
        <v>832.4871</v>
      </c>
      <c r="BE48" s="496" t="n">
        <v>673.4248</v>
      </c>
      <c r="BF48" s="1099" t="n">
        <v>0.000213</v>
      </c>
      <c r="BG48" s="1099" t="n">
        <v>0.000213</v>
      </c>
      <c r="BH48" s="496" t="n">
        <v>1518.832</v>
      </c>
      <c r="BI48" s="496" t="n">
        <v>3037.664</v>
      </c>
      <c r="BJ48" s="496" t="n">
        <v>2553.812</v>
      </c>
      <c r="BK48" s="496" t="n">
        <v>2379.474</v>
      </c>
      <c r="BL48" s="496" t="n">
        <v>1518.832</v>
      </c>
      <c r="BM48" s="1099" t="n">
        <v>2.09E-015</v>
      </c>
      <c r="BN48" s="496" t="n">
        <v>1.061435</v>
      </c>
      <c r="BO48" s="496" t="n">
        <v>1518.832</v>
      </c>
      <c r="BP48" s="496" t="n">
        <v>8.086424</v>
      </c>
      <c r="BQ48" s="496" t="n">
        <v>2.079776</v>
      </c>
      <c r="BR48" s="496" t="n">
        <v>2.079776</v>
      </c>
      <c r="BS48" s="496" t="n">
        <v>12290.9</v>
      </c>
      <c r="BT48" s="496" t="n">
        <v>13685.32</v>
      </c>
      <c r="BU48" s="496" t="n">
        <v>0</v>
      </c>
      <c r="BV48" s="496" t="n">
        <v>0</v>
      </c>
      <c r="BW48" s="496" t="n">
        <v>0</v>
      </c>
      <c r="BX48" s="496" t="n">
        <v>14861.06</v>
      </c>
      <c r="BY48" s="496" t="n">
        <v>0</v>
      </c>
      <c r="BZ48" s="496" t="n">
        <v>0</v>
      </c>
      <c r="CA48" s="496" t="n">
        <v>0</v>
      </c>
      <c r="CB48" s="496" t="n">
        <v>4004.157</v>
      </c>
      <c r="CC48" s="496" t="n">
        <v>4004.158</v>
      </c>
      <c r="CD48" s="496" t="n">
        <v>14028.58</v>
      </c>
      <c r="CE48" s="496" t="n">
        <v>0</v>
      </c>
      <c r="CF48" s="496" t="n">
        <v>0</v>
      </c>
      <c r="CG48" s="496" t="n">
        <v>14861.06</v>
      </c>
      <c r="CH48" s="496" t="n">
        <v>14861.06</v>
      </c>
      <c r="CI48" s="496" t="n">
        <v>4004.157</v>
      </c>
      <c r="CJ48" s="496" t="n">
        <v>4004.157</v>
      </c>
      <c r="CK48" s="496" t="n">
        <v>4004.157</v>
      </c>
      <c r="CL48" s="496" t="n">
        <v>4004.157</v>
      </c>
      <c r="CM48" s="496" t="n">
        <v>1706.049</v>
      </c>
      <c r="CN48" s="496" t="n">
        <v>1706.049</v>
      </c>
      <c r="CO48" s="496" t="n">
        <v>2553.812</v>
      </c>
      <c r="CP48" s="496" t="n">
        <v>2553.812</v>
      </c>
      <c r="CQ48" s="496" t="n">
        <v>0</v>
      </c>
      <c r="CR48" s="496" t="n">
        <v>0</v>
      </c>
      <c r="CS48" s="496" t="n">
        <v>3037.664</v>
      </c>
      <c r="CT48" s="496" t="n">
        <v>3037.664</v>
      </c>
      <c r="CU48" s="1099" t="n">
        <v>2.09E-015</v>
      </c>
      <c r="CV48" s="1099" t="n">
        <v>2.09E-015</v>
      </c>
      <c r="CW48" s="496" t="n">
        <v>0</v>
      </c>
      <c r="CX48" s="496" t="n">
        <v>0</v>
      </c>
      <c r="CY48" s="496" t="n">
        <v>13685.32</v>
      </c>
      <c r="CZ48" s="496" t="n">
        <v>13685.32</v>
      </c>
      <c r="DA48" s="496" t="n">
        <v>0</v>
      </c>
      <c r="DB48" s="496" t="n">
        <v>0</v>
      </c>
      <c r="DC48" s="1099" t="n">
        <v>3.95E-020</v>
      </c>
      <c r="DD48" s="1099" t="n">
        <v>3.95E-020</v>
      </c>
      <c r="DE48" s="496" t="n">
        <v>0</v>
      </c>
      <c r="DF48" s="496" t="n">
        <v>0</v>
      </c>
    </row>
    <row r="49" customFormat="false" ht="15" hidden="false" customHeight="false" outlineLevel="0" collapsed="false">
      <c r="A49" s="496" t="s">
        <v>1995</v>
      </c>
      <c r="B49" s="496" t="n">
        <v>3.029095</v>
      </c>
      <c r="C49" s="496" t="n">
        <v>3.029026</v>
      </c>
      <c r="D49" s="496" t="n">
        <v>7.532229</v>
      </c>
      <c r="E49" s="496" t="n">
        <v>84.63122</v>
      </c>
      <c r="F49" s="496" t="n">
        <v>0.0348744</v>
      </c>
      <c r="G49" s="496" t="n">
        <v>80</v>
      </c>
      <c r="H49" s="496" t="n">
        <v>12.68221</v>
      </c>
      <c r="I49" s="496" t="n">
        <v>3.766114</v>
      </c>
      <c r="J49" s="496" t="n">
        <v>0.2838052</v>
      </c>
      <c r="K49" s="496" t="n">
        <v>0.2838052</v>
      </c>
      <c r="L49" s="496" t="n">
        <v>3.0291</v>
      </c>
      <c r="M49" s="496" t="n">
        <v>13.365</v>
      </c>
      <c r="N49" s="496" t="n">
        <v>0</v>
      </c>
      <c r="O49" s="496" t="n">
        <v>0</v>
      </c>
      <c r="P49" s="496" t="n">
        <v>15000</v>
      </c>
      <c r="Q49" s="496" t="n">
        <v>14999.1</v>
      </c>
      <c r="R49" s="496" t="n">
        <v>14999.1</v>
      </c>
      <c r="S49" s="496" t="n">
        <v>14999.1</v>
      </c>
      <c r="T49" s="496" t="n">
        <v>14999.1</v>
      </c>
      <c r="U49" s="496" t="n">
        <v>12.68221</v>
      </c>
      <c r="V49" s="496" t="n">
        <v>0.015576</v>
      </c>
      <c r="W49" s="496" t="n">
        <v>0.015576</v>
      </c>
      <c r="X49" s="496" t="n">
        <v>0.015576</v>
      </c>
      <c r="Y49" s="496" t="n">
        <v>0.015576</v>
      </c>
      <c r="Z49" s="496" t="n">
        <v>0.015576</v>
      </c>
      <c r="AA49" s="496" t="n">
        <v>0</v>
      </c>
      <c r="AB49" s="496" t="n">
        <v>13.4348</v>
      </c>
      <c r="AC49" s="496" t="n">
        <v>3.766114</v>
      </c>
      <c r="AD49" s="496" t="n">
        <v>0</v>
      </c>
      <c r="AE49" s="496" t="n">
        <v>0</v>
      </c>
      <c r="AF49" s="1099" t="n">
        <v>0.000899</v>
      </c>
      <c r="AG49" s="1099" t="n">
        <v>0.000899</v>
      </c>
      <c r="AH49" s="1099" t="n">
        <v>3.34E-005</v>
      </c>
      <c r="AI49" s="1099" t="n">
        <v>3.34E-005</v>
      </c>
      <c r="AJ49" s="1099" t="n">
        <v>3.34E-005</v>
      </c>
      <c r="AK49" s="1099" t="n">
        <v>3.34E-005</v>
      </c>
      <c r="AL49" s="1099" t="n">
        <v>3.34E-005</v>
      </c>
      <c r="AM49" s="1099" t="n">
        <v>3.34E-005</v>
      </c>
      <c r="AN49" s="1099" t="n">
        <v>4.75E-005</v>
      </c>
      <c r="AO49" s="1099" t="n">
        <v>4.75E-005</v>
      </c>
      <c r="AP49" s="496" t="n">
        <v>1</v>
      </c>
      <c r="AQ49" s="496" t="n">
        <v>1</v>
      </c>
      <c r="AR49" s="1099" t="n">
        <v>6.91E-005</v>
      </c>
      <c r="AS49" s="1099" t="n">
        <v>6.91E-005</v>
      </c>
      <c r="AT49" s="1099" t="n">
        <v>0.0016</v>
      </c>
      <c r="AU49" s="1099" t="n">
        <v>0.0016</v>
      </c>
      <c r="AV49" s="1099" t="n">
        <v>4.99E-005</v>
      </c>
      <c r="AW49" s="1099" t="n">
        <v>4.99E-005</v>
      </c>
      <c r="AX49" s="496" t="n">
        <v>3.0291</v>
      </c>
      <c r="AY49" s="496" t="n">
        <v>3.0291</v>
      </c>
      <c r="AZ49" s="496" t="n">
        <v>3.0291</v>
      </c>
      <c r="BA49" s="496" t="n">
        <v>12.68221</v>
      </c>
      <c r="BB49" s="496" t="n">
        <v>0.069798</v>
      </c>
      <c r="BC49" s="496" t="n">
        <v>3.0291</v>
      </c>
      <c r="BD49" s="496" t="n">
        <v>0.7525906</v>
      </c>
      <c r="BE49" s="496" t="n">
        <v>2.052739</v>
      </c>
      <c r="BF49" s="496" t="n">
        <v>0.2384861</v>
      </c>
      <c r="BG49" s="496" t="n">
        <v>0.2384861</v>
      </c>
      <c r="BH49" s="496" t="n">
        <v>3.766114</v>
      </c>
      <c r="BI49" s="496" t="n">
        <v>7.532229</v>
      </c>
      <c r="BJ49" s="496" t="n">
        <v>5.254258</v>
      </c>
      <c r="BK49" s="496" t="n">
        <v>5.066263</v>
      </c>
      <c r="BL49" s="496" t="n">
        <v>14919.13</v>
      </c>
      <c r="BM49" s="496" t="n">
        <v>84.63122</v>
      </c>
      <c r="BN49" s="496" t="n">
        <v>14919.1</v>
      </c>
      <c r="BO49" s="496" t="n">
        <v>14919.13</v>
      </c>
      <c r="BP49" s="1099" t="n">
        <v>6.62E-005</v>
      </c>
      <c r="BQ49" s="496" t="n">
        <v>29232.49</v>
      </c>
      <c r="BR49" s="496" t="n">
        <v>29232.49</v>
      </c>
      <c r="BS49" s="496" t="n">
        <v>0.2838052</v>
      </c>
      <c r="BT49" s="496" t="n">
        <v>0.6894519</v>
      </c>
      <c r="BU49" s="496" t="n">
        <v>0</v>
      </c>
      <c r="BV49" s="496" t="n">
        <v>0</v>
      </c>
      <c r="BW49" s="496" t="n">
        <v>0</v>
      </c>
      <c r="BX49" s="496" t="n">
        <v>13.4348</v>
      </c>
      <c r="BY49" s="496" t="n">
        <v>0</v>
      </c>
      <c r="BZ49" s="496" t="n">
        <v>84.63122</v>
      </c>
      <c r="CA49" s="496" t="n">
        <v>0</v>
      </c>
      <c r="CB49" s="496" t="n">
        <v>3.0291</v>
      </c>
      <c r="CC49" s="496" t="n">
        <v>3.029026</v>
      </c>
      <c r="CD49" s="496" t="n">
        <v>12.68217</v>
      </c>
      <c r="CE49" s="496" t="n">
        <v>0</v>
      </c>
      <c r="CF49" s="496" t="n">
        <v>0</v>
      </c>
      <c r="CG49" s="496" t="n">
        <v>13.4348</v>
      </c>
      <c r="CH49" s="496" t="n">
        <v>13.4348</v>
      </c>
      <c r="CI49" s="496" t="n">
        <v>3.0291</v>
      </c>
      <c r="CJ49" s="496" t="n">
        <v>3.0291</v>
      </c>
      <c r="CK49" s="496" t="n">
        <v>3.0291</v>
      </c>
      <c r="CL49" s="496" t="n">
        <v>3.0291</v>
      </c>
      <c r="CM49" s="496" t="n">
        <v>3.0291</v>
      </c>
      <c r="CN49" s="496" t="n">
        <v>3.0291</v>
      </c>
      <c r="CO49" s="496" t="n">
        <v>5.254258</v>
      </c>
      <c r="CP49" s="496" t="n">
        <v>5.254258</v>
      </c>
      <c r="CQ49" s="496" t="n">
        <v>16335.7</v>
      </c>
      <c r="CR49" s="496" t="n">
        <v>16335.7</v>
      </c>
      <c r="CS49" s="496" t="n">
        <v>7.532229</v>
      </c>
      <c r="CT49" s="496" t="n">
        <v>7.532229</v>
      </c>
      <c r="CU49" s="496" t="n">
        <v>84.63122</v>
      </c>
      <c r="CV49" s="496" t="n">
        <v>84.63122</v>
      </c>
      <c r="CW49" s="496" t="n">
        <v>84.63122</v>
      </c>
      <c r="CX49" s="496" t="n">
        <v>84.63122</v>
      </c>
      <c r="CY49" s="496" t="n">
        <v>0.6894518</v>
      </c>
      <c r="CZ49" s="496" t="n">
        <v>0.6894518</v>
      </c>
      <c r="DA49" s="496" t="n">
        <v>5286.91</v>
      </c>
      <c r="DB49" s="496" t="n">
        <v>5286.91</v>
      </c>
      <c r="DC49" s="1099" t="n">
        <v>0.0016</v>
      </c>
      <c r="DD49" s="1099" t="n">
        <v>0.0016</v>
      </c>
      <c r="DE49" s="496" t="n">
        <v>1</v>
      </c>
      <c r="DF49" s="496" t="n">
        <v>1</v>
      </c>
    </row>
    <row r="50" customFormat="false" ht="15" hidden="false" customHeight="false" outlineLevel="0" collapsed="false">
      <c r="A50" s="496" t="s">
        <v>1996</v>
      </c>
      <c r="B50" s="496" t="n">
        <v>45.56015</v>
      </c>
      <c r="C50" s="496" t="n">
        <v>45.55971</v>
      </c>
      <c r="D50" s="496" t="n">
        <v>8.422807</v>
      </c>
      <c r="E50" s="496" t="n">
        <v>2.937107</v>
      </c>
      <c r="F50" s="496" t="n">
        <v>1.270531</v>
      </c>
      <c r="G50" s="496" t="n">
        <v>0</v>
      </c>
      <c r="H50" s="496" t="n">
        <v>1.207099</v>
      </c>
      <c r="I50" s="496" t="n">
        <v>4.211404</v>
      </c>
      <c r="J50" s="496" t="n">
        <v>10.34083</v>
      </c>
      <c r="K50" s="496" t="n">
        <v>10.34083</v>
      </c>
      <c r="L50" s="496" t="n">
        <v>45.56026</v>
      </c>
      <c r="M50" s="496" t="n">
        <v>0</v>
      </c>
      <c r="N50" s="496" t="n">
        <v>0</v>
      </c>
      <c r="O50" s="496" t="n">
        <v>0</v>
      </c>
      <c r="P50" s="496" t="n">
        <v>0</v>
      </c>
      <c r="Q50" s="1099" t="n">
        <v>5.5E-015</v>
      </c>
      <c r="R50" s="1099" t="n">
        <v>5.5E-015</v>
      </c>
      <c r="S50" s="1099" t="n">
        <v>4.82E-014</v>
      </c>
      <c r="T50" s="1099" t="n">
        <v>4.82E-014</v>
      </c>
      <c r="U50" s="496" t="n">
        <v>1.207099</v>
      </c>
      <c r="V50" s="496" t="n">
        <v>41.42049</v>
      </c>
      <c r="W50" s="496" t="n">
        <v>41.42049</v>
      </c>
      <c r="X50" s="496" t="n">
        <v>41.42049</v>
      </c>
      <c r="Y50" s="496" t="n">
        <v>41.42049</v>
      </c>
      <c r="Z50" s="496" t="n">
        <v>41.42049</v>
      </c>
      <c r="AA50" s="496" t="n">
        <v>0</v>
      </c>
      <c r="AB50" s="496" t="n">
        <v>1.278731</v>
      </c>
      <c r="AC50" s="496" t="n">
        <v>4.211404</v>
      </c>
      <c r="AD50" s="496" t="n">
        <v>0</v>
      </c>
      <c r="AE50" s="496" t="n">
        <v>0</v>
      </c>
      <c r="AF50" s="1099" t="n">
        <v>8.55E-005</v>
      </c>
      <c r="AG50" s="1099" t="n">
        <v>8.55E-005</v>
      </c>
      <c r="AH50" s="1099" t="n">
        <v>0.000502</v>
      </c>
      <c r="AI50" s="1099" t="n">
        <v>0.000502</v>
      </c>
      <c r="AJ50" s="1099" t="n">
        <v>0.000502</v>
      </c>
      <c r="AK50" s="1099" t="n">
        <v>0.000502</v>
      </c>
      <c r="AL50" s="1099" t="n">
        <v>0.000502</v>
      </c>
      <c r="AM50" s="1099" t="n">
        <v>0.000502</v>
      </c>
      <c r="AN50" s="1099" t="n">
        <v>0.000138</v>
      </c>
      <c r="AO50" s="1099" t="n">
        <v>0.000138</v>
      </c>
      <c r="AP50" s="496" t="n">
        <v>0</v>
      </c>
      <c r="AQ50" s="496" t="n">
        <v>0</v>
      </c>
      <c r="AR50" s="1099" t="n">
        <v>7.73E-005</v>
      </c>
      <c r="AS50" s="1099" t="n">
        <v>7.73E-005</v>
      </c>
      <c r="AT50" s="1099" t="n">
        <v>5.55E-005</v>
      </c>
      <c r="AU50" s="1099" t="n">
        <v>5.55E-005</v>
      </c>
      <c r="AV50" s="1099" t="n">
        <v>0.00112</v>
      </c>
      <c r="AW50" s="1099" t="n">
        <v>0.00112</v>
      </c>
      <c r="AX50" s="496" t="n">
        <v>45.56026</v>
      </c>
      <c r="AY50" s="496" t="n">
        <v>45.56026</v>
      </c>
      <c r="AZ50" s="496" t="n">
        <v>45.56026</v>
      </c>
      <c r="BA50" s="496" t="n">
        <v>1.207099</v>
      </c>
      <c r="BB50" s="496" t="n">
        <v>1.278731</v>
      </c>
      <c r="BC50" s="496" t="n">
        <v>45.56026</v>
      </c>
      <c r="BD50" s="496" t="n">
        <v>0.0716319</v>
      </c>
      <c r="BE50" s="496" t="n">
        <v>96.02082</v>
      </c>
      <c r="BF50" s="496" t="n">
        <v>634.1932</v>
      </c>
      <c r="BG50" s="496" t="n">
        <v>634.1932</v>
      </c>
      <c r="BH50" s="496" t="n">
        <v>4.211404</v>
      </c>
      <c r="BI50" s="496" t="n">
        <v>8.422807</v>
      </c>
      <c r="BJ50" s="496" t="n">
        <v>15.26222</v>
      </c>
      <c r="BK50" s="496" t="n">
        <v>100.1606</v>
      </c>
      <c r="BL50" s="496" t="n">
        <v>1.274297</v>
      </c>
      <c r="BM50" s="496" t="n">
        <v>2.937107</v>
      </c>
      <c r="BN50" s="1099" t="n">
        <v>5.5E-015</v>
      </c>
      <c r="BO50" s="496" t="n">
        <v>1.274297</v>
      </c>
      <c r="BP50" s="1099" t="n">
        <v>0.00377</v>
      </c>
      <c r="BQ50" s="1099" t="n">
        <v>1.08E-014</v>
      </c>
      <c r="BR50" s="1099" t="n">
        <v>1.08E-014</v>
      </c>
      <c r="BS50" s="496" t="n">
        <v>10.34083</v>
      </c>
      <c r="BT50" s="496" t="n">
        <v>15.50106</v>
      </c>
      <c r="BU50" s="496" t="n">
        <v>0</v>
      </c>
      <c r="BV50" s="496" t="n">
        <v>0</v>
      </c>
      <c r="BW50" s="496" t="n">
        <v>0</v>
      </c>
      <c r="BX50" s="496" t="n">
        <v>1.278731</v>
      </c>
      <c r="BY50" s="496" t="n">
        <v>0</v>
      </c>
      <c r="BZ50" s="496" t="n">
        <v>2.937107</v>
      </c>
      <c r="CA50" s="496" t="n">
        <v>0</v>
      </c>
      <c r="CB50" s="496" t="n">
        <v>45.56026</v>
      </c>
      <c r="CC50" s="496" t="n">
        <v>45.55971</v>
      </c>
      <c r="CD50" s="496" t="n">
        <v>1.207104</v>
      </c>
      <c r="CE50" s="496" t="n">
        <v>0</v>
      </c>
      <c r="CF50" s="496" t="n">
        <v>0</v>
      </c>
      <c r="CG50" s="496" t="n">
        <v>1.27873</v>
      </c>
      <c r="CH50" s="496" t="n">
        <v>1.27873</v>
      </c>
      <c r="CI50" s="496" t="n">
        <v>45.56026</v>
      </c>
      <c r="CJ50" s="496" t="n">
        <v>45.56026</v>
      </c>
      <c r="CK50" s="496" t="n">
        <v>45.56026</v>
      </c>
      <c r="CL50" s="496" t="n">
        <v>45.56026</v>
      </c>
      <c r="CM50" s="496" t="n">
        <v>45.56026</v>
      </c>
      <c r="CN50" s="496" t="n">
        <v>45.56026</v>
      </c>
      <c r="CO50" s="496" t="n">
        <v>15.26222</v>
      </c>
      <c r="CP50" s="496" t="n">
        <v>15.26222</v>
      </c>
      <c r="CQ50" s="496" t="n">
        <v>0</v>
      </c>
      <c r="CR50" s="496" t="n">
        <v>0</v>
      </c>
      <c r="CS50" s="496" t="n">
        <v>8.422807</v>
      </c>
      <c r="CT50" s="496" t="n">
        <v>8.422807</v>
      </c>
      <c r="CU50" s="496" t="n">
        <v>2.937106</v>
      </c>
      <c r="CV50" s="496" t="n">
        <v>2.937106</v>
      </c>
      <c r="CW50" s="496" t="n">
        <v>2.937106</v>
      </c>
      <c r="CX50" s="496" t="n">
        <v>2.937106</v>
      </c>
      <c r="CY50" s="496" t="n">
        <v>15.50106</v>
      </c>
      <c r="CZ50" s="496" t="n">
        <v>15.50106</v>
      </c>
      <c r="DA50" s="496" t="n">
        <v>0</v>
      </c>
      <c r="DB50" s="496" t="n">
        <v>0</v>
      </c>
      <c r="DC50" s="1099" t="n">
        <v>5.55E-005</v>
      </c>
      <c r="DD50" s="1099" t="n">
        <v>5.55E-005</v>
      </c>
      <c r="DE50" s="496" t="n">
        <v>0</v>
      </c>
      <c r="DF50" s="496" t="n">
        <v>0</v>
      </c>
    </row>
    <row r="51" customFormat="false" ht="15" hidden="false" customHeight="false" outlineLevel="0" collapsed="false">
      <c r="A51" s="496" t="s">
        <v>1997</v>
      </c>
      <c r="B51" s="496" t="n">
        <v>3.635922</v>
      </c>
      <c r="C51" s="496" t="n">
        <v>3.635903</v>
      </c>
      <c r="D51" s="496" t="n">
        <v>7.3614</v>
      </c>
      <c r="E51" s="496" t="n">
        <v>2.739281</v>
      </c>
      <c r="F51" s="496" t="n">
        <v>0.7991697</v>
      </c>
      <c r="G51" s="496" t="n">
        <v>0</v>
      </c>
      <c r="H51" s="496" t="n">
        <v>0.7545284</v>
      </c>
      <c r="I51" s="496" t="n">
        <v>3.6807</v>
      </c>
      <c r="J51" s="496" t="n">
        <v>6.644305</v>
      </c>
      <c r="K51" s="496" t="n">
        <v>6.644305</v>
      </c>
      <c r="L51" s="496" t="n">
        <v>3.635924</v>
      </c>
      <c r="M51" s="496" t="n">
        <v>0</v>
      </c>
      <c r="N51" s="496" t="n">
        <v>0</v>
      </c>
      <c r="O51" s="496" t="n">
        <v>0</v>
      </c>
      <c r="P51" s="496" t="n">
        <v>0</v>
      </c>
      <c r="Q51" s="1099" t="n">
        <v>2.79E-017</v>
      </c>
      <c r="R51" s="1099" t="n">
        <v>2.79E-017</v>
      </c>
      <c r="S51" s="1099" t="n">
        <v>3.56E-018</v>
      </c>
      <c r="T51" s="1099" t="n">
        <v>3.56E-018</v>
      </c>
      <c r="U51" s="496" t="n">
        <v>0.7545284</v>
      </c>
      <c r="V51" s="1099" t="n">
        <v>3.66E-011</v>
      </c>
      <c r="W51" s="1099" t="n">
        <v>3.66E-011</v>
      </c>
      <c r="X51" s="1099" t="n">
        <v>3.66E-011</v>
      </c>
      <c r="Y51" s="1099" t="n">
        <v>3.66E-011</v>
      </c>
      <c r="Z51" s="1099" t="n">
        <v>3.66E-011</v>
      </c>
      <c r="AA51" s="496" t="n">
        <v>0</v>
      </c>
      <c r="AB51" s="496" t="n">
        <v>0.7993038</v>
      </c>
      <c r="AC51" s="496" t="n">
        <v>3.6807</v>
      </c>
      <c r="AD51" s="496" t="n">
        <v>0</v>
      </c>
      <c r="AE51" s="496" t="n">
        <v>0</v>
      </c>
      <c r="AF51" s="1099" t="n">
        <v>5.35E-005</v>
      </c>
      <c r="AG51" s="1099" t="n">
        <v>5.35E-005</v>
      </c>
      <c r="AH51" s="1099" t="n">
        <v>4E-005</v>
      </c>
      <c r="AI51" s="1099" t="n">
        <v>4E-005</v>
      </c>
      <c r="AJ51" s="1099" t="n">
        <v>4E-005</v>
      </c>
      <c r="AK51" s="1099" t="n">
        <v>4E-005</v>
      </c>
      <c r="AL51" s="1099" t="n">
        <v>4E-005</v>
      </c>
      <c r="AM51" s="1099" t="n">
        <v>4E-005</v>
      </c>
      <c r="AN51" s="1099" t="n">
        <v>4.59E-005</v>
      </c>
      <c r="AO51" s="1099" t="n">
        <v>4.59E-005</v>
      </c>
      <c r="AP51" s="496" t="n">
        <v>0</v>
      </c>
      <c r="AQ51" s="496" t="n">
        <v>0</v>
      </c>
      <c r="AR51" s="1099" t="n">
        <v>6.75E-005</v>
      </c>
      <c r="AS51" s="1099" t="n">
        <v>6.75E-005</v>
      </c>
      <c r="AT51" s="1099" t="n">
        <v>5.17E-005</v>
      </c>
      <c r="AU51" s="1099" t="n">
        <v>5.17E-005</v>
      </c>
      <c r="AV51" s="1099" t="n">
        <v>9.63E-005</v>
      </c>
      <c r="AW51" s="1099" t="n">
        <v>9.63E-005</v>
      </c>
      <c r="AX51" s="496" t="n">
        <v>3.635924</v>
      </c>
      <c r="AY51" s="496" t="n">
        <v>3.635924</v>
      </c>
      <c r="AZ51" s="496" t="n">
        <v>3.635924</v>
      </c>
      <c r="BA51" s="496" t="n">
        <v>0.7545284</v>
      </c>
      <c r="BB51" s="496" t="n">
        <v>0.7993038</v>
      </c>
      <c r="BC51" s="496" t="n">
        <v>3.635924</v>
      </c>
      <c r="BD51" s="496" t="n">
        <v>0.0447754</v>
      </c>
      <c r="BE51" s="496" t="n">
        <v>0.6780837</v>
      </c>
      <c r="BF51" s="1099" t="n">
        <v>5.6E-010</v>
      </c>
      <c r="BG51" s="1099" t="n">
        <v>5.6E-010</v>
      </c>
      <c r="BH51" s="496" t="n">
        <v>3.6807</v>
      </c>
      <c r="BI51" s="496" t="n">
        <v>7.3614</v>
      </c>
      <c r="BJ51" s="496" t="n">
        <v>5.072821</v>
      </c>
      <c r="BK51" s="496" t="n">
        <v>4.314008</v>
      </c>
      <c r="BL51" s="496" t="n">
        <v>0.9414183</v>
      </c>
      <c r="BM51" s="496" t="n">
        <v>2.739281</v>
      </c>
      <c r="BN51" s="1099" t="n">
        <v>2.79E-017</v>
      </c>
      <c r="BO51" s="496" t="n">
        <v>0.9414183</v>
      </c>
      <c r="BP51" s="496" t="n">
        <v>0.1422487</v>
      </c>
      <c r="BQ51" s="1099" t="n">
        <v>5.47E-017</v>
      </c>
      <c r="BR51" s="1099" t="n">
        <v>7.17E-017</v>
      </c>
      <c r="BS51" s="496" t="n">
        <v>6.644305</v>
      </c>
      <c r="BT51" s="496" t="n">
        <v>1.331291</v>
      </c>
      <c r="BU51" s="496" t="n">
        <v>0</v>
      </c>
      <c r="BV51" s="496" t="n">
        <v>0</v>
      </c>
      <c r="BW51" s="496" t="n">
        <v>0</v>
      </c>
      <c r="BX51" s="496" t="n">
        <v>0.7993038</v>
      </c>
      <c r="BY51" s="496" t="n">
        <v>0</v>
      </c>
      <c r="BZ51" s="496" t="n">
        <v>2.739281</v>
      </c>
      <c r="CA51" s="496" t="n">
        <v>0</v>
      </c>
      <c r="CB51" s="496" t="n">
        <v>3.635924</v>
      </c>
      <c r="CC51" s="496" t="n">
        <v>3.635903</v>
      </c>
      <c r="CD51" s="496" t="n">
        <v>0.754525</v>
      </c>
      <c r="CE51" s="496" t="n">
        <v>0</v>
      </c>
      <c r="CF51" s="496" t="n">
        <v>0</v>
      </c>
      <c r="CG51" s="496" t="n">
        <v>0.7993038</v>
      </c>
      <c r="CH51" s="496" t="n">
        <v>0.7993038</v>
      </c>
      <c r="CI51" s="496" t="n">
        <v>3.635924</v>
      </c>
      <c r="CJ51" s="496" t="n">
        <v>3.635924</v>
      </c>
      <c r="CK51" s="496" t="n">
        <v>3.635924</v>
      </c>
      <c r="CL51" s="496" t="n">
        <v>3.635924</v>
      </c>
      <c r="CM51" s="496" t="n">
        <v>3.635924</v>
      </c>
      <c r="CN51" s="496" t="n">
        <v>3.635924</v>
      </c>
      <c r="CO51" s="496" t="n">
        <v>5.072821</v>
      </c>
      <c r="CP51" s="496" t="n">
        <v>5.072821</v>
      </c>
      <c r="CQ51" s="496" t="n">
        <v>0</v>
      </c>
      <c r="CR51" s="496" t="n">
        <v>0</v>
      </c>
      <c r="CS51" s="496" t="n">
        <v>7.3614</v>
      </c>
      <c r="CT51" s="496" t="n">
        <v>7.3614</v>
      </c>
      <c r="CU51" s="496" t="n">
        <v>2.739281</v>
      </c>
      <c r="CV51" s="496" t="n">
        <v>2.739281</v>
      </c>
      <c r="CW51" s="496" t="n">
        <v>2.739281</v>
      </c>
      <c r="CX51" s="496" t="n">
        <v>2.739281</v>
      </c>
      <c r="CY51" s="496" t="n">
        <v>1.331291</v>
      </c>
      <c r="CZ51" s="496" t="n">
        <v>1.331291</v>
      </c>
      <c r="DA51" s="496" t="n">
        <v>0</v>
      </c>
      <c r="DB51" s="496" t="n">
        <v>0</v>
      </c>
      <c r="DC51" s="1099" t="n">
        <v>5.17E-005</v>
      </c>
      <c r="DD51" s="1099" t="n">
        <v>5.17E-005</v>
      </c>
      <c r="DE51" s="496" t="n">
        <v>0</v>
      </c>
      <c r="DF51" s="496" t="n">
        <v>0</v>
      </c>
    </row>
    <row r="52" customFormat="false" ht="15" hidden="false" customHeight="false" outlineLevel="0" collapsed="false">
      <c r="A52" s="496" t="s">
        <v>2000</v>
      </c>
      <c r="B52" s="496" t="s">
        <v>469</v>
      </c>
      <c r="C52" s="496" t="s">
        <v>469</v>
      </c>
      <c r="D52" s="496" t="s">
        <v>469</v>
      </c>
      <c r="E52" s="496" t="s">
        <v>469</v>
      </c>
      <c r="F52" s="496" t="s">
        <v>469</v>
      </c>
      <c r="G52" s="496" t="s">
        <v>469</v>
      </c>
      <c r="H52" s="496" t="s">
        <v>469</v>
      </c>
      <c r="I52" s="496" t="s">
        <v>469</v>
      </c>
      <c r="J52" s="496" t="s">
        <v>469</v>
      </c>
      <c r="K52" s="496" t="s">
        <v>469</v>
      </c>
      <c r="L52" s="496" t="s">
        <v>469</v>
      </c>
      <c r="M52" s="496" t="s">
        <v>469</v>
      </c>
      <c r="N52" s="496" t="s">
        <v>469</v>
      </c>
      <c r="O52" s="496" t="s">
        <v>469</v>
      </c>
      <c r="P52" s="496" t="s">
        <v>469</v>
      </c>
      <c r="Q52" s="496" t="s">
        <v>469</v>
      </c>
      <c r="R52" s="496" t="s">
        <v>469</v>
      </c>
      <c r="S52" s="496" t="s">
        <v>469</v>
      </c>
      <c r="T52" s="496" t="s">
        <v>469</v>
      </c>
      <c r="U52" s="496" t="s">
        <v>469</v>
      </c>
      <c r="V52" s="496" t="s">
        <v>469</v>
      </c>
      <c r="W52" s="496" t="s">
        <v>469</v>
      </c>
      <c r="X52" s="496" t="s">
        <v>469</v>
      </c>
      <c r="Y52" s="496" t="s">
        <v>469</v>
      </c>
      <c r="Z52" s="496" t="s">
        <v>469</v>
      </c>
      <c r="AA52" s="496" t="s">
        <v>469</v>
      </c>
      <c r="AB52" s="496" t="s">
        <v>469</v>
      </c>
      <c r="AC52" s="496" t="s">
        <v>469</v>
      </c>
      <c r="AD52" s="496" t="s">
        <v>469</v>
      </c>
      <c r="AE52" s="496" t="s">
        <v>469</v>
      </c>
      <c r="AF52" s="496" t="s">
        <v>469</v>
      </c>
      <c r="AG52" s="496" t="s">
        <v>469</v>
      </c>
      <c r="AH52" s="496" t="s">
        <v>469</v>
      </c>
      <c r="AI52" s="496" t="s">
        <v>469</v>
      </c>
      <c r="AJ52" s="496" t="s">
        <v>469</v>
      </c>
      <c r="AK52" s="496" t="s">
        <v>469</v>
      </c>
      <c r="AL52" s="496" t="s">
        <v>469</v>
      </c>
      <c r="AM52" s="496" t="s">
        <v>469</v>
      </c>
      <c r="AN52" s="496" t="s">
        <v>469</v>
      </c>
      <c r="AO52" s="496" t="s">
        <v>469</v>
      </c>
      <c r="AP52" s="496" t="s">
        <v>469</v>
      </c>
      <c r="AQ52" s="496" t="s">
        <v>469</v>
      </c>
      <c r="AR52" s="496" t="s">
        <v>469</v>
      </c>
      <c r="AS52" s="496" t="s">
        <v>469</v>
      </c>
      <c r="AT52" s="496" t="s">
        <v>469</v>
      </c>
      <c r="AU52" s="496" t="s">
        <v>469</v>
      </c>
      <c r="AV52" s="496" t="s">
        <v>469</v>
      </c>
      <c r="AW52" s="496" t="s">
        <v>469</v>
      </c>
      <c r="AX52" s="496" t="s">
        <v>469</v>
      </c>
      <c r="AY52" s="496" t="s">
        <v>469</v>
      </c>
      <c r="AZ52" s="496" t="s">
        <v>469</v>
      </c>
      <c r="BA52" s="496" t="s">
        <v>469</v>
      </c>
      <c r="BB52" s="496" t="s">
        <v>469</v>
      </c>
      <c r="BC52" s="496" t="s">
        <v>469</v>
      </c>
      <c r="BD52" s="496" t="s">
        <v>469</v>
      </c>
      <c r="BE52" s="496" t="s">
        <v>469</v>
      </c>
      <c r="BF52" s="496" t="s">
        <v>469</v>
      </c>
      <c r="BG52" s="496" t="s">
        <v>469</v>
      </c>
      <c r="BH52" s="496" t="s">
        <v>469</v>
      </c>
      <c r="BI52" s="496" t="s">
        <v>469</v>
      </c>
      <c r="BJ52" s="496" t="s">
        <v>469</v>
      </c>
      <c r="BK52" s="496" t="s">
        <v>469</v>
      </c>
      <c r="BL52" s="496" t="s">
        <v>469</v>
      </c>
      <c r="BM52" s="496" t="s">
        <v>469</v>
      </c>
      <c r="BN52" s="496" t="s">
        <v>469</v>
      </c>
      <c r="BO52" s="496" t="s">
        <v>469</v>
      </c>
      <c r="BP52" s="496" t="s">
        <v>469</v>
      </c>
      <c r="BQ52" s="496" t="s">
        <v>469</v>
      </c>
      <c r="BR52" s="496" t="s">
        <v>469</v>
      </c>
      <c r="BS52" s="496" t="s">
        <v>469</v>
      </c>
      <c r="BT52" s="496" t="s">
        <v>469</v>
      </c>
      <c r="BU52" s="496" t="s">
        <v>469</v>
      </c>
      <c r="BV52" s="496" t="s">
        <v>469</v>
      </c>
      <c r="BW52" s="496" t="s">
        <v>469</v>
      </c>
      <c r="BX52" s="496" t="s">
        <v>469</v>
      </c>
      <c r="BY52" s="496" t="s">
        <v>469</v>
      </c>
      <c r="BZ52" s="496" t="s">
        <v>469</v>
      </c>
      <c r="CA52" s="496" t="s">
        <v>469</v>
      </c>
      <c r="CB52" s="496" t="s">
        <v>469</v>
      </c>
      <c r="CC52" s="496" t="s">
        <v>469</v>
      </c>
      <c r="CD52" s="496" t="s">
        <v>469</v>
      </c>
      <c r="CE52" s="496" t="s">
        <v>469</v>
      </c>
      <c r="CF52" s="496" t="s">
        <v>469</v>
      </c>
      <c r="CG52" s="496" t="s">
        <v>469</v>
      </c>
      <c r="CH52" s="496" t="s">
        <v>469</v>
      </c>
      <c r="CI52" s="496" t="s">
        <v>469</v>
      </c>
      <c r="CJ52" s="496" t="s">
        <v>469</v>
      </c>
      <c r="CK52" s="496" t="s">
        <v>469</v>
      </c>
      <c r="CL52" s="496" t="s">
        <v>469</v>
      </c>
      <c r="CM52" s="496" t="s">
        <v>469</v>
      </c>
      <c r="CN52" s="496" t="s">
        <v>469</v>
      </c>
      <c r="CO52" s="496" t="s">
        <v>469</v>
      </c>
      <c r="CP52" s="496" t="s">
        <v>469</v>
      </c>
      <c r="CQ52" s="496" t="s">
        <v>469</v>
      </c>
      <c r="CR52" s="496" t="s">
        <v>469</v>
      </c>
      <c r="CS52" s="496" t="s">
        <v>469</v>
      </c>
      <c r="CT52" s="496" t="s">
        <v>469</v>
      </c>
      <c r="CU52" s="496" t="s">
        <v>469</v>
      </c>
      <c r="CV52" s="496" t="s">
        <v>469</v>
      </c>
      <c r="CW52" s="496" t="s">
        <v>469</v>
      </c>
      <c r="CX52" s="496" t="s">
        <v>469</v>
      </c>
      <c r="CY52" s="496" t="s">
        <v>469</v>
      </c>
      <c r="CZ52" s="496" t="s">
        <v>469</v>
      </c>
      <c r="DA52" s="496" t="s">
        <v>469</v>
      </c>
      <c r="DB52" s="496" t="s">
        <v>469</v>
      </c>
      <c r="DC52" s="496" t="s">
        <v>469</v>
      </c>
      <c r="DD52" s="496" t="s">
        <v>469</v>
      </c>
      <c r="DE52" s="496" t="s">
        <v>469</v>
      </c>
      <c r="DF52" s="496" t="s">
        <v>469</v>
      </c>
    </row>
    <row r="53" customFormat="false" ht="15" hidden="false" customHeight="false" outlineLevel="0" collapsed="false">
      <c r="A53" s="496" t="s">
        <v>1984</v>
      </c>
      <c r="B53" s="1099" t="n">
        <v>0.000686</v>
      </c>
      <c r="C53" s="1099" t="n">
        <v>0.000686</v>
      </c>
      <c r="D53" s="1099" t="n">
        <v>0.00114</v>
      </c>
      <c r="E53" s="1099" t="n">
        <v>0.00117</v>
      </c>
      <c r="F53" s="1099" t="n">
        <v>0.000163</v>
      </c>
      <c r="G53" s="496" t="n">
        <v>0</v>
      </c>
      <c r="H53" s="1099" t="n">
        <v>0.000686</v>
      </c>
      <c r="I53" s="1099" t="n">
        <v>0.00114</v>
      </c>
      <c r="J53" s="1099" t="n">
        <v>0.000182</v>
      </c>
      <c r="K53" s="1099" t="n">
        <v>0.000182</v>
      </c>
      <c r="L53" s="1099" t="n">
        <v>0.000686</v>
      </c>
      <c r="M53" s="496" t="n">
        <v>0</v>
      </c>
      <c r="N53" s="496" t="s">
        <v>469</v>
      </c>
      <c r="O53" s="1099" t="n">
        <v>0.000809</v>
      </c>
      <c r="P53" s="496" t="n">
        <v>0</v>
      </c>
      <c r="Q53" s="1099" t="n">
        <v>1.15E-027</v>
      </c>
      <c r="R53" s="1099" t="n">
        <v>1.15E-027</v>
      </c>
      <c r="S53" s="1099" t="n">
        <v>5.82E-028</v>
      </c>
      <c r="T53" s="1099" t="n">
        <v>5.82E-028</v>
      </c>
      <c r="U53" s="1099" t="n">
        <v>1.73E-005</v>
      </c>
      <c r="V53" s="1099" t="n">
        <v>1.04E-014</v>
      </c>
      <c r="W53" s="1099" t="n">
        <v>1.04E-014</v>
      </c>
      <c r="X53" s="1099" t="n">
        <v>1.04E-014</v>
      </c>
      <c r="Y53" s="1099" t="n">
        <v>1.04E-014</v>
      </c>
      <c r="Z53" s="1099" t="n">
        <v>1.04E-014</v>
      </c>
      <c r="AA53" s="1099" t="n">
        <v>0.000809</v>
      </c>
      <c r="AB53" s="1099" t="n">
        <v>1.73E-005</v>
      </c>
      <c r="AC53" s="1099" t="n">
        <v>0.00114</v>
      </c>
      <c r="AD53" s="1099" t="n">
        <v>0.000809</v>
      </c>
      <c r="AE53" s="1099" t="n">
        <v>0.000809</v>
      </c>
      <c r="AF53" s="1099" t="n">
        <v>1.73E-005</v>
      </c>
      <c r="AG53" s="1099" t="n">
        <v>1.73E-005</v>
      </c>
      <c r="AH53" s="1099" t="n">
        <v>0.000686</v>
      </c>
      <c r="AI53" s="1099" t="n">
        <v>0.000686</v>
      </c>
      <c r="AJ53" s="1099" t="n">
        <v>0.000686</v>
      </c>
      <c r="AK53" s="1099" t="n">
        <v>0.000686</v>
      </c>
      <c r="AL53" s="1099" t="n">
        <v>0.000686</v>
      </c>
      <c r="AM53" s="1099" t="n">
        <v>0.000686</v>
      </c>
      <c r="AN53" s="1099" t="n">
        <v>0.000785</v>
      </c>
      <c r="AO53" s="1099" t="n">
        <v>0.000785</v>
      </c>
      <c r="AP53" s="496" t="n">
        <v>0</v>
      </c>
      <c r="AQ53" s="496" t="n">
        <v>0</v>
      </c>
      <c r="AR53" s="1099" t="n">
        <v>0.00114</v>
      </c>
      <c r="AS53" s="1099" t="n">
        <v>0.00114</v>
      </c>
      <c r="AT53" s="1099" t="n">
        <v>0.00117</v>
      </c>
      <c r="AU53" s="1099" t="n">
        <v>0.00117</v>
      </c>
      <c r="AV53" s="1099" t="n">
        <v>3.9E-005</v>
      </c>
      <c r="AW53" s="1099" t="n">
        <v>3.9E-005</v>
      </c>
      <c r="AX53" s="1099" t="n">
        <v>0.000686</v>
      </c>
      <c r="AY53" s="1099" t="n">
        <v>0.000686</v>
      </c>
      <c r="AZ53" s="1099" t="n">
        <v>0.000686</v>
      </c>
      <c r="BA53" s="1099" t="n">
        <v>0.000686</v>
      </c>
      <c r="BB53" s="1099" t="n">
        <v>0.000164</v>
      </c>
      <c r="BC53" s="1099" t="n">
        <v>0.000686</v>
      </c>
      <c r="BD53" s="1099" t="n">
        <v>1.73E-005</v>
      </c>
      <c r="BE53" s="1099" t="n">
        <v>0.000224</v>
      </c>
      <c r="BF53" s="1099" t="n">
        <v>1.04E-014</v>
      </c>
      <c r="BG53" s="1099" t="n">
        <v>1.04E-014</v>
      </c>
      <c r="BH53" s="1099" t="n">
        <v>0.00114</v>
      </c>
      <c r="BI53" s="1099" t="n">
        <v>0.00114</v>
      </c>
      <c r="BJ53" s="1099" t="n">
        <v>0.000785</v>
      </c>
      <c r="BK53" s="1099" t="n">
        <v>0.000706</v>
      </c>
      <c r="BL53" s="1099" t="n">
        <v>3.08E-005</v>
      </c>
      <c r="BM53" s="1099" t="n">
        <v>0.00117</v>
      </c>
      <c r="BN53" s="1099" t="n">
        <v>1.16E-027</v>
      </c>
      <c r="BO53" s="1099" t="n">
        <v>3.08E-005</v>
      </c>
      <c r="BP53" s="1099" t="n">
        <v>0.00528</v>
      </c>
      <c r="BQ53" s="1099" t="n">
        <v>1.16E-027</v>
      </c>
      <c r="BR53" s="1099" t="n">
        <v>1.57E-024</v>
      </c>
      <c r="BS53" s="1099" t="n">
        <v>0.000182</v>
      </c>
      <c r="BT53" s="1099" t="n">
        <v>3.9E-005</v>
      </c>
      <c r="BU53" s="496" t="s">
        <v>469</v>
      </c>
      <c r="BV53" s="1099" t="n">
        <v>0.000809</v>
      </c>
      <c r="BW53" s="496" t="s">
        <v>469</v>
      </c>
      <c r="BX53" s="1099" t="n">
        <v>1.73E-005</v>
      </c>
      <c r="BY53" s="496" t="s">
        <v>469</v>
      </c>
      <c r="BZ53" s="1099" t="n">
        <v>0.00117</v>
      </c>
      <c r="CA53" s="496" t="s">
        <v>469</v>
      </c>
      <c r="CB53" s="1099" t="n">
        <v>0.000686</v>
      </c>
      <c r="CC53" s="1099" t="n">
        <v>0.000686</v>
      </c>
      <c r="CD53" s="1099" t="n">
        <v>0.000686</v>
      </c>
      <c r="CE53" s="1099" t="n">
        <v>0.000809</v>
      </c>
      <c r="CF53" s="1099" t="n">
        <v>0.000809</v>
      </c>
      <c r="CG53" s="1099" t="n">
        <v>1.73E-005</v>
      </c>
      <c r="CH53" s="1099" t="n">
        <v>1.73E-005</v>
      </c>
      <c r="CI53" s="1099" t="n">
        <v>0.000686</v>
      </c>
      <c r="CJ53" s="1099" t="n">
        <v>0.000686</v>
      </c>
      <c r="CK53" s="1099" t="n">
        <v>0.000686</v>
      </c>
      <c r="CL53" s="1099" t="n">
        <v>0.000686</v>
      </c>
      <c r="CM53" s="1099" t="n">
        <v>0.000686</v>
      </c>
      <c r="CN53" s="1099" t="n">
        <v>0.000686</v>
      </c>
      <c r="CO53" s="1099" t="n">
        <v>0.000785</v>
      </c>
      <c r="CP53" s="1099" t="n">
        <v>0.000785</v>
      </c>
      <c r="CQ53" s="496" t="n">
        <v>0</v>
      </c>
      <c r="CR53" s="496" t="n">
        <v>0</v>
      </c>
      <c r="CS53" s="1099" t="n">
        <v>0.00114</v>
      </c>
      <c r="CT53" s="1099" t="n">
        <v>0.00114</v>
      </c>
      <c r="CU53" s="1099" t="n">
        <v>0.00117</v>
      </c>
      <c r="CV53" s="1099" t="n">
        <v>0.00117</v>
      </c>
      <c r="CW53" s="1099" t="n">
        <v>0.00117</v>
      </c>
      <c r="CX53" s="1099" t="n">
        <v>0.00117</v>
      </c>
      <c r="CY53" s="1099" t="n">
        <v>3.9E-005</v>
      </c>
      <c r="CZ53" s="1099" t="n">
        <v>3.9E-005</v>
      </c>
      <c r="DA53" s="496" t="n">
        <v>0</v>
      </c>
      <c r="DB53" s="496" t="n">
        <v>0</v>
      </c>
      <c r="DC53" s="1099" t="n">
        <v>0.00117</v>
      </c>
      <c r="DD53" s="1099" t="n">
        <v>0.00117</v>
      </c>
      <c r="DE53" s="496" t="n">
        <v>0</v>
      </c>
      <c r="DF53" s="496" t="n">
        <v>0</v>
      </c>
    </row>
    <row r="54" customFormat="false" ht="15" hidden="false" customHeight="false" outlineLevel="0" collapsed="false">
      <c r="A54" s="496" t="s">
        <v>1985</v>
      </c>
      <c r="B54" s="1099" t="n">
        <v>0.00196</v>
      </c>
      <c r="C54" s="1099" t="n">
        <v>0.00196</v>
      </c>
      <c r="D54" s="1099" t="n">
        <v>0.00326</v>
      </c>
      <c r="E54" s="1099" t="n">
        <v>0.00334</v>
      </c>
      <c r="F54" s="1099" t="n">
        <v>0.00032</v>
      </c>
      <c r="G54" s="496" t="n">
        <v>0</v>
      </c>
      <c r="H54" s="1099" t="n">
        <v>0.00196</v>
      </c>
      <c r="I54" s="1099" t="n">
        <v>0.00326</v>
      </c>
      <c r="J54" s="1099" t="n">
        <v>0.000361</v>
      </c>
      <c r="K54" s="1099" t="n">
        <v>0.000361</v>
      </c>
      <c r="L54" s="1099" t="n">
        <v>0.00196</v>
      </c>
      <c r="M54" s="496" t="n">
        <v>0</v>
      </c>
      <c r="N54" s="496" t="s">
        <v>469</v>
      </c>
      <c r="O54" s="1099" t="n">
        <v>0.00231</v>
      </c>
      <c r="P54" s="496" t="n">
        <v>0</v>
      </c>
      <c r="Q54" s="1099" t="n">
        <v>6.89E-026</v>
      </c>
      <c r="R54" s="1099" t="n">
        <v>6.89E-026</v>
      </c>
      <c r="S54" s="1099" t="n">
        <v>1.68E-026</v>
      </c>
      <c r="T54" s="1099" t="n">
        <v>1.68E-026</v>
      </c>
      <c r="U54" s="1099" t="n">
        <v>3.41E-005</v>
      </c>
      <c r="V54" s="1099" t="n">
        <v>7.42E-014</v>
      </c>
      <c r="W54" s="1099" t="n">
        <v>7.42E-014</v>
      </c>
      <c r="X54" s="1099" t="n">
        <v>7.42E-014</v>
      </c>
      <c r="Y54" s="1099" t="n">
        <v>7.42E-014</v>
      </c>
      <c r="Z54" s="1099" t="n">
        <v>7.42E-014</v>
      </c>
      <c r="AA54" s="1099" t="n">
        <v>0.00231</v>
      </c>
      <c r="AB54" s="1099" t="n">
        <v>3.41E-005</v>
      </c>
      <c r="AC54" s="1099" t="n">
        <v>0.00326</v>
      </c>
      <c r="AD54" s="1099" t="n">
        <v>0.00231</v>
      </c>
      <c r="AE54" s="1099" t="n">
        <v>0.00231</v>
      </c>
      <c r="AF54" s="1099" t="n">
        <v>3.41E-005</v>
      </c>
      <c r="AG54" s="1099" t="n">
        <v>3.41E-005</v>
      </c>
      <c r="AH54" s="1099" t="n">
        <v>0.00196</v>
      </c>
      <c r="AI54" s="1099" t="n">
        <v>0.00196</v>
      </c>
      <c r="AJ54" s="1099" t="n">
        <v>0.00196</v>
      </c>
      <c r="AK54" s="1099" t="n">
        <v>0.00196</v>
      </c>
      <c r="AL54" s="1099" t="n">
        <v>0.00196</v>
      </c>
      <c r="AM54" s="1099" t="n">
        <v>0.00196</v>
      </c>
      <c r="AN54" s="1099" t="n">
        <v>0.00237</v>
      </c>
      <c r="AO54" s="1099" t="n">
        <v>0.00237</v>
      </c>
      <c r="AP54" s="496" t="n">
        <v>0</v>
      </c>
      <c r="AQ54" s="496" t="n">
        <v>0</v>
      </c>
      <c r="AR54" s="1099" t="n">
        <v>0.00326</v>
      </c>
      <c r="AS54" s="1099" t="n">
        <v>0.00326</v>
      </c>
      <c r="AT54" s="1099" t="n">
        <v>0.00334</v>
      </c>
      <c r="AU54" s="1099" t="n">
        <v>0.00334</v>
      </c>
      <c r="AV54" s="1099" t="n">
        <v>8.01E-005</v>
      </c>
      <c r="AW54" s="1099" t="n">
        <v>8.01E-005</v>
      </c>
      <c r="AX54" s="1099" t="n">
        <v>0.00196</v>
      </c>
      <c r="AY54" s="1099" t="n">
        <v>0.00196</v>
      </c>
      <c r="AZ54" s="1099" t="n">
        <v>0.00196</v>
      </c>
      <c r="BA54" s="1099" t="n">
        <v>0.00196</v>
      </c>
      <c r="BB54" s="1099" t="n">
        <v>0.000322</v>
      </c>
      <c r="BC54" s="1099" t="n">
        <v>0.00196</v>
      </c>
      <c r="BD54" s="1099" t="n">
        <v>3.41E-005</v>
      </c>
      <c r="BE54" s="1099" t="n">
        <v>0.000763</v>
      </c>
      <c r="BF54" s="1099" t="n">
        <v>7.42E-014</v>
      </c>
      <c r="BG54" s="1099" t="n">
        <v>7.42E-014</v>
      </c>
      <c r="BH54" s="1099" t="n">
        <v>0.00326</v>
      </c>
      <c r="BI54" s="1099" t="n">
        <v>0.00326</v>
      </c>
      <c r="BJ54" s="1099" t="n">
        <v>0.00237</v>
      </c>
      <c r="BK54" s="1099" t="n">
        <v>0.00208</v>
      </c>
      <c r="BL54" s="1099" t="n">
        <v>6.37E-005</v>
      </c>
      <c r="BM54" s="1099" t="n">
        <v>0.00334</v>
      </c>
      <c r="BN54" s="1099" t="n">
        <v>6.93E-026</v>
      </c>
      <c r="BO54" s="1099" t="n">
        <v>6.37E-005</v>
      </c>
      <c r="BP54" s="496" t="n">
        <v>0.0114774</v>
      </c>
      <c r="BQ54" s="1099" t="n">
        <v>6.93E-026</v>
      </c>
      <c r="BR54" s="1099" t="n">
        <v>8.22E-023</v>
      </c>
      <c r="BS54" s="1099" t="n">
        <v>0.000361</v>
      </c>
      <c r="BT54" s="1099" t="n">
        <v>8.01E-005</v>
      </c>
      <c r="BU54" s="496" t="s">
        <v>469</v>
      </c>
      <c r="BV54" s="1099" t="n">
        <v>0.00231</v>
      </c>
      <c r="BW54" s="496" t="s">
        <v>469</v>
      </c>
      <c r="BX54" s="1099" t="n">
        <v>3.41E-005</v>
      </c>
      <c r="BY54" s="496" t="s">
        <v>469</v>
      </c>
      <c r="BZ54" s="1099" t="n">
        <v>0.00334</v>
      </c>
      <c r="CA54" s="496" t="s">
        <v>469</v>
      </c>
      <c r="CB54" s="1099" t="n">
        <v>0.00196</v>
      </c>
      <c r="CC54" s="1099" t="n">
        <v>0.00196</v>
      </c>
      <c r="CD54" s="1099" t="n">
        <v>0.00196</v>
      </c>
      <c r="CE54" s="1099" t="n">
        <v>0.00231</v>
      </c>
      <c r="CF54" s="1099" t="n">
        <v>0.00231</v>
      </c>
      <c r="CG54" s="1099" t="n">
        <v>3.41E-005</v>
      </c>
      <c r="CH54" s="1099" t="n">
        <v>3.41E-005</v>
      </c>
      <c r="CI54" s="1099" t="n">
        <v>0.00196</v>
      </c>
      <c r="CJ54" s="1099" t="n">
        <v>0.00196</v>
      </c>
      <c r="CK54" s="1099" t="n">
        <v>0.00196</v>
      </c>
      <c r="CL54" s="1099" t="n">
        <v>0.00196</v>
      </c>
      <c r="CM54" s="1099" t="n">
        <v>0.00196</v>
      </c>
      <c r="CN54" s="1099" t="n">
        <v>0.00196</v>
      </c>
      <c r="CO54" s="1099" t="n">
        <v>0.00237</v>
      </c>
      <c r="CP54" s="1099" t="n">
        <v>0.00237</v>
      </c>
      <c r="CQ54" s="496" t="n">
        <v>0</v>
      </c>
      <c r="CR54" s="496" t="n">
        <v>0</v>
      </c>
      <c r="CS54" s="1099" t="n">
        <v>0.00326</v>
      </c>
      <c r="CT54" s="1099" t="n">
        <v>0.00326</v>
      </c>
      <c r="CU54" s="1099" t="n">
        <v>0.00334</v>
      </c>
      <c r="CV54" s="1099" t="n">
        <v>0.00334</v>
      </c>
      <c r="CW54" s="1099" t="n">
        <v>0.00334</v>
      </c>
      <c r="CX54" s="1099" t="n">
        <v>0.00334</v>
      </c>
      <c r="CY54" s="1099" t="n">
        <v>8.01E-005</v>
      </c>
      <c r="CZ54" s="1099" t="n">
        <v>8.01E-005</v>
      </c>
      <c r="DA54" s="496" t="n">
        <v>0</v>
      </c>
      <c r="DB54" s="496" t="n">
        <v>0</v>
      </c>
      <c r="DC54" s="1099" t="n">
        <v>0.00334</v>
      </c>
      <c r="DD54" s="1099" t="n">
        <v>0.00334</v>
      </c>
      <c r="DE54" s="496" t="n">
        <v>0</v>
      </c>
      <c r="DF54" s="496" t="n">
        <v>0</v>
      </c>
    </row>
    <row r="55" customFormat="false" ht="15" hidden="false" customHeight="false" outlineLevel="0" collapsed="false">
      <c r="A55" s="496" t="s">
        <v>1986</v>
      </c>
      <c r="B55" s="496" t="n">
        <v>0.2759073</v>
      </c>
      <c r="C55" s="496" t="n">
        <v>0.2759073</v>
      </c>
      <c r="D55" s="496" t="n">
        <v>0.4597206</v>
      </c>
      <c r="E55" s="496" t="n">
        <v>0.472275</v>
      </c>
      <c r="F55" s="496" t="n">
        <v>0.0187075</v>
      </c>
      <c r="G55" s="496" t="n">
        <v>0</v>
      </c>
      <c r="H55" s="496" t="n">
        <v>0.2759073</v>
      </c>
      <c r="I55" s="496" t="n">
        <v>0.4597206</v>
      </c>
      <c r="J55" s="496" t="n">
        <v>0.0201221</v>
      </c>
      <c r="K55" s="496" t="n">
        <v>0.0201221</v>
      </c>
      <c r="L55" s="496" t="n">
        <v>0.2759073</v>
      </c>
      <c r="M55" s="496" t="n">
        <v>0</v>
      </c>
      <c r="N55" s="496" t="s">
        <v>469</v>
      </c>
      <c r="O55" s="496" t="n">
        <v>0.3262996</v>
      </c>
      <c r="P55" s="496" t="n">
        <v>0</v>
      </c>
      <c r="Q55" s="1099" t="n">
        <v>6.4E-030</v>
      </c>
      <c r="R55" s="1099" t="n">
        <v>6.4E-030</v>
      </c>
      <c r="S55" s="1099" t="n">
        <v>5.41E-025</v>
      </c>
      <c r="T55" s="1099" t="n">
        <v>5.41E-025</v>
      </c>
      <c r="U55" s="1099" t="n">
        <v>0.00198</v>
      </c>
      <c r="V55" s="1099" t="n">
        <v>6.11E-009</v>
      </c>
      <c r="W55" s="1099" t="n">
        <v>6.11E-009</v>
      </c>
      <c r="X55" s="1099" t="n">
        <v>6.11E-009</v>
      </c>
      <c r="Y55" s="1099" t="n">
        <v>6.11E-009</v>
      </c>
      <c r="Z55" s="1099" t="n">
        <v>6.11E-009</v>
      </c>
      <c r="AA55" s="496" t="n">
        <v>0.3262996</v>
      </c>
      <c r="AB55" s="1099" t="n">
        <v>0.00198</v>
      </c>
      <c r="AC55" s="496" t="n">
        <v>0.4597206</v>
      </c>
      <c r="AD55" s="496" t="n">
        <v>0.3262996</v>
      </c>
      <c r="AE55" s="496" t="n">
        <v>0.3262996</v>
      </c>
      <c r="AF55" s="1099" t="n">
        <v>0.00198</v>
      </c>
      <c r="AG55" s="1099" t="n">
        <v>0.00198</v>
      </c>
      <c r="AH55" s="496" t="n">
        <v>0.2759073</v>
      </c>
      <c r="AI55" s="496" t="n">
        <v>0.2759073</v>
      </c>
      <c r="AJ55" s="496" t="n">
        <v>0.2759073</v>
      </c>
      <c r="AK55" s="496" t="n">
        <v>0.2759073</v>
      </c>
      <c r="AL55" s="496" t="n">
        <v>0.2759073</v>
      </c>
      <c r="AM55" s="496" t="n">
        <v>0.2759073</v>
      </c>
      <c r="AN55" s="496" t="n">
        <v>0.4393751</v>
      </c>
      <c r="AO55" s="496" t="n">
        <v>0.4393751</v>
      </c>
      <c r="AP55" s="496" t="n">
        <v>0</v>
      </c>
      <c r="AQ55" s="496" t="n">
        <v>0</v>
      </c>
      <c r="AR55" s="496" t="n">
        <v>0.4597206</v>
      </c>
      <c r="AS55" s="496" t="n">
        <v>0.4597206</v>
      </c>
      <c r="AT55" s="496" t="n">
        <v>0.472275</v>
      </c>
      <c r="AU55" s="496" t="n">
        <v>0.472275</v>
      </c>
      <c r="AV55" s="1099" t="n">
        <v>0.00384</v>
      </c>
      <c r="AW55" s="1099" t="n">
        <v>0.00384</v>
      </c>
      <c r="AX55" s="496" t="n">
        <v>0.2759073</v>
      </c>
      <c r="AY55" s="496" t="n">
        <v>0.2759073</v>
      </c>
      <c r="AZ55" s="496" t="n">
        <v>0.2759073</v>
      </c>
      <c r="BA55" s="496" t="n">
        <v>0.2759073</v>
      </c>
      <c r="BB55" s="496" t="n">
        <v>0.0187239</v>
      </c>
      <c r="BC55" s="496" t="n">
        <v>0.2759073</v>
      </c>
      <c r="BD55" s="1099" t="n">
        <v>0.00198</v>
      </c>
      <c r="BE55" s="496" t="n">
        <v>0.2420253</v>
      </c>
      <c r="BF55" s="1099" t="n">
        <v>6.11E-009</v>
      </c>
      <c r="BG55" s="1099" t="n">
        <v>6.11E-009</v>
      </c>
      <c r="BH55" s="496" t="n">
        <v>0.4597206</v>
      </c>
      <c r="BI55" s="496" t="n">
        <v>0.4597206</v>
      </c>
      <c r="BJ55" s="496" t="n">
        <v>0.439375</v>
      </c>
      <c r="BK55" s="496" t="n">
        <v>0.3577575</v>
      </c>
      <c r="BL55" s="1099" t="n">
        <v>0.00295</v>
      </c>
      <c r="BM55" s="496" t="n">
        <v>0.472275</v>
      </c>
      <c r="BN55" s="1099" t="n">
        <v>6.44E-030</v>
      </c>
      <c r="BO55" s="1099" t="n">
        <v>0.00295</v>
      </c>
      <c r="BP55" s="496" t="n">
        <v>0.4027442</v>
      </c>
      <c r="BQ55" s="1099" t="n">
        <v>6.44E-030</v>
      </c>
      <c r="BR55" s="1099" t="n">
        <v>2.01E-026</v>
      </c>
      <c r="BS55" s="496" t="n">
        <v>0.0201221</v>
      </c>
      <c r="BT55" s="1099" t="n">
        <v>0.00384</v>
      </c>
      <c r="BU55" s="496" t="s">
        <v>469</v>
      </c>
      <c r="BV55" s="496" t="n">
        <v>0.3262996</v>
      </c>
      <c r="BW55" s="496" t="s">
        <v>469</v>
      </c>
      <c r="BX55" s="1099" t="n">
        <v>0.00198</v>
      </c>
      <c r="BY55" s="496" t="s">
        <v>469</v>
      </c>
      <c r="BZ55" s="496" t="n">
        <v>0.472275</v>
      </c>
      <c r="CA55" s="496" t="s">
        <v>469</v>
      </c>
      <c r="CB55" s="496" t="n">
        <v>0.2759073</v>
      </c>
      <c r="CC55" s="496" t="n">
        <v>0.2759073</v>
      </c>
      <c r="CD55" s="496" t="n">
        <v>0.2759073</v>
      </c>
      <c r="CE55" s="496" t="n">
        <v>0.3262996</v>
      </c>
      <c r="CF55" s="496" t="n">
        <v>0.3262996</v>
      </c>
      <c r="CG55" s="1099" t="n">
        <v>0.00198</v>
      </c>
      <c r="CH55" s="1099" t="n">
        <v>0.00198</v>
      </c>
      <c r="CI55" s="496" t="n">
        <v>0.2759073</v>
      </c>
      <c r="CJ55" s="496" t="n">
        <v>0.2759073</v>
      </c>
      <c r="CK55" s="496" t="n">
        <v>0.2759073</v>
      </c>
      <c r="CL55" s="496" t="n">
        <v>0.2759073</v>
      </c>
      <c r="CM55" s="496" t="n">
        <v>0.2759073</v>
      </c>
      <c r="CN55" s="496" t="n">
        <v>0.2759073</v>
      </c>
      <c r="CO55" s="496" t="n">
        <v>0.439375</v>
      </c>
      <c r="CP55" s="496" t="n">
        <v>0.439375</v>
      </c>
      <c r="CQ55" s="496" t="n">
        <v>0</v>
      </c>
      <c r="CR55" s="496" t="n">
        <v>0</v>
      </c>
      <c r="CS55" s="496" t="n">
        <v>0.4597206</v>
      </c>
      <c r="CT55" s="496" t="n">
        <v>0.4597206</v>
      </c>
      <c r="CU55" s="496" t="n">
        <v>0.472275</v>
      </c>
      <c r="CV55" s="496" t="n">
        <v>0.472275</v>
      </c>
      <c r="CW55" s="496" t="n">
        <v>0.472275</v>
      </c>
      <c r="CX55" s="496" t="n">
        <v>0.472275</v>
      </c>
      <c r="CY55" s="1099" t="n">
        <v>0.00384</v>
      </c>
      <c r="CZ55" s="1099" t="n">
        <v>0.00384</v>
      </c>
      <c r="DA55" s="496" t="n">
        <v>0</v>
      </c>
      <c r="DB55" s="496" t="n">
        <v>0</v>
      </c>
      <c r="DC55" s="496" t="n">
        <v>0.472275</v>
      </c>
      <c r="DD55" s="496" t="n">
        <v>0.472275</v>
      </c>
      <c r="DE55" s="496" t="n">
        <v>0</v>
      </c>
      <c r="DF55" s="496" t="n">
        <v>0</v>
      </c>
    </row>
    <row r="56" customFormat="false" ht="15" hidden="false" customHeight="false" outlineLevel="0" collapsed="false">
      <c r="A56" s="496" t="s">
        <v>1987</v>
      </c>
      <c r="B56" s="496" t="n">
        <v>0.0640283</v>
      </c>
      <c r="C56" s="496" t="n">
        <v>0.0197207</v>
      </c>
      <c r="D56" s="1099" t="n">
        <v>0.000101</v>
      </c>
      <c r="E56" s="1099" t="n">
        <v>0.000104</v>
      </c>
      <c r="F56" s="1099" t="n">
        <v>7.04E-006</v>
      </c>
      <c r="G56" s="496" t="n">
        <v>0</v>
      </c>
      <c r="H56" s="496" t="n">
        <v>0.2575922</v>
      </c>
      <c r="I56" s="1099" t="n">
        <v>0.000101</v>
      </c>
      <c r="J56" s="1099" t="n">
        <v>7.42E-006</v>
      </c>
      <c r="K56" s="1099" t="n">
        <v>7.42E-006</v>
      </c>
      <c r="L56" s="496" t="n">
        <v>0.0640283</v>
      </c>
      <c r="M56" s="496" t="n">
        <v>0</v>
      </c>
      <c r="N56" s="496" t="s">
        <v>469</v>
      </c>
      <c r="O56" s="496" t="n">
        <v>0.30498</v>
      </c>
      <c r="P56" s="496" t="n">
        <v>0</v>
      </c>
      <c r="Q56" s="1099" t="n">
        <v>7.51E-028</v>
      </c>
      <c r="R56" s="1099" t="n">
        <v>7.51E-028</v>
      </c>
      <c r="S56" s="1099" t="n">
        <v>3.83E-028</v>
      </c>
      <c r="T56" s="1099" t="n">
        <v>3.83E-028</v>
      </c>
      <c r="U56" s="1099" t="n">
        <v>7.55E-007</v>
      </c>
      <c r="V56" s="1099" t="n">
        <v>1.55E-009</v>
      </c>
      <c r="W56" s="1099" t="n">
        <v>1.55E-009</v>
      </c>
      <c r="X56" s="1099" t="n">
        <v>1.55E-009</v>
      </c>
      <c r="Y56" s="1099" t="n">
        <v>1.55E-009</v>
      </c>
      <c r="Z56" s="1099" t="n">
        <v>1.55E-009</v>
      </c>
      <c r="AA56" s="496" t="n">
        <v>0.30498</v>
      </c>
      <c r="AB56" s="1099" t="n">
        <v>7.55E-007</v>
      </c>
      <c r="AC56" s="1099" t="n">
        <v>0.000101</v>
      </c>
      <c r="AD56" s="496" t="n">
        <v>0.30498</v>
      </c>
      <c r="AE56" s="496" t="n">
        <v>0.30498</v>
      </c>
      <c r="AF56" s="1099" t="n">
        <v>7.55E-007</v>
      </c>
      <c r="AG56" s="1099" t="n">
        <v>7.55E-007</v>
      </c>
      <c r="AH56" s="496" t="n">
        <v>0.0640283</v>
      </c>
      <c r="AI56" s="496" t="n">
        <v>0.0640283</v>
      </c>
      <c r="AJ56" s="496" t="n">
        <v>0.0640283</v>
      </c>
      <c r="AK56" s="496" t="n">
        <v>0.0640283</v>
      </c>
      <c r="AL56" s="496" t="n">
        <v>0.0197207</v>
      </c>
      <c r="AM56" s="496" t="n">
        <v>0.0197207</v>
      </c>
      <c r="AN56" s="1099" t="n">
        <v>9.93E-005</v>
      </c>
      <c r="AO56" s="1099" t="n">
        <v>9.93E-005</v>
      </c>
      <c r="AP56" s="496" t="n">
        <v>0</v>
      </c>
      <c r="AQ56" s="496" t="n">
        <v>0</v>
      </c>
      <c r="AR56" s="1099" t="n">
        <v>0.000101</v>
      </c>
      <c r="AS56" s="1099" t="n">
        <v>0.000101</v>
      </c>
      <c r="AT56" s="1099" t="n">
        <v>0.000104</v>
      </c>
      <c r="AU56" s="1099" t="n">
        <v>0.000104</v>
      </c>
      <c r="AV56" s="1099" t="n">
        <v>1.33E-006</v>
      </c>
      <c r="AW56" s="1099" t="n">
        <v>1.33E-006</v>
      </c>
      <c r="AX56" s="496" t="n">
        <v>0.0640283</v>
      </c>
      <c r="AY56" s="496" t="n">
        <v>0.0640283</v>
      </c>
      <c r="AZ56" s="496" t="n">
        <v>0.0197207</v>
      </c>
      <c r="BA56" s="496" t="n">
        <v>0.2575922</v>
      </c>
      <c r="BB56" s="1099" t="n">
        <v>7.12E-006</v>
      </c>
      <c r="BC56" s="496" t="n">
        <v>0.0197207</v>
      </c>
      <c r="BD56" s="1099" t="n">
        <v>7.55E-007</v>
      </c>
      <c r="BE56" s="496" t="n">
        <v>0.0181173</v>
      </c>
      <c r="BF56" s="1099" t="n">
        <v>1.55E-009</v>
      </c>
      <c r="BG56" s="1099" t="n">
        <v>1.55E-009</v>
      </c>
      <c r="BH56" s="1099" t="n">
        <v>0.000101</v>
      </c>
      <c r="BI56" s="1099" t="n">
        <v>0.000101</v>
      </c>
      <c r="BJ56" s="1099" t="n">
        <v>9.93E-005</v>
      </c>
      <c r="BK56" s="496" t="n">
        <v>0.0259682</v>
      </c>
      <c r="BL56" s="1099" t="n">
        <v>9.91E-007</v>
      </c>
      <c r="BM56" s="1099" t="n">
        <v>0.000104</v>
      </c>
      <c r="BN56" s="1099" t="n">
        <v>7.55E-028</v>
      </c>
      <c r="BO56" s="1099" t="n">
        <v>9.91E-007</v>
      </c>
      <c r="BP56" s="1099" t="n">
        <v>0.00011</v>
      </c>
      <c r="BQ56" s="1099" t="n">
        <v>7.55E-028</v>
      </c>
      <c r="BR56" s="1099" t="n">
        <v>9.15E-025</v>
      </c>
      <c r="BS56" s="1099" t="n">
        <v>7.42E-006</v>
      </c>
      <c r="BT56" s="1099" t="n">
        <v>1.33E-006</v>
      </c>
      <c r="BU56" s="496" t="s">
        <v>469</v>
      </c>
      <c r="BV56" s="496" t="n">
        <v>0.30498</v>
      </c>
      <c r="BW56" s="496" t="s">
        <v>469</v>
      </c>
      <c r="BX56" s="1099" t="n">
        <v>7.55E-007</v>
      </c>
      <c r="BY56" s="496" t="s">
        <v>469</v>
      </c>
      <c r="BZ56" s="1099" t="n">
        <v>0.000104</v>
      </c>
      <c r="CA56" s="496" t="s">
        <v>469</v>
      </c>
      <c r="CB56" s="496" t="n">
        <v>0.0640283</v>
      </c>
      <c r="CC56" s="496" t="n">
        <v>0.0640283</v>
      </c>
      <c r="CD56" s="496" t="n">
        <v>0.2575922</v>
      </c>
      <c r="CE56" s="496" t="n">
        <v>0.30498</v>
      </c>
      <c r="CF56" s="496" t="n">
        <v>0.30498</v>
      </c>
      <c r="CG56" s="1099" t="n">
        <v>7.55E-007</v>
      </c>
      <c r="CH56" s="1099" t="n">
        <v>7.55E-007</v>
      </c>
      <c r="CI56" s="496" t="n">
        <v>0.0640283</v>
      </c>
      <c r="CJ56" s="496" t="n">
        <v>0.0640283</v>
      </c>
      <c r="CK56" s="496" t="n">
        <v>0.0640283</v>
      </c>
      <c r="CL56" s="496" t="n">
        <v>0.0640283</v>
      </c>
      <c r="CM56" s="496" t="n">
        <v>0.0197207</v>
      </c>
      <c r="CN56" s="496" t="n">
        <v>0.0197207</v>
      </c>
      <c r="CO56" s="1099" t="n">
        <v>9.93E-005</v>
      </c>
      <c r="CP56" s="1099" t="n">
        <v>9.93E-005</v>
      </c>
      <c r="CQ56" s="496" t="n">
        <v>0</v>
      </c>
      <c r="CR56" s="496" t="n">
        <v>0</v>
      </c>
      <c r="CS56" s="1099" t="n">
        <v>0.000101</v>
      </c>
      <c r="CT56" s="1099" t="n">
        <v>0.000101</v>
      </c>
      <c r="CU56" s="1099" t="n">
        <v>0.000104</v>
      </c>
      <c r="CV56" s="1099" t="n">
        <v>0.000104</v>
      </c>
      <c r="CW56" s="1099" t="n">
        <v>0.000104</v>
      </c>
      <c r="CX56" s="1099" t="n">
        <v>0.000104</v>
      </c>
      <c r="CY56" s="1099" t="n">
        <v>1.33E-006</v>
      </c>
      <c r="CZ56" s="1099" t="n">
        <v>1.33E-006</v>
      </c>
      <c r="DA56" s="496" t="n">
        <v>0</v>
      </c>
      <c r="DB56" s="496" t="n">
        <v>0</v>
      </c>
      <c r="DC56" s="1099" t="n">
        <v>0.000104</v>
      </c>
      <c r="DD56" s="1099" t="n">
        <v>0.000104</v>
      </c>
      <c r="DE56" s="496" t="n">
        <v>0</v>
      </c>
      <c r="DF56" s="496" t="n">
        <v>0</v>
      </c>
    </row>
    <row r="57" customFormat="false" ht="15" hidden="false" customHeight="false" outlineLevel="0" collapsed="false">
      <c r="A57" s="496" t="s">
        <v>1988</v>
      </c>
      <c r="B57" s="496" t="n">
        <v>0.1878849</v>
      </c>
      <c r="C57" s="496" t="n">
        <v>0.1878849</v>
      </c>
      <c r="D57" s="496" t="n">
        <v>0.3130587</v>
      </c>
      <c r="E57" s="496" t="n">
        <v>0.3216072</v>
      </c>
      <c r="F57" s="496" t="n">
        <v>0.0142142</v>
      </c>
      <c r="G57" s="496" t="n">
        <v>0</v>
      </c>
      <c r="H57" s="496" t="n">
        <v>0.1878849</v>
      </c>
      <c r="I57" s="496" t="n">
        <v>0.3130587</v>
      </c>
      <c r="J57" s="496" t="n">
        <v>0.0149944</v>
      </c>
      <c r="K57" s="496" t="n">
        <v>0.0149944</v>
      </c>
      <c r="L57" s="496" t="n">
        <v>0.1878849</v>
      </c>
      <c r="M57" s="496" t="n">
        <v>0</v>
      </c>
      <c r="N57" s="496" t="s">
        <v>469</v>
      </c>
      <c r="O57" s="496" t="n">
        <v>0.2221722</v>
      </c>
      <c r="P57" s="496" t="n">
        <v>0</v>
      </c>
      <c r="Q57" s="1099" t="n">
        <v>1.03E-021</v>
      </c>
      <c r="R57" s="1099" t="n">
        <v>1.03E-021</v>
      </c>
      <c r="S57" s="1099" t="n">
        <v>6.56E-021</v>
      </c>
      <c r="T57" s="1099" t="n">
        <v>6.56E-021</v>
      </c>
      <c r="U57" s="1099" t="n">
        <v>0.00151</v>
      </c>
      <c r="V57" s="1099" t="n">
        <v>8.97E-008</v>
      </c>
      <c r="W57" s="1099" t="n">
        <v>8.97E-008</v>
      </c>
      <c r="X57" s="1099" t="n">
        <v>8.97E-008</v>
      </c>
      <c r="Y57" s="1099" t="n">
        <v>8.97E-008</v>
      </c>
      <c r="Z57" s="1099" t="n">
        <v>8.97E-008</v>
      </c>
      <c r="AA57" s="496" t="n">
        <v>0.2221722</v>
      </c>
      <c r="AB57" s="1099" t="n">
        <v>0.00151</v>
      </c>
      <c r="AC57" s="496" t="n">
        <v>0.3130587</v>
      </c>
      <c r="AD57" s="496" t="n">
        <v>0.2221722</v>
      </c>
      <c r="AE57" s="496" t="n">
        <v>0.2221722</v>
      </c>
      <c r="AF57" s="1099" t="n">
        <v>0.00151</v>
      </c>
      <c r="AG57" s="1099" t="n">
        <v>0.00151</v>
      </c>
      <c r="AH57" s="496" t="n">
        <v>0.1878849</v>
      </c>
      <c r="AI57" s="496" t="n">
        <v>0.1878849</v>
      </c>
      <c r="AJ57" s="496" t="n">
        <v>0.1878849</v>
      </c>
      <c r="AK57" s="496" t="n">
        <v>0.1878849</v>
      </c>
      <c r="AL57" s="496" t="n">
        <v>0.1878849</v>
      </c>
      <c r="AM57" s="496" t="n">
        <v>0.1878849</v>
      </c>
      <c r="AN57" s="496" t="n">
        <v>0.3420376</v>
      </c>
      <c r="AO57" s="496" t="n">
        <v>0.3420376</v>
      </c>
      <c r="AP57" s="496" t="n">
        <v>0</v>
      </c>
      <c r="AQ57" s="496" t="n">
        <v>0</v>
      </c>
      <c r="AR57" s="496" t="n">
        <v>0.3130587</v>
      </c>
      <c r="AS57" s="496" t="n">
        <v>0.3130587</v>
      </c>
      <c r="AT57" s="496" t="n">
        <v>0.3216072</v>
      </c>
      <c r="AU57" s="496" t="n">
        <v>0.3216072</v>
      </c>
      <c r="AV57" s="1099" t="n">
        <v>0.00269</v>
      </c>
      <c r="AW57" s="1099" t="n">
        <v>0.00269</v>
      </c>
      <c r="AX57" s="496" t="n">
        <v>0.1878849</v>
      </c>
      <c r="AY57" s="496" t="n">
        <v>0.1878849</v>
      </c>
      <c r="AZ57" s="496" t="n">
        <v>0.1878849</v>
      </c>
      <c r="BA57" s="496" t="n">
        <v>0.1878849</v>
      </c>
      <c r="BB57" s="496" t="n">
        <v>0.0142037</v>
      </c>
      <c r="BC57" s="496" t="n">
        <v>0.1878849</v>
      </c>
      <c r="BD57" s="1099" t="n">
        <v>0.00151</v>
      </c>
      <c r="BE57" s="496" t="n">
        <v>0.2429207</v>
      </c>
      <c r="BF57" s="1099" t="n">
        <v>8.97E-008</v>
      </c>
      <c r="BG57" s="1099" t="n">
        <v>8.97E-008</v>
      </c>
      <c r="BH57" s="496" t="n">
        <v>0.3130587</v>
      </c>
      <c r="BI57" s="496" t="n">
        <v>0.3130587</v>
      </c>
      <c r="BJ57" s="496" t="n">
        <v>0.3420375</v>
      </c>
      <c r="BK57" s="496" t="n">
        <v>0.2815255</v>
      </c>
      <c r="BL57" s="1099" t="n">
        <v>0.00201</v>
      </c>
      <c r="BM57" s="496" t="n">
        <v>0.3216072</v>
      </c>
      <c r="BN57" s="1099" t="n">
        <v>1.04E-021</v>
      </c>
      <c r="BO57" s="1099" t="n">
        <v>0.00201</v>
      </c>
      <c r="BP57" s="496" t="n">
        <v>0.2260422</v>
      </c>
      <c r="BQ57" s="1099" t="n">
        <v>1.04E-021</v>
      </c>
      <c r="BR57" s="1099" t="n">
        <v>2.27E-018</v>
      </c>
      <c r="BS57" s="496" t="n">
        <v>0.0149944</v>
      </c>
      <c r="BT57" s="1099" t="n">
        <v>0.00269</v>
      </c>
      <c r="BU57" s="496" t="s">
        <v>469</v>
      </c>
      <c r="BV57" s="496" t="n">
        <v>0.2221722</v>
      </c>
      <c r="BW57" s="496" t="s">
        <v>469</v>
      </c>
      <c r="BX57" s="1099" t="n">
        <v>0.00151</v>
      </c>
      <c r="BY57" s="496" t="s">
        <v>469</v>
      </c>
      <c r="BZ57" s="496" t="n">
        <v>0.3216072</v>
      </c>
      <c r="CA57" s="496" t="s">
        <v>469</v>
      </c>
      <c r="CB57" s="496" t="n">
        <v>0.1878849</v>
      </c>
      <c r="CC57" s="496" t="n">
        <v>0.1878849</v>
      </c>
      <c r="CD57" s="496" t="n">
        <v>0.1878849</v>
      </c>
      <c r="CE57" s="496" t="n">
        <v>0.2221722</v>
      </c>
      <c r="CF57" s="496" t="n">
        <v>0.2221722</v>
      </c>
      <c r="CG57" s="1099" t="n">
        <v>0.00151</v>
      </c>
      <c r="CH57" s="1099" t="n">
        <v>0.00151</v>
      </c>
      <c r="CI57" s="496" t="n">
        <v>0.1878849</v>
      </c>
      <c r="CJ57" s="496" t="n">
        <v>0.1878849</v>
      </c>
      <c r="CK57" s="496" t="n">
        <v>0.1878849</v>
      </c>
      <c r="CL57" s="496" t="n">
        <v>0.1878849</v>
      </c>
      <c r="CM57" s="496" t="n">
        <v>0.1878849</v>
      </c>
      <c r="CN57" s="496" t="n">
        <v>0.1878849</v>
      </c>
      <c r="CO57" s="496" t="n">
        <v>0.3420375</v>
      </c>
      <c r="CP57" s="496" t="n">
        <v>0.3420375</v>
      </c>
      <c r="CQ57" s="496" t="n">
        <v>0</v>
      </c>
      <c r="CR57" s="496" t="n">
        <v>0</v>
      </c>
      <c r="CS57" s="496" t="n">
        <v>0.3130587</v>
      </c>
      <c r="CT57" s="496" t="n">
        <v>0.3130587</v>
      </c>
      <c r="CU57" s="496" t="n">
        <v>0.3216072</v>
      </c>
      <c r="CV57" s="496" t="n">
        <v>0.3216072</v>
      </c>
      <c r="CW57" s="496" t="n">
        <v>0.3216072</v>
      </c>
      <c r="CX57" s="496" t="n">
        <v>0.3216072</v>
      </c>
      <c r="CY57" s="1099" t="n">
        <v>0.00269</v>
      </c>
      <c r="CZ57" s="1099" t="n">
        <v>0.00269</v>
      </c>
      <c r="DA57" s="496" t="n">
        <v>0</v>
      </c>
      <c r="DB57" s="496" t="n">
        <v>0</v>
      </c>
      <c r="DC57" s="496" t="n">
        <v>0.3216072</v>
      </c>
      <c r="DD57" s="496" t="n">
        <v>0.3216072</v>
      </c>
      <c r="DE57" s="496" t="n">
        <v>0</v>
      </c>
      <c r="DF57" s="496" t="n">
        <v>0</v>
      </c>
    </row>
    <row r="58" customFormat="false" ht="15" hidden="false" customHeight="false" outlineLevel="0" collapsed="false">
      <c r="A58" s="496" t="s">
        <v>1989</v>
      </c>
      <c r="B58" s="496" t="n">
        <v>0.1166612</v>
      </c>
      <c r="C58" s="496" t="n">
        <v>0.1166612</v>
      </c>
      <c r="D58" s="496" t="n">
        <v>0.19439</v>
      </c>
      <c r="E58" s="496" t="n">
        <v>0.1995494</v>
      </c>
      <c r="F58" s="496" t="n">
        <v>0.0125561</v>
      </c>
      <c r="G58" s="496" t="n">
        <v>0</v>
      </c>
      <c r="H58" s="496" t="n">
        <v>0.1166612</v>
      </c>
      <c r="I58" s="496" t="n">
        <v>0.19439</v>
      </c>
      <c r="J58" s="496" t="n">
        <v>0.0131787</v>
      </c>
      <c r="K58" s="496" t="n">
        <v>0.0131787</v>
      </c>
      <c r="L58" s="496" t="n">
        <v>0.1166612</v>
      </c>
      <c r="M58" s="496" t="n">
        <v>0</v>
      </c>
      <c r="N58" s="496" t="s">
        <v>469</v>
      </c>
      <c r="O58" s="496" t="n">
        <v>0.1378784</v>
      </c>
      <c r="P58" s="496" t="n">
        <v>0</v>
      </c>
      <c r="Q58" s="1099" t="n">
        <v>4.9E-022</v>
      </c>
      <c r="R58" s="1099" t="n">
        <v>4.9E-022</v>
      </c>
      <c r="S58" s="1099" t="n">
        <v>7.83E-025</v>
      </c>
      <c r="T58" s="1099" t="n">
        <v>7.83E-025</v>
      </c>
      <c r="U58" s="1099" t="n">
        <v>0.00133</v>
      </c>
      <c r="V58" s="1099" t="n">
        <v>1.33E-008</v>
      </c>
      <c r="W58" s="1099" t="n">
        <v>1.33E-008</v>
      </c>
      <c r="X58" s="1099" t="n">
        <v>1.33E-008</v>
      </c>
      <c r="Y58" s="1099" t="n">
        <v>1.33E-008</v>
      </c>
      <c r="Z58" s="1099" t="n">
        <v>1.33E-008</v>
      </c>
      <c r="AA58" s="496" t="n">
        <v>0.1378784</v>
      </c>
      <c r="AB58" s="1099" t="n">
        <v>0.00133</v>
      </c>
      <c r="AC58" s="496" t="n">
        <v>0.19439</v>
      </c>
      <c r="AD58" s="496" t="n">
        <v>0.1378784</v>
      </c>
      <c r="AE58" s="496" t="n">
        <v>0.1378784</v>
      </c>
      <c r="AF58" s="1099" t="n">
        <v>0.00133</v>
      </c>
      <c r="AG58" s="1099" t="n">
        <v>0.00133</v>
      </c>
      <c r="AH58" s="496" t="n">
        <v>0.1166612</v>
      </c>
      <c r="AI58" s="496" t="n">
        <v>0.1166612</v>
      </c>
      <c r="AJ58" s="496" t="n">
        <v>0.1166612</v>
      </c>
      <c r="AK58" s="496" t="n">
        <v>0.1166612</v>
      </c>
      <c r="AL58" s="496" t="n">
        <v>0.1166612</v>
      </c>
      <c r="AM58" s="496" t="n">
        <v>0.1166612</v>
      </c>
      <c r="AN58" s="496" t="n">
        <v>0.1914614</v>
      </c>
      <c r="AO58" s="496" t="n">
        <v>0.1914614</v>
      </c>
      <c r="AP58" s="496" t="n">
        <v>0</v>
      </c>
      <c r="AQ58" s="496" t="n">
        <v>0</v>
      </c>
      <c r="AR58" s="496" t="n">
        <v>0.19439</v>
      </c>
      <c r="AS58" s="496" t="n">
        <v>0.19439</v>
      </c>
      <c r="AT58" s="496" t="n">
        <v>0.1995494</v>
      </c>
      <c r="AU58" s="496" t="n">
        <v>0.1995494</v>
      </c>
      <c r="AV58" s="1099" t="n">
        <v>0.00234</v>
      </c>
      <c r="AW58" s="1099" t="n">
        <v>0.00234</v>
      </c>
      <c r="AX58" s="496" t="n">
        <v>0.1166612</v>
      </c>
      <c r="AY58" s="496" t="n">
        <v>0.1166612</v>
      </c>
      <c r="AZ58" s="496" t="n">
        <v>0.1166612</v>
      </c>
      <c r="BA58" s="496" t="n">
        <v>0.1166612</v>
      </c>
      <c r="BB58" s="496" t="n">
        <v>0.0125321</v>
      </c>
      <c r="BC58" s="496" t="n">
        <v>0.1166612</v>
      </c>
      <c r="BD58" s="1099" t="n">
        <v>0.00133</v>
      </c>
      <c r="BE58" s="496" t="n">
        <v>0.1148248</v>
      </c>
      <c r="BF58" s="1099" t="n">
        <v>1.33E-008</v>
      </c>
      <c r="BG58" s="1099" t="n">
        <v>1.33E-008</v>
      </c>
      <c r="BH58" s="496" t="n">
        <v>0.19439</v>
      </c>
      <c r="BI58" s="496" t="n">
        <v>0.19439</v>
      </c>
      <c r="BJ58" s="496" t="n">
        <v>0.1914614</v>
      </c>
      <c r="BK58" s="496" t="n">
        <v>0.1573305</v>
      </c>
      <c r="BL58" s="1099" t="n">
        <v>0.00172</v>
      </c>
      <c r="BM58" s="496" t="n">
        <v>0.1995494</v>
      </c>
      <c r="BN58" s="1099" t="n">
        <v>4.93E-022</v>
      </c>
      <c r="BO58" s="1099" t="n">
        <v>0.00172</v>
      </c>
      <c r="BP58" s="496" t="n">
        <v>0.1815941</v>
      </c>
      <c r="BQ58" s="1099" t="n">
        <v>4.93E-022</v>
      </c>
      <c r="BR58" s="1099" t="n">
        <v>8.1E-019</v>
      </c>
      <c r="BS58" s="496" t="n">
        <v>0.0131787</v>
      </c>
      <c r="BT58" s="1099" t="n">
        <v>0.00234</v>
      </c>
      <c r="BU58" s="496" t="s">
        <v>469</v>
      </c>
      <c r="BV58" s="496" t="n">
        <v>0.1378784</v>
      </c>
      <c r="BW58" s="496" t="s">
        <v>469</v>
      </c>
      <c r="BX58" s="1099" t="n">
        <v>0.00133</v>
      </c>
      <c r="BY58" s="496" t="s">
        <v>469</v>
      </c>
      <c r="BZ58" s="496" t="n">
        <v>0.1995494</v>
      </c>
      <c r="CA58" s="496" t="s">
        <v>469</v>
      </c>
      <c r="CB58" s="496" t="n">
        <v>0.1166612</v>
      </c>
      <c r="CC58" s="496" t="n">
        <v>0.1166612</v>
      </c>
      <c r="CD58" s="496" t="n">
        <v>0.1166612</v>
      </c>
      <c r="CE58" s="496" t="n">
        <v>0.1378784</v>
      </c>
      <c r="CF58" s="496" t="n">
        <v>0.1378784</v>
      </c>
      <c r="CG58" s="1099" t="n">
        <v>0.00133</v>
      </c>
      <c r="CH58" s="1099" t="n">
        <v>0.00133</v>
      </c>
      <c r="CI58" s="496" t="n">
        <v>0.1166612</v>
      </c>
      <c r="CJ58" s="496" t="n">
        <v>0.1166612</v>
      </c>
      <c r="CK58" s="496" t="n">
        <v>0.1166612</v>
      </c>
      <c r="CL58" s="496" t="n">
        <v>0.1166612</v>
      </c>
      <c r="CM58" s="496" t="n">
        <v>0.1166612</v>
      </c>
      <c r="CN58" s="496" t="n">
        <v>0.1166612</v>
      </c>
      <c r="CO58" s="496" t="n">
        <v>0.1914614</v>
      </c>
      <c r="CP58" s="496" t="n">
        <v>0.1914614</v>
      </c>
      <c r="CQ58" s="496" t="n">
        <v>0</v>
      </c>
      <c r="CR58" s="496" t="n">
        <v>0</v>
      </c>
      <c r="CS58" s="496" t="n">
        <v>0.19439</v>
      </c>
      <c r="CT58" s="496" t="n">
        <v>0.19439</v>
      </c>
      <c r="CU58" s="496" t="n">
        <v>0.1995494</v>
      </c>
      <c r="CV58" s="496" t="n">
        <v>0.1995494</v>
      </c>
      <c r="CW58" s="496" t="n">
        <v>0.1995494</v>
      </c>
      <c r="CX58" s="496" t="n">
        <v>0.1995494</v>
      </c>
      <c r="CY58" s="1099" t="n">
        <v>0.00234</v>
      </c>
      <c r="CZ58" s="1099" t="n">
        <v>0.00234</v>
      </c>
      <c r="DA58" s="496" t="n">
        <v>0</v>
      </c>
      <c r="DB58" s="496" t="n">
        <v>0</v>
      </c>
      <c r="DC58" s="496" t="n">
        <v>0.1995494</v>
      </c>
      <c r="DD58" s="496" t="n">
        <v>0.1995494</v>
      </c>
      <c r="DE58" s="496" t="n">
        <v>0</v>
      </c>
      <c r="DF58" s="496" t="n">
        <v>0</v>
      </c>
    </row>
    <row r="59" customFormat="false" ht="15" hidden="false" customHeight="false" outlineLevel="0" collapsed="false">
      <c r="A59" s="496" t="s">
        <v>1990</v>
      </c>
      <c r="B59" s="496" t="n">
        <v>0</v>
      </c>
      <c r="C59" s="496" t="n">
        <v>0</v>
      </c>
      <c r="D59" s="496" t="n">
        <v>0</v>
      </c>
      <c r="E59" s="496" t="n">
        <v>0</v>
      </c>
      <c r="F59" s="496" t="n">
        <v>0</v>
      </c>
      <c r="G59" s="496" t="n">
        <v>0</v>
      </c>
      <c r="H59" s="496" t="n">
        <v>0</v>
      </c>
      <c r="I59" s="496" t="n">
        <v>0</v>
      </c>
      <c r="J59" s="496" t="n">
        <v>0</v>
      </c>
      <c r="K59" s="496" t="n">
        <v>0</v>
      </c>
      <c r="L59" s="496" t="n">
        <v>0</v>
      </c>
      <c r="M59" s="496" t="n">
        <v>0</v>
      </c>
      <c r="N59" s="496" t="s">
        <v>469</v>
      </c>
      <c r="O59" s="496" t="n">
        <v>0</v>
      </c>
      <c r="P59" s="496" t="n">
        <v>0</v>
      </c>
      <c r="Q59" s="496" t="n">
        <v>0</v>
      </c>
      <c r="R59" s="496" t="n">
        <v>0</v>
      </c>
      <c r="S59" s="496" t="n">
        <v>0</v>
      </c>
      <c r="T59" s="496" t="n">
        <v>0</v>
      </c>
      <c r="U59" s="496" t="n">
        <v>0</v>
      </c>
      <c r="V59" s="496" t="n">
        <v>0</v>
      </c>
      <c r="W59" s="496" t="n">
        <v>0</v>
      </c>
      <c r="X59" s="496" t="n">
        <v>0</v>
      </c>
      <c r="Y59" s="496" t="n">
        <v>0</v>
      </c>
      <c r="Z59" s="496" t="n">
        <v>0</v>
      </c>
      <c r="AA59" s="496" t="n">
        <v>0</v>
      </c>
      <c r="AB59" s="496" t="n">
        <v>0</v>
      </c>
      <c r="AC59" s="496" t="n">
        <v>0</v>
      </c>
      <c r="AD59" s="496" t="n">
        <v>0</v>
      </c>
      <c r="AE59" s="496" t="n">
        <v>0</v>
      </c>
      <c r="AF59" s="496" t="n">
        <v>0</v>
      </c>
      <c r="AG59" s="496" t="n">
        <v>0</v>
      </c>
      <c r="AH59" s="496" t="n">
        <v>0</v>
      </c>
      <c r="AI59" s="496" t="n">
        <v>0</v>
      </c>
      <c r="AJ59" s="496" t="n">
        <v>0</v>
      </c>
      <c r="AK59" s="496" t="n">
        <v>0</v>
      </c>
      <c r="AL59" s="496" t="n">
        <v>0</v>
      </c>
      <c r="AM59" s="496" t="n">
        <v>0</v>
      </c>
      <c r="AN59" s="496" t="n">
        <v>0</v>
      </c>
      <c r="AO59" s="496" t="n">
        <v>0</v>
      </c>
      <c r="AP59" s="496" t="n">
        <v>0</v>
      </c>
      <c r="AQ59" s="496" t="n">
        <v>0</v>
      </c>
      <c r="AR59" s="496" t="n">
        <v>0</v>
      </c>
      <c r="AS59" s="496" t="n">
        <v>0</v>
      </c>
      <c r="AT59" s="496" t="n">
        <v>0</v>
      </c>
      <c r="AU59" s="496" t="n">
        <v>0</v>
      </c>
      <c r="AV59" s="496" t="n">
        <v>0</v>
      </c>
      <c r="AW59" s="496" t="n">
        <v>0</v>
      </c>
      <c r="AX59" s="496" t="n">
        <v>0</v>
      </c>
      <c r="AY59" s="496" t="n">
        <v>0</v>
      </c>
      <c r="AZ59" s="496" t="n">
        <v>0</v>
      </c>
      <c r="BA59" s="496" t="n">
        <v>0</v>
      </c>
      <c r="BB59" s="496" t="n">
        <v>0</v>
      </c>
      <c r="BC59" s="496" t="n">
        <v>0</v>
      </c>
      <c r="BD59" s="496" t="n">
        <v>0</v>
      </c>
      <c r="BE59" s="496" t="n">
        <v>0</v>
      </c>
      <c r="BF59" s="496" t="n">
        <v>0</v>
      </c>
      <c r="BG59" s="496" t="n">
        <v>0</v>
      </c>
      <c r="BH59" s="496" t="n">
        <v>0</v>
      </c>
      <c r="BI59" s="496" t="n">
        <v>0</v>
      </c>
      <c r="BJ59" s="496" t="n">
        <v>0</v>
      </c>
      <c r="BK59" s="496" t="n">
        <v>0</v>
      </c>
      <c r="BL59" s="496" t="n">
        <v>0</v>
      </c>
      <c r="BM59" s="496" t="n">
        <v>0</v>
      </c>
      <c r="BN59" s="496" t="n">
        <v>0</v>
      </c>
      <c r="BO59" s="496" t="n">
        <v>0</v>
      </c>
      <c r="BP59" s="496" t="n">
        <v>0</v>
      </c>
      <c r="BQ59" s="496" t="n">
        <v>0</v>
      </c>
      <c r="BR59" s="496" t="n">
        <v>0</v>
      </c>
      <c r="BS59" s="496" t="n">
        <v>0</v>
      </c>
      <c r="BT59" s="496" t="n">
        <v>0</v>
      </c>
      <c r="BU59" s="496" t="s">
        <v>469</v>
      </c>
      <c r="BV59" s="496" t="n">
        <v>0</v>
      </c>
      <c r="BW59" s="496" t="s">
        <v>469</v>
      </c>
      <c r="BX59" s="496" t="n">
        <v>0</v>
      </c>
      <c r="BY59" s="496" t="s">
        <v>469</v>
      </c>
      <c r="BZ59" s="496" t="n">
        <v>0</v>
      </c>
      <c r="CA59" s="496" t="s">
        <v>469</v>
      </c>
      <c r="CB59" s="496" t="n">
        <v>0</v>
      </c>
      <c r="CC59" s="496" t="n">
        <v>0</v>
      </c>
      <c r="CD59" s="496" t="n">
        <v>0</v>
      </c>
      <c r="CE59" s="496" t="n">
        <v>0</v>
      </c>
      <c r="CF59" s="496" t="n">
        <v>0</v>
      </c>
      <c r="CG59" s="496" t="n">
        <v>0</v>
      </c>
      <c r="CH59" s="496" t="n">
        <v>0</v>
      </c>
      <c r="CI59" s="496" t="n">
        <v>0</v>
      </c>
      <c r="CJ59" s="496" t="n">
        <v>0</v>
      </c>
      <c r="CK59" s="496" t="n">
        <v>0</v>
      </c>
      <c r="CL59" s="496" t="n">
        <v>0</v>
      </c>
      <c r="CM59" s="496" t="n">
        <v>0</v>
      </c>
      <c r="CN59" s="496" t="n">
        <v>0</v>
      </c>
      <c r="CO59" s="496" t="n">
        <v>0</v>
      </c>
      <c r="CP59" s="496" t="n">
        <v>0</v>
      </c>
      <c r="CQ59" s="496" t="n">
        <v>0</v>
      </c>
      <c r="CR59" s="496" t="n">
        <v>0</v>
      </c>
      <c r="CS59" s="496" t="n">
        <v>0</v>
      </c>
      <c r="CT59" s="496" t="n">
        <v>0</v>
      </c>
      <c r="CU59" s="496" t="n">
        <v>0</v>
      </c>
      <c r="CV59" s="496" t="n">
        <v>0</v>
      </c>
      <c r="CW59" s="496" t="n">
        <v>0</v>
      </c>
      <c r="CX59" s="496" t="n">
        <v>0</v>
      </c>
      <c r="CY59" s="496" t="n">
        <v>0</v>
      </c>
      <c r="CZ59" s="496" t="n">
        <v>0</v>
      </c>
      <c r="DA59" s="496" t="n">
        <v>0</v>
      </c>
      <c r="DB59" s="496" t="n">
        <v>0</v>
      </c>
      <c r="DC59" s="496" t="n">
        <v>0</v>
      </c>
      <c r="DD59" s="496" t="n">
        <v>0</v>
      </c>
      <c r="DE59" s="496" t="n">
        <v>0</v>
      </c>
      <c r="DF59" s="496" t="n">
        <v>0</v>
      </c>
    </row>
    <row r="60" customFormat="false" ht="15" hidden="false" customHeight="false" outlineLevel="0" collapsed="false">
      <c r="A60" s="496" t="s">
        <v>1991</v>
      </c>
      <c r="B60" s="496" t="n">
        <v>0</v>
      </c>
      <c r="C60" s="496" t="n">
        <v>0</v>
      </c>
      <c r="D60" s="496" t="n">
        <v>0</v>
      </c>
      <c r="E60" s="496" t="n">
        <v>0</v>
      </c>
      <c r="F60" s="496" t="n">
        <v>0</v>
      </c>
      <c r="G60" s="496" t="n">
        <v>0</v>
      </c>
      <c r="H60" s="496" t="n">
        <v>0</v>
      </c>
      <c r="I60" s="496" t="n">
        <v>0</v>
      </c>
      <c r="J60" s="496" t="n">
        <v>0</v>
      </c>
      <c r="K60" s="496" t="n">
        <v>0</v>
      </c>
      <c r="L60" s="496" t="n">
        <v>0</v>
      </c>
      <c r="M60" s="496" t="n">
        <v>0</v>
      </c>
      <c r="N60" s="496" t="s">
        <v>469</v>
      </c>
      <c r="O60" s="496" t="n">
        <v>0</v>
      </c>
      <c r="P60" s="496" t="n">
        <v>0</v>
      </c>
      <c r="Q60" s="496" t="n">
        <v>0</v>
      </c>
      <c r="R60" s="496" t="n">
        <v>0</v>
      </c>
      <c r="S60" s="496" t="n">
        <v>0</v>
      </c>
      <c r="T60" s="496" t="n">
        <v>0</v>
      </c>
      <c r="U60" s="496" t="n">
        <v>0</v>
      </c>
      <c r="V60" s="496" t="n">
        <v>0</v>
      </c>
      <c r="W60" s="496" t="n">
        <v>0</v>
      </c>
      <c r="X60" s="496" t="n">
        <v>0</v>
      </c>
      <c r="Y60" s="496" t="n">
        <v>0</v>
      </c>
      <c r="Z60" s="496" t="n">
        <v>0</v>
      </c>
      <c r="AA60" s="496" t="n">
        <v>0</v>
      </c>
      <c r="AB60" s="496" t="n">
        <v>0</v>
      </c>
      <c r="AC60" s="496" t="n">
        <v>0</v>
      </c>
      <c r="AD60" s="496" t="n">
        <v>0</v>
      </c>
      <c r="AE60" s="496" t="n">
        <v>0</v>
      </c>
      <c r="AF60" s="496" t="n">
        <v>0</v>
      </c>
      <c r="AG60" s="496" t="n">
        <v>0</v>
      </c>
      <c r="AH60" s="496" t="n">
        <v>0</v>
      </c>
      <c r="AI60" s="496" t="n">
        <v>0</v>
      </c>
      <c r="AJ60" s="496" t="n">
        <v>0</v>
      </c>
      <c r="AK60" s="496" t="n">
        <v>0</v>
      </c>
      <c r="AL60" s="496" t="n">
        <v>0</v>
      </c>
      <c r="AM60" s="496" t="n">
        <v>0</v>
      </c>
      <c r="AN60" s="496" t="n">
        <v>0</v>
      </c>
      <c r="AO60" s="496" t="n">
        <v>0</v>
      </c>
      <c r="AP60" s="496" t="n">
        <v>0</v>
      </c>
      <c r="AQ60" s="496" t="n">
        <v>0</v>
      </c>
      <c r="AR60" s="496" t="n">
        <v>0</v>
      </c>
      <c r="AS60" s="496" t="n">
        <v>0</v>
      </c>
      <c r="AT60" s="496" t="n">
        <v>0</v>
      </c>
      <c r="AU60" s="496" t="n">
        <v>0</v>
      </c>
      <c r="AV60" s="496" t="n">
        <v>0</v>
      </c>
      <c r="AW60" s="496" t="n">
        <v>0</v>
      </c>
      <c r="AX60" s="496" t="n">
        <v>0</v>
      </c>
      <c r="AY60" s="496" t="n">
        <v>0</v>
      </c>
      <c r="AZ60" s="496" t="n">
        <v>0</v>
      </c>
      <c r="BA60" s="496" t="n">
        <v>0</v>
      </c>
      <c r="BB60" s="496" t="n">
        <v>0</v>
      </c>
      <c r="BC60" s="496" t="n">
        <v>0</v>
      </c>
      <c r="BD60" s="496" t="n">
        <v>0</v>
      </c>
      <c r="BE60" s="496" t="n">
        <v>0</v>
      </c>
      <c r="BF60" s="496" t="n">
        <v>0</v>
      </c>
      <c r="BG60" s="496" t="n">
        <v>0</v>
      </c>
      <c r="BH60" s="496" t="n">
        <v>0</v>
      </c>
      <c r="BI60" s="496" t="n">
        <v>0</v>
      </c>
      <c r="BJ60" s="496" t="n">
        <v>0</v>
      </c>
      <c r="BK60" s="496" t="n">
        <v>0</v>
      </c>
      <c r="BL60" s="496" t="n">
        <v>0</v>
      </c>
      <c r="BM60" s="496" t="n">
        <v>0</v>
      </c>
      <c r="BN60" s="496" t="n">
        <v>0</v>
      </c>
      <c r="BO60" s="496" t="n">
        <v>0</v>
      </c>
      <c r="BP60" s="496" t="n">
        <v>0</v>
      </c>
      <c r="BQ60" s="496" t="n">
        <v>0</v>
      </c>
      <c r="BR60" s="496" t="n">
        <v>0</v>
      </c>
      <c r="BS60" s="496" t="n">
        <v>0</v>
      </c>
      <c r="BT60" s="496" t="n">
        <v>0</v>
      </c>
      <c r="BU60" s="496" t="s">
        <v>469</v>
      </c>
      <c r="BV60" s="496" t="n">
        <v>0</v>
      </c>
      <c r="BW60" s="496" t="s">
        <v>469</v>
      </c>
      <c r="BX60" s="496" t="n">
        <v>0</v>
      </c>
      <c r="BY60" s="496" t="s">
        <v>469</v>
      </c>
      <c r="BZ60" s="496" t="n">
        <v>0</v>
      </c>
      <c r="CA60" s="496" t="s">
        <v>469</v>
      </c>
      <c r="CB60" s="496" t="n">
        <v>0</v>
      </c>
      <c r="CC60" s="496" t="n">
        <v>0</v>
      </c>
      <c r="CD60" s="496" t="n">
        <v>0</v>
      </c>
      <c r="CE60" s="496" t="n">
        <v>0</v>
      </c>
      <c r="CF60" s="496" t="n">
        <v>0</v>
      </c>
      <c r="CG60" s="496" t="n">
        <v>0</v>
      </c>
      <c r="CH60" s="496" t="n">
        <v>0</v>
      </c>
      <c r="CI60" s="496" t="n">
        <v>0</v>
      </c>
      <c r="CJ60" s="496" t="n">
        <v>0</v>
      </c>
      <c r="CK60" s="496" t="n">
        <v>0</v>
      </c>
      <c r="CL60" s="496" t="n">
        <v>0</v>
      </c>
      <c r="CM60" s="496" t="n">
        <v>0</v>
      </c>
      <c r="CN60" s="496" t="n">
        <v>0</v>
      </c>
      <c r="CO60" s="496" t="n">
        <v>0</v>
      </c>
      <c r="CP60" s="496" t="n">
        <v>0</v>
      </c>
      <c r="CQ60" s="496" t="n">
        <v>0</v>
      </c>
      <c r="CR60" s="496" t="n">
        <v>0</v>
      </c>
      <c r="CS60" s="496" t="n">
        <v>0</v>
      </c>
      <c r="CT60" s="496" t="n">
        <v>0</v>
      </c>
      <c r="CU60" s="496" t="n">
        <v>0</v>
      </c>
      <c r="CV60" s="496" t="n">
        <v>0</v>
      </c>
      <c r="CW60" s="496" t="n">
        <v>0</v>
      </c>
      <c r="CX60" s="496" t="n">
        <v>0</v>
      </c>
      <c r="CY60" s="496" t="n">
        <v>0</v>
      </c>
      <c r="CZ60" s="496" t="n">
        <v>0</v>
      </c>
      <c r="DA60" s="496" t="n">
        <v>0</v>
      </c>
      <c r="DB60" s="496" t="n">
        <v>0</v>
      </c>
      <c r="DC60" s="496" t="n">
        <v>0</v>
      </c>
      <c r="DD60" s="496" t="n">
        <v>0</v>
      </c>
      <c r="DE60" s="496" t="n">
        <v>0</v>
      </c>
      <c r="DF60" s="496" t="n">
        <v>0</v>
      </c>
    </row>
    <row r="61" customFormat="false" ht="15" hidden="false" customHeight="false" outlineLevel="0" collapsed="false">
      <c r="A61" s="496" t="s">
        <v>1992</v>
      </c>
      <c r="B61" s="1099" t="n">
        <v>0.00469</v>
      </c>
      <c r="C61" s="1099" t="n">
        <v>0.00469</v>
      </c>
      <c r="D61" s="1099" t="n">
        <v>0.000207</v>
      </c>
      <c r="E61" s="1099" t="n">
        <v>0.000213</v>
      </c>
      <c r="F61" s="1099" t="n">
        <v>3.78E-006</v>
      </c>
      <c r="G61" s="496" t="n">
        <v>0</v>
      </c>
      <c r="H61" s="1099" t="n">
        <v>0.00469</v>
      </c>
      <c r="I61" s="1099" t="n">
        <v>0.000207</v>
      </c>
      <c r="J61" s="1099" t="n">
        <v>3.87E-006</v>
      </c>
      <c r="K61" s="1099" t="n">
        <v>3.87E-006</v>
      </c>
      <c r="L61" s="1099" t="n">
        <v>0.00469</v>
      </c>
      <c r="M61" s="496" t="n">
        <v>0</v>
      </c>
      <c r="N61" s="496" t="s">
        <v>469</v>
      </c>
      <c r="O61" s="1099" t="n">
        <v>0.00555</v>
      </c>
      <c r="P61" s="496" t="n">
        <v>0</v>
      </c>
      <c r="Q61" s="1099" t="n">
        <v>8.6E-027</v>
      </c>
      <c r="R61" s="1099" t="n">
        <v>8.6E-027</v>
      </c>
      <c r="S61" s="1099" t="n">
        <v>2.75E-021</v>
      </c>
      <c r="T61" s="1099" t="n">
        <v>2.75E-021</v>
      </c>
      <c r="U61" s="1099" t="n">
        <v>3.81E-007</v>
      </c>
      <c r="V61" s="496" t="n">
        <v>0.0111546</v>
      </c>
      <c r="W61" s="496" t="n">
        <v>0.0111546</v>
      </c>
      <c r="X61" s="496" t="n">
        <v>0.0111546</v>
      </c>
      <c r="Y61" s="496" t="n">
        <v>0.0111546</v>
      </c>
      <c r="Z61" s="496" t="n">
        <v>0.0111546</v>
      </c>
      <c r="AA61" s="1099" t="n">
        <v>0.00555</v>
      </c>
      <c r="AB61" s="1099" t="n">
        <v>3.81E-007</v>
      </c>
      <c r="AC61" s="1099" t="n">
        <v>0.000207</v>
      </c>
      <c r="AD61" s="1099" t="n">
        <v>0.00555</v>
      </c>
      <c r="AE61" s="1099" t="n">
        <v>0.00555</v>
      </c>
      <c r="AF61" s="1099" t="n">
        <v>3.81E-007</v>
      </c>
      <c r="AG61" s="1099" t="n">
        <v>3.81E-007</v>
      </c>
      <c r="AH61" s="1099" t="n">
        <v>0.00469</v>
      </c>
      <c r="AI61" s="1099" t="n">
        <v>0.00469</v>
      </c>
      <c r="AJ61" s="1099" t="n">
        <v>0.00469</v>
      </c>
      <c r="AK61" s="1099" t="n">
        <v>0.00469</v>
      </c>
      <c r="AL61" s="1099" t="n">
        <v>0.00469</v>
      </c>
      <c r="AM61" s="1099" t="n">
        <v>0.00469</v>
      </c>
      <c r="AN61" s="1099" t="n">
        <v>0.000433</v>
      </c>
      <c r="AO61" s="1099" t="n">
        <v>0.000433</v>
      </c>
      <c r="AP61" s="496" t="n">
        <v>0</v>
      </c>
      <c r="AQ61" s="496" t="n">
        <v>0</v>
      </c>
      <c r="AR61" s="1099" t="n">
        <v>0.000207</v>
      </c>
      <c r="AS61" s="1099" t="n">
        <v>0.000207</v>
      </c>
      <c r="AT61" s="1099" t="n">
        <v>0.000213</v>
      </c>
      <c r="AU61" s="1099" t="n">
        <v>0.000213</v>
      </c>
      <c r="AV61" s="1099" t="n">
        <v>6.65E-007</v>
      </c>
      <c r="AW61" s="1099" t="n">
        <v>6.65E-007</v>
      </c>
      <c r="AX61" s="1099" t="n">
        <v>0.00469</v>
      </c>
      <c r="AY61" s="1099" t="n">
        <v>0.00469</v>
      </c>
      <c r="AZ61" s="1099" t="n">
        <v>0.00469</v>
      </c>
      <c r="BA61" s="1099" t="n">
        <v>0.00469</v>
      </c>
      <c r="BB61" s="1099" t="n">
        <v>3.59E-006</v>
      </c>
      <c r="BC61" s="1099" t="n">
        <v>0.00469</v>
      </c>
      <c r="BD61" s="1099" t="n">
        <v>3.81E-007</v>
      </c>
      <c r="BE61" s="496" t="n">
        <v>0.1353545</v>
      </c>
      <c r="BF61" s="496" t="n">
        <v>0.0111546</v>
      </c>
      <c r="BG61" s="496" t="n">
        <v>0.0111546</v>
      </c>
      <c r="BH61" s="1099" t="n">
        <v>0.000207</v>
      </c>
      <c r="BI61" s="1099" t="n">
        <v>0.000207</v>
      </c>
      <c r="BJ61" s="1099" t="n">
        <v>0.000433</v>
      </c>
      <c r="BK61" s="496" t="n">
        <v>0.0657903</v>
      </c>
      <c r="BL61" s="1099" t="n">
        <v>4.37E-007</v>
      </c>
      <c r="BM61" s="1099" t="n">
        <v>0.000213</v>
      </c>
      <c r="BN61" s="1099" t="n">
        <v>8.64E-027</v>
      </c>
      <c r="BO61" s="1099" t="n">
        <v>4.37E-007</v>
      </c>
      <c r="BP61" s="1099" t="n">
        <v>2.59E-005</v>
      </c>
      <c r="BQ61" s="1099" t="n">
        <v>8.64E-027</v>
      </c>
      <c r="BR61" s="1099" t="n">
        <v>2.83E-023</v>
      </c>
      <c r="BS61" s="1099" t="n">
        <v>3.87E-006</v>
      </c>
      <c r="BT61" s="1099" t="n">
        <v>6.65E-007</v>
      </c>
      <c r="BU61" s="496" t="s">
        <v>469</v>
      </c>
      <c r="BV61" s="1099" t="n">
        <v>0.00555</v>
      </c>
      <c r="BW61" s="496" t="s">
        <v>469</v>
      </c>
      <c r="BX61" s="1099" t="n">
        <v>3.81E-007</v>
      </c>
      <c r="BY61" s="496" t="s">
        <v>469</v>
      </c>
      <c r="BZ61" s="1099" t="n">
        <v>0.000213</v>
      </c>
      <c r="CA61" s="496" t="s">
        <v>469</v>
      </c>
      <c r="CB61" s="1099" t="n">
        <v>0.00469</v>
      </c>
      <c r="CC61" s="1099" t="n">
        <v>0.00469</v>
      </c>
      <c r="CD61" s="1099" t="n">
        <v>0.00469</v>
      </c>
      <c r="CE61" s="1099" t="n">
        <v>0.00555</v>
      </c>
      <c r="CF61" s="1099" t="n">
        <v>0.00555</v>
      </c>
      <c r="CG61" s="1099" t="n">
        <v>3.81E-007</v>
      </c>
      <c r="CH61" s="1099" t="n">
        <v>3.81E-007</v>
      </c>
      <c r="CI61" s="1099" t="n">
        <v>0.00469</v>
      </c>
      <c r="CJ61" s="1099" t="n">
        <v>0.00469</v>
      </c>
      <c r="CK61" s="1099" t="n">
        <v>0.00469</v>
      </c>
      <c r="CL61" s="1099" t="n">
        <v>0.00469</v>
      </c>
      <c r="CM61" s="1099" t="n">
        <v>0.00469</v>
      </c>
      <c r="CN61" s="1099" t="n">
        <v>0.00469</v>
      </c>
      <c r="CO61" s="1099" t="n">
        <v>0.000433</v>
      </c>
      <c r="CP61" s="1099" t="n">
        <v>0.000433</v>
      </c>
      <c r="CQ61" s="496" t="n">
        <v>0</v>
      </c>
      <c r="CR61" s="496" t="n">
        <v>0</v>
      </c>
      <c r="CS61" s="1099" t="n">
        <v>0.000207</v>
      </c>
      <c r="CT61" s="1099" t="n">
        <v>0.000207</v>
      </c>
      <c r="CU61" s="1099" t="n">
        <v>0.000213</v>
      </c>
      <c r="CV61" s="1099" t="n">
        <v>0.000213</v>
      </c>
      <c r="CW61" s="1099" t="n">
        <v>0.000213</v>
      </c>
      <c r="CX61" s="1099" t="n">
        <v>0.000213</v>
      </c>
      <c r="CY61" s="1099" t="n">
        <v>6.65E-007</v>
      </c>
      <c r="CZ61" s="1099" t="n">
        <v>6.65E-007</v>
      </c>
      <c r="DA61" s="496" t="n">
        <v>0</v>
      </c>
      <c r="DB61" s="496" t="n">
        <v>0</v>
      </c>
      <c r="DC61" s="1099" t="n">
        <v>0.000213</v>
      </c>
      <c r="DD61" s="1099" t="n">
        <v>0.000213</v>
      </c>
      <c r="DE61" s="496" t="n">
        <v>0</v>
      </c>
      <c r="DF61" s="496" t="n">
        <v>0</v>
      </c>
    </row>
    <row r="62" customFormat="false" ht="15" hidden="false" customHeight="false" outlineLevel="0" collapsed="false">
      <c r="A62" s="496" t="s">
        <v>1993</v>
      </c>
      <c r="B62" s="496" t="n">
        <v>0.3035246</v>
      </c>
      <c r="C62" s="496" t="n">
        <v>0.3731357</v>
      </c>
      <c r="D62" s="1099" t="n">
        <v>4E-005</v>
      </c>
      <c r="E62" s="1099" t="n">
        <v>4.08E-005</v>
      </c>
      <c r="F62" s="1099" t="n">
        <v>1.4E-005</v>
      </c>
      <c r="G62" s="496" t="n">
        <v>0</v>
      </c>
      <c r="H62" s="1099" t="n">
        <v>2.28E-007</v>
      </c>
      <c r="I62" s="1099" t="n">
        <v>4E-005</v>
      </c>
      <c r="J62" s="1099" t="n">
        <v>1.4E-005</v>
      </c>
      <c r="K62" s="1099" t="n">
        <v>1.4E-005</v>
      </c>
      <c r="L62" s="496" t="n">
        <v>0.3035246</v>
      </c>
      <c r="M62" s="496" t="n">
        <v>0</v>
      </c>
      <c r="N62" s="496" t="s">
        <v>469</v>
      </c>
      <c r="O62" s="496" t="n">
        <v>0</v>
      </c>
      <c r="P62" s="496" t="n">
        <v>0</v>
      </c>
      <c r="Q62" s="1099" t="n">
        <v>2.38E-027</v>
      </c>
      <c r="R62" s="1099" t="n">
        <v>2.38E-027</v>
      </c>
      <c r="S62" s="1099" t="n">
        <v>3.41E-030</v>
      </c>
      <c r="T62" s="1099" t="n">
        <v>3.41E-030</v>
      </c>
      <c r="U62" s="1099" t="n">
        <v>1.47E-006</v>
      </c>
      <c r="V62" s="496" t="n">
        <v>0.9877298</v>
      </c>
      <c r="W62" s="496" t="n">
        <v>0.9877298</v>
      </c>
      <c r="X62" s="496" t="n">
        <v>0.9877298</v>
      </c>
      <c r="Y62" s="496" t="n">
        <v>0.9877298</v>
      </c>
      <c r="Z62" s="496" t="n">
        <v>0.9877298</v>
      </c>
      <c r="AA62" s="496" t="n">
        <v>0</v>
      </c>
      <c r="AB62" s="1099" t="n">
        <v>1.47E-006</v>
      </c>
      <c r="AC62" s="1099" t="n">
        <v>4E-005</v>
      </c>
      <c r="AD62" s="496" t="n">
        <v>0</v>
      </c>
      <c r="AE62" s="496" t="n">
        <v>0</v>
      </c>
      <c r="AF62" s="1099" t="n">
        <v>1.47E-006</v>
      </c>
      <c r="AG62" s="1099" t="n">
        <v>1.47E-006</v>
      </c>
      <c r="AH62" s="496" t="n">
        <v>0.3035246</v>
      </c>
      <c r="AI62" s="496" t="n">
        <v>0.3035246</v>
      </c>
      <c r="AJ62" s="496" t="n">
        <v>0.3035246</v>
      </c>
      <c r="AK62" s="496" t="n">
        <v>0.3035246</v>
      </c>
      <c r="AL62" s="496" t="n">
        <v>0.3731357</v>
      </c>
      <c r="AM62" s="496" t="n">
        <v>0.3731357</v>
      </c>
      <c r="AN62" s="1099" t="n">
        <v>0.000108</v>
      </c>
      <c r="AO62" s="1099" t="n">
        <v>0.000108</v>
      </c>
      <c r="AP62" s="496" t="n">
        <v>0</v>
      </c>
      <c r="AQ62" s="496" t="n">
        <v>0</v>
      </c>
      <c r="AR62" s="1099" t="n">
        <v>4E-005</v>
      </c>
      <c r="AS62" s="1099" t="n">
        <v>4E-005</v>
      </c>
      <c r="AT62" s="1099" t="n">
        <v>4.08E-005</v>
      </c>
      <c r="AU62" s="1099" t="n">
        <v>4.08E-005</v>
      </c>
      <c r="AV62" s="1099" t="n">
        <v>5.06E-006</v>
      </c>
      <c r="AW62" s="1099" t="n">
        <v>5.06E-006</v>
      </c>
      <c r="AX62" s="496" t="n">
        <v>0.3035246</v>
      </c>
      <c r="AY62" s="496" t="n">
        <v>0.3035246</v>
      </c>
      <c r="AZ62" s="496" t="n">
        <v>0.3731357</v>
      </c>
      <c r="BA62" s="1099" t="n">
        <v>2.28E-007</v>
      </c>
      <c r="BB62" s="1099" t="n">
        <v>1.38E-005</v>
      </c>
      <c r="BC62" s="496" t="n">
        <v>0.3731357</v>
      </c>
      <c r="BD62" s="1099" t="n">
        <v>1.47E-006</v>
      </c>
      <c r="BE62" s="496" t="n">
        <v>0.2305108</v>
      </c>
      <c r="BF62" s="496" t="n">
        <v>0.9877298</v>
      </c>
      <c r="BG62" s="496" t="n">
        <v>0.9877298</v>
      </c>
      <c r="BH62" s="1099" t="n">
        <v>4E-005</v>
      </c>
      <c r="BI62" s="1099" t="n">
        <v>4E-005</v>
      </c>
      <c r="BJ62" s="1099" t="n">
        <v>0.000108</v>
      </c>
      <c r="BK62" s="496" t="n">
        <v>0.0849763</v>
      </c>
      <c r="BL62" s="1099" t="n">
        <v>1.37E-006</v>
      </c>
      <c r="BM62" s="1099" t="n">
        <v>4.08E-005</v>
      </c>
      <c r="BN62" s="1099" t="n">
        <v>2.39E-027</v>
      </c>
      <c r="BO62" s="1099" t="n">
        <v>1.37E-006</v>
      </c>
      <c r="BP62" s="1099" t="n">
        <v>1.21E-005</v>
      </c>
      <c r="BQ62" s="1099" t="n">
        <v>2.39E-027</v>
      </c>
      <c r="BR62" s="1099" t="n">
        <v>5.74E-025</v>
      </c>
      <c r="BS62" s="1099" t="n">
        <v>1.4E-005</v>
      </c>
      <c r="BT62" s="1099" t="n">
        <v>5.06E-006</v>
      </c>
      <c r="BU62" s="496" t="s">
        <v>469</v>
      </c>
      <c r="BV62" s="496" t="n">
        <v>0</v>
      </c>
      <c r="BW62" s="496" t="s">
        <v>469</v>
      </c>
      <c r="BX62" s="1099" t="n">
        <v>1.47E-006</v>
      </c>
      <c r="BY62" s="496" t="s">
        <v>469</v>
      </c>
      <c r="BZ62" s="1099" t="n">
        <v>4.08E-005</v>
      </c>
      <c r="CA62" s="496" t="s">
        <v>469</v>
      </c>
      <c r="CB62" s="496" t="n">
        <v>0.3035246</v>
      </c>
      <c r="CC62" s="496" t="n">
        <v>0.3035246</v>
      </c>
      <c r="CD62" s="1099" t="n">
        <v>2.28E-007</v>
      </c>
      <c r="CE62" s="496" t="n">
        <v>0</v>
      </c>
      <c r="CF62" s="496" t="n">
        <v>0</v>
      </c>
      <c r="CG62" s="1099" t="n">
        <v>1.47E-006</v>
      </c>
      <c r="CH62" s="1099" t="n">
        <v>1.47E-006</v>
      </c>
      <c r="CI62" s="496" t="n">
        <v>0.3035246</v>
      </c>
      <c r="CJ62" s="496" t="n">
        <v>0.3035246</v>
      </c>
      <c r="CK62" s="496" t="n">
        <v>0.3035246</v>
      </c>
      <c r="CL62" s="496" t="n">
        <v>0.3035246</v>
      </c>
      <c r="CM62" s="496" t="n">
        <v>0.3731357</v>
      </c>
      <c r="CN62" s="496" t="n">
        <v>0.3731357</v>
      </c>
      <c r="CO62" s="1099" t="n">
        <v>0.000108</v>
      </c>
      <c r="CP62" s="1099" t="n">
        <v>0.000108</v>
      </c>
      <c r="CQ62" s="496" t="n">
        <v>0</v>
      </c>
      <c r="CR62" s="496" t="n">
        <v>0</v>
      </c>
      <c r="CS62" s="1099" t="n">
        <v>4E-005</v>
      </c>
      <c r="CT62" s="1099" t="n">
        <v>4E-005</v>
      </c>
      <c r="CU62" s="1099" t="n">
        <v>4.08E-005</v>
      </c>
      <c r="CV62" s="1099" t="n">
        <v>4.08E-005</v>
      </c>
      <c r="CW62" s="1099" t="n">
        <v>4.08E-005</v>
      </c>
      <c r="CX62" s="1099" t="n">
        <v>4.08E-005</v>
      </c>
      <c r="CY62" s="1099" t="n">
        <v>5.06E-006</v>
      </c>
      <c r="CZ62" s="1099" t="n">
        <v>5.06E-006</v>
      </c>
      <c r="DA62" s="496" t="n">
        <v>0</v>
      </c>
      <c r="DB62" s="496" t="n">
        <v>0</v>
      </c>
      <c r="DC62" s="1099" t="n">
        <v>4.08E-005</v>
      </c>
      <c r="DD62" s="1099" t="n">
        <v>4.08E-005</v>
      </c>
      <c r="DE62" s="496" t="n">
        <v>0</v>
      </c>
      <c r="DF62" s="496" t="n">
        <v>0</v>
      </c>
    </row>
    <row r="63" customFormat="false" ht="15" hidden="false" customHeight="false" outlineLevel="0" collapsed="false">
      <c r="A63" s="496" t="s">
        <v>1994</v>
      </c>
      <c r="B63" s="496" t="n">
        <v>0.0440879</v>
      </c>
      <c r="C63" s="496" t="n">
        <v>0.0187845</v>
      </c>
      <c r="D63" s="496" t="n">
        <v>0.0278625</v>
      </c>
      <c r="E63" s="496" t="n">
        <v>0</v>
      </c>
      <c r="F63" s="496" t="n">
        <v>0.9526864</v>
      </c>
      <c r="G63" s="496" t="n">
        <v>0</v>
      </c>
      <c r="H63" s="496" t="n">
        <v>0.1544624</v>
      </c>
      <c r="I63" s="496" t="n">
        <v>0.0278625</v>
      </c>
      <c r="J63" s="496" t="n">
        <v>0.9498022</v>
      </c>
      <c r="K63" s="496" t="n">
        <v>0.9498022</v>
      </c>
      <c r="L63" s="496" t="n">
        <v>0.0440879</v>
      </c>
      <c r="M63" s="496" t="n">
        <v>0.999</v>
      </c>
      <c r="N63" s="496" t="s">
        <v>469</v>
      </c>
      <c r="O63" s="496" t="n">
        <v>0</v>
      </c>
      <c r="P63" s="496" t="n">
        <v>0</v>
      </c>
      <c r="Q63" s="1099" t="n">
        <v>7.08E-005</v>
      </c>
      <c r="R63" s="1099" t="n">
        <v>7.08E-005</v>
      </c>
      <c r="S63" s="1099" t="n">
        <v>7.08E-005</v>
      </c>
      <c r="T63" s="1099" t="n">
        <v>7.08E-005</v>
      </c>
      <c r="U63" s="496" t="n">
        <v>0.9940902</v>
      </c>
      <c r="V63" s="1099" t="n">
        <v>3.75E-010</v>
      </c>
      <c r="W63" s="1099" t="n">
        <v>3.75E-010</v>
      </c>
      <c r="X63" s="1099" t="n">
        <v>3.75E-010</v>
      </c>
      <c r="Y63" s="1099" t="n">
        <v>3.75E-010</v>
      </c>
      <c r="Z63" s="1099" t="n">
        <v>3.75E-010</v>
      </c>
      <c r="AA63" s="496" t="n">
        <v>0</v>
      </c>
      <c r="AB63" s="496" t="n">
        <v>0.9940902</v>
      </c>
      <c r="AC63" s="496" t="n">
        <v>0.0278625</v>
      </c>
      <c r="AD63" s="496" t="n">
        <v>0</v>
      </c>
      <c r="AE63" s="496" t="n">
        <v>0</v>
      </c>
      <c r="AF63" s="496" t="n">
        <v>0.9940903</v>
      </c>
      <c r="AG63" s="496" t="n">
        <v>0.9940903</v>
      </c>
      <c r="AH63" s="496" t="n">
        <v>0.0440879</v>
      </c>
      <c r="AI63" s="496" t="n">
        <v>0.0440879</v>
      </c>
      <c r="AJ63" s="496" t="n">
        <v>0.0440879</v>
      </c>
      <c r="AK63" s="496" t="n">
        <v>0.0440879</v>
      </c>
      <c r="AL63" s="496" t="n">
        <v>0.0187845</v>
      </c>
      <c r="AM63" s="496" t="n">
        <v>0.0187845</v>
      </c>
      <c r="AN63" s="496" t="n">
        <v>0.0230953</v>
      </c>
      <c r="AO63" s="496" t="n">
        <v>0.0230953</v>
      </c>
      <c r="AP63" s="496" t="n">
        <v>0</v>
      </c>
      <c r="AQ63" s="496" t="n">
        <v>0</v>
      </c>
      <c r="AR63" s="496" t="n">
        <v>0.0278625</v>
      </c>
      <c r="AS63" s="496" t="n">
        <v>0.0278625</v>
      </c>
      <c r="AT63" s="1099" t="n">
        <v>3.95E-020</v>
      </c>
      <c r="AU63" s="1099" t="n">
        <v>3.95E-020</v>
      </c>
      <c r="AV63" s="496" t="n">
        <v>0.9897309</v>
      </c>
      <c r="AW63" s="496" t="n">
        <v>0.9897309</v>
      </c>
      <c r="AX63" s="496" t="n">
        <v>0.0440879</v>
      </c>
      <c r="AY63" s="496" t="n">
        <v>0.0440879</v>
      </c>
      <c r="AZ63" s="496" t="n">
        <v>0.0187845</v>
      </c>
      <c r="BA63" s="496" t="n">
        <v>0.1544624</v>
      </c>
      <c r="BB63" s="496" t="n">
        <v>0.9526747</v>
      </c>
      <c r="BC63" s="496" t="n">
        <v>0.0187845</v>
      </c>
      <c r="BD63" s="496" t="n">
        <v>0.9940902</v>
      </c>
      <c r="BE63" s="496" t="n">
        <v>0.0133086</v>
      </c>
      <c r="BF63" s="1099" t="n">
        <v>3.75E-010</v>
      </c>
      <c r="BG63" s="1099" t="n">
        <v>3.75E-010</v>
      </c>
      <c r="BH63" s="496" t="n">
        <v>0.0278625</v>
      </c>
      <c r="BI63" s="496" t="n">
        <v>0.0278625</v>
      </c>
      <c r="BJ63" s="496" t="n">
        <v>0.0230953</v>
      </c>
      <c r="BK63" s="496" t="n">
        <v>0.0228192</v>
      </c>
      <c r="BL63" s="496" t="n">
        <v>0.0917585</v>
      </c>
      <c r="BM63" s="1099" t="n">
        <v>3.95E-020</v>
      </c>
      <c r="BN63" s="1099" t="n">
        <v>7.11E-005</v>
      </c>
      <c r="BO63" s="496" t="n">
        <v>0.0917585</v>
      </c>
      <c r="BP63" s="496" t="n">
        <v>0.1696503</v>
      </c>
      <c r="BQ63" s="1099" t="n">
        <v>7.11E-005</v>
      </c>
      <c r="BR63" s="1099" t="n">
        <v>7.11E-005</v>
      </c>
      <c r="BS63" s="496" t="n">
        <v>0.9498022</v>
      </c>
      <c r="BT63" s="496" t="n">
        <v>0.9897309</v>
      </c>
      <c r="BU63" s="496" t="s">
        <v>469</v>
      </c>
      <c r="BV63" s="496" t="n">
        <v>0</v>
      </c>
      <c r="BW63" s="496" t="s">
        <v>469</v>
      </c>
      <c r="BX63" s="496" t="n">
        <v>0.9940902</v>
      </c>
      <c r="BY63" s="496" t="s">
        <v>469</v>
      </c>
      <c r="BZ63" s="496" t="n">
        <v>0</v>
      </c>
      <c r="CA63" s="496" t="s">
        <v>469</v>
      </c>
      <c r="CB63" s="496" t="n">
        <v>0.0440879</v>
      </c>
      <c r="CC63" s="496" t="n">
        <v>0.0440879</v>
      </c>
      <c r="CD63" s="496" t="n">
        <v>0.1544624</v>
      </c>
      <c r="CE63" s="496" t="n">
        <v>0</v>
      </c>
      <c r="CF63" s="496" t="n">
        <v>0</v>
      </c>
      <c r="CG63" s="496" t="n">
        <v>0.9940902</v>
      </c>
      <c r="CH63" s="496" t="n">
        <v>0.9940902</v>
      </c>
      <c r="CI63" s="496" t="n">
        <v>0.0440879</v>
      </c>
      <c r="CJ63" s="496" t="n">
        <v>0.0440879</v>
      </c>
      <c r="CK63" s="496" t="n">
        <v>0.0440879</v>
      </c>
      <c r="CL63" s="496" t="n">
        <v>0.0440879</v>
      </c>
      <c r="CM63" s="496" t="n">
        <v>0.0187845</v>
      </c>
      <c r="CN63" s="496" t="n">
        <v>0.0187845</v>
      </c>
      <c r="CO63" s="496" t="n">
        <v>0.0230953</v>
      </c>
      <c r="CP63" s="496" t="n">
        <v>0.0230953</v>
      </c>
      <c r="CQ63" s="496" t="n">
        <v>0</v>
      </c>
      <c r="CR63" s="496" t="n">
        <v>0</v>
      </c>
      <c r="CS63" s="496" t="n">
        <v>0.0278625</v>
      </c>
      <c r="CT63" s="496" t="n">
        <v>0.0278625</v>
      </c>
      <c r="CU63" s="1099" t="n">
        <v>3.95E-020</v>
      </c>
      <c r="CV63" s="1099" t="n">
        <v>3.95E-020</v>
      </c>
      <c r="CW63" s="496" t="n">
        <v>0</v>
      </c>
      <c r="CX63" s="496" t="n">
        <v>0</v>
      </c>
      <c r="CY63" s="496" t="n">
        <v>0.9897309</v>
      </c>
      <c r="CZ63" s="496" t="n">
        <v>0.9897309</v>
      </c>
      <c r="DA63" s="496" t="n">
        <v>0</v>
      </c>
      <c r="DB63" s="496" t="n">
        <v>0</v>
      </c>
      <c r="DC63" s="1099" t="n">
        <v>3.95E-020</v>
      </c>
      <c r="DD63" s="1099" t="n">
        <v>3.95E-020</v>
      </c>
      <c r="DE63" s="496" t="n">
        <v>0</v>
      </c>
      <c r="DF63" s="496" t="n">
        <v>0</v>
      </c>
    </row>
    <row r="64" customFormat="false" ht="15" hidden="false" customHeight="false" outlineLevel="0" collapsed="false">
      <c r="A64" s="496" t="s">
        <v>1995</v>
      </c>
      <c r="B64" s="1099" t="n">
        <v>3.34E-005</v>
      </c>
      <c r="C64" s="1099" t="n">
        <v>3.34E-005</v>
      </c>
      <c r="D64" s="1099" t="n">
        <v>6.91E-005</v>
      </c>
      <c r="E64" s="1099" t="n">
        <v>0.0016</v>
      </c>
      <c r="F64" s="1099" t="n">
        <v>2.2E-005</v>
      </c>
      <c r="G64" s="496" t="n">
        <v>1</v>
      </c>
      <c r="H64" s="1099" t="n">
        <v>0.00014</v>
      </c>
      <c r="I64" s="1099" t="n">
        <v>6.91E-005</v>
      </c>
      <c r="J64" s="1099" t="n">
        <v>2.19E-005</v>
      </c>
      <c r="K64" s="1099" t="n">
        <v>2.19E-005</v>
      </c>
      <c r="L64" s="1099" t="n">
        <v>3.34E-005</v>
      </c>
      <c r="M64" s="1099" t="n">
        <v>0.001</v>
      </c>
      <c r="N64" s="496" t="s">
        <v>469</v>
      </c>
      <c r="O64" s="496" t="n">
        <v>0</v>
      </c>
      <c r="P64" s="496" t="n">
        <v>1</v>
      </c>
      <c r="Q64" s="496" t="n">
        <v>0.9999292</v>
      </c>
      <c r="R64" s="496" t="n">
        <v>0.9999292</v>
      </c>
      <c r="S64" s="496" t="n">
        <v>0.9999292</v>
      </c>
      <c r="T64" s="496" t="n">
        <v>0.9999292</v>
      </c>
      <c r="U64" s="1099" t="n">
        <v>0.000899</v>
      </c>
      <c r="V64" s="1099" t="n">
        <v>4.19E-007</v>
      </c>
      <c r="W64" s="1099" t="n">
        <v>4.19E-007</v>
      </c>
      <c r="X64" s="1099" t="n">
        <v>4.19E-007</v>
      </c>
      <c r="Y64" s="1099" t="n">
        <v>4.19E-007</v>
      </c>
      <c r="Z64" s="1099" t="n">
        <v>4.19E-007</v>
      </c>
      <c r="AA64" s="496" t="n">
        <v>0</v>
      </c>
      <c r="AB64" s="1099" t="n">
        <v>0.000899</v>
      </c>
      <c r="AC64" s="1099" t="n">
        <v>6.91E-005</v>
      </c>
      <c r="AD64" s="496" t="n">
        <v>0</v>
      </c>
      <c r="AE64" s="496" t="n">
        <v>0</v>
      </c>
      <c r="AF64" s="1099" t="n">
        <v>0.000899</v>
      </c>
      <c r="AG64" s="1099" t="n">
        <v>0.000899</v>
      </c>
      <c r="AH64" s="1099" t="n">
        <v>3.34E-005</v>
      </c>
      <c r="AI64" s="1099" t="n">
        <v>3.34E-005</v>
      </c>
      <c r="AJ64" s="1099" t="n">
        <v>3.34E-005</v>
      </c>
      <c r="AK64" s="1099" t="n">
        <v>3.34E-005</v>
      </c>
      <c r="AL64" s="1099" t="n">
        <v>3.34E-005</v>
      </c>
      <c r="AM64" s="1099" t="n">
        <v>3.34E-005</v>
      </c>
      <c r="AN64" s="1099" t="n">
        <v>4.75E-005</v>
      </c>
      <c r="AO64" s="1099" t="n">
        <v>4.75E-005</v>
      </c>
      <c r="AP64" s="496" t="n">
        <v>1</v>
      </c>
      <c r="AQ64" s="496" t="n">
        <v>1</v>
      </c>
      <c r="AR64" s="1099" t="n">
        <v>6.91E-005</v>
      </c>
      <c r="AS64" s="1099" t="n">
        <v>6.91E-005</v>
      </c>
      <c r="AT64" s="1099" t="n">
        <v>0.0016</v>
      </c>
      <c r="AU64" s="1099" t="n">
        <v>0.0016</v>
      </c>
      <c r="AV64" s="1099" t="n">
        <v>4.99E-005</v>
      </c>
      <c r="AW64" s="1099" t="n">
        <v>4.99E-005</v>
      </c>
      <c r="AX64" s="1099" t="n">
        <v>3.34E-005</v>
      </c>
      <c r="AY64" s="1099" t="n">
        <v>3.34E-005</v>
      </c>
      <c r="AZ64" s="1099" t="n">
        <v>3.34E-005</v>
      </c>
      <c r="BA64" s="1099" t="n">
        <v>0.00014</v>
      </c>
      <c r="BB64" s="1099" t="n">
        <v>4.41E-005</v>
      </c>
      <c r="BC64" s="1099" t="n">
        <v>3.34E-005</v>
      </c>
      <c r="BD64" s="1099" t="n">
        <v>0.000899</v>
      </c>
      <c r="BE64" s="1099" t="n">
        <v>4.06E-005</v>
      </c>
      <c r="BF64" s="1099" t="n">
        <v>4.19E-007</v>
      </c>
      <c r="BG64" s="1099" t="n">
        <v>4.19E-007</v>
      </c>
      <c r="BH64" s="1099" t="n">
        <v>6.91E-005</v>
      </c>
      <c r="BI64" s="1099" t="n">
        <v>6.91E-005</v>
      </c>
      <c r="BJ64" s="1099" t="n">
        <v>4.75E-005</v>
      </c>
      <c r="BK64" s="1099" t="n">
        <v>4.86E-005</v>
      </c>
      <c r="BL64" s="496" t="n">
        <v>0.9013229</v>
      </c>
      <c r="BM64" s="1099" t="n">
        <v>0.0016</v>
      </c>
      <c r="BN64" s="496" t="n">
        <v>0.9999289</v>
      </c>
      <c r="BO64" s="496" t="n">
        <v>0.9013229</v>
      </c>
      <c r="BP64" s="1099" t="n">
        <v>1.39E-006</v>
      </c>
      <c r="BQ64" s="496" t="n">
        <v>0.9999289</v>
      </c>
      <c r="BR64" s="496" t="n">
        <v>0.9999289</v>
      </c>
      <c r="BS64" s="1099" t="n">
        <v>2.19E-005</v>
      </c>
      <c r="BT64" s="1099" t="n">
        <v>4.99E-005</v>
      </c>
      <c r="BU64" s="496" t="s">
        <v>469</v>
      </c>
      <c r="BV64" s="496" t="n">
        <v>0</v>
      </c>
      <c r="BW64" s="496" t="s">
        <v>469</v>
      </c>
      <c r="BX64" s="1099" t="n">
        <v>0.000899</v>
      </c>
      <c r="BY64" s="496" t="s">
        <v>469</v>
      </c>
      <c r="BZ64" s="1099" t="n">
        <v>0.0016</v>
      </c>
      <c r="CA64" s="496" t="s">
        <v>469</v>
      </c>
      <c r="CB64" s="1099" t="n">
        <v>3.34E-005</v>
      </c>
      <c r="CC64" s="1099" t="n">
        <v>3.34E-005</v>
      </c>
      <c r="CD64" s="1099" t="n">
        <v>0.00014</v>
      </c>
      <c r="CE64" s="496" t="n">
        <v>0</v>
      </c>
      <c r="CF64" s="496" t="n">
        <v>0</v>
      </c>
      <c r="CG64" s="1099" t="n">
        <v>0.000899</v>
      </c>
      <c r="CH64" s="1099" t="n">
        <v>0.000899</v>
      </c>
      <c r="CI64" s="1099" t="n">
        <v>3.34E-005</v>
      </c>
      <c r="CJ64" s="1099" t="n">
        <v>3.34E-005</v>
      </c>
      <c r="CK64" s="1099" t="n">
        <v>3.34E-005</v>
      </c>
      <c r="CL64" s="1099" t="n">
        <v>3.34E-005</v>
      </c>
      <c r="CM64" s="1099" t="n">
        <v>3.34E-005</v>
      </c>
      <c r="CN64" s="1099" t="n">
        <v>3.34E-005</v>
      </c>
      <c r="CO64" s="1099" t="n">
        <v>4.75E-005</v>
      </c>
      <c r="CP64" s="1099" t="n">
        <v>4.75E-005</v>
      </c>
      <c r="CQ64" s="496" t="n">
        <v>1</v>
      </c>
      <c r="CR64" s="496" t="n">
        <v>1</v>
      </c>
      <c r="CS64" s="1099" t="n">
        <v>6.91E-005</v>
      </c>
      <c r="CT64" s="1099" t="n">
        <v>6.91E-005</v>
      </c>
      <c r="CU64" s="1099" t="n">
        <v>0.0016</v>
      </c>
      <c r="CV64" s="1099" t="n">
        <v>0.0016</v>
      </c>
      <c r="CW64" s="1099" t="n">
        <v>0.0016</v>
      </c>
      <c r="CX64" s="1099" t="n">
        <v>0.0016</v>
      </c>
      <c r="CY64" s="1099" t="n">
        <v>4.99E-005</v>
      </c>
      <c r="CZ64" s="1099" t="n">
        <v>4.99E-005</v>
      </c>
      <c r="DA64" s="496" t="n">
        <v>1</v>
      </c>
      <c r="DB64" s="496" t="n">
        <v>1</v>
      </c>
      <c r="DC64" s="1099" t="n">
        <v>0.0016</v>
      </c>
      <c r="DD64" s="1099" t="n">
        <v>0.0016</v>
      </c>
      <c r="DE64" s="496" t="n">
        <v>1</v>
      </c>
      <c r="DF64" s="496" t="n">
        <v>1</v>
      </c>
    </row>
    <row r="65" customFormat="false" ht="15" hidden="false" customHeight="false" outlineLevel="0" collapsed="false">
      <c r="A65" s="496" t="s">
        <v>1996</v>
      </c>
      <c r="B65" s="1099" t="n">
        <v>0.000502</v>
      </c>
      <c r="C65" s="1099" t="n">
        <v>0.000502</v>
      </c>
      <c r="D65" s="1099" t="n">
        <v>7.73E-005</v>
      </c>
      <c r="E65" s="1099" t="n">
        <v>5.55E-005</v>
      </c>
      <c r="F65" s="1099" t="n">
        <v>0.000802</v>
      </c>
      <c r="G65" s="496" t="n">
        <v>0</v>
      </c>
      <c r="H65" s="1099" t="n">
        <v>1.33E-005</v>
      </c>
      <c r="I65" s="1099" t="n">
        <v>7.73E-005</v>
      </c>
      <c r="J65" s="1099" t="n">
        <v>0.000799</v>
      </c>
      <c r="K65" s="1099" t="n">
        <v>0.000799</v>
      </c>
      <c r="L65" s="1099" t="n">
        <v>0.000502</v>
      </c>
      <c r="M65" s="496" t="n">
        <v>0</v>
      </c>
      <c r="N65" s="496" t="s">
        <v>469</v>
      </c>
      <c r="O65" s="496" t="n">
        <v>0</v>
      </c>
      <c r="P65" s="496" t="n">
        <v>0</v>
      </c>
      <c r="Q65" s="1099" t="n">
        <v>3.67E-019</v>
      </c>
      <c r="R65" s="1099" t="n">
        <v>3.67E-019</v>
      </c>
      <c r="S65" s="1099" t="n">
        <v>3.22E-018</v>
      </c>
      <c r="T65" s="1099" t="n">
        <v>3.22E-018</v>
      </c>
      <c r="U65" s="1099" t="n">
        <v>8.55E-005</v>
      </c>
      <c r="V65" s="1099" t="n">
        <v>0.00112</v>
      </c>
      <c r="W65" s="1099" t="n">
        <v>0.00112</v>
      </c>
      <c r="X65" s="1099" t="n">
        <v>0.00112</v>
      </c>
      <c r="Y65" s="1099" t="n">
        <v>0.00112</v>
      </c>
      <c r="Z65" s="1099" t="n">
        <v>0.00112</v>
      </c>
      <c r="AA65" s="496" t="n">
        <v>0</v>
      </c>
      <c r="AB65" s="1099" t="n">
        <v>8.55E-005</v>
      </c>
      <c r="AC65" s="1099" t="n">
        <v>7.73E-005</v>
      </c>
      <c r="AD65" s="496" t="n">
        <v>0</v>
      </c>
      <c r="AE65" s="496" t="n">
        <v>0</v>
      </c>
      <c r="AF65" s="1099" t="n">
        <v>8.55E-005</v>
      </c>
      <c r="AG65" s="1099" t="n">
        <v>8.55E-005</v>
      </c>
      <c r="AH65" s="1099" t="n">
        <v>0.000502</v>
      </c>
      <c r="AI65" s="1099" t="n">
        <v>0.000502</v>
      </c>
      <c r="AJ65" s="1099" t="n">
        <v>0.000502</v>
      </c>
      <c r="AK65" s="1099" t="n">
        <v>0.000502</v>
      </c>
      <c r="AL65" s="1099" t="n">
        <v>0.000502</v>
      </c>
      <c r="AM65" s="1099" t="n">
        <v>0.000502</v>
      </c>
      <c r="AN65" s="1099" t="n">
        <v>0.000138</v>
      </c>
      <c r="AO65" s="1099" t="n">
        <v>0.000138</v>
      </c>
      <c r="AP65" s="496" t="n">
        <v>0</v>
      </c>
      <c r="AQ65" s="496" t="n">
        <v>0</v>
      </c>
      <c r="AR65" s="1099" t="n">
        <v>7.73E-005</v>
      </c>
      <c r="AS65" s="1099" t="n">
        <v>7.73E-005</v>
      </c>
      <c r="AT65" s="1099" t="n">
        <v>5.55E-005</v>
      </c>
      <c r="AU65" s="1099" t="n">
        <v>5.55E-005</v>
      </c>
      <c r="AV65" s="1099" t="n">
        <v>0.00112</v>
      </c>
      <c r="AW65" s="1099" t="n">
        <v>0.00112</v>
      </c>
      <c r="AX65" s="1099" t="n">
        <v>0.000502</v>
      </c>
      <c r="AY65" s="1099" t="n">
        <v>0.000502</v>
      </c>
      <c r="AZ65" s="1099" t="n">
        <v>0.000502</v>
      </c>
      <c r="BA65" s="1099" t="n">
        <v>1.33E-005</v>
      </c>
      <c r="BB65" s="1099" t="n">
        <v>0.000807</v>
      </c>
      <c r="BC65" s="1099" t="n">
        <v>0.000502</v>
      </c>
      <c r="BD65" s="1099" t="n">
        <v>8.55E-005</v>
      </c>
      <c r="BE65" s="1099" t="n">
        <v>0.0019</v>
      </c>
      <c r="BF65" s="1099" t="n">
        <v>0.00112</v>
      </c>
      <c r="BG65" s="1099" t="n">
        <v>0.00112</v>
      </c>
      <c r="BH65" s="1099" t="n">
        <v>7.73E-005</v>
      </c>
      <c r="BI65" s="1099" t="n">
        <v>7.73E-005</v>
      </c>
      <c r="BJ65" s="1099" t="n">
        <v>0.000138</v>
      </c>
      <c r="BK65" s="1099" t="n">
        <v>0.000961</v>
      </c>
      <c r="BL65" s="1099" t="n">
        <v>7.7E-005</v>
      </c>
      <c r="BM65" s="1099" t="n">
        <v>5.55E-005</v>
      </c>
      <c r="BN65" s="1099" t="n">
        <v>3.69E-019</v>
      </c>
      <c r="BO65" s="1099" t="n">
        <v>7.7E-005</v>
      </c>
      <c r="BP65" s="1099" t="n">
        <v>7.9E-005</v>
      </c>
      <c r="BQ65" s="1099" t="n">
        <v>3.69E-019</v>
      </c>
      <c r="BR65" s="1099" t="n">
        <v>3.69E-019</v>
      </c>
      <c r="BS65" s="1099" t="n">
        <v>0.000799</v>
      </c>
      <c r="BT65" s="1099" t="n">
        <v>0.00112</v>
      </c>
      <c r="BU65" s="496" t="s">
        <v>469</v>
      </c>
      <c r="BV65" s="496" t="n">
        <v>0</v>
      </c>
      <c r="BW65" s="496" t="s">
        <v>469</v>
      </c>
      <c r="BX65" s="1099" t="n">
        <v>8.55E-005</v>
      </c>
      <c r="BY65" s="496" t="s">
        <v>469</v>
      </c>
      <c r="BZ65" s="1099" t="n">
        <v>5.55E-005</v>
      </c>
      <c r="CA65" s="496" t="s">
        <v>469</v>
      </c>
      <c r="CB65" s="1099" t="n">
        <v>0.000502</v>
      </c>
      <c r="CC65" s="1099" t="n">
        <v>0.000502</v>
      </c>
      <c r="CD65" s="1099" t="n">
        <v>1.33E-005</v>
      </c>
      <c r="CE65" s="496" t="n">
        <v>0</v>
      </c>
      <c r="CF65" s="496" t="n">
        <v>0</v>
      </c>
      <c r="CG65" s="1099" t="n">
        <v>8.55E-005</v>
      </c>
      <c r="CH65" s="1099" t="n">
        <v>8.55E-005</v>
      </c>
      <c r="CI65" s="1099" t="n">
        <v>0.000502</v>
      </c>
      <c r="CJ65" s="1099" t="n">
        <v>0.000502</v>
      </c>
      <c r="CK65" s="1099" t="n">
        <v>0.000502</v>
      </c>
      <c r="CL65" s="1099" t="n">
        <v>0.000502</v>
      </c>
      <c r="CM65" s="1099" t="n">
        <v>0.000502</v>
      </c>
      <c r="CN65" s="1099" t="n">
        <v>0.000502</v>
      </c>
      <c r="CO65" s="1099" t="n">
        <v>0.000138</v>
      </c>
      <c r="CP65" s="1099" t="n">
        <v>0.000138</v>
      </c>
      <c r="CQ65" s="496" t="n">
        <v>0</v>
      </c>
      <c r="CR65" s="496" t="n">
        <v>0</v>
      </c>
      <c r="CS65" s="1099" t="n">
        <v>7.73E-005</v>
      </c>
      <c r="CT65" s="1099" t="n">
        <v>7.73E-005</v>
      </c>
      <c r="CU65" s="1099" t="n">
        <v>5.55E-005</v>
      </c>
      <c r="CV65" s="1099" t="n">
        <v>5.55E-005</v>
      </c>
      <c r="CW65" s="1099" t="n">
        <v>5.55E-005</v>
      </c>
      <c r="CX65" s="1099" t="n">
        <v>5.55E-005</v>
      </c>
      <c r="CY65" s="1099" t="n">
        <v>0.00112</v>
      </c>
      <c r="CZ65" s="1099" t="n">
        <v>0.00112</v>
      </c>
      <c r="DA65" s="496" t="n">
        <v>0</v>
      </c>
      <c r="DB65" s="496" t="n">
        <v>0</v>
      </c>
      <c r="DC65" s="1099" t="n">
        <v>5.55E-005</v>
      </c>
      <c r="DD65" s="1099" t="n">
        <v>5.55E-005</v>
      </c>
      <c r="DE65" s="496" t="n">
        <v>0</v>
      </c>
      <c r="DF65" s="496" t="n">
        <v>0</v>
      </c>
    </row>
    <row r="66" customFormat="false" ht="15" hidden="false" customHeight="false" outlineLevel="0" collapsed="false">
      <c r="A66" s="496" t="s">
        <v>1997</v>
      </c>
      <c r="B66" s="1099" t="n">
        <v>4E-005</v>
      </c>
      <c r="C66" s="1099" t="n">
        <v>4E-005</v>
      </c>
      <c r="D66" s="1099" t="n">
        <v>6.75E-005</v>
      </c>
      <c r="E66" s="1099" t="n">
        <v>5.17E-005</v>
      </c>
      <c r="F66" s="1099" t="n">
        <v>0.000504</v>
      </c>
      <c r="G66" s="496" t="n">
        <v>0</v>
      </c>
      <c r="H66" s="1099" t="n">
        <v>8.31E-006</v>
      </c>
      <c r="I66" s="1099" t="n">
        <v>6.75E-005</v>
      </c>
      <c r="J66" s="1099" t="n">
        <v>0.000513</v>
      </c>
      <c r="K66" s="1099" t="n">
        <v>0.000513</v>
      </c>
      <c r="L66" s="1099" t="n">
        <v>4E-005</v>
      </c>
      <c r="M66" s="496" t="n">
        <v>0</v>
      </c>
      <c r="N66" s="496" t="s">
        <v>469</v>
      </c>
      <c r="O66" s="496" t="n">
        <v>0</v>
      </c>
      <c r="P66" s="496" t="n">
        <v>0</v>
      </c>
      <c r="Q66" s="1099" t="n">
        <v>1.86E-021</v>
      </c>
      <c r="R66" s="1099" t="n">
        <v>1.86E-021</v>
      </c>
      <c r="S66" s="1099" t="n">
        <v>2.37E-022</v>
      </c>
      <c r="T66" s="1099" t="n">
        <v>2.37E-022</v>
      </c>
      <c r="U66" s="1099" t="n">
        <v>5.35E-005</v>
      </c>
      <c r="V66" s="1099" t="n">
        <v>9.85E-016</v>
      </c>
      <c r="W66" s="1099" t="n">
        <v>9.85E-016</v>
      </c>
      <c r="X66" s="1099" t="n">
        <v>9.85E-016</v>
      </c>
      <c r="Y66" s="1099" t="n">
        <v>9.85E-016</v>
      </c>
      <c r="Z66" s="1099" t="n">
        <v>9.85E-016</v>
      </c>
      <c r="AA66" s="496" t="n">
        <v>0</v>
      </c>
      <c r="AB66" s="1099" t="n">
        <v>5.35E-005</v>
      </c>
      <c r="AC66" s="1099" t="n">
        <v>6.75E-005</v>
      </c>
      <c r="AD66" s="496" t="n">
        <v>0</v>
      </c>
      <c r="AE66" s="496" t="n">
        <v>0</v>
      </c>
      <c r="AF66" s="1099" t="n">
        <v>5.35E-005</v>
      </c>
      <c r="AG66" s="1099" t="n">
        <v>5.35E-005</v>
      </c>
      <c r="AH66" s="1099" t="n">
        <v>4E-005</v>
      </c>
      <c r="AI66" s="1099" t="n">
        <v>4E-005</v>
      </c>
      <c r="AJ66" s="1099" t="n">
        <v>4E-005</v>
      </c>
      <c r="AK66" s="1099" t="n">
        <v>4E-005</v>
      </c>
      <c r="AL66" s="1099" t="n">
        <v>4E-005</v>
      </c>
      <c r="AM66" s="1099" t="n">
        <v>4E-005</v>
      </c>
      <c r="AN66" s="1099" t="n">
        <v>4.59E-005</v>
      </c>
      <c r="AO66" s="1099" t="n">
        <v>4.59E-005</v>
      </c>
      <c r="AP66" s="496" t="n">
        <v>0</v>
      </c>
      <c r="AQ66" s="496" t="n">
        <v>0</v>
      </c>
      <c r="AR66" s="1099" t="n">
        <v>6.75E-005</v>
      </c>
      <c r="AS66" s="1099" t="n">
        <v>6.75E-005</v>
      </c>
      <c r="AT66" s="1099" t="n">
        <v>5.17E-005</v>
      </c>
      <c r="AU66" s="1099" t="n">
        <v>5.17E-005</v>
      </c>
      <c r="AV66" s="1099" t="n">
        <v>9.63E-005</v>
      </c>
      <c r="AW66" s="1099" t="n">
        <v>9.63E-005</v>
      </c>
      <c r="AX66" s="1099" t="n">
        <v>4E-005</v>
      </c>
      <c r="AY66" s="1099" t="n">
        <v>4E-005</v>
      </c>
      <c r="AZ66" s="1099" t="n">
        <v>4E-005</v>
      </c>
      <c r="BA66" s="1099" t="n">
        <v>8.31E-006</v>
      </c>
      <c r="BB66" s="1099" t="n">
        <v>0.000504</v>
      </c>
      <c r="BC66" s="1099" t="n">
        <v>4E-005</v>
      </c>
      <c r="BD66" s="1099" t="n">
        <v>5.35E-005</v>
      </c>
      <c r="BE66" s="1099" t="n">
        <v>1.34E-005</v>
      </c>
      <c r="BF66" s="1099" t="n">
        <v>9.85E-016</v>
      </c>
      <c r="BG66" s="1099" t="n">
        <v>9.85E-016</v>
      </c>
      <c r="BH66" s="1099" t="n">
        <v>6.75E-005</v>
      </c>
      <c r="BI66" s="1099" t="n">
        <v>6.75E-005</v>
      </c>
      <c r="BJ66" s="1099" t="n">
        <v>4.59E-005</v>
      </c>
      <c r="BK66" s="1099" t="n">
        <v>4.14E-005</v>
      </c>
      <c r="BL66" s="1099" t="n">
        <v>5.69E-005</v>
      </c>
      <c r="BM66" s="1099" t="n">
        <v>5.17E-005</v>
      </c>
      <c r="BN66" s="1099" t="n">
        <v>1.87E-021</v>
      </c>
      <c r="BO66" s="1099" t="n">
        <v>5.69E-005</v>
      </c>
      <c r="BP66" s="1099" t="n">
        <v>0.00298</v>
      </c>
      <c r="BQ66" s="1099" t="n">
        <v>1.87E-021</v>
      </c>
      <c r="BR66" s="1099" t="n">
        <v>2.45E-021</v>
      </c>
      <c r="BS66" s="1099" t="n">
        <v>0.000513</v>
      </c>
      <c r="BT66" s="1099" t="n">
        <v>9.63E-005</v>
      </c>
      <c r="BU66" s="496" t="s">
        <v>469</v>
      </c>
      <c r="BV66" s="496" t="n">
        <v>0</v>
      </c>
      <c r="BW66" s="496" t="s">
        <v>469</v>
      </c>
      <c r="BX66" s="1099" t="n">
        <v>5.35E-005</v>
      </c>
      <c r="BY66" s="496" t="s">
        <v>469</v>
      </c>
      <c r="BZ66" s="1099" t="n">
        <v>5.17E-005</v>
      </c>
      <c r="CA66" s="496" t="s">
        <v>469</v>
      </c>
      <c r="CB66" s="1099" t="n">
        <v>4E-005</v>
      </c>
      <c r="CC66" s="1099" t="n">
        <v>4E-005</v>
      </c>
      <c r="CD66" s="1099" t="n">
        <v>8.31E-006</v>
      </c>
      <c r="CE66" s="496" t="n">
        <v>0</v>
      </c>
      <c r="CF66" s="496" t="n">
        <v>0</v>
      </c>
      <c r="CG66" s="1099" t="n">
        <v>5.35E-005</v>
      </c>
      <c r="CH66" s="1099" t="n">
        <v>5.35E-005</v>
      </c>
      <c r="CI66" s="1099" t="n">
        <v>4E-005</v>
      </c>
      <c r="CJ66" s="1099" t="n">
        <v>4E-005</v>
      </c>
      <c r="CK66" s="1099" t="n">
        <v>4E-005</v>
      </c>
      <c r="CL66" s="1099" t="n">
        <v>4E-005</v>
      </c>
      <c r="CM66" s="1099" t="n">
        <v>4E-005</v>
      </c>
      <c r="CN66" s="1099" t="n">
        <v>4E-005</v>
      </c>
      <c r="CO66" s="1099" t="n">
        <v>4.59E-005</v>
      </c>
      <c r="CP66" s="1099" t="n">
        <v>4.59E-005</v>
      </c>
      <c r="CQ66" s="496" t="n">
        <v>0</v>
      </c>
      <c r="CR66" s="496" t="n">
        <v>0</v>
      </c>
      <c r="CS66" s="1099" t="n">
        <v>6.75E-005</v>
      </c>
      <c r="CT66" s="1099" t="n">
        <v>6.75E-005</v>
      </c>
      <c r="CU66" s="1099" t="n">
        <v>5.17E-005</v>
      </c>
      <c r="CV66" s="1099" t="n">
        <v>5.17E-005</v>
      </c>
      <c r="CW66" s="1099" t="n">
        <v>5.17E-005</v>
      </c>
      <c r="CX66" s="1099" t="n">
        <v>5.17E-005</v>
      </c>
      <c r="CY66" s="1099" t="n">
        <v>9.63E-005</v>
      </c>
      <c r="CZ66" s="1099" t="n">
        <v>9.63E-005</v>
      </c>
      <c r="DA66" s="496" t="n">
        <v>0</v>
      </c>
      <c r="DB66" s="496" t="n">
        <v>0</v>
      </c>
      <c r="DC66" s="1099" t="n">
        <v>5.17E-005</v>
      </c>
      <c r="DD66" s="1099" t="n">
        <v>5.17E-005</v>
      </c>
      <c r="DE66" s="496" t="n">
        <v>0</v>
      </c>
      <c r="DF66" s="496" t="n">
        <v>0</v>
      </c>
    </row>
    <row r="67" customFormat="false" ht="15" hidden="false" customHeight="false" outlineLevel="0" collapsed="false">
      <c r="A67" s="496" t="s">
        <v>2001</v>
      </c>
      <c r="B67" s="496" t="n">
        <v>1467.159</v>
      </c>
      <c r="C67" s="496" t="n">
        <v>1395.438</v>
      </c>
      <c r="D67" s="496" t="n">
        <v>1934.321</v>
      </c>
      <c r="E67" s="496" t="n">
        <v>922.2515</v>
      </c>
      <c r="F67" s="496" t="n">
        <v>48.42234</v>
      </c>
      <c r="G67" s="496" t="n">
        <v>4.440675</v>
      </c>
      <c r="H67" s="496" t="n">
        <v>1780.483</v>
      </c>
      <c r="I67" s="496" t="n">
        <v>967.1603</v>
      </c>
      <c r="J67" s="496" t="n">
        <v>394.9089</v>
      </c>
      <c r="K67" s="496" t="n">
        <v>394.9089</v>
      </c>
      <c r="L67" s="496" t="n">
        <v>1467.159</v>
      </c>
      <c r="M67" s="496" t="n">
        <v>417.4315</v>
      </c>
      <c r="N67" s="496" t="n">
        <v>0</v>
      </c>
      <c r="O67" s="496" t="n">
        <v>1340.732</v>
      </c>
      <c r="P67" s="496" t="n">
        <v>832.6265</v>
      </c>
      <c r="Q67" s="496" t="n">
        <v>832.6097</v>
      </c>
      <c r="R67" s="496" t="n">
        <v>832.6097</v>
      </c>
      <c r="S67" s="496" t="n">
        <v>832.6097</v>
      </c>
      <c r="T67" s="496" t="n">
        <v>832.6097</v>
      </c>
      <c r="U67" s="496" t="n">
        <v>439.7514</v>
      </c>
      <c r="V67" s="496" t="n">
        <v>422.5495</v>
      </c>
      <c r="W67" s="496" t="n">
        <v>422.5495</v>
      </c>
      <c r="X67" s="496" t="n">
        <v>422.5495</v>
      </c>
      <c r="Y67" s="496" t="n">
        <v>422.5495</v>
      </c>
      <c r="Z67" s="496" t="n">
        <v>422.5495</v>
      </c>
      <c r="AA67" s="496" t="n">
        <v>1340.732</v>
      </c>
      <c r="AB67" s="496" t="n">
        <v>465.8473</v>
      </c>
      <c r="AC67" s="496" t="n">
        <v>967.1603</v>
      </c>
      <c r="AD67" s="496" t="n">
        <v>0.0174779</v>
      </c>
      <c r="AE67" s="496" t="n">
        <v>0.0174779</v>
      </c>
      <c r="AF67" s="496" t="n">
        <v>0.0311615</v>
      </c>
      <c r="AG67" s="496" t="n">
        <v>0.0311615</v>
      </c>
      <c r="AH67" s="496" t="n">
        <v>0.0161542</v>
      </c>
      <c r="AI67" s="496" t="n">
        <v>0.0161542</v>
      </c>
      <c r="AJ67" s="496" t="n">
        <v>0.0161542</v>
      </c>
      <c r="AK67" s="496" t="n">
        <v>0.0161542</v>
      </c>
      <c r="AL67" s="496" t="n">
        <v>0.0153645</v>
      </c>
      <c r="AM67" s="496" t="n">
        <v>0.0153645</v>
      </c>
      <c r="AN67" s="496" t="n">
        <v>0.0176642</v>
      </c>
      <c r="AO67" s="496" t="n">
        <v>0.0176642</v>
      </c>
      <c r="AP67" s="496" t="n">
        <v>0.0555084</v>
      </c>
      <c r="AQ67" s="496" t="n">
        <v>0.0555084</v>
      </c>
      <c r="AR67" s="496" t="n">
        <v>0.0177422</v>
      </c>
      <c r="AS67" s="496" t="n">
        <v>0.0177422</v>
      </c>
      <c r="AT67" s="496" t="n">
        <v>0.0174144</v>
      </c>
      <c r="AU67" s="496" t="n">
        <v>0.0174144</v>
      </c>
      <c r="AV67" s="496" t="n">
        <v>0.0310653</v>
      </c>
      <c r="AW67" s="496" t="n">
        <v>0.0310653</v>
      </c>
      <c r="AX67" s="496" t="n">
        <v>1467.159</v>
      </c>
      <c r="AY67" s="496" t="n">
        <v>1467.159</v>
      </c>
      <c r="AZ67" s="496" t="n">
        <v>1395.438</v>
      </c>
      <c r="BA67" s="496" t="n">
        <v>1780.483</v>
      </c>
      <c r="BB67" s="496" t="n">
        <v>48.41579</v>
      </c>
      <c r="BC67" s="496" t="n">
        <v>1395.438</v>
      </c>
      <c r="BD67" s="496" t="n">
        <v>26.09583</v>
      </c>
      <c r="BE67" s="496" t="n">
        <v>792.9054</v>
      </c>
      <c r="BF67" s="496" t="n">
        <v>6469.697</v>
      </c>
      <c r="BG67" s="496" t="n">
        <v>6469.697</v>
      </c>
      <c r="BH67" s="496" t="n">
        <v>967.1603</v>
      </c>
      <c r="BI67" s="496" t="n">
        <v>1934.321</v>
      </c>
      <c r="BJ67" s="496" t="n">
        <v>1953.252</v>
      </c>
      <c r="BK67" s="496" t="n">
        <v>1765.794</v>
      </c>
      <c r="BL67" s="496" t="n">
        <v>877.5353</v>
      </c>
      <c r="BM67" s="496" t="n">
        <v>922.2515</v>
      </c>
      <c r="BN67" s="496" t="n">
        <v>828.169</v>
      </c>
      <c r="BO67" s="496" t="n">
        <v>877.5353</v>
      </c>
      <c r="BP67" s="496" t="n">
        <v>0.9439328</v>
      </c>
      <c r="BQ67" s="496" t="n">
        <v>1622.715</v>
      </c>
      <c r="BR67" s="496" t="n">
        <v>1622.715</v>
      </c>
      <c r="BS67" s="496" t="n">
        <v>394.9089</v>
      </c>
      <c r="BT67" s="496" t="n">
        <v>429.5507</v>
      </c>
      <c r="BU67" s="496" t="n">
        <v>0</v>
      </c>
      <c r="BV67" s="496" t="n">
        <v>1340.732</v>
      </c>
      <c r="BW67" s="496" t="n">
        <v>0</v>
      </c>
      <c r="BX67" s="496" t="n">
        <v>465.8473</v>
      </c>
      <c r="BY67" s="496" t="n">
        <v>0</v>
      </c>
      <c r="BZ67" s="496" t="n">
        <v>922.2515</v>
      </c>
      <c r="CA67" s="496" t="n">
        <v>0</v>
      </c>
      <c r="CB67" s="496" t="n">
        <v>1467.159</v>
      </c>
      <c r="CC67" s="496" t="n">
        <v>1467.159</v>
      </c>
      <c r="CD67" s="496" t="n">
        <v>1780.484</v>
      </c>
      <c r="CE67" s="496" t="n">
        <v>1340.732</v>
      </c>
      <c r="CF67" s="496" t="n">
        <v>1340.732</v>
      </c>
      <c r="CG67" s="496" t="n">
        <v>465.8473</v>
      </c>
      <c r="CH67" s="496" t="n">
        <v>465.8473</v>
      </c>
      <c r="CI67" s="496" t="n">
        <v>1467.159</v>
      </c>
      <c r="CJ67" s="496" t="n">
        <v>1467.159</v>
      </c>
      <c r="CK67" s="496" t="n">
        <v>1467.159</v>
      </c>
      <c r="CL67" s="496" t="n">
        <v>1467.159</v>
      </c>
      <c r="CM67" s="496" t="n">
        <v>1395.438</v>
      </c>
      <c r="CN67" s="496" t="n">
        <v>1395.438</v>
      </c>
      <c r="CO67" s="496" t="n">
        <v>1953.252</v>
      </c>
      <c r="CP67" s="496" t="n">
        <v>1953.252</v>
      </c>
      <c r="CQ67" s="496" t="n">
        <v>906.7691</v>
      </c>
      <c r="CR67" s="496" t="n">
        <v>906.7691</v>
      </c>
      <c r="CS67" s="496" t="n">
        <v>1934.321</v>
      </c>
      <c r="CT67" s="496" t="n">
        <v>1934.321</v>
      </c>
      <c r="CU67" s="496" t="n">
        <v>922.2515</v>
      </c>
      <c r="CV67" s="496" t="n">
        <v>922.2515</v>
      </c>
      <c r="CW67" s="496" t="n">
        <v>922.2515</v>
      </c>
      <c r="CX67" s="496" t="n">
        <v>922.2515</v>
      </c>
      <c r="CY67" s="496" t="n">
        <v>429.5507</v>
      </c>
      <c r="CZ67" s="496" t="n">
        <v>429.5507</v>
      </c>
      <c r="DA67" s="496" t="n">
        <v>293.4681</v>
      </c>
      <c r="DB67" s="496" t="n">
        <v>293.4681</v>
      </c>
      <c r="DC67" s="496" t="n">
        <v>0.0174144</v>
      </c>
      <c r="DD67" s="496" t="n">
        <v>0.0174144</v>
      </c>
      <c r="DE67" s="496" t="n">
        <v>0.0555084</v>
      </c>
      <c r="DF67" s="496" t="n">
        <v>0.0555084</v>
      </c>
    </row>
    <row r="68" customFormat="false" ht="15" hidden="false" customHeight="false" outlineLevel="0" collapsed="false">
      <c r="A68" s="496" t="s">
        <v>2002</v>
      </c>
      <c r="B68" s="496" t="n">
        <v>90822</v>
      </c>
      <c r="C68" s="496" t="n">
        <v>90822</v>
      </c>
      <c r="D68" s="1099" t="n">
        <v>109000</v>
      </c>
      <c r="E68" s="496" t="n">
        <v>52959.11</v>
      </c>
      <c r="F68" s="496" t="n">
        <v>1584.66</v>
      </c>
      <c r="G68" s="496" t="n">
        <v>80</v>
      </c>
      <c r="H68" s="496" t="n">
        <v>90821.98</v>
      </c>
      <c r="I68" s="496" t="n">
        <v>54511.6</v>
      </c>
      <c r="J68" s="496" t="n">
        <v>12940.49</v>
      </c>
      <c r="K68" s="496" t="n">
        <v>12940.49</v>
      </c>
      <c r="L68" s="496" t="n">
        <v>90821.98</v>
      </c>
      <c r="M68" s="496" t="n">
        <v>13365</v>
      </c>
      <c r="N68" s="496" t="n">
        <v>0</v>
      </c>
      <c r="O68" s="496" t="n">
        <v>76710</v>
      </c>
      <c r="P68" s="496" t="n">
        <v>15000</v>
      </c>
      <c r="Q68" s="496" t="n">
        <v>15000.16</v>
      </c>
      <c r="R68" s="496" t="n">
        <v>15000.16</v>
      </c>
      <c r="S68" s="496" t="n">
        <v>15000.16</v>
      </c>
      <c r="T68" s="496" t="n">
        <v>15000.16</v>
      </c>
      <c r="U68" s="496" t="n">
        <v>14111.98</v>
      </c>
      <c r="V68" s="496" t="n">
        <v>37147.81</v>
      </c>
      <c r="W68" s="496" t="n">
        <v>37147.81</v>
      </c>
      <c r="X68" s="496" t="n">
        <v>37147.81</v>
      </c>
      <c r="Y68" s="496" t="n">
        <v>37147.81</v>
      </c>
      <c r="Z68" s="496" t="n">
        <v>37147.81</v>
      </c>
      <c r="AA68" s="496" t="n">
        <v>76710</v>
      </c>
      <c r="AB68" s="496" t="n">
        <v>14949.41</v>
      </c>
      <c r="AC68" s="496" t="n">
        <v>54511.6</v>
      </c>
      <c r="AD68" s="496" t="n">
        <v>1</v>
      </c>
      <c r="AE68" s="496" t="n">
        <v>1</v>
      </c>
      <c r="AF68" s="496" t="n">
        <v>1</v>
      </c>
      <c r="AG68" s="496" t="n">
        <v>1</v>
      </c>
      <c r="AH68" s="496" t="n">
        <v>1</v>
      </c>
      <c r="AI68" s="496" t="n">
        <v>1</v>
      </c>
      <c r="AJ68" s="496" t="n">
        <v>1</v>
      </c>
      <c r="AK68" s="496" t="n">
        <v>1</v>
      </c>
      <c r="AL68" s="496" t="n">
        <v>1</v>
      </c>
      <c r="AM68" s="496" t="n">
        <v>1</v>
      </c>
      <c r="AN68" s="496" t="n">
        <v>1</v>
      </c>
      <c r="AO68" s="496" t="n">
        <v>1</v>
      </c>
      <c r="AP68" s="496" t="n">
        <v>1</v>
      </c>
      <c r="AQ68" s="496" t="n">
        <v>1</v>
      </c>
      <c r="AR68" s="496" t="n">
        <v>1</v>
      </c>
      <c r="AS68" s="496" t="n">
        <v>1</v>
      </c>
      <c r="AT68" s="496" t="n">
        <v>1</v>
      </c>
      <c r="AU68" s="496" t="n">
        <v>1</v>
      </c>
      <c r="AV68" s="496" t="n">
        <v>1</v>
      </c>
      <c r="AW68" s="496" t="n">
        <v>1</v>
      </c>
      <c r="AX68" s="496" t="n">
        <v>90821.98</v>
      </c>
      <c r="AY68" s="496" t="n">
        <v>90821.98</v>
      </c>
      <c r="AZ68" s="496" t="n">
        <v>90821.98</v>
      </c>
      <c r="BA68" s="496" t="n">
        <v>90821.98</v>
      </c>
      <c r="BB68" s="496" t="n">
        <v>1584.411</v>
      </c>
      <c r="BC68" s="496" t="n">
        <v>90821.98</v>
      </c>
      <c r="BD68" s="496" t="n">
        <v>837.4362</v>
      </c>
      <c r="BE68" s="496" t="n">
        <v>50600.52</v>
      </c>
      <c r="BF68" s="1099" t="n">
        <v>569000</v>
      </c>
      <c r="BG68" s="1099" t="n">
        <v>569000</v>
      </c>
      <c r="BH68" s="496" t="n">
        <v>54511.6</v>
      </c>
      <c r="BI68" s="1099" t="n">
        <v>109000</v>
      </c>
      <c r="BJ68" s="1099" t="n">
        <v>111000</v>
      </c>
      <c r="BK68" s="1099" t="n">
        <v>104000</v>
      </c>
      <c r="BL68" s="496" t="n">
        <v>16552.49</v>
      </c>
      <c r="BM68" s="496" t="n">
        <v>52959.11</v>
      </c>
      <c r="BN68" s="496" t="n">
        <v>14920.16</v>
      </c>
      <c r="BO68" s="496" t="n">
        <v>16552.49</v>
      </c>
      <c r="BP68" s="496" t="n">
        <v>47.66526</v>
      </c>
      <c r="BQ68" s="496" t="n">
        <v>29234.57</v>
      </c>
      <c r="BR68" s="496" t="n">
        <v>29234.57</v>
      </c>
      <c r="BS68" s="496" t="n">
        <v>12940.49</v>
      </c>
      <c r="BT68" s="496" t="n">
        <v>13827.32</v>
      </c>
      <c r="BU68" s="496" t="n">
        <v>0</v>
      </c>
      <c r="BV68" s="496" t="n">
        <v>76710</v>
      </c>
      <c r="BW68" s="496" t="n">
        <v>0</v>
      </c>
      <c r="BX68" s="496" t="n">
        <v>14949.41</v>
      </c>
      <c r="BY68" s="496" t="n">
        <v>0</v>
      </c>
      <c r="BZ68" s="496" t="n">
        <v>52959.11</v>
      </c>
      <c r="CA68" s="496" t="n">
        <v>0</v>
      </c>
      <c r="CB68" s="496" t="n">
        <v>90821.98</v>
      </c>
      <c r="CC68" s="496" t="n">
        <v>90822</v>
      </c>
      <c r="CD68" s="496" t="n">
        <v>90822</v>
      </c>
      <c r="CE68" s="496" t="n">
        <v>76710</v>
      </c>
      <c r="CF68" s="496" t="n">
        <v>76710</v>
      </c>
      <c r="CG68" s="496" t="n">
        <v>14949.41</v>
      </c>
      <c r="CH68" s="496" t="n">
        <v>14949.41</v>
      </c>
      <c r="CI68" s="496" t="n">
        <v>90821.98</v>
      </c>
      <c r="CJ68" s="496" t="n">
        <v>90821.98</v>
      </c>
      <c r="CK68" s="496" t="n">
        <v>90821.98</v>
      </c>
      <c r="CL68" s="496" t="n">
        <v>90821.98</v>
      </c>
      <c r="CM68" s="496" t="n">
        <v>90821.98</v>
      </c>
      <c r="CN68" s="496" t="n">
        <v>90821.98</v>
      </c>
      <c r="CO68" s="1099" t="n">
        <v>111000</v>
      </c>
      <c r="CP68" s="1099" t="n">
        <v>111000</v>
      </c>
      <c r="CQ68" s="496" t="n">
        <v>16335.7</v>
      </c>
      <c r="CR68" s="496" t="n">
        <v>16335.7</v>
      </c>
      <c r="CS68" s="1099" t="n">
        <v>109000</v>
      </c>
      <c r="CT68" s="1099" t="n">
        <v>109000</v>
      </c>
      <c r="CU68" s="496" t="n">
        <v>52959.11</v>
      </c>
      <c r="CV68" s="496" t="n">
        <v>52959.11</v>
      </c>
      <c r="CW68" s="496" t="n">
        <v>52959.11</v>
      </c>
      <c r="CX68" s="496" t="n">
        <v>52959.11</v>
      </c>
      <c r="CY68" s="496" t="n">
        <v>13827.32</v>
      </c>
      <c r="CZ68" s="496" t="n">
        <v>13827.32</v>
      </c>
      <c r="DA68" s="496" t="n">
        <v>5286.91</v>
      </c>
      <c r="DB68" s="496" t="n">
        <v>5286.91</v>
      </c>
      <c r="DC68" s="496" t="n">
        <v>1</v>
      </c>
      <c r="DD68" s="496" t="n">
        <v>1</v>
      </c>
      <c r="DE68" s="496" t="n">
        <v>1</v>
      </c>
      <c r="DF68" s="496" t="n">
        <v>1</v>
      </c>
    </row>
    <row r="69" customFormat="false" ht="15" hidden="false" customHeight="false" outlineLevel="0" collapsed="false">
      <c r="A69" s="496" t="s">
        <v>2003</v>
      </c>
      <c r="B69" s="496" t="n">
        <v>640.8037</v>
      </c>
      <c r="C69" s="496" t="n">
        <v>155.2041</v>
      </c>
      <c r="D69" s="496" t="n">
        <v>204.1854</v>
      </c>
      <c r="E69" s="496" t="n">
        <v>97.04888</v>
      </c>
      <c r="F69" s="496" t="n">
        <v>2.054701</v>
      </c>
      <c r="G69" s="496" t="n">
        <v>0.0801344</v>
      </c>
      <c r="H69" s="496" t="n">
        <v>151.7758</v>
      </c>
      <c r="I69" s="496" t="n">
        <v>98.27856</v>
      </c>
      <c r="J69" s="496" t="n">
        <v>37.26924</v>
      </c>
      <c r="K69" s="496" t="n">
        <v>16.79248</v>
      </c>
      <c r="L69" s="496" t="n">
        <v>152.3377</v>
      </c>
      <c r="M69" s="496" t="n">
        <v>16.71956</v>
      </c>
      <c r="N69" s="496" t="n">
        <v>0</v>
      </c>
      <c r="O69" s="496" t="n">
        <v>138.5366</v>
      </c>
      <c r="P69" s="496" t="n">
        <v>15.3228</v>
      </c>
      <c r="Q69" s="496" t="n">
        <v>16.66572</v>
      </c>
      <c r="R69" s="496" t="n">
        <v>16.67289</v>
      </c>
      <c r="S69" s="496" t="n">
        <v>15.63854</v>
      </c>
      <c r="T69" s="496" t="n">
        <v>15.32327</v>
      </c>
      <c r="U69" s="496" t="n">
        <v>17.73269</v>
      </c>
      <c r="V69" s="496" t="n">
        <v>62.32516</v>
      </c>
      <c r="W69" s="496" t="n">
        <v>55.57929</v>
      </c>
      <c r="X69" s="496" t="n">
        <v>54.53722</v>
      </c>
      <c r="Y69" s="496" t="n">
        <v>51.77191</v>
      </c>
      <c r="Z69" s="496" t="n">
        <v>51.79378</v>
      </c>
      <c r="AA69" s="496" t="n">
        <v>138.7412</v>
      </c>
      <c r="AB69" s="496" t="n">
        <v>18.78498</v>
      </c>
      <c r="AC69" s="496" t="n">
        <v>102.8981</v>
      </c>
      <c r="AD69" s="1099" t="n">
        <v>0.00181</v>
      </c>
      <c r="AE69" s="496" t="n">
        <v>0.0348992</v>
      </c>
      <c r="AF69" s="1099" t="n">
        <v>0.00126</v>
      </c>
      <c r="AG69" s="496" t="n">
        <v>0.183237</v>
      </c>
      <c r="AH69" s="496" t="n">
        <v>0.0101715</v>
      </c>
      <c r="AI69" s="496" t="n">
        <v>0.0264481</v>
      </c>
      <c r="AJ69" s="1099" t="n">
        <v>0.00168</v>
      </c>
      <c r="AK69" s="496" t="n">
        <v>0.0364362</v>
      </c>
      <c r="AL69" s="1099" t="n">
        <v>0.00171</v>
      </c>
      <c r="AM69" s="496" t="n">
        <v>0.0257705</v>
      </c>
      <c r="AN69" s="496" t="n">
        <v>0.0690847</v>
      </c>
      <c r="AO69" s="496" t="n">
        <v>0.0321739</v>
      </c>
      <c r="AP69" s="1099" t="n">
        <v>0.00121</v>
      </c>
      <c r="AQ69" s="496" t="n">
        <v>0.1459429</v>
      </c>
      <c r="AR69" s="1099" t="n">
        <v>0.00187</v>
      </c>
      <c r="AS69" s="496" t="n">
        <v>0.036432</v>
      </c>
      <c r="AT69" s="1099" t="n">
        <v>0.00183</v>
      </c>
      <c r="AU69" s="496" t="n">
        <v>0.0357488</v>
      </c>
      <c r="AV69" s="496" t="n">
        <v>0.5798336</v>
      </c>
      <c r="AW69" s="496" t="n">
        <v>0.1519058</v>
      </c>
      <c r="AX69" s="496" t="n">
        <v>890.9532</v>
      </c>
      <c r="AY69" s="496" t="n">
        <v>152.463</v>
      </c>
      <c r="AZ69" s="496" t="n">
        <v>155.2257</v>
      </c>
      <c r="BA69" s="496" t="n">
        <v>153.0223</v>
      </c>
      <c r="BB69" s="496" t="n">
        <v>2.054366</v>
      </c>
      <c r="BC69" s="496" t="n">
        <v>161.9156</v>
      </c>
      <c r="BD69" s="496" t="n">
        <v>1.052297</v>
      </c>
      <c r="BE69" s="496" t="n">
        <v>91.03082</v>
      </c>
      <c r="BF69" s="496" t="n">
        <v>954.2668</v>
      </c>
      <c r="BG69" s="496" t="n">
        <v>6496.338</v>
      </c>
      <c r="BH69" s="496" t="n">
        <v>102.0927</v>
      </c>
      <c r="BI69" s="496" t="n">
        <v>6056.474</v>
      </c>
      <c r="BJ69" s="496" t="n">
        <v>6117.245</v>
      </c>
      <c r="BK69" s="496" t="n">
        <v>5642.353</v>
      </c>
      <c r="BL69" s="496" t="n">
        <v>17.38548</v>
      </c>
      <c r="BM69" s="496" t="n">
        <v>96.62141</v>
      </c>
      <c r="BN69" s="496" t="n">
        <v>16.58634</v>
      </c>
      <c r="BO69" s="496" t="n">
        <v>18.51461</v>
      </c>
      <c r="BP69" s="496" t="n">
        <v>18.24457</v>
      </c>
      <c r="BQ69" s="496" t="n">
        <v>32.49929</v>
      </c>
      <c r="BR69" s="496" t="n">
        <v>7202.892</v>
      </c>
      <c r="BS69" s="496" t="n">
        <v>7393.506</v>
      </c>
      <c r="BT69" s="496" t="n">
        <v>8008.799</v>
      </c>
      <c r="BU69" s="496" t="n">
        <v>0</v>
      </c>
      <c r="BV69" s="496" t="n">
        <v>138.564</v>
      </c>
      <c r="BW69" s="496" t="n">
        <v>0</v>
      </c>
      <c r="BX69" s="496" t="n">
        <v>18.77135</v>
      </c>
      <c r="BY69" s="496" t="n">
        <v>0</v>
      </c>
      <c r="BZ69" s="496" t="n">
        <v>96.85292</v>
      </c>
      <c r="CA69" s="496" t="n">
        <v>0</v>
      </c>
      <c r="CB69" s="496" t="n">
        <v>152.3499</v>
      </c>
      <c r="CC69" s="496" t="n">
        <v>152.4618</v>
      </c>
      <c r="CD69" s="496" t="n">
        <v>153.0223</v>
      </c>
      <c r="CE69" s="496" t="n">
        <v>138.5366</v>
      </c>
      <c r="CF69" s="496" t="n">
        <v>17025.15</v>
      </c>
      <c r="CG69" s="496" t="n">
        <v>18.77133</v>
      </c>
      <c r="CH69" s="496" t="n">
        <v>18.77295</v>
      </c>
      <c r="CI69" s="496" t="n">
        <v>923.7988</v>
      </c>
      <c r="CJ69" s="496" t="n">
        <v>35374.01</v>
      </c>
      <c r="CK69" s="496" t="n">
        <v>152.3377</v>
      </c>
      <c r="CL69" s="496" t="n">
        <v>23332.86</v>
      </c>
      <c r="CM69" s="496" t="n">
        <v>155.2249</v>
      </c>
      <c r="CN69" s="496" t="n">
        <v>26425.69</v>
      </c>
      <c r="CO69" s="496" t="n">
        <v>7639.184</v>
      </c>
      <c r="CP69" s="496" t="n">
        <v>86541.21</v>
      </c>
      <c r="CQ69" s="496" t="n">
        <v>19.74522</v>
      </c>
      <c r="CR69" s="496" t="n">
        <v>8582.017</v>
      </c>
      <c r="CS69" s="496" t="n">
        <v>204.1854</v>
      </c>
      <c r="CT69" s="496" t="n">
        <v>30947.96</v>
      </c>
      <c r="CU69" s="496" t="n">
        <v>96.62141</v>
      </c>
      <c r="CV69" s="496" t="n">
        <v>11853.86</v>
      </c>
      <c r="CW69" s="496" t="n">
        <v>96.85071</v>
      </c>
      <c r="CX69" s="496" t="n">
        <v>12049.78</v>
      </c>
      <c r="CY69" s="496" t="n">
        <v>8017.544</v>
      </c>
      <c r="CZ69" s="496" t="n">
        <v>20460.11</v>
      </c>
      <c r="DA69" s="496" t="n">
        <v>6.390373</v>
      </c>
      <c r="DB69" s="496" t="n">
        <v>2777.503</v>
      </c>
      <c r="DC69" s="1099" t="n">
        <v>0.00182</v>
      </c>
      <c r="DD69" s="496" t="n">
        <v>0.0325155</v>
      </c>
      <c r="DE69" s="1099" t="n">
        <v>0.00121</v>
      </c>
      <c r="DF69" s="496" t="n">
        <v>0.1459429</v>
      </c>
    </row>
    <row r="70" customFormat="false" ht="15" hidden="false" customHeight="false" outlineLevel="0" collapsed="false">
      <c r="A70" s="496" t="s">
        <v>2004</v>
      </c>
      <c r="B70" s="496" t="n">
        <v>75</v>
      </c>
      <c r="C70" s="496" t="n">
        <v>60.55109</v>
      </c>
      <c r="D70" s="496" t="n">
        <v>55</v>
      </c>
      <c r="E70" s="496" t="n">
        <v>41.65766</v>
      </c>
      <c r="F70" s="496" t="n">
        <v>40</v>
      </c>
      <c r="G70" s="496" t="n">
        <v>20</v>
      </c>
      <c r="H70" s="496" t="n">
        <v>36.40659</v>
      </c>
      <c r="I70" s="496" t="n">
        <v>40</v>
      </c>
      <c r="J70" s="496" t="n">
        <v>60</v>
      </c>
      <c r="K70" s="496" t="n">
        <v>40</v>
      </c>
      <c r="L70" s="496" t="n">
        <v>50</v>
      </c>
      <c r="M70" s="496" t="n">
        <v>25</v>
      </c>
      <c r="N70" s="496" t="s">
        <v>469</v>
      </c>
      <c r="O70" s="496" t="n">
        <v>40</v>
      </c>
      <c r="P70" s="496" t="n">
        <v>40</v>
      </c>
      <c r="Q70" s="496" t="n">
        <v>116.6125</v>
      </c>
      <c r="R70" s="496" t="n">
        <v>116.9688</v>
      </c>
      <c r="S70" s="496" t="n">
        <v>59.89965</v>
      </c>
      <c r="T70" s="496" t="n">
        <v>40</v>
      </c>
      <c r="U70" s="496" t="n">
        <v>27.09998</v>
      </c>
      <c r="V70" s="496" t="n">
        <v>135.4284</v>
      </c>
      <c r="W70" s="496" t="n">
        <v>82.4217</v>
      </c>
      <c r="X70" s="496" t="n">
        <v>71.87775</v>
      </c>
      <c r="Y70" s="496" t="n">
        <v>40</v>
      </c>
      <c r="Z70" s="496" t="n">
        <v>40.27642</v>
      </c>
      <c r="AA70" s="496" t="n">
        <v>40.61202</v>
      </c>
      <c r="AB70" s="496" t="n">
        <v>27.09998</v>
      </c>
      <c r="AC70" s="496" t="n">
        <v>57.89161</v>
      </c>
      <c r="AD70" s="496" t="n">
        <v>40</v>
      </c>
      <c r="AE70" s="496" t="n">
        <v>79.51632</v>
      </c>
      <c r="AF70" s="496" t="n">
        <v>26.62</v>
      </c>
      <c r="AG70" s="496" t="n">
        <v>112.6235</v>
      </c>
      <c r="AH70" s="496" t="n">
        <v>71.1</v>
      </c>
      <c r="AI70" s="496" t="n">
        <v>131.3077</v>
      </c>
      <c r="AJ70" s="496" t="n">
        <v>50</v>
      </c>
      <c r="AK70" s="496" t="n">
        <v>112.5699</v>
      </c>
      <c r="AL70" s="496" t="n">
        <v>60.61</v>
      </c>
      <c r="AM70" s="496" t="n">
        <v>139.7079</v>
      </c>
      <c r="AN70" s="496" t="n">
        <v>58.22</v>
      </c>
      <c r="AO70" s="496" t="n">
        <v>83.0286</v>
      </c>
      <c r="AP70" s="496" t="n">
        <v>179.9768</v>
      </c>
      <c r="AQ70" s="496" t="n">
        <v>195.0739</v>
      </c>
      <c r="AR70" s="496" t="n">
        <v>55</v>
      </c>
      <c r="AS70" s="496" t="n">
        <v>85.02374</v>
      </c>
      <c r="AT70" s="496" t="n">
        <v>40.83</v>
      </c>
      <c r="AU70" s="496" t="n">
        <v>85.29011</v>
      </c>
      <c r="AV70" s="496" t="n">
        <v>75.08</v>
      </c>
      <c r="AW70" s="496" t="n">
        <v>119.2404</v>
      </c>
      <c r="AX70" s="496" t="n">
        <v>71.10292</v>
      </c>
      <c r="AY70" s="496" t="n">
        <v>50.37355</v>
      </c>
      <c r="AZ70" s="496" t="n">
        <v>60.61209</v>
      </c>
      <c r="BA70" s="496" t="n">
        <v>40</v>
      </c>
      <c r="BB70" s="496" t="n">
        <v>40</v>
      </c>
      <c r="BC70" s="496" t="n">
        <v>78</v>
      </c>
      <c r="BD70" s="496" t="n">
        <v>27.09998</v>
      </c>
      <c r="BE70" s="496" t="n">
        <v>70.75097</v>
      </c>
      <c r="BF70" s="496" t="n">
        <v>135.4284</v>
      </c>
      <c r="BG70" s="496" t="n">
        <v>135.5753</v>
      </c>
      <c r="BH70" s="496" t="n">
        <v>55</v>
      </c>
      <c r="BI70" s="496" t="n">
        <v>57.58098</v>
      </c>
      <c r="BJ70" s="496" t="n">
        <v>58.21581</v>
      </c>
      <c r="BK70" s="496" t="n">
        <v>71.70109</v>
      </c>
      <c r="BL70" s="496" t="n">
        <v>39.44651</v>
      </c>
      <c r="BM70" s="496" t="n">
        <v>39.84247</v>
      </c>
      <c r="BN70" s="496" t="n">
        <v>117.087</v>
      </c>
      <c r="BO70" s="496" t="n">
        <v>95</v>
      </c>
      <c r="BP70" s="496" t="n">
        <v>40</v>
      </c>
      <c r="BQ70" s="496" t="n">
        <v>117.087</v>
      </c>
      <c r="BR70" s="496" t="n">
        <v>117.1953</v>
      </c>
      <c r="BS70" s="496" t="n">
        <v>74.25405</v>
      </c>
      <c r="BT70" s="496" t="n">
        <v>75.07653</v>
      </c>
      <c r="BU70" s="496" t="s">
        <v>469</v>
      </c>
      <c r="BV70" s="496" t="n">
        <v>40.08213</v>
      </c>
      <c r="BW70" s="496" t="s">
        <v>469</v>
      </c>
      <c r="BX70" s="496" t="n">
        <v>26.62077</v>
      </c>
      <c r="BY70" s="496" t="s">
        <v>469</v>
      </c>
      <c r="BZ70" s="496" t="n">
        <v>40.8294</v>
      </c>
      <c r="CA70" s="496" t="s">
        <v>469</v>
      </c>
      <c r="CB70" s="496" t="n">
        <v>50.03644</v>
      </c>
      <c r="CC70" s="496" t="n">
        <v>50.37</v>
      </c>
      <c r="CD70" s="496" t="n">
        <v>40</v>
      </c>
      <c r="CE70" s="496" t="n">
        <v>40</v>
      </c>
      <c r="CF70" s="496" t="n">
        <v>-19.68862</v>
      </c>
      <c r="CG70" s="496" t="n">
        <v>26.62</v>
      </c>
      <c r="CH70" s="496" t="n">
        <v>26.67714</v>
      </c>
      <c r="CI70" s="496" t="n">
        <v>71.1</v>
      </c>
      <c r="CJ70" s="496" t="n">
        <v>3.309421</v>
      </c>
      <c r="CK70" s="496" t="n">
        <v>50</v>
      </c>
      <c r="CL70" s="496" t="n">
        <v>-3.648732</v>
      </c>
      <c r="CM70" s="496" t="n">
        <v>60.61</v>
      </c>
      <c r="CN70" s="496" t="n">
        <v>0.3993119</v>
      </c>
      <c r="CO70" s="496" t="n">
        <v>58.22</v>
      </c>
      <c r="CP70" s="496" t="n">
        <v>50.14203</v>
      </c>
      <c r="CQ70" s="496" t="n">
        <v>179.9768</v>
      </c>
      <c r="CR70" s="496" t="n">
        <v>85.9558</v>
      </c>
      <c r="CS70" s="496" t="n">
        <v>55</v>
      </c>
      <c r="CT70" s="496" t="n">
        <v>-17.84357</v>
      </c>
      <c r="CU70" s="496" t="n">
        <v>39.84247</v>
      </c>
      <c r="CV70" s="496" t="n">
        <v>-19.85454</v>
      </c>
      <c r="CW70" s="496" t="n">
        <v>40.82</v>
      </c>
      <c r="CX70" s="496" t="n">
        <v>-19.84476</v>
      </c>
      <c r="CY70" s="496" t="n">
        <v>75.08</v>
      </c>
      <c r="CZ70" s="496" t="n">
        <v>73.19513</v>
      </c>
      <c r="DA70" s="496" t="n">
        <v>179.9768</v>
      </c>
      <c r="DB70" s="496" t="n">
        <v>85.95568</v>
      </c>
      <c r="DC70" s="496" t="n">
        <v>39.84247</v>
      </c>
      <c r="DD70" s="496" t="n">
        <v>89.33295</v>
      </c>
      <c r="DE70" s="496" t="n">
        <v>179.9768</v>
      </c>
      <c r="DF70" s="496" t="n">
        <v>195.0739</v>
      </c>
    </row>
    <row r="71" customFormat="false" ht="15" hidden="false" customHeight="false" outlineLevel="0" collapsed="false">
      <c r="A71" s="496" t="s">
        <v>2005</v>
      </c>
      <c r="B71" s="496" t="n">
        <v>0.7728991</v>
      </c>
      <c r="C71" s="496" t="n">
        <v>1.365</v>
      </c>
      <c r="D71" s="496" t="n">
        <v>0.731325</v>
      </c>
      <c r="E71" s="496" t="n">
        <v>1.481325</v>
      </c>
      <c r="F71" s="496" t="n">
        <v>0.131325</v>
      </c>
      <c r="G71" s="496" t="n">
        <v>0.501325</v>
      </c>
      <c r="H71" s="496" t="n">
        <v>1.151325</v>
      </c>
      <c r="I71" s="496" t="n">
        <v>1.251325</v>
      </c>
      <c r="J71" s="496" t="n">
        <v>0.141325</v>
      </c>
      <c r="K71" s="496" t="n">
        <v>0.131325</v>
      </c>
      <c r="L71" s="496" t="n">
        <v>0.701325</v>
      </c>
      <c r="M71" s="496" t="n">
        <v>0.301325</v>
      </c>
      <c r="N71" s="496" t="n">
        <v>0.491325</v>
      </c>
      <c r="O71" s="496" t="n">
        <v>0.951325</v>
      </c>
      <c r="P71" s="496" t="n">
        <v>1.151325</v>
      </c>
      <c r="Q71" s="496" t="n">
        <v>0.181325</v>
      </c>
      <c r="R71" s="496" t="n">
        <v>1.151325</v>
      </c>
      <c r="S71" s="496" t="n">
        <v>1.151325</v>
      </c>
      <c r="T71" s="496" t="n">
        <v>1.151325</v>
      </c>
      <c r="U71" s="496" t="n">
        <v>1.181325</v>
      </c>
      <c r="V71" s="496" t="n">
        <v>0.801325</v>
      </c>
      <c r="W71" s="496" t="n">
        <v>0.801325</v>
      </c>
      <c r="X71" s="496" t="n">
        <v>0.801325</v>
      </c>
      <c r="Y71" s="496" t="n">
        <v>0.801325</v>
      </c>
      <c r="Z71" s="496" t="n">
        <v>1.201325</v>
      </c>
      <c r="AA71" s="496" t="n">
        <v>1.151325</v>
      </c>
      <c r="AB71" s="496" t="n">
        <v>1.181325</v>
      </c>
      <c r="AC71" s="496" t="n">
        <v>1.281325</v>
      </c>
      <c r="AD71" s="496" t="n">
        <v>0.791325</v>
      </c>
      <c r="AE71" s="496" t="n">
        <v>1.178</v>
      </c>
      <c r="AF71" s="496" t="n">
        <v>0.301325</v>
      </c>
      <c r="AG71" s="496" t="n">
        <v>0.518</v>
      </c>
      <c r="AH71" s="496" t="n">
        <v>0.7</v>
      </c>
      <c r="AI71" s="496" t="n">
        <v>1.618</v>
      </c>
      <c r="AJ71" s="496" t="n">
        <v>0.7</v>
      </c>
      <c r="AK71" s="496" t="n">
        <v>1.178</v>
      </c>
      <c r="AL71" s="496" t="n">
        <v>0.8</v>
      </c>
      <c r="AM71" s="496" t="n">
        <v>1.618</v>
      </c>
      <c r="AN71" s="496" t="n">
        <v>0.6223374</v>
      </c>
      <c r="AO71" s="496" t="n">
        <v>1.178</v>
      </c>
      <c r="AP71" s="496" t="n">
        <v>1</v>
      </c>
      <c r="AQ71" s="496" t="n">
        <v>1.398</v>
      </c>
      <c r="AR71" s="496" t="n">
        <v>0.73</v>
      </c>
      <c r="AS71" s="496" t="n">
        <v>1.178</v>
      </c>
      <c r="AT71" s="496" t="n">
        <v>0.491</v>
      </c>
      <c r="AU71" s="496" t="n">
        <v>1.178</v>
      </c>
      <c r="AV71" s="496" t="n">
        <v>0.1521636</v>
      </c>
      <c r="AW71" s="496" t="n">
        <v>0.628</v>
      </c>
      <c r="AX71" s="496" t="n">
        <v>0.701325</v>
      </c>
      <c r="AY71" s="496" t="n">
        <v>1</v>
      </c>
      <c r="AZ71" s="496" t="n">
        <v>0.801325</v>
      </c>
      <c r="BA71" s="496" t="n">
        <v>1.151325</v>
      </c>
      <c r="BB71" s="496" t="n">
        <v>0.401325</v>
      </c>
      <c r="BC71" s="496" t="n">
        <v>0.801325</v>
      </c>
      <c r="BD71" s="496" t="n">
        <v>1.181325</v>
      </c>
      <c r="BE71" s="496" t="n">
        <v>0.7699297</v>
      </c>
      <c r="BF71" s="496" t="n">
        <v>0.801325</v>
      </c>
      <c r="BG71" s="496" t="n">
        <v>0.801325</v>
      </c>
      <c r="BH71" s="496" t="n">
        <v>0.731325</v>
      </c>
      <c r="BI71" s="496" t="n">
        <v>0.751325</v>
      </c>
      <c r="BJ71" s="496" t="n">
        <v>0.7524878</v>
      </c>
      <c r="BK71" s="496" t="n">
        <v>0.7710924</v>
      </c>
      <c r="BL71" s="496" t="n">
        <v>0.801325</v>
      </c>
      <c r="BM71" s="496" t="n">
        <v>0.751325</v>
      </c>
      <c r="BN71" s="496" t="n">
        <v>0.181325</v>
      </c>
      <c r="BO71" s="496" t="n">
        <v>0.801325</v>
      </c>
      <c r="BP71" s="496" t="n">
        <v>0.131325</v>
      </c>
      <c r="BQ71" s="496" t="n">
        <v>0.181325</v>
      </c>
      <c r="BR71" s="496" t="n">
        <v>0.181325</v>
      </c>
      <c r="BS71" s="496" t="n">
        <v>0.151325</v>
      </c>
      <c r="BT71" s="496" t="n">
        <v>0.152325</v>
      </c>
      <c r="BU71" s="496" t="n">
        <v>0.471325</v>
      </c>
      <c r="BV71" s="496" t="n">
        <v>0.471325</v>
      </c>
      <c r="BW71" s="496" t="n">
        <v>0.201325</v>
      </c>
      <c r="BX71" s="496" t="n">
        <v>0.201325</v>
      </c>
      <c r="BY71" s="496" t="n">
        <v>0.491325</v>
      </c>
      <c r="BZ71" s="496" t="n">
        <v>0.491325</v>
      </c>
      <c r="CA71" s="496" t="n">
        <v>0.451325</v>
      </c>
      <c r="CB71" s="496" t="n">
        <v>0.451325</v>
      </c>
      <c r="CC71" s="496" t="n">
        <v>1</v>
      </c>
      <c r="CD71" s="496" t="n">
        <v>1.15</v>
      </c>
      <c r="CE71" s="496" t="n">
        <v>0.791325</v>
      </c>
      <c r="CF71" s="496" t="n">
        <v>0.06</v>
      </c>
      <c r="CG71" s="496" t="n">
        <v>0.301325</v>
      </c>
      <c r="CH71" s="496" t="n">
        <v>0.06</v>
      </c>
      <c r="CI71" s="496" t="n">
        <v>0.7</v>
      </c>
      <c r="CJ71" s="496" t="n">
        <v>0.06</v>
      </c>
      <c r="CK71" s="496" t="n">
        <v>0.7</v>
      </c>
      <c r="CL71" s="496" t="n">
        <v>0.06</v>
      </c>
      <c r="CM71" s="496" t="n">
        <v>0.8</v>
      </c>
      <c r="CN71" s="496" t="n">
        <v>0.06</v>
      </c>
      <c r="CO71" s="496" t="n">
        <v>0.6223368</v>
      </c>
      <c r="CP71" s="496" t="n">
        <v>0.06</v>
      </c>
      <c r="CQ71" s="496" t="n">
        <v>1</v>
      </c>
      <c r="CR71" s="496" t="n">
        <v>0.06</v>
      </c>
      <c r="CS71" s="496" t="n">
        <v>0.73</v>
      </c>
      <c r="CT71" s="496" t="n">
        <v>0.06</v>
      </c>
      <c r="CU71" s="496" t="n">
        <v>0.751325</v>
      </c>
      <c r="CV71" s="496" t="n">
        <v>0.06</v>
      </c>
      <c r="CW71" s="496" t="n">
        <v>0.491</v>
      </c>
      <c r="CX71" s="496" t="n">
        <v>0.06</v>
      </c>
      <c r="CY71" s="496" t="n">
        <v>0.1521636</v>
      </c>
      <c r="CZ71" s="496" t="n">
        <v>0.06</v>
      </c>
      <c r="DA71" s="496" t="n">
        <v>1</v>
      </c>
      <c r="DB71" s="496" t="n">
        <v>0.06</v>
      </c>
      <c r="DC71" s="496" t="n">
        <v>0.751325</v>
      </c>
      <c r="DD71" s="496" t="n">
        <v>1.288</v>
      </c>
      <c r="DE71" s="496" t="n">
        <v>1</v>
      </c>
      <c r="DF71" s="496" t="n">
        <v>1.398</v>
      </c>
    </row>
    <row r="72" customFormat="false" ht="15" hidden="false" customHeight="false" outlineLevel="0" collapsed="false">
      <c r="A72" s="496" t="s">
        <v>2006</v>
      </c>
      <c r="B72" s="496" t="n">
        <v>0.1041615</v>
      </c>
      <c r="C72" s="496" t="n">
        <v>0</v>
      </c>
      <c r="D72" s="496" t="n">
        <v>0</v>
      </c>
      <c r="E72" s="496" t="n">
        <v>0</v>
      </c>
      <c r="F72" s="496" t="n">
        <v>0</v>
      </c>
      <c r="G72" s="496" t="n">
        <v>0</v>
      </c>
      <c r="H72" s="496" t="n">
        <v>0</v>
      </c>
      <c r="I72" s="496" t="n">
        <v>0</v>
      </c>
      <c r="J72" s="1099" t="n">
        <v>0.00264</v>
      </c>
      <c r="K72" s="496" t="n">
        <v>0</v>
      </c>
      <c r="L72" s="496" t="n">
        <v>0</v>
      </c>
      <c r="M72" s="496" t="n">
        <v>0</v>
      </c>
      <c r="N72" s="496" t="s">
        <v>469</v>
      </c>
      <c r="O72" s="496" t="n">
        <v>0</v>
      </c>
      <c r="P72" s="496" t="n">
        <v>0</v>
      </c>
      <c r="Q72" s="496" t="n">
        <v>0</v>
      </c>
      <c r="R72" s="496" t="n">
        <v>0</v>
      </c>
      <c r="S72" s="496" t="n">
        <v>0</v>
      </c>
      <c r="T72" s="496" t="n">
        <v>0</v>
      </c>
      <c r="U72" s="496" t="n">
        <v>0</v>
      </c>
      <c r="V72" s="496" t="n">
        <v>0</v>
      </c>
      <c r="W72" s="496" t="n">
        <v>0</v>
      </c>
      <c r="X72" s="496" t="n">
        <v>0</v>
      </c>
      <c r="Y72" s="496" t="n">
        <v>0</v>
      </c>
      <c r="Z72" s="496" t="n">
        <v>0</v>
      </c>
      <c r="AA72" s="496" t="n">
        <v>0</v>
      </c>
      <c r="AB72" s="496" t="n">
        <v>0</v>
      </c>
      <c r="AC72" s="496" t="n">
        <v>0</v>
      </c>
      <c r="AD72" s="496" t="n">
        <v>0</v>
      </c>
      <c r="AE72" s="496" t="n">
        <v>1</v>
      </c>
      <c r="AF72" s="496" t="n">
        <v>0</v>
      </c>
      <c r="AG72" s="496" t="n">
        <v>1</v>
      </c>
      <c r="AH72" s="496" t="n">
        <v>0.1498671</v>
      </c>
      <c r="AI72" s="496" t="n">
        <v>1</v>
      </c>
      <c r="AJ72" s="496" t="n">
        <v>0</v>
      </c>
      <c r="AK72" s="496" t="n">
        <v>1</v>
      </c>
      <c r="AL72" s="496" t="n">
        <v>0</v>
      </c>
      <c r="AM72" s="496" t="n">
        <v>1</v>
      </c>
      <c r="AN72" s="496" t="n">
        <v>1</v>
      </c>
      <c r="AO72" s="496" t="n">
        <v>0.8917056</v>
      </c>
      <c r="AP72" s="496" t="n">
        <v>0</v>
      </c>
      <c r="AQ72" s="496" t="n">
        <v>1</v>
      </c>
      <c r="AR72" s="496" t="n">
        <v>0</v>
      </c>
      <c r="AS72" s="496" t="n">
        <v>1</v>
      </c>
      <c r="AT72" s="496" t="n">
        <v>0</v>
      </c>
      <c r="AU72" s="496" t="n">
        <v>1</v>
      </c>
      <c r="AV72" s="496" t="n">
        <v>1</v>
      </c>
      <c r="AW72" s="496" t="n">
        <v>1</v>
      </c>
      <c r="AX72" s="496" t="n">
        <v>0.1437373</v>
      </c>
      <c r="AY72" s="496" t="n">
        <v>0</v>
      </c>
      <c r="AZ72" s="496" t="n">
        <v>0</v>
      </c>
      <c r="BA72" s="496" t="n">
        <v>0</v>
      </c>
      <c r="BB72" s="496" t="n">
        <v>0</v>
      </c>
      <c r="BC72" s="496" t="n">
        <v>0</v>
      </c>
      <c r="BD72" s="496" t="n">
        <v>0</v>
      </c>
      <c r="BE72" s="496" t="n">
        <v>0</v>
      </c>
      <c r="BF72" s="496" t="n">
        <v>0</v>
      </c>
      <c r="BG72" s="496" t="n">
        <v>0.25</v>
      </c>
      <c r="BH72" s="496" t="n">
        <v>0</v>
      </c>
      <c r="BI72" s="496" t="n">
        <v>1</v>
      </c>
      <c r="BJ72" s="496" t="n">
        <v>1</v>
      </c>
      <c r="BK72" s="496" t="n">
        <v>1</v>
      </c>
      <c r="BL72" s="496" t="n">
        <v>0</v>
      </c>
      <c r="BM72" s="496" t="n">
        <v>0</v>
      </c>
      <c r="BN72" s="496" t="n">
        <v>0</v>
      </c>
      <c r="BO72" s="496" t="n">
        <v>0</v>
      </c>
      <c r="BP72" s="496" t="n">
        <v>1</v>
      </c>
      <c r="BQ72" s="496" t="n">
        <v>0</v>
      </c>
      <c r="BR72" s="496" t="n">
        <v>0.25</v>
      </c>
      <c r="BS72" s="496" t="n">
        <v>1</v>
      </c>
      <c r="BT72" s="496" t="n">
        <v>1</v>
      </c>
      <c r="BU72" s="496" t="s">
        <v>469</v>
      </c>
      <c r="BV72" s="496" t="n">
        <v>0</v>
      </c>
      <c r="BW72" s="496" t="s">
        <v>469</v>
      </c>
      <c r="BX72" s="496" t="n">
        <v>0</v>
      </c>
      <c r="BY72" s="496" t="s">
        <v>469</v>
      </c>
      <c r="BZ72" s="496" t="n">
        <v>0</v>
      </c>
      <c r="CA72" s="496" t="s">
        <v>469</v>
      </c>
      <c r="CB72" s="496" t="n">
        <v>0</v>
      </c>
      <c r="CC72" s="496" t="n">
        <v>0</v>
      </c>
      <c r="CD72" s="496" t="n">
        <v>0</v>
      </c>
      <c r="CE72" s="496" t="n">
        <v>0</v>
      </c>
      <c r="CF72" s="496" t="n">
        <v>0.3676813</v>
      </c>
      <c r="CG72" s="496" t="n">
        <v>0</v>
      </c>
      <c r="CH72" s="496" t="n">
        <v>0</v>
      </c>
      <c r="CI72" s="496" t="n">
        <v>0.1498671</v>
      </c>
      <c r="CJ72" s="496" t="n">
        <v>0.6399856</v>
      </c>
      <c r="CK72" s="496" t="n">
        <v>0</v>
      </c>
      <c r="CL72" s="496" t="n">
        <v>0.4325305</v>
      </c>
      <c r="CM72" s="496" t="n">
        <v>0</v>
      </c>
      <c r="CN72" s="496" t="n">
        <v>0.5076404</v>
      </c>
      <c r="CO72" s="496" t="n">
        <v>1</v>
      </c>
      <c r="CP72" s="496" t="n">
        <v>1</v>
      </c>
      <c r="CQ72" s="496" t="n">
        <v>0</v>
      </c>
      <c r="CR72" s="496" t="n">
        <v>0.1907685</v>
      </c>
      <c r="CS72" s="496" t="n">
        <v>0</v>
      </c>
      <c r="CT72" s="496" t="n">
        <v>0.4605964</v>
      </c>
      <c r="CU72" s="496" t="n">
        <v>0</v>
      </c>
      <c r="CV72" s="496" t="n">
        <v>0.3725298</v>
      </c>
      <c r="CW72" s="496" t="n">
        <v>0</v>
      </c>
      <c r="CX72" s="496" t="n">
        <v>0.378717</v>
      </c>
      <c r="CY72" s="496" t="n">
        <v>1</v>
      </c>
      <c r="CZ72" s="496" t="n">
        <v>1</v>
      </c>
      <c r="DA72" s="496" t="n">
        <v>0</v>
      </c>
      <c r="DB72" s="496" t="n">
        <v>0.1907691</v>
      </c>
      <c r="DC72" s="496" t="n">
        <v>0</v>
      </c>
      <c r="DD72" s="496" t="n">
        <v>1</v>
      </c>
      <c r="DE72" s="496" t="n">
        <v>0</v>
      </c>
      <c r="DF72" s="496" t="n">
        <v>1</v>
      </c>
    </row>
    <row r="73" customFormat="false" ht="15" hidden="false" customHeight="false" outlineLevel="0" collapsed="false">
      <c r="A73" s="496" t="s">
        <v>2007</v>
      </c>
      <c r="B73" s="496" t="n">
        <v>0.8958385</v>
      </c>
      <c r="C73" s="496" t="n">
        <v>1</v>
      </c>
      <c r="D73" s="496" t="n">
        <v>1</v>
      </c>
      <c r="E73" s="496" t="n">
        <v>1</v>
      </c>
      <c r="F73" s="496" t="n">
        <v>1</v>
      </c>
      <c r="G73" s="496" t="n">
        <v>1</v>
      </c>
      <c r="H73" s="496" t="n">
        <v>1</v>
      </c>
      <c r="I73" s="496" t="n">
        <v>1</v>
      </c>
      <c r="J73" s="496" t="n">
        <v>0.9973628</v>
      </c>
      <c r="K73" s="496" t="n">
        <v>1</v>
      </c>
      <c r="L73" s="496" t="n">
        <v>1</v>
      </c>
      <c r="M73" s="496" t="n">
        <v>1</v>
      </c>
      <c r="N73" s="496" t="s">
        <v>469</v>
      </c>
      <c r="O73" s="496" t="n">
        <v>1</v>
      </c>
      <c r="P73" s="496" t="n">
        <v>1</v>
      </c>
      <c r="Q73" s="496" t="n">
        <v>1</v>
      </c>
      <c r="R73" s="496" t="n">
        <v>1</v>
      </c>
      <c r="S73" s="496" t="n">
        <v>1</v>
      </c>
      <c r="T73" s="496" t="n">
        <v>1</v>
      </c>
      <c r="U73" s="496" t="n">
        <v>1</v>
      </c>
      <c r="V73" s="496" t="n">
        <v>1</v>
      </c>
      <c r="W73" s="496" t="n">
        <v>1</v>
      </c>
      <c r="X73" s="496" t="n">
        <v>1</v>
      </c>
      <c r="Y73" s="496" t="n">
        <v>1</v>
      </c>
      <c r="Z73" s="496" t="n">
        <v>1</v>
      </c>
      <c r="AA73" s="496" t="n">
        <v>1</v>
      </c>
      <c r="AB73" s="496" t="n">
        <v>1</v>
      </c>
      <c r="AC73" s="496" t="n">
        <v>1</v>
      </c>
      <c r="AD73" s="496" t="n">
        <v>1</v>
      </c>
      <c r="AE73" s="496" t="n">
        <v>0</v>
      </c>
      <c r="AF73" s="496" t="n">
        <v>1</v>
      </c>
      <c r="AG73" s="496" t="n">
        <v>0</v>
      </c>
      <c r="AH73" s="496" t="n">
        <v>0.8501329</v>
      </c>
      <c r="AI73" s="496" t="n">
        <v>0</v>
      </c>
      <c r="AJ73" s="496" t="n">
        <v>1</v>
      </c>
      <c r="AK73" s="496" t="n">
        <v>0</v>
      </c>
      <c r="AL73" s="496" t="n">
        <v>1</v>
      </c>
      <c r="AM73" s="496" t="n">
        <v>0</v>
      </c>
      <c r="AN73" s="496" t="n">
        <v>0</v>
      </c>
      <c r="AO73" s="496" t="n">
        <v>0.1082944</v>
      </c>
      <c r="AP73" s="496" t="n">
        <v>1</v>
      </c>
      <c r="AQ73" s="496" t="n">
        <v>0</v>
      </c>
      <c r="AR73" s="496" t="n">
        <v>1</v>
      </c>
      <c r="AS73" s="496" t="n">
        <v>0</v>
      </c>
      <c r="AT73" s="496" t="n">
        <v>1</v>
      </c>
      <c r="AU73" s="496" t="n">
        <v>0</v>
      </c>
      <c r="AV73" s="496" t="n">
        <v>0</v>
      </c>
      <c r="AW73" s="496" t="n">
        <v>0</v>
      </c>
      <c r="AX73" s="496" t="n">
        <v>0.8562627</v>
      </c>
      <c r="AY73" s="496" t="n">
        <v>1</v>
      </c>
      <c r="AZ73" s="496" t="n">
        <v>1</v>
      </c>
      <c r="BA73" s="496" t="n">
        <v>1</v>
      </c>
      <c r="BB73" s="496" t="n">
        <v>1</v>
      </c>
      <c r="BC73" s="496" t="n">
        <v>1</v>
      </c>
      <c r="BD73" s="496" t="n">
        <v>1</v>
      </c>
      <c r="BE73" s="496" t="n">
        <v>1</v>
      </c>
      <c r="BF73" s="496" t="n">
        <v>1</v>
      </c>
      <c r="BG73" s="496" t="n">
        <v>0.75</v>
      </c>
      <c r="BH73" s="496" t="n">
        <v>1</v>
      </c>
      <c r="BI73" s="496" t="n">
        <v>0</v>
      </c>
      <c r="BJ73" s="496" t="n">
        <v>0</v>
      </c>
      <c r="BK73" s="496" t="n">
        <v>0</v>
      </c>
      <c r="BL73" s="496" t="n">
        <v>1</v>
      </c>
      <c r="BM73" s="496" t="n">
        <v>1</v>
      </c>
      <c r="BN73" s="496" t="n">
        <v>1</v>
      </c>
      <c r="BO73" s="496" t="n">
        <v>1</v>
      </c>
      <c r="BP73" s="496" t="n">
        <v>0</v>
      </c>
      <c r="BQ73" s="496" t="n">
        <v>1</v>
      </c>
      <c r="BR73" s="496" t="n">
        <v>0.75</v>
      </c>
      <c r="BS73" s="496" t="n">
        <v>0</v>
      </c>
      <c r="BT73" s="496" t="n">
        <v>0</v>
      </c>
      <c r="BU73" s="496" t="s">
        <v>469</v>
      </c>
      <c r="BV73" s="496" t="n">
        <v>1</v>
      </c>
      <c r="BW73" s="496" t="s">
        <v>469</v>
      </c>
      <c r="BX73" s="496" t="n">
        <v>1</v>
      </c>
      <c r="BY73" s="496" t="s">
        <v>469</v>
      </c>
      <c r="BZ73" s="496" t="n">
        <v>1</v>
      </c>
      <c r="CA73" s="496" t="s">
        <v>469</v>
      </c>
      <c r="CB73" s="496" t="n">
        <v>1</v>
      </c>
      <c r="CC73" s="496" t="n">
        <v>1</v>
      </c>
      <c r="CD73" s="496" t="n">
        <v>1</v>
      </c>
      <c r="CE73" s="496" t="n">
        <v>1</v>
      </c>
      <c r="CF73" s="496" t="n">
        <v>0.6323187</v>
      </c>
      <c r="CG73" s="496" t="n">
        <v>1</v>
      </c>
      <c r="CH73" s="496" t="n">
        <v>1</v>
      </c>
      <c r="CI73" s="496" t="n">
        <v>0.8501329</v>
      </c>
      <c r="CJ73" s="496" t="n">
        <v>0.3600144</v>
      </c>
      <c r="CK73" s="496" t="n">
        <v>1</v>
      </c>
      <c r="CL73" s="496" t="n">
        <v>0.5674695</v>
      </c>
      <c r="CM73" s="496" t="n">
        <v>1</v>
      </c>
      <c r="CN73" s="496" t="n">
        <v>0.4923596</v>
      </c>
      <c r="CO73" s="496" t="n">
        <v>0</v>
      </c>
      <c r="CP73" s="496" t="n">
        <v>0</v>
      </c>
      <c r="CQ73" s="496" t="n">
        <v>1</v>
      </c>
      <c r="CR73" s="496" t="n">
        <v>0.8092315</v>
      </c>
      <c r="CS73" s="496" t="n">
        <v>1</v>
      </c>
      <c r="CT73" s="496" t="n">
        <v>0.5394036</v>
      </c>
      <c r="CU73" s="496" t="n">
        <v>1</v>
      </c>
      <c r="CV73" s="496" t="n">
        <v>0.6274702</v>
      </c>
      <c r="CW73" s="496" t="n">
        <v>1</v>
      </c>
      <c r="CX73" s="496" t="n">
        <v>0.621283</v>
      </c>
      <c r="CY73" s="496" t="n">
        <v>0</v>
      </c>
      <c r="CZ73" s="496" t="n">
        <v>0</v>
      </c>
      <c r="DA73" s="496" t="n">
        <v>1</v>
      </c>
      <c r="DB73" s="496" t="n">
        <v>0.8092309</v>
      </c>
      <c r="DC73" s="496" t="n">
        <v>1</v>
      </c>
      <c r="DD73" s="496" t="n">
        <v>0</v>
      </c>
      <c r="DE73" s="496" t="n">
        <v>1</v>
      </c>
      <c r="DF73" s="496" t="n">
        <v>0</v>
      </c>
    </row>
    <row r="74" customFormat="false" ht="15" hidden="false" customHeight="false" outlineLevel="0" collapsed="false">
      <c r="A74" s="496" t="s">
        <v>2008</v>
      </c>
      <c r="B74" s="496" t="n">
        <v>0</v>
      </c>
      <c r="C74" s="496" t="n">
        <v>0</v>
      </c>
      <c r="D74" s="496" t="n">
        <v>0</v>
      </c>
      <c r="E74" s="496" t="n">
        <v>0</v>
      </c>
      <c r="F74" s="496" t="n">
        <v>0</v>
      </c>
      <c r="G74" s="496" t="n">
        <v>0</v>
      </c>
      <c r="H74" s="496" t="n">
        <v>0</v>
      </c>
      <c r="I74" s="496" t="n">
        <v>0</v>
      </c>
      <c r="J74" s="496" t="n">
        <v>0</v>
      </c>
      <c r="K74" s="496" t="n">
        <v>0</v>
      </c>
      <c r="L74" s="496" t="n">
        <v>0</v>
      </c>
      <c r="M74" s="496" t="n">
        <v>0</v>
      </c>
      <c r="N74" s="496" t="s">
        <v>469</v>
      </c>
      <c r="O74" s="496" t="n">
        <v>0</v>
      </c>
      <c r="P74" s="496" t="n">
        <v>0</v>
      </c>
      <c r="Q74" s="496" t="n">
        <v>0</v>
      </c>
      <c r="R74" s="496" t="n">
        <v>0</v>
      </c>
      <c r="S74" s="496" t="n">
        <v>0</v>
      </c>
      <c r="T74" s="496" t="n">
        <v>0</v>
      </c>
      <c r="U74" s="496" t="n">
        <v>0</v>
      </c>
      <c r="V74" s="496" t="n">
        <v>0</v>
      </c>
      <c r="W74" s="496" t="n">
        <v>0</v>
      </c>
      <c r="X74" s="496" t="n">
        <v>0</v>
      </c>
      <c r="Y74" s="496" t="n">
        <v>0</v>
      </c>
      <c r="Z74" s="496" t="n">
        <v>0</v>
      </c>
      <c r="AA74" s="496" t="n">
        <v>0</v>
      </c>
      <c r="AB74" s="496" t="n">
        <v>0</v>
      </c>
      <c r="AC74" s="496" t="n">
        <v>0</v>
      </c>
      <c r="AD74" s="496" t="n">
        <v>0</v>
      </c>
      <c r="AE74" s="496" t="n">
        <v>0</v>
      </c>
      <c r="AF74" s="496" t="n">
        <v>0</v>
      </c>
      <c r="AG74" s="496" t="n">
        <v>0</v>
      </c>
      <c r="AH74" s="496" t="n">
        <v>0</v>
      </c>
      <c r="AI74" s="496" t="n">
        <v>0</v>
      </c>
      <c r="AJ74" s="496" t="n">
        <v>0</v>
      </c>
      <c r="AK74" s="496" t="n">
        <v>0</v>
      </c>
      <c r="AL74" s="496" t="n">
        <v>0</v>
      </c>
      <c r="AM74" s="496" t="n">
        <v>0</v>
      </c>
      <c r="AN74" s="496" t="n">
        <v>0</v>
      </c>
      <c r="AO74" s="496" t="n">
        <v>0</v>
      </c>
      <c r="AP74" s="496" t="n">
        <v>0</v>
      </c>
      <c r="AQ74" s="496" t="n">
        <v>0</v>
      </c>
      <c r="AR74" s="496" t="n">
        <v>0</v>
      </c>
      <c r="AS74" s="496" t="n">
        <v>0</v>
      </c>
      <c r="AT74" s="496" t="n">
        <v>0</v>
      </c>
      <c r="AU74" s="496" t="n">
        <v>0</v>
      </c>
      <c r="AV74" s="496" t="n">
        <v>0</v>
      </c>
      <c r="AW74" s="496" t="n">
        <v>0</v>
      </c>
      <c r="AX74" s="496" t="n">
        <v>0</v>
      </c>
      <c r="AY74" s="496" t="n">
        <v>0</v>
      </c>
      <c r="AZ74" s="496" t="n">
        <v>0</v>
      </c>
      <c r="BA74" s="496" t="n">
        <v>0</v>
      </c>
      <c r="BB74" s="496" t="n">
        <v>0</v>
      </c>
      <c r="BC74" s="496" t="n">
        <v>0</v>
      </c>
      <c r="BD74" s="496" t="n">
        <v>0</v>
      </c>
      <c r="BE74" s="496" t="n">
        <v>0</v>
      </c>
      <c r="BF74" s="496" t="n">
        <v>0</v>
      </c>
      <c r="BG74" s="496" t="n">
        <v>0</v>
      </c>
      <c r="BH74" s="496" t="n">
        <v>0</v>
      </c>
      <c r="BI74" s="496" t="n">
        <v>0</v>
      </c>
      <c r="BJ74" s="496" t="n">
        <v>0</v>
      </c>
      <c r="BK74" s="496" t="n">
        <v>0</v>
      </c>
      <c r="BL74" s="496" t="n">
        <v>0</v>
      </c>
      <c r="BM74" s="496" t="n">
        <v>0</v>
      </c>
      <c r="BN74" s="496" t="n">
        <v>0</v>
      </c>
      <c r="BO74" s="496" t="n">
        <v>0</v>
      </c>
      <c r="BP74" s="496" t="n">
        <v>0</v>
      </c>
      <c r="BQ74" s="496" t="n">
        <v>0</v>
      </c>
      <c r="BR74" s="496" t="n">
        <v>0</v>
      </c>
      <c r="BS74" s="496" t="n">
        <v>0</v>
      </c>
      <c r="BT74" s="496" t="n">
        <v>0</v>
      </c>
      <c r="BU74" s="496" t="s">
        <v>469</v>
      </c>
      <c r="BV74" s="496" t="n">
        <v>0</v>
      </c>
      <c r="BW74" s="496" t="s">
        <v>469</v>
      </c>
      <c r="BX74" s="496" t="n">
        <v>0</v>
      </c>
      <c r="BY74" s="496" t="s">
        <v>469</v>
      </c>
      <c r="BZ74" s="496" t="n">
        <v>0</v>
      </c>
      <c r="CA74" s="496" t="s">
        <v>469</v>
      </c>
      <c r="CB74" s="496" t="n">
        <v>0</v>
      </c>
      <c r="CC74" s="496" t="n">
        <v>0</v>
      </c>
      <c r="CD74" s="496" t="n">
        <v>0</v>
      </c>
      <c r="CE74" s="496" t="n">
        <v>0</v>
      </c>
      <c r="CF74" s="496" t="n">
        <v>0</v>
      </c>
      <c r="CG74" s="496" t="n">
        <v>0</v>
      </c>
      <c r="CH74" s="496" t="n">
        <v>0</v>
      </c>
      <c r="CI74" s="496" t="n">
        <v>0</v>
      </c>
      <c r="CJ74" s="496" t="n">
        <v>0</v>
      </c>
      <c r="CK74" s="496" t="n">
        <v>0</v>
      </c>
      <c r="CL74" s="496" t="n">
        <v>0</v>
      </c>
      <c r="CM74" s="496" t="n">
        <v>0</v>
      </c>
      <c r="CN74" s="496" t="n">
        <v>0</v>
      </c>
      <c r="CO74" s="496" t="n">
        <v>0</v>
      </c>
      <c r="CP74" s="496" t="n">
        <v>0</v>
      </c>
      <c r="CQ74" s="496" t="n">
        <v>0</v>
      </c>
      <c r="CR74" s="496" t="n">
        <v>0</v>
      </c>
      <c r="CS74" s="496" t="n">
        <v>0</v>
      </c>
      <c r="CT74" s="496" t="n">
        <v>0</v>
      </c>
      <c r="CU74" s="496" t="n">
        <v>0</v>
      </c>
      <c r="CV74" s="496" t="n">
        <v>0</v>
      </c>
      <c r="CW74" s="496" t="n">
        <v>0</v>
      </c>
      <c r="CX74" s="496" t="n">
        <v>0</v>
      </c>
      <c r="CY74" s="496" t="n">
        <v>0</v>
      </c>
      <c r="CZ74" s="496" t="n">
        <v>0</v>
      </c>
      <c r="DA74" s="496" t="n">
        <v>0</v>
      </c>
      <c r="DB74" s="496" t="n">
        <v>0</v>
      </c>
      <c r="DC74" s="496" t="n">
        <v>0</v>
      </c>
      <c r="DD74" s="496" t="n">
        <v>0</v>
      </c>
      <c r="DE74" s="496" t="n">
        <v>0</v>
      </c>
      <c r="DF74" s="496" t="n">
        <v>0</v>
      </c>
    </row>
    <row r="75" customFormat="false" ht="15" hidden="false" customHeight="false" outlineLevel="0" collapsed="false">
      <c r="A75" s="496" t="s">
        <v>2009</v>
      </c>
      <c r="B75" s="1099" t="n">
        <v>-158000</v>
      </c>
      <c r="C75" s="1099" t="n">
        <v>-173000</v>
      </c>
      <c r="D75" s="1099" t="n">
        <v>-125000</v>
      </c>
      <c r="E75" s="1099" t="n">
        <v>-123000</v>
      </c>
      <c r="F75" s="1099" t="n">
        <v>-234000</v>
      </c>
      <c r="G75" s="1099" t="n">
        <v>-286000</v>
      </c>
      <c r="H75" s="1099" t="n">
        <v>-131000</v>
      </c>
      <c r="I75" s="1099" t="n">
        <v>-128000</v>
      </c>
      <c r="J75" s="1099" t="n">
        <v>-231000</v>
      </c>
      <c r="K75" s="1099" t="n">
        <v>-234000</v>
      </c>
      <c r="L75" s="1099" t="n">
        <v>-164000</v>
      </c>
      <c r="M75" s="1099" t="n">
        <v>-239000</v>
      </c>
      <c r="N75" s="496" t="s">
        <v>469</v>
      </c>
      <c r="O75" s="496" t="n">
        <v>-95345.47</v>
      </c>
      <c r="P75" s="1099" t="n">
        <v>-285000</v>
      </c>
      <c r="Q75" s="1099" t="n">
        <v>-279000</v>
      </c>
      <c r="R75" s="1099" t="n">
        <v>-279000</v>
      </c>
      <c r="S75" s="1099" t="n">
        <v>-283000</v>
      </c>
      <c r="T75" s="1099" t="n">
        <v>-285000</v>
      </c>
      <c r="U75" s="1099" t="n">
        <v>-238000</v>
      </c>
      <c r="V75" s="1099" t="n">
        <v>-289000</v>
      </c>
      <c r="W75" s="1099" t="n">
        <v>-300000</v>
      </c>
      <c r="X75" s="1099" t="n">
        <v>-302000</v>
      </c>
      <c r="Y75" s="1099" t="n">
        <v>-309000</v>
      </c>
      <c r="Z75" s="1099" t="n">
        <v>-308000</v>
      </c>
      <c r="AA75" s="496" t="n">
        <v>-95249.31</v>
      </c>
      <c r="AB75" s="1099" t="n">
        <v>-238000</v>
      </c>
      <c r="AC75" s="1099" t="n">
        <v>-125000</v>
      </c>
      <c r="AD75" s="496" t="n">
        <v>-95349.55</v>
      </c>
      <c r="AE75" s="496" t="n">
        <v>-73150.37</v>
      </c>
      <c r="AF75" s="1099" t="n">
        <v>-239000</v>
      </c>
      <c r="AG75" s="1099" t="n">
        <v>-197000</v>
      </c>
      <c r="AH75" s="1099" t="n">
        <v>-158000</v>
      </c>
      <c r="AI75" s="1099" t="n">
        <v>-135000</v>
      </c>
      <c r="AJ75" s="1099" t="n">
        <v>-164000</v>
      </c>
      <c r="AK75" s="1099" t="n">
        <v>-136000</v>
      </c>
      <c r="AL75" s="1099" t="n">
        <v>-173000</v>
      </c>
      <c r="AM75" s="1099" t="n">
        <v>-144000</v>
      </c>
      <c r="AN75" s="1099" t="n">
        <v>-106000</v>
      </c>
      <c r="AO75" s="1099" t="n">
        <v>-106000</v>
      </c>
      <c r="AP75" s="1099" t="n">
        <v>-273000</v>
      </c>
      <c r="AQ75" s="1099" t="n">
        <v>-237000</v>
      </c>
      <c r="AR75" s="1099" t="n">
        <v>-125000</v>
      </c>
      <c r="AS75" s="1099" t="n">
        <v>-104000</v>
      </c>
      <c r="AT75" s="1099" t="n">
        <v>-123000</v>
      </c>
      <c r="AU75" s="496" t="n">
        <v>-99821.45</v>
      </c>
      <c r="AV75" s="1099" t="n">
        <v>-198000</v>
      </c>
      <c r="AW75" s="1099" t="n">
        <v>-196000</v>
      </c>
      <c r="AX75" s="1099" t="n">
        <v>-158000</v>
      </c>
      <c r="AY75" s="1099" t="n">
        <v>-164000</v>
      </c>
      <c r="AZ75" s="1099" t="n">
        <v>-173000</v>
      </c>
      <c r="BA75" s="1099" t="n">
        <v>-130000</v>
      </c>
      <c r="BB75" s="1099" t="n">
        <v>-234000</v>
      </c>
      <c r="BC75" s="1099" t="n">
        <v>-169000</v>
      </c>
      <c r="BD75" s="1099" t="n">
        <v>-238000</v>
      </c>
      <c r="BE75" s="1099" t="n">
        <v>-156000</v>
      </c>
      <c r="BF75" s="1099" t="n">
        <v>-289000</v>
      </c>
      <c r="BG75" s="1099" t="n">
        <v>-283000</v>
      </c>
      <c r="BH75" s="1099" t="n">
        <v>-125000</v>
      </c>
      <c r="BI75" s="1099" t="n">
        <v>-106000</v>
      </c>
      <c r="BJ75" s="1099" t="n">
        <v>-106000</v>
      </c>
      <c r="BK75" s="1099" t="n">
        <v>-115000</v>
      </c>
      <c r="BL75" s="1099" t="n">
        <v>-282000</v>
      </c>
      <c r="BM75" s="1099" t="n">
        <v>-123000</v>
      </c>
      <c r="BN75" s="1099" t="n">
        <v>-279000</v>
      </c>
      <c r="BO75" s="1099" t="n">
        <v>-278000</v>
      </c>
      <c r="BP75" s="1099" t="n">
        <v>-126000</v>
      </c>
      <c r="BQ75" s="1099" t="n">
        <v>-279000</v>
      </c>
      <c r="BR75" s="1099" t="n">
        <v>-269000</v>
      </c>
      <c r="BS75" s="1099" t="n">
        <v>-196000</v>
      </c>
      <c r="BT75" s="1099" t="n">
        <v>-198000</v>
      </c>
      <c r="BU75" s="496" t="s">
        <v>469</v>
      </c>
      <c r="BV75" s="496" t="n">
        <v>-95345.47</v>
      </c>
      <c r="BW75" s="496" t="s">
        <v>469</v>
      </c>
      <c r="BX75" s="1099" t="n">
        <v>-239000</v>
      </c>
      <c r="BY75" s="496" t="s">
        <v>469</v>
      </c>
      <c r="BZ75" s="1099" t="n">
        <v>-123000</v>
      </c>
      <c r="CA75" s="496" t="s">
        <v>469</v>
      </c>
      <c r="CB75" s="1099" t="n">
        <v>-164000</v>
      </c>
      <c r="CC75" s="1099" t="n">
        <v>-164000</v>
      </c>
      <c r="CD75" s="1099" t="n">
        <v>-130000</v>
      </c>
      <c r="CE75" s="496" t="n">
        <v>-95349.55</v>
      </c>
      <c r="CF75" s="496" t="n">
        <v>-95349.55</v>
      </c>
      <c r="CG75" s="1099" t="n">
        <v>-239000</v>
      </c>
      <c r="CH75" s="1099" t="n">
        <v>-239000</v>
      </c>
      <c r="CI75" s="1099" t="n">
        <v>-158000</v>
      </c>
      <c r="CJ75" s="1099" t="n">
        <v>-158000</v>
      </c>
      <c r="CK75" s="1099" t="n">
        <v>-164000</v>
      </c>
      <c r="CL75" s="1099" t="n">
        <v>-164000</v>
      </c>
      <c r="CM75" s="1099" t="n">
        <v>-173000</v>
      </c>
      <c r="CN75" s="1099" t="n">
        <v>-173000</v>
      </c>
      <c r="CO75" s="1099" t="n">
        <v>-106000</v>
      </c>
      <c r="CP75" s="1099" t="n">
        <v>-106000</v>
      </c>
      <c r="CQ75" s="1099" t="n">
        <v>-273000</v>
      </c>
      <c r="CR75" s="1099" t="n">
        <v>-273000</v>
      </c>
      <c r="CS75" s="1099" t="n">
        <v>-125000</v>
      </c>
      <c r="CT75" s="1099" t="n">
        <v>-125000</v>
      </c>
      <c r="CU75" s="1099" t="n">
        <v>-123000</v>
      </c>
      <c r="CV75" s="1099" t="n">
        <v>-123000</v>
      </c>
      <c r="CW75" s="1099" t="n">
        <v>-123000</v>
      </c>
      <c r="CX75" s="1099" t="n">
        <v>-123000</v>
      </c>
      <c r="CY75" s="1099" t="n">
        <v>-198000</v>
      </c>
      <c r="CZ75" s="1099" t="n">
        <v>-198000</v>
      </c>
      <c r="DA75" s="1099" t="n">
        <v>-273000</v>
      </c>
      <c r="DB75" s="1099" t="n">
        <v>-273000</v>
      </c>
      <c r="DC75" s="1099" t="n">
        <v>-123000</v>
      </c>
      <c r="DD75" s="496" t="n">
        <v>-99513.91</v>
      </c>
      <c r="DE75" s="1099" t="n">
        <v>-273000</v>
      </c>
      <c r="DF75" s="1099" t="n">
        <v>-237000</v>
      </c>
    </row>
    <row r="76" customFormat="false" ht="15" hidden="false" customHeight="false" outlineLevel="0" collapsed="false">
      <c r="A76" s="496" t="s">
        <v>2010</v>
      </c>
      <c r="B76" s="496" t="n">
        <v>-2550.732</v>
      </c>
      <c r="C76" s="496" t="n">
        <v>-2655.13</v>
      </c>
      <c r="D76" s="496" t="n">
        <v>-2223.357</v>
      </c>
      <c r="E76" s="496" t="n">
        <v>-2133.866</v>
      </c>
      <c r="F76" s="496" t="n">
        <v>-7150.445</v>
      </c>
      <c r="G76" s="496" t="n">
        <v>-15876.79</v>
      </c>
      <c r="H76" s="496" t="n">
        <v>-2560.658</v>
      </c>
      <c r="I76" s="496" t="n">
        <v>-2263.679</v>
      </c>
      <c r="J76" s="496" t="n">
        <v>-7063.573</v>
      </c>
      <c r="K76" s="496" t="n">
        <v>-7136.178</v>
      </c>
      <c r="L76" s="496" t="n">
        <v>-2656.365</v>
      </c>
      <c r="M76" s="496" t="n">
        <v>-7466.344</v>
      </c>
      <c r="N76" s="496" t="s">
        <v>469</v>
      </c>
      <c r="O76" s="496" t="n">
        <v>-1666.441</v>
      </c>
      <c r="P76" s="496" t="n">
        <v>-15798.74</v>
      </c>
      <c r="Q76" s="496" t="n">
        <v>-15475.47</v>
      </c>
      <c r="R76" s="496" t="n">
        <v>-15473.29</v>
      </c>
      <c r="S76" s="496" t="n">
        <v>-15718.34</v>
      </c>
      <c r="T76" s="496" t="n">
        <v>-15798.16</v>
      </c>
      <c r="U76" s="496" t="n">
        <v>-7430.582</v>
      </c>
      <c r="V76" s="496" t="n">
        <v>-3284.07</v>
      </c>
      <c r="W76" s="496" t="n">
        <v>-3415.291</v>
      </c>
      <c r="X76" s="496" t="n">
        <v>-3439.56</v>
      </c>
      <c r="Y76" s="496" t="n">
        <v>-3509.69</v>
      </c>
      <c r="Z76" s="496" t="n">
        <v>-3508.811</v>
      </c>
      <c r="AA76" s="496" t="n">
        <v>-1664.761</v>
      </c>
      <c r="AB76" s="496" t="n">
        <v>-7430.582</v>
      </c>
      <c r="AC76" s="496" t="n">
        <v>-2215.239</v>
      </c>
      <c r="AD76" s="496" t="n">
        <v>-1666.513</v>
      </c>
      <c r="AE76" s="496" t="n">
        <v>-1278.517</v>
      </c>
      <c r="AF76" s="496" t="n">
        <v>-7432.916</v>
      </c>
      <c r="AG76" s="496" t="n">
        <v>-6139.237</v>
      </c>
      <c r="AH76" s="496" t="n">
        <v>-2548.943</v>
      </c>
      <c r="AI76" s="496" t="n">
        <v>-2175.829</v>
      </c>
      <c r="AJ76" s="496" t="n">
        <v>-2656.366</v>
      </c>
      <c r="AK76" s="496" t="n">
        <v>-2204.723</v>
      </c>
      <c r="AL76" s="496" t="n">
        <v>-2655.127</v>
      </c>
      <c r="AM76" s="496" t="n">
        <v>-2209.23</v>
      </c>
      <c r="AN76" s="496" t="n">
        <v>-1867.924</v>
      </c>
      <c r="AO76" s="496" t="n">
        <v>-1867.924</v>
      </c>
      <c r="AP76" s="496" t="n">
        <v>-15172.03</v>
      </c>
      <c r="AQ76" s="496" t="n">
        <v>-13133.19</v>
      </c>
      <c r="AR76" s="496" t="n">
        <v>-2223.357</v>
      </c>
      <c r="AS76" s="496" t="n">
        <v>-1846.406</v>
      </c>
      <c r="AT76" s="496" t="n">
        <v>-2136.457</v>
      </c>
      <c r="AU76" s="496" t="n">
        <v>-1738.331</v>
      </c>
      <c r="AV76" s="496" t="n">
        <v>-6160.36</v>
      </c>
      <c r="AW76" s="496" t="n">
        <v>-6103.938</v>
      </c>
      <c r="AX76" s="496" t="n">
        <v>-2550.731</v>
      </c>
      <c r="AY76" s="496" t="n">
        <v>-2655.12</v>
      </c>
      <c r="AZ76" s="496" t="n">
        <v>-2655.12</v>
      </c>
      <c r="BA76" s="496" t="n">
        <v>-2550.731</v>
      </c>
      <c r="BB76" s="496" t="n">
        <v>-7151.676</v>
      </c>
      <c r="BC76" s="496" t="n">
        <v>-2601.448</v>
      </c>
      <c r="BD76" s="496" t="n">
        <v>-7430.582</v>
      </c>
      <c r="BE76" s="496" t="n">
        <v>-2445.109</v>
      </c>
      <c r="BF76" s="496" t="n">
        <v>-3284.07</v>
      </c>
      <c r="BG76" s="496" t="n">
        <v>-3221.777</v>
      </c>
      <c r="BH76" s="496" t="n">
        <v>-2216.711</v>
      </c>
      <c r="BI76" s="496" t="n">
        <v>-1888.595</v>
      </c>
      <c r="BJ76" s="496" t="n">
        <v>-1871.777</v>
      </c>
      <c r="BK76" s="496" t="n">
        <v>-1942.615</v>
      </c>
      <c r="BL76" s="496" t="n">
        <v>-14936.35</v>
      </c>
      <c r="BM76" s="496" t="n">
        <v>-2136.458</v>
      </c>
      <c r="BN76" s="496" t="n">
        <v>-15473.31</v>
      </c>
      <c r="BO76" s="496" t="n">
        <v>-14714.26</v>
      </c>
      <c r="BP76" s="496" t="n">
        <v>-2500.919</v>
      </c>
      <c r="BQ76" s="496" t="n">
        <v>-15473.31</v>
      </c>
      <c r="BR76" s="496" t="n">
        <v>-14918.25</v>
      </c>
      <c r="BS76" s="496" t="n">
        <v>-5975.388</v>
      </c>
      <c r="BT76" s="496" t="n">
        <v>-6160.37</v>
      </c>
      <c r="BU76" s="496" t="s">
        <v>469</v>
      </c>
      <c r="BV76" s="496" t="n">
        <v>-1666.441</v>
      </c>
      <c r="BW76" s="496" t="s">
        <v>469</v>
      </c>
      <c r="BX76" s="496" t="n">
        <v>-7432.994</v>
      </c>
      <c r="BY76" s="496" t="s">
        <v>469</v>
      </c>
      <c r="BZ76" s="496" t="n">
        <v>-2136.458</v>
      </c>
      <c r="CA76" s="496" t="s">
        <v>469</v>
      </c>
      <c r="CB76" s="496" t="n">
        <v>-2656.365</v>
      </c>
      <c r="CC76" s="496" t="n">
        <v>-2655.13</v>
      </c>
      <c r="CD76" s="496" t="n">
        <v>-2550.732</v>
      </c>
      <c r="CE76" s="496" t="n">
        <v>-1666.513</v>
      </c>
      <c r="CF76" s="496" t="n">
        <v>-1666.513</v>
      </c>
      <c r="CG76" s="496" t="n">
        <v>-7432.916</v>
      </c>
      <c r="CH76" s="496" t="n">
        <v>-7432.916</v>
      </c>
      <c r="CI76" s="496" t="n">
        <v>-2548.943</v>
      </c>
      <c r="CJ76" s="496" t="n">
        <v>-2548.943</v>
      </c>
      <c r="CK76" s="496" t="n">
        <v>-2656.366</v>
      </c>
      <c r="CL76" s="496" t="n">
        <v>-2656.366</v>
      </c>
      <c r="CM76" s="496" t="n">
        <v>-2655.127</v>
      </c>
      <c r="CN76" s="496" t="n">
        <v>-2655.127</v>
      </c>
      <c r="CO76" s="496" t="n">
        <v>-1867.924</v>
      </c>
      <c r="CP76" s="496" t="n">
        <v>-1867.924</v>
      </c>
      <c r="CQ76" s="496" t="n">
        <v>-15172.03</v>
      </c>
      <c r="CR76" s="496" t="n">
        <v>-15172.03</v>
      </c>
      <c r="CS76" s="496" t="n">
        <v>-2223.357</v>
      </c>
      <c r="CT76" s="496" t="n">
        <v>-2223.357</v>
      </c>
      <c r="CU76" s="496" t="n">
        <v>-2138.933</v>
      </c>
      <c r="CV76" s="496" t="n">
        <v>-2138.933</v>
      </c>
      <c r="CW76" s="496" t="n">
        <v>-2136.483</v>
      </c>
      <c r="CX76" s="496" t="n">
        <v>-2136.483</v>
      </c>
      <c r="CY76" s="496" t="n">
        <v>-6160.359</v>
      </c>
      <c r="CZ76" s="496" t="n">
        <v>-6160.359</v>
      </c>
      <c r="DA76" s="496" t="n">
        <v>-15172.03</v>
      </c>
      <c r="DB76" s="496" t="n">
        <v>-15172.03</v>
      </c>
      <c r="DC76" s="496" t="n">
        <v>-2138.933</v>
      </c>
      <c r="DD76" s="496" t="n">
        <v>-1732.976</v>
      </c>
      <c r="DE76" s="496" t="n">
        <v>-15172.03</v>
      </c>
      <c r="DF76" s="496" t="n">
        <v>-13133.19</v>
      </c>
    </row>
    <row r="77" customFormat="false" ht="15" hidden="false" customHeight="false" outlineLevel="0" collapsed="false">
      <c r="A77" s="496" t="s">
        <v>2011</v>
      </c>
      <c r="B77" s="1099" t="n">
        <v>-64400000</v>
      </c>
      <c r="C77" s="1099" t="n">
        <v>-67000000</v>
      </c>
      <c r="D77" s="1099" t="n">
        <v>-67300000</v>
      </c>
      <c r="E77" s="1099" t="n">
        <v>-31400000</v>
      </c>
      <c r="F77" s="1099" t="n">
        <v>-3150000</v>
      </c>
      <c r="G77" s="1099" t="n">
        <v>-353000</v>
      </c>
      <c r="H77" s="1099" t="n">
        <v>-64600000</v>
      </c>
      <c r="I77" s="1099" t="n">
        <v>-34300000</v>
      </c>
      <c r="J77" s="1099" t="n">
        <v>-25400000</v>
      </c>
      <c r="K77" s="1099" t="n">
        <v>-25700000</v>
      </c>
      <c r="L77" s="1099" t="n">
        <v>-67000000</v>
      </c>
      <c r="M77" s="1099" t="n">
        <v>-27700000</v>
      </c>
      <c r="N77" s="496" t="s">
        <v>469</v>
      </c>
      <c r="O77" s="1099" t="n">
        <v>-35500000</v>
      </c>
      <c r="P77" s="1099" t="n">
        <v>-65800000</v>
      </c>
      <c r="Q77" s="1099" t="n">
        <v>-64500000</v>
      </c>
      <c r="R77" s="1099" t="n">
        <v>-64500000</v>
      </c>
      <c r="S77" s="1099" t="n">
        <v>-65500000</v>
      </c>
      <c r="T77" s="1099" t="n">
        <v>-65800000</v>
      </c>
      <c r="U77" s="1099" t="n">
        <v>-29100000</v>
      </c>
      <c r="V77" s="1099" t="n">
        <v>-33900000</v>
      </c>
      <c r="W77" s="1099" t="n">
        <v>-35200000</v>
      </c>
      <c r="X77" s="1099" t="n">
        <v>-35500000</v>
      </c>
      <c r="Y77" s="1099" t="n">
        <v>-36200000</v>
      </c>
      <c r="Z77" s="1099" t="n">
        <v>-36200000</v>
      </c>
      <c r="AA77" s="1099" t="n">
        <v>-35500000</v>
      </c>
      <c r="AB77" s="1099" t="n">
        <v>-30900000</v>
      </c>
      <c r="AC77" s="1099" t="n">
        <v>-33500000</v>
      </c>
      <c r="AD77" s="496" t="n">
        <v>-462.9202</v>
      </c>
      <c r="AE77" s="496" t="n">
        <v>-355.1436</v>
      </c>
      <c r="AF77" s="496" t="n">
        <v>-2064.699</v>
      </c>
      <c r="AG77" s="496" t="n">
        <v>-1705.344</v>
      </c>
      <c r="AH77" s="496" t="n">
        <v>-708.0398</v>
      </c>
      <c r="AI77" s="496" t="n">
        <v>-604.397</v>
      </c>
      <c r="AJ77" s="496" t="n">
        <v>-737.8795</v>
      </c>
      <c r="AK77" s="496" t="n">
        <v>-612.423</v>
      </c>
      <c r="AL77" s="496" t="n">
        <v>-737.5352</v>
      </c>
      <c r="AM77" s="496" t="n">
        <v>-613.675</v>
      </c>
      <c r="AN77" s="496" t="n">
        <v>-518.8677</v>
      </c>
      <c r="AO77" s="496" t="n">
        <v>-518.8677</v>
      </c>
      <c r="AP77" s="496" t="n">
        <v>-4214.454</v>
      </c>
      <c r="AQ77" s="496" t="n">
        <v>-3648.108</v>
      </c>
      <c r="AR77" s="496" t="n">
        <v>-617.5993</v>
      </c>
      <c r="AS77" s="496" t="n">
        <v>-512.8906</v>
      </c>
      <c r="AT77" s="496" t="n">
        <v>-593.4602</v>
      </c>
      <c r="AU77" s="496" t="n">
        <v>-482.8698</v>
      </c>
      <c r="AV77" s="496" t="n">
        <v>-1711.211</v>
      </c>
      <c r="AW77" s="496" t="n">
        <v>-1695.538</v>
      </c>
      <c r="AX77" s="1099" t="n">
        <v>-64400000</v>
      </c>
      <c r="AY77" s="1099" t="n">
        <v>-67000000</v>
      </c>
      <c r="AZ77" s="1099" t="n">
        <v>-67000000</v>
      </c>
      <c r="BA77" s="1099" t="n">
        <v>-64400000</v>
      </c>
      <c r="BB77" s="1099" t="n">
        <v>-3150000</v>
      </c>
      <c r="BC77" s="1099" t="n">
        <v>-65600000</v>
      </c>
      <c r="BD77" s="1099" t="n">
        <v>-1730000</v>
      </c>
      <c r="BE77" s="1099" t="n">
        <v>-34400000</v>
      </c>
      <c r="BF77" s="1099" t="n">
        <v>-519000000</v>
      </c>
      <c r="BG77" s="1099" t="n">
        <v>-509000000</v>
      </c>
      <c r="BH77" s="1099" t="n">
        <v>-33600000</v>
      </c>
      <c r="BI77" s="1099" t="n">
        <v>-57200000</v>
      </c>
      <c r="BJ77" s="1099" t="n">
        <v>-57500000</v>
      </c>
      <c r="BK77" s="1099" t="n">
        <v>-56300000</v>
      </c>
      <c r="BL77" s="1099" t="n">
        <v>-68700000</v>
      </c>
      <c r="BM77" s="1099" t="n">
        <v>-31400000</v>
      </c>
      <c r="BN77" s="1099" t="n">
        <v>-64100000</v>
      </c>
      <c r="BO77" s="1099" t="n">
        <v>-67700000</v>
      </c>
      <c r="BP77" s="496" t="n">
        <v>-33113.04</v>
      </c>
      <c r="BQ77" s="1099" t="n">
        <v>-126000000</v>
      </c>
      <c r="BR77" s="1099" t="n">
        <v>-121000000</v>
      </c>
      <c r="BS77" s="1099" t="n">
        <v>-21500000</v>
      </c>
      <c r="BT77" s="1099" t="n">
        <v>-23700000</v>
      </c>
      <c r="BU77" s="496" t="s">
        <v>469</v>
      </c>
      <c r="BV77" s="1099" t="n">
        <v>-35500000</v>
      </c>
      <c r="BW77" s="496" t="s">
        <v>469</v>
      </c>
      <c r="BX77" s="1099" t="n">
        <v>-30900000</v>
      </c>
      <c r="BY77" s="496" t="s">
        <v>469</v>
      </c>
      <c r="BZ77" s="1099" t="n">
        <v>-31400000</v>
      </c>
      <c r="CA77" s="496" t="s">
        <v>469</v>
      </c>
      <c r="CB77" s="1099" t="n">
        <v>-67000000</v>
      </c>
      <c r="CC77" s="1099" t="n">
        <v>-67000000</v>
      </c>
      <c r="CD77" s="1099" t="n">
        <v>-64400000</v>
      </c>
      <c r="CE77" s="1099" t="n">
        <v>-35500000</v>
      </c>
      <c r="CF77" s="1099" t="n">
        <v>-35500000</v>
      </c>
      <c r="CG77" s="1099" t="n">
        <v>-30900000</v>
      </c>
      <c r="CH77" s="1099" t="n">
        <v>-30900000</v>
      </c>
      <c r="CI77" s="1099" t="n">
        <v>-64300000</v>
      </c>
      <c r="CJ77" s="1099" t="n">
        <v>-64300000</v>
      </c>
      <c r="CK77" s="1099" t="n">
        <v>-67000000</v>
      </c>
      <c r="CL77" s="1099" t="n">
        <v>-67000000</v>
      </c>
      <c r="CM77" s="1099" t="n">
        <v>-67000000</v>
      </c>
      <c r="CN77" s="1099" t="n">
        <v>-67000000</v>
      </c>
      <c r="CO77" s="1099" t="n">
        <v>-57400000</v>
      </c>
      <c r="CP77" s="1099" t="n">
        <v>-57400000</v>
      </c>
      <c r="CQ77" s="1099" t="n">
        <v>-68800000</v>
      </c>
      <c r="CR77" s="1099" t="n">
        <v>-68800000</v>
      </c>
      <c r="CS77" s="1099" t="n">
        <v>-67300000</v>
      </c>
      <c r="CT77" s="1099" t="n">
        <v>-67300000</v>
      </c>
      <c r="CU77" s="1099" t="n">
        <v>-31500000</v>
      </c>
      <c r="CV77" s="1099" t="n">
        <v>-31500000</v>
      </c>
      <c r="CW77" s="1099" t="n">
        <v>-31400000</v>
      </c>
      <c r="CX77" s="1099" t="n">
        <v>-31400000</v>
      </c>
      <c r="CY77" s="1099" t="n">
        <v>-23700000</v>
      </c>
      <c r="CZ77" s="1099" t="n">
        <v>-23700000</v>
      </c>
      <c r="DA77" s="1099" t="n">
        <v>-22300000</v>
      </c>
      <c r="DB77" s="1099" t="n">
        <v>-22300000</v>
      </c>
      <c r="DC77" s="496" t="n">
        <v>-594.1479</v>
      </c>
      <c r="DD77" s="496" t="n">
        <v>-481.3821</v>
      </c>
      <c r="DE77" s="496" t="n">
        <v>-4214.454</v>
      </c>
      <c r="DF77" s="496" t="n">
        <v>-3648.108</v>
      </c>
    </row>
    <row r="78" customFormat="false" ht="15" hidden="false" customHeight="false" outlineLevel="0" collapsed="false">
      <c r="A78" s="496" t="s">
        <v>2012</v>
      </c>
      <c r="B78" s="1099" t="n">
        <v>-404000</v>
      </c>
      <c r="C78" s="1099" t="n">
        <v>-445000</v>
      </c>
      <c r="D78" s="1099" t="n">
        <v>-390000</v>
      </c>
      <c r="E78" s="1099" t="n">
        <v>-405000</v>
      </c>
      <c r="F78" s="1099" t="n">
        <v>-240000</v>
      </c>
      <c r="G78" s="1099" t="n">
        <v>-164000</v>
      </c>
      <c r="H78" s="1099" t="n">
        <v>-340000</v>
      </c>
      <c r="I78" s="1099" t="n">
        <v>-397000</v>
      </c>
      <c r="J78" s="1099" t="n">
        <v>-233000</v>
      </c>
      <c r="K78" s="1099" t="n">
        <v>-240000</v>
      </c>
      <c r="L78" s="1099" t="n">
        <v>-423000</v>
      </c>
      <c r="M78" s="1099" t="n">
        <v>-242000</v>
      </c>
      <c r="N78" s="496" t="s">
        <v>469</v>
      </c>
      <c r="O78" s="1099" t="n">
        <v>-376000</v>
      </c>
      <c r="P78" s="1099" t="n">
        <v>-159000</v>
      </c>
      <c r="Q78" s="1099" t="n">
        <v>-143000</v>
      </c>
      <c r="R78" s="1099" t="n">
        <v>-143000</v>
      </c>
      <c r="S78" s="1099" t="n">
        <v>-155000</v>
      </c>
      <c r="T78" s="1099" t="n">
        <v>-159000</v>
      </c>
      <c r="U78" s="1099" t="n">
        <v>-242000</v>
      </c>
      <c r="V78" s="1099" t="n">
        <v>-582000</v>
      </c>
      <c r="W78" s="1099" t="n">
        <v>-612000</v>
      </c>
      <c r="X78" s="1099" t="n">
        <v>-618000</v>
      </c>
      <c r="Y78" s="1099" t="n">
        <v>-637000</v>
      </c>
      <c r="Z78" s="1099" t="n">
        <v>-636000</v>
      </c>
      <c r="AA78" s="1099" t="n">
        <v>-376000</v>
      </c>
      <c r="AB78" s="1099" t="n">
        <v>-242000</v>
      </c>
      <c r="AC78" s="1099" t="n">
        <v>-389000</v>
      </c>
      <c r="AD78" s="1099" t="n">
        <v>-376000</v>
      </c>
      <c r="AE78" s="1099" t="n">
        <v>-312000</v>
      </c>
      <c r="AF78" s="1099" t="n">
        <v>-242000</v>
      </c>
      <c r="AG78" s="1099" t="n">
        <v>-132000</v>
      </c>
      <c r="AH78" s="1099" t="n">
        <v>-403000</v>
      </c>
      <c r="AI78" s="1099" t="n">
        <v>-345000</v>
      </c>
      <c r="AJ78" s="1099" t="n">
        <v>-423000</v>
      </c>
      <c r="AK78" s="1099" t="n">
        <v>-347000</v>
      </c>
      <c r="AL78" s="1099" t="n">
        <v>-444000</v>
      </c>
      <c r="AM78" s="1099" t="n">
        <v>-369000</v>
      </c>
      <c r="AN78" s="1099" t="n">
        <v>-334000</v>
      </c>
      <c r="AO78" s="1099" t="n">
        <v>-338000</v>
      </c>
      <c r="AP78" s="1099" t="n">
        <v>-130000</v>
      </c>
      <c r="AQ78" s="496" t="n">
        <v>-51594.23</v>
      </c>
      <c r="AR78" s="1099" t="n">
        <v>-390000</v>
      </c>
      <c r="AS78" s="1099" t="n">
        <v>-330000</v>
      </c>
      <c r="AT78" s="1099" t="n">
        <v>-405000</v>
      </c>
      <c r="AU78" s="1099" t="n">
        <v>-339000</v>
      </c>
      <c r="AV78" s="1099" t="n">
        <v>-127000</v>
      </c>
      <c r="AW78" s="1099" t="n">
        <v>-133000</v>
      </c>
      <c r="AX78" s="1099" t="n">
        <v>-404000</v>
      </c>
      <c r="AY78" s="1099" t="n">
        <v>-423000</v>
      </c>
      <c r="AZ78" s="1099" t="n">
        <v>-444000</v>
      </c>
      <c r="BA78" s="1099" t="n">
        <v>-338000</v>
      </c>
      <c r="BB78" s="1099" t="n">
        <v>-240000</v>
      </c>
      <c r="BC78" s="1099" t="n">
        <v>-434000</v>
      </c>
      <c r="BD78" s="1099" t="n">
        <v>-242000</v>
      </c>
      <c r="BE78" s="1099" t="n">
        <v>-432000</v>
      </c>
      <c r="BF78" s="1099" t="n">
        <v>-582000</v>
      </c>
      <c r="BG78" s="1099" t="n">
        <v>-568000</v>
      </c>
      <c r="BH78" s="1099" t="n">
        <v>-390000</v>
      </c>
      <c r="BI78" s="1099" t="n">
        <v>-334000</v>
      </c>
      <c r="BJ78" s="1099" t="n">
        <v>-336000</v>
      </c>
      <c r="BK78" s="1099" t="n">
        <v>-343000</v>
      </c>
      <c r="BL78" s="1099" t="n">
        <v>-163000</v>
      </c>
      <c r="BM78" s="1099" t="n">
        <v>-405000</v>
      </c>
      <c r="BN78" s="1099" t="n">
        <v>-143000</v>
      </c>
      <c r="BO78" s="1099" t="n">
        <v>-150000</v>
      </c>
      <c r="BP78" s="1099" t="n">
        <v>-270000</v>
      </c>
      <c r="BQ78" s="1099" t="n">
        <v>-143000</v>
      </c>
      <c r="BR78" s="1099" t="n">
        <v>-117000</v>
      </c>
      <c r="BS78" s="1099" t="n">
        <v>-130000</v>
      </c>
      <c r="BT78" s="1099" t="n">
        <v>-127000</v>
      </c>
      <c r="BU78" s="496" t="s">
        <v>469</v>
      </c>
      <c r="BV78" s="1099" t="n">
        <v>-376000</v>
      </c>
      <c r="BW78" s="496" t="s">
        <v>469</v>
      </c>
      <c r="BX78" s="1099" t="n">
        <v>-242000</v>
      </c>
      <c r="BY78" s="496" t="s">
        <v>469</v>
      </c>
      <c r="BZ78" s="1099" t="n">
        <v>-405000</v>
      </c>
      <c r="CA78" s="496" t="s">
        <v>469</v>
      </c>
      <c r="CB78" s="1099" t="n">
        <v>-423000</v>
      </c>
      <c r="CC78" s="1099" t="n">
        <v>-423000</v>
      </c>
      <c r="CD78" s="1099" t="n">
        <v>-338000</v>
      </c>
      <c r="CE78" s="1099" t="n">
        <v>-376000</v>
      </c>
      <c r="CF78" s="1099" t="n">
        <v>-372000</v>
      </c>
      <c r="CG78" s="1099" t="n">
        <v>-242000</v>
      </c>
      <c r="CH78" s="1099" t="n">
        <v>-242000</v>
      </c>
      <c r="CI78" s="1099" t="n">
        <v>-403000</v>
      </c>
      <c r="CJ78" s="1099" t="n">
        <v>-394000</v>
      </c>
      <c r="CK78" s="1099" t="n">
        <v>-423000</v>
      </c>
      <c r="CL78" s="1099" t="n">
        <v>-419000</v>
      </c>
      <c r="CM78" s="1099" t="n">
        <v>-444000</v>
      </c>
      <c r="CN78" s="1099" t="n">
        <v>-439000</v>
      </c>
      <c r="CO78" s="1099" t="n">
        <v>-334000</v>
      </c>
      <c r="CP78" s="1099" t="n">
        <v>-315000</v>
      </c>
      <c r="CQ78" s="1099" t="n">
        <v>-130000</v>
      </c>
      <c r="CR78" s="1099" t="n">
        <v>-127000</v>
      </c>
      <c r="CS78" s="1099" t="n">
        <v>-390000</v>
      </c>
      <c r="CT78" s="1099" t="n">
        <v>-384000</v>
      </c>
      <c r="CU78" s="1099" t="n">
        <v>-405000</v>
      </c>
      <c r="CV78" s="1099" t="n">
        <v>-401000</v>
      </c>
      <c r="CW78" s="1099" t="n">
        <v>-405000</v>
      </c>
      <c r="CX78" s="1099" t="n">
        <v>-401000</v>
      </c>
      <c r="CY78" s="1099" t="n">
        <v>-127000</v>
      </c>
      <c r="CZ78" s="1099" t="n">
        <v>-119000</v>
      </c>
      <c r="DA78" s="1099" t="n">
        <v>-130000</v>
      </c>
      <c r="DB78" s="1099" t="n">
        <v>-127000</v>
      </c>
      <c r="DC78" s="1099" t="n">
        <v>-405000</v>
      </c>
      <c r="DD78" s="1099" t="n">
        <v>-339000</v>
      </c>
      <c r="DE78" s="1099" t="n">
        <v>-130000</v>
      </c>
      <c r="DF78" s="496" t="n">
        <v>-51594.23</v>
      </c>
    </row>
    <row r="79" customFormat="false" ht="15" hidden="false" customHeight="false" outlineLevel="0" collapsed="false">
      <c r="A79" s="496" t="s">
        <v>2013</v>
      </c>
      <c r="B79" s="496" t="n">
        <v>-6524.077</v>
      </c>
      <c r="C79" s="496" t="n">
        <v>-6830.052</v>
      </c>
      <c r="D79" s="496" t="n">
        <v>-6916.131</v>
      </c>
      <c r="E79" s="496" t="n">
        <v>-7047.164</v>
      </c>
      <c r="F79" s="496" t="n">
        <v>-7346.186</v>
      </c>
      <c r="G79" s="496" t="n">
        <v>-9095.464</v>
      </c>
      <c r="H79" s="496" t="n">
        <v>-6661.962</v>
      </c>
      <c r="I79" s="496" t="n">
        <v>-7043.715</v>
      </c>
      <c r="J79" s="496" t="n">
        <v>-7119.67</v>
      </c>
      <c r="K79" s="496" t="n">
        <v>-7337.585</v>
      </c>
      <c r="L79" s="496" t="n">
        <v>-6833.407</v>
      </c>
      <c r="M79" s="496" t="n">
        <v>-7556.278</v>
      </c>
      <c r="N79" s="496" t="s">
        <v>469</v>
      </c>
      <c r="O79" s="496" t="n">
        <v>-6574.213</v>
      </c>
      <c r="P79" s="496" t="n">
        <v>-8842.062</v>
      </c>
      <c r="Q79" s="496" t="n">
        <v>-7923.04</v>
      </c>
      <c r="R79" s="496" t="n">
        <v>-7920.25</v>
      </c>
      <c r="S79" s="496" t="n">
        <v>-8595.503</v>
      </c>
      <c r="T79" s="496" t="n">
        <v>-8841.796</v>
      </c>
      <c r="U79" s="496" t="n">
        <v>-7527.059</v>
      </c>
      <c r="V79" s="496" t="n">
        <v>-6618.828</v>
      </c>
      <c r="W79" s="496" t="n">
        <v>-6959.834</v>
      </c>
      <c r="X79" s="496" t="n">
        <v>-7028.618</v>
      </c>
      <c r="Y79" s="496" t="n">
        <v>-7240.157</v>
      </c>
      <c r="Z79" s="496" t="n">
        <v>-7239.145</v>
      </c>
      <c r="AA79" s="496" t="n">
        <v>-6570.046</v>
      </c>
      <c r="AB79" s="496" t="n">
        <v>-7527.059</v>
      </c>
      <c r="AC79" s="496" t="n">
        <v>-6894.897</v>
      </c>
      <c r="AD79" s="496" t="n">
        <v>-6573.518</v>
      </c>
      <c r="AE79" s="496" t="n">
        <v>-5459.296</v>
      </c>
      <c r="AF79" s="496" t="n">
        <v>-7531.001</v>
      </c>
      <c r="AG79" s="496" t="n">
        <v>-4108.077</v>
      </c>
      <c r="AH79" s="496" t="n">
        <v>-6516.815</v>
      </c>
      <c r="AI79" s="496" t="n">
        <v>-5567.213</v>
      </c>
      <c r="AJ79" s="496" t="n">
        <v>-6833.402</v>
      </c>
      <c r="AK79" s="496" t="n">
        <v>-5605.884</v>
      </c>
      <c r="AL79" s="496" t="n">
        <v>-6827.11</v>
      </c>
      <c r="AM79" s="496" t="n">
        <v>-5672.224</v>
      </c>
      <c r="AN79" s="496" t="n">
        <v>-5894.028</v>
      </c>
      <c r="AO79" s="496" t="n">
        <v>-5970.009</v>
      </c>
      <c r="AP79" s="496" t="n">
        <v>-7215.671</v>
      </c>
      <c r="AQ79" s="496" t="n">
        <v>-2863.915</v>
      </c>
      <c r="AR79" s="496" t="n">
        <v>-6916.124</v>
      </c>
      <c r="AS79" s="496" t="n">
        <v>-5851.26</v>
      </c>
      <c r="AT79" s="496" t="n">
        <v>-7049.57</v>
      </c>
      <c r="AU79" s="496" t="n">
        <v>-5910.557</v>
      </c>
      <c r="AV79" s="496" t="n">
        <v>-3941.414</v>
      </c>
      <c r="AW79" s="496" t="n">
        <v>-4141.912</v>
      </c>
      <c r="AX79" s="496" t="n">
        <v>-6522.046</v>
      </c>
      <c r="AY79" s="496" t="n">
        <v>-6831.159</v>
      </c>
      <c r="AZ79" s="496" t="n">
        <v>-6827.097</v>
      </c>
      <c r="BA79" s="496" t="n">
        <v>-6630.435</v>
      </c>
      <c r="BB79" s="496" t="n">
        <v>-7340.518</v>
      </c>
      <c r="BC79" s="496" t="n">
        <v>-6671.63</v>
      </c>
      <c r="BD79" s="496" t="n">
        <v>-7527.059</v>
      </c>
      <c r="BE79" s="496" t="n">
        <v>-6770.88</v>
      </c>
      <c r="BF79" s="496" t="n">
        <v>-6618.828</v>
      </c>
      <c r="BG79" s="496" t="n">
        <v>-6466.403</v>
      </c>
      <c r="BH79" s="496" t="n">
        <v>-6911.818</v>
      </c>
      <c r="BI79" s="496" t="n">
        <v>-5918.403</v>
      </c>
      <c r="BJ79" s="496" t="n">
        <v>-5929.92</v>
      </c>
      <c r="BK79" s="496" t="n">
        <v>-5813.941</v>
      </c>
      <c r="BL79" s="496" t="n">
        <v>-8628.116</v>
      </c>
      <c r="BM79" s="496" t="n">
        <v>-7056.644</v>
      </c>
      <c r="BN79" s="496" t="n">
        <v>-7917.579</v>
      </c>
      <c r="BO79" s="496" t="n">
        <v>-7971.217</v>
      </c>
      <c r="BP79" s="496" t="n">
        <v>-5350.177</v>
      </c>
      <c r="BQ79" s="496" t="n">
        <v>-7917.579</v>
      </c>
      <c r="BR79" s="496" t="n">
        <v>-6495.59</v>
      </c>
      <c r="BS79" s="496" t="n">
        <v>-3979.513</v>
      </c>
      <c r="BT79" s="496" t="n">
        <v>-3941.712</v>
      </c>
      <c r="BU79" s="496" t="s">
        <v>469</v>
      </c>
      <c r="BV79" s="496" t="n">
        <v>-6571.448</v>
      </c>
      <c r="BW79" s="496" t="s">
        <v>469</v>
      </c>
      <c r="BX79" s="496" t="n">
        <v>-7530.836</v>
      </c>
      <c r="BY79" s="496" t="s">
        <v>469</v>
      </c>
      <c r="BZ79" s="496" t="n">
        <v>-7049.576</v>
      </c>
      <c r="CA79" s="496" t="s">
        <v>469</v>
      </c>
      <c r="CB79" s="496" t="n">
        <v>-6832.091</v>
      </c>
      <c r="CC79" s="496" t="n">
        <v>-6831.192</v>
      </c>
      <c r="CD79" s="496" t="n">
        <v>-6630.43</v>
      </c>
      <c r="CE79" s="496" t="n">
        <v>-6573.518</v>
      </c>
      <c r="CF79" s="496" t="n">
        <v>-6506.696</v>
      </c>
      <c r="CG79" s="496" t="n">
        <v>-7531.001</v>
      </c>
      <c r="CH79" s="496" t="n">
        <v>-7529.991</v>
      </c>
      <c r="CI79" s="496" t="n">
        <v>-6516.815</v>
      </c>
      <c r="CJ79" s="496" t="n">
        <v>-6370.652</v>
      </c>
      <c r="CK79" s="496" t="n">
        <v>-6833.402</v>
      </c>
      <c r="CL79" s="496" t="n">
        <v>-6764.129</v>
      </c>
      <c r="CM79" s="496" t="n">
        <v>-6827.11</v>
      </c>
      <c r="CN79" s="496" t="n">
        <v>-6738.732</v>
      </c>
      <c r="CO79" s="496" t="n">
        <v>-5894.028</v>
      </c>
      <c r="CP79" s="496" t="n">
        <v>-5565.787</v>
      </c>
      <c r="CQ79" s="496" t="n">
        <v>-7215.671</v>
      </c>
      <c r="CR79" s="496" t="n">
        <v>-7058.902</v>
      </c>
      <c r="CS79" s="496" t="n">
        <v>-6916.124</v>
      </c>
      <c r="CT79" s="496" t="n">
        <v>-6817.15</v>
      </c>
      <c r="CU79" s="496" t="n">
        <v>-7058.921</v>
      </c>
      <c r="CV79" s="496" t="n">
        <v>-6991.384</v>
      </c>
      <c r="CW79" s="496" t="n">
        <v>-7049.653</v>
      </c>
      <c r="CX79" s="496" t="n">
        <v>-6981.714</v>
      </c>
      <c r="CY79" s="496" t="n">
        <v>-3941.415</v>
      </c>
      <c r="CZ79" s="496" t="n">
        <v>-3704.037</v>
      </c>
      <c r="DA79" s="496" t="n">
        <v>-7215.671</v>
      </c>
      <c r="DB79" s="496" t="n">
        <v>-7058.9</v>
      </c>
      <c r="DC79" s="496" t="n">
        <v>-7058.921</v>
      </c>
      <c r="DD79" s="496" t="n">
        <v>-5906.101</v>
      </c>
      <c r="DE79" s="496" t="n">
        <v>-7215.671</v>
      </c>
      <c r="DF79" s="496" t="n">
        <v>-2863.915</v>
      </c>
    </row>
    <row r="80" customFormat="false" ht="15" hidden="false" customHeight="false" outlineLevel="0" collapsed="false">
      <c r="A80" s="496" t="s">
        <v>2014</v>
      </c>
      <c r="B80" s="496" t="n">
        <v>2.289562</v>
      </c>
      <c r="C80" s="496" t="n">
        <v>8.990987</v>
      </c>
      <c r="D80" s="496" t="n">
        <v>9.473356</v>
      </c>
      <c r="E80" s="496" t="n">
        <v>9.502958</v>
      </c>
      <c r="F80" s="496" t="n">
        <v>23.56661</v>
      </c>
      <c r="G80" s="496" t="n">
        <v>55.4153</v>
      </c>
      <c r="H80" s="496" t="n">
        <v>11.73101</v>
      </c>
      <c r="I80" s="496" t="n">
        <v>9.84101</v>
      </c>
      <c r="J80" s="496" t="n">
        <v>10.59611</v>
      </c>
      <c r="K80" s="496" t="n">
        <v>23.51701</v>
      </c>
      <c r="L80" s="496" t="n">
        <v>9.630964</v>
      </c>
      <c r="M80" s="496" t="n">
        <v>24.96666</v>
      </c>
      <c r="N80" s="496" t="s">
        <v>469</v>
      </c>
      <c r="O80" s="496" t="n">
        <v>9.677818</v>
      </c>
      <c r="P80" s="496" t="n">
        <v>54.33906</v>
      </c>
      <c r="Q80" s="496" t="n">
        <v>49.9594</v>
      </c>
      <c r="R80" s="496" t="n">
        <v>49.93793</v>
      </c>
      <c r="S80" s="496" t="n">
        <v>53.24088</v>
      </c>
      <c r="T80" s="496" t="n">
        <v>54.33631</v>
      </c>
      <c r="U80" s="496" t="n">
        <v>24.79892</v>
      </c>
      <c r="V80" s="496" t="n">
        <v>6.779757</v>
      </c>
      <c r="W80" s="496" t="n">
        <v>7.602643</v>
      </c>
      <c r="X80" s="496" t="n">
        <v>7.74791</v>
      </c>
      <c r="Y80" s="496" t="n">
        <v>8.161751</v>
      </c>
      <c r="Z80" s="496" t="n">
        <v>8.158305</v>
      </c>
      <c r="AA80" s="496" t="n">
        <v>9.663546</v>
      </c>
      <c r="AB80" s="496" t="n">
        <v>24.79892</v>
      </c>
      <c r="AC80" s="496" t="n">
        <v>9.399202</v>
      </c>
      <c r="AD80" s="496" t="n">
        <v>9.677818</v>
      </c>
      <c r="AE80" s="496" t="n">
        <v>0.5008113</v>
      </c>
      <c r="AF80" s="496" t="n">
        <v>24.81696</v>
      </c>
      <c r="AG80" s="496" t="n">
        <v>0.1700616</v>
      </c>
      <c r="AH80" s="496" t="n">
        <v>1.58818</v>
      </c>
      <c r="AI80" s="496" t="n">
        <v>0.6107894</v>
      </c>
      <c r="AJ80" s="496" t="n">
        <v>9.630964</v>
      </c>
      <c r="AK80" s="496" t="n">
        <v>0.4433557</v>
      </c>
      <c r="AL80" s="496" t="n">
        <v>8.989778</v>
      </c>
      <c r="AM80" s="496" t="n">
        <v>0.5962056</v>
      </c>
      <c r="AN80" s="496" t="n">
        <v>0.2556888</v>
      </c>
      <c r="AO80" s="496" t="n">
        <v>0.5490216</v>
      </c>
      <c r="AP80" s="496" t="n">
        <v>45.92347</v>
      </c>
      <c r="AQ80" s="496" t="n">
        <v>0.3803436</v>
      </c>
      <c r="AR80" s="496" t="n">
        <v>9.473356</v>
      </c>
      <c r="AS80" s="496" t="n">
        <v>0.4869966</v>
      </c>
      <c r="AT80" s="496" t="n">
        <v>9.522172</v>
      </c>
      <c r="AU80" s="496" t="n">
        <v>0.4871317</v>
      </c>
      <c r="AV80" s="496" t="n">
        <v>0.0535763</v>
      </c>
      <c r="AW80" s="496" t="n">
        <v>0.2045042</v>
      </c>
      <c r="AX80" s="496" t="n">
        <v>1.64673</v>
      </c>
      <c r="AY80" s="496" t="n">
        <v>9.623051</v>
      </c>
      <c r="AZ80" s="496" t="n">
        <v>8.989735</v>
      </c>
      <c r="BA80" s="496" t="n">
        <v>11.63545</v>
      </c>
      <c r="BB80" s="496" t="n">
        <v>23.56726</v>
      </c>
      <c r="BC80" s="496" t="n">
        <v>8.618303</v>
      </c>
      <c r="BD80" s="496" t="n">
        <v>24.79892</v>
      </c>
      <c r="BE80" s="496" t="n">
        <v>8.710297</v>
      </c>
      <c r="BF80" s="496" t="n">
        <v>6.779757</v>
      </c>
      <c r="BG80" s="496" t="n">
        <v>0.9958991</v>
      </c>
      <c r="BH80" s="496" t="n">
        <v>9.473356</v>
      </c>
      <c r="BI80" s="496" t="n">
        <v>0.3193806</v>
      </c>
      <c r="BJ80" s="496" t="n">
        <v>0.3193025</v>
      </c>
      <c r="BK80" s="496" t="n">
        <v>0.3129534</v>
      </c>
      <c r="BL80" s="496" t="n">
        <v>50.47519</v>
      </c>
      <c r="BM80" s="496" t="n">
        <v>9.545001</v>
      </c>
      <c r="BN80" s="496" t="n">
        <v>49.93078</v>
      </c>
      <c r="BO80" s="496" t="n">
        <v>47.39691</v>
      </c>
      <c r="BP80" s="496" t="n">
        <v>0.0517377</v>
      </c>
      <c r="BQ80" s="496" t="n">
        <v>49.93078</v>
      </c>
      <c r="BR80" s="496" t="n">
        <v>0.2252866</v>
      </c>
      <c r="BS80" s="496" t="n">
        <v>0.0534129</v>
      </c>
      <c r="BT80" s="496" t="n">
        <v>0.0536348</v>
      </c>
      <c r="BU80" s="496" t="s">
        <v>469</v>
      </c>
      <c r="BV80" s="496" t="n">
        <v>9.675905</v>
      </c>
      <c r="BW80" s="496" t="s">
        <v>469</v>
      </c>
      <c r="BX80" s="496" t="n">
        <v>24.81693</v>
      </c>
      <c r="BY80" s="496" t="s">
        <v>469</v>
      </c>
      <c r="BZ80" s="496" t="n">
        <v>9.522186</v>
      </c>
      <c r="CA80" s="496" t="s">
        <v>469</v>
      </c>
      <c r="CB80" s="496" t="n">
        <v>9.630192</v>
      </c>
      <c r="CC80" s="496" t="n">
        <v>9.623126</v>
      </c>
      <c r="CD80" s="496" t="n">
        <v>11.63545</v>
      </c>
      <c r="CE80" s="496" t="n">
        <v>9.677818</v>
      </c>
      <c r="CF80" s="496" t="n">
        <v>0.07875</v>
      </c>
      <c r="CG80" s="496" t="n">
        <v>24.81696</v>
      </c>
      <c r="CH80" s="496" t="n">
        <v>24.81481</v>
      </c>
      <c r="CI80" s="496" t="n">
        <v>1.58818</v>
      </c>
      <c r="CJ80" s="496" t="n">
        <v>0.0414756</v>
      </c>
      <c r="CK80" s="496" t="n">
        <v>9.630964</v>
      </c>
      <c r="CL80" s="496" t="n">
        <v>0.0628795</v>
      </c>
      <c r="CM80" s="496" t="n">
        <v>8.989778</v>
      </c>
      <c r="CN80" s="496" t="n">
        <v>0.0528061</v>
      </c>
      <c r="CO80" s="496" t="n">
        <v>0.2556885</v>
      </c>
      <c r="CP80" s="496" t="n">
        <v>0.0225701</v>
      </c>
      <c r="CQ80" s="496" t="n">
        <v>45.92347</v>
      </c>
      <c r="CR80" s="496" t="n">
        <v>0.1056592</v>
      </c>
      <c r="CS80" s="496" t="n">
        <v>9.473356</v>
      </c>
      <c r="CT80" s="496" t="n">
        <v>0.0625023</v>
      </c>
      <c r="CU80" s="496" t="n">
        <v>9.545001</v>
      </c>
      <c r="CV80" s="496" t="n">
        <v>0.0778018</v>
      </c>
      <c r="CW80" s="496" t="n">
        <v>9.522403</v>
      </c>
      <c r="CX80" s="496" t="n">
        <v>0.0765367</v>
      </c>
      <c r="CY80" s="496" t="n">
        <v>0.0535763</v>
      </c>
      <c r="CZ80" s="496" t="n">
        <v>0.0209945</v>
      </c>
      <c r="DA80" s="496" t="n">
        <v>45.92347</v>
      </c>
      <c r="DB80" s="496" t="n">
        <v>0.105659</v>
      </c>
      <c r="DC80" s="496" t="n">
        <v>9.545001</v>
      </c>
      <c r="DD80" s="496" t="n">
        <v>0.5355724</v>
      </c>
      <c r="DE80" s="496" t="n">
        <v>45.92347</v>
      </c>
      <c r="DF80" s="496" t="n">
        <v>0.3803436</v>
      </c>
    </row>
    <row r="81" customFormat="false" ht="15" hidden="false" customHeight="false" outlineLevel="0" collapsed="false">
      <c r="A81" s="496" t="s">
        <v>2015</v>
      </c>
      <c r="B81" s="496" t="n">
        <v>141.7314</v>
      </c>
      <c r="C81" s="496" t="n">
        <v>585.1778</v>
      </c>
      <c r="D81" s="496" t="n">
        <v>533.9423</v>
      </c>
      <c r="E81" s="496" t="n">
        <v>545.6952</v>
      </c>
      <c r="F81" s="496" t="n">
        <v>771.2363</v>
      </c>
      <c r="G81" s="496" t="n">
        <v>998.3221</v>
      </c>
      <c r="H81" s="496" t="n">
        <v>598.3955</v>
      </c>
      <c r="I81" s="496" t="n">
        <v>554.6642</v>
      </c>
      <c r="J81" s="496" t="n">
        <v>347.2163</v>
      </c>
      <c r="K81" s="496" t="n">
        <v>770.6119</v>
      </c>
      <c r="L81" s="496" t="n">
        <v>596.1884</v>
      </c>
      <c r="M81" s="496" t="n">
        <v>799.3633</v>
      </c>
      <c r="N81" s="496" t="s">
        <v>469</v>
      </c>
      <c r="O81" s="496" t="n">
        <v>553.7165</v>
      </c>
      <c r="P81" s="496" t="n">
        <v>978.9333</v>
      </c>
      <c r="Q81" s="496" t="n">
        <v>900.0605</v>
      </c>
      <c r="R81" s="496" t="n">
        <v>899.6736</v>
      </c>
      <c r="S81" s="496" t="n">
        <v>959.1792</v>
      </c>
      <c r="T81" s="496" t="n">
        <v>978.9141</v>
      </c>
      <c r="U81" s="496" t="n">
        <v>795.8171</v>
      </c>
      <c r="V81" s="496" t="n">
        <v>596.0323</v>
      </c>
      <c r="W81" s="496" t="n">
        <v>668.3751</v>
      </c>
      <c r="X81" s="496" t="n">
        <v>681.1461</v>
      </c>
      <c r="Y81" s="496" t="n">
        <v>717.5283</v>
      </c>
      <c r="Z81" s="496" t="n">
        <v>717.2253</v>
      </c>
      <c r="AA81" s="496" t="n">
        <v>552.8999</v>
      </c>
      <c r="AB81" s="496" t="n">
        <v>795.8171</v>
      </c>
      <c r="AC81" s="496" t="n">
        <v>529.7628</v>
      </c>
      <c r="AD81" s="496" t="n">
        <v>553.7165</v>
      </c>
      <c r="AE81" s="496" t="n">
        <v>28.65393</v>
      </c>
      <c r="AF81" s="496" t="n">
        <v>796.3961</v>
      </c>
      <c r="AG81" s="496" t="n">
        <v>5.457413</v>
      </c>
      <c r="AH81" s="496" t="n">
        <v>98.31358</v>
      </c>
      <c r="AI81" s="496" t="n">
        <v>37.80988</v>
      </c>
      <c r="AJ81" s="496" t="n">
        <v>596.1884</v>
      </c>
      <c r="AK81" s="496" t="n">
        <v>27.44518</v>
      </c>
      <c r="AL81" s="496" t="n">
        <v>585.0991</v>
      </c>
      <c r="AM81" s="496" t="n">
        <v>38.804</v>
      </c>
      <c r="AN81" s="496" t="n">
        <v>14.47497</v>
      </c>
      <c r="AO81" s="496" t="n">
        <v>31.08104</v>
      </c>
      <c r="AP81" s="496" t="n">
        <v>827.3242</v>
      </c>
      <c r="AQ81" s="496" t="n">
        <v>6.851997</v>
      </c>
      <c r="AR81" s="496" t="n">
        <v>533.9423</v>
      </c>
      <c r="AS81" s="496" t="n">
        <v>27.44836</v>
      </c>
      <c r="AT81" s="496" t="n">
        <v>546.7985</v>
      </c>
      <c r="AU81" s="496" t="n">
        <v>27.97292</v>
      </c>
      <c r="AV81" s="496" t="n">
        <v>1.724633</v>
      </c>
      <c r="AW81" s="496" t="n">
        <v>6.583027</v>
      </c>
      <c r="AX81" s="496" t="n">
        <v>101.938</v>
      </c>
      <c r="AY81" s="496" t="n">
        <v>595.6985</v>
      </c>
      <c r="AZ81" s="496" t="n">
        <v>585.0963</v>
      </c>
      <c r="BA81" s="496" t="n">
        <v>593.5214</v>
      </c>
      <c r="BB81" s="496" t="n">
        <v>771.241</v>
      </c>
      <c r="BC81" s="496" t="n">
        <v>560.9217</v>
      </c>
      <c r="BD81" s="496" t="n">
        <v>795.8171</v>
      </c>
      <c r="BE81" s="496" t="n">
        <v>555.8614</v>
      </c>
      <c r="BF81" s="496" t="n">
        <v>596.0323</v>
      </c>
      <c r="BG81" s="496" t="n">
        <v>87.553</v>
      </c>
      <c r="BH81" s="496" t="n">
        <v>533.9423</v>
      </c>
      <c r="BI81" s="496" t="n">
        <v>18.0011</v>
      </c>
      <c r="BJ81" s="496" t="n">
        <v>18.07625</v>
      </c>
      <c r="BK81" s="496" t="n">
        <v>18.48071</v>
      </c>
      <c r="BL81" s="496" t="n">
        <v>952.087</v>
      </c>
      <c r="BM81" s="496" t="n">
        <v>548.1095</v>
      </c>
      <c r="BN81" s="496" t="n">
        <v>899.5451</v>
      </c>
      <c r="BO81" s="496" t="n">
        <v>894.0229</v>
      </c>
      <c r="BP81" s="496" t="n">
        <v>2.612573</v>
      </c>
      <c r="BQ81" s="496" t="n">
        <v>899.5451</v>
      </c>
      <c r="BR81" s="496" t="n">
        <v>4.058727</v>
      </c>
      <c r="BS81" s="496" t="n">
        <v>1.75025</v>
      </c>
      <c r="BT81" s="496" t="n">
        <v>1.726516</v>
      </c>
      <c r="BU81" s="496" t="s">
        <v>469</v>
      </c>
      <c r="BV81" s="496" t="n">
        <v>553.6071</v>
      </c>
      <c r="BW81" s="496" t="s">
        <v>469</v>
      </c>
      <c r="BX81" s="496" t="n">
        <v>796.3952</v>
      </c>
      <c r="BY81" s="496" t="s">
        <v>469</v>
      </c>
      <c r="BZ81" s="496" t="n">
        <v>546.7993</v>
      </c>
      <c r="CA81" s="496" t="s">
        <v>469</v>
      </c>
      <c r="CB81" s="496" t="n">
        <v>596.1406</v>
      </c>
      <c r="CC81" s="496" t="n">
        <v>595.7032</v>
      </c>
      <c r="CD81" s="496" t="n">
        <v>593.5214</v>
      </c>
      <c r="CE81" s="496" t="n">
        <v>553.7165</v>
      </c>
      <c r="CF81" s="496" t="n">
        <v>4.505688</v>
      </c>
      <c r="CG81" s="496" t="n">
        <v>796.3961</v>
      </c>
      <c r="CH81" s="496" t="n">
        <v>796.3272</v>
      </c>
      <c r="CI81" s="496" t="n">
        <v>98.31359</v>
      </c>
      <c r="CJ81" s="496" t="n">
        <v>2.567477</v>
      </c>
      <c r="CK81" s="496" t="n">
        <v>596.1884</v>
      </c>
      <c r="CL81" s="496" t="n">
        <v>3.892449</v>
      </c>
      <c r="CM81" s="496" t="n">
        <v>585.0991</v>
      </c>
      <c r="CN81" s="496" t="n">
        <v>3.436882</v>
      </c>
      <c r="CO81" s="496" t="n">
        <v>14.47496</v>
      </c>
      <c r="CP81" s="496" t="n">
        <v>1.277736</v>
      </c>
      <c r="CQ81" s="496" t="n">
        <v>827.3242</v>
      </c>
      <c r="CR81" s="496" t="n">
        <v>1.90348</v>
      </c>
      <c r="CS81" s="496" t="n">
        <v>533.9423</v>
      </c>
      <c r="CT81" s="496" t="n">
        <v>3.522791</v>
      </c>
      <c r="CU81" s="496" t="n">
        <v>548.1095</v>
      </c>
      <c r="CV81" s="496" t="n">
        <v>4.467669</v>
      </c>
      <c r="CW81" s="496" t="n">
        <v>546.8118</v>
      </c>
      <c r="CX81" s="496" t="n">
        <v>4.395026</v>
      </c>
      <c r="CY81" s="496" t="n">
        <v>1.724633</v>
      </c>
      <c r="CZ81" s="496" t="n">
        <v>0.6758182</v>
      </c>
      <c r="DA81" s="496" t="n">
        <v>827.3242</v>
      </c>
      <c r="DB81" s="496" t="n">
        <v>1.903476</v>
      </c>
      <c r="DC81" s="496" t="n">
        <v>548.1095</v>
      </c>
      <c r="DD81" s="496" t="n">
        <v>30.75456</v>
      </c>
      <c r="DE81" s="496" t="n">
        <v>827.3242</v>
      </c>
      <c r="DF81" s="496" t="n">
        <v>6.851997</v>
      </c>
    </row>
    <row r="82" customFormat="false" ht="15" hidden="false" customHeight="false" outlineLevel="0" collapsed="false">
      <c r="A82" s="496" t="s">
        <v>2016</v>
      </c>
      <c r="B82" s="496" t="n">
        <v>61.90329</v>
      </c>
      <c r="C82" s="496" t="n">
        <v>65.08494</v>
      </c>
      <c r="D82" s="496" t="n">
        <v>56.36253</v>
      </c>
      <c r="E82" s="496" t="n">
        <v>57.42372</v>
      </c>
      <c r="F82" s="496" t="n">
        <v>32.72581</v>
      </c>
      <c r="G82" s="496" t="n">
        <v>18.01528</v>
      </c>
      <c r="H82" s="496" t="n">
        <v>51.00973</v>
      </c>
      <c r="I82" s="496" t="n">
        <v>56.36253</v>
      </c>
      <c r="J82" s="496" t="n">
        <v>32.76828</v>
      </c>
      <c r="K82" s="496" t="n">
        <v>32.76828</v>
      </c>
      <c r="L82" s="496" t="n">
        <v>61.90329</v>
      </c>
      <c r="M82" s="496" t="n">
        <v>32.01723</v>
      </c>
      <c r="N82" s="496" t="s">
        <v>469</v>
      </c>
      <c r="O82" s="496" t="n">
        <v>57.21502</v>
      </c>
      <c r="P82" s="496" t="n">
        <v>18.01528</v>
      </c>
      <c r="Q82" s="496" t="n">
        <v>18.01584</v>
      </c>
      <c r="R82" s="496" t="n">
        <v>18.01584</v>
      </c>
      <c r="S82" s="496" t="n">
        <v>18.01584</v>
      </c>
      <c r="T82" s="496" t="n">
        <v>18.01584</v>
      </c>
      <c r="U82" s="496" t="n">
        <v>32.0908</v>
      </c>
      <c r="V82" s="496" t="n">
        <v>87.91352</v>
      </c>
      <c r="W82" s="496" t="n">
        <v>87.91352</v>
      </c>
      <c r="X82" s="496" t="n">
        <v>87.91352</v>
      </c>
      <c r="Y82" s="496" t="n">
        <v>87.91352</v>
      </c>
      <c r="Z82" s="496" t="n">
        <v>87.91352</v>
      </c>
      <c r="AA82" s="496" t="n">
        <v>57.21502</v>
      </c>
      <c r="AB82" s="496" t="n">
        <v>32.0908</v>
      </c>
      <c r="AC82" s="496" t="n">
        <v>56.36253</v>
      </c>
      <c r="AD82" s="496" t="n">
        <v>57.21502</v>
      </c>
      <c r="AE82" s="496" t="n">
        <v>57.21502</v>
      </c>
      <c r="AF82" s="496" t="n">
        <v>32.0908</v>
      </c>
      <c r="AG82" s="496" t="n">
        <v>32.0908</v>
      </c>
      <c r="AH82" s="496" t="n">
        <v>61.90329</v>
      </c>
      <c r="AI82" s="496" t="n">
        <v>61.90329</v>
      </c>
      <c r="AJ82" s="496" t="n">
        <v>61.90329</v>
      </c>
      <c r="AK82" s="496" t="n">
        <v>61.90329</v>
      </c>
      <c r="AL82" s="496" t="n">
        <v>65.08494</v>
      </c>
      <c r="AM82" s="496" t="n">
        <v>65.08494</v>
      </c>
      <c r="AN82" s="496" t="n">
        <v>56.61168</v>
      </c>
      <c r="AO82" s="496" t="n">
        <v>56.61168</v>
      </c>
      <c r="AP82" s="496" t="n">
        <v>18.01528</v>
      </c>
      <c r="AQ82" s="496" t="n">
        <v>18.01528</v>
      </c>
      <c r="AR82" s="496" t="n">
        <v>56.36253</v>
      </c>
      <c r="AS82" s="496" t="n">
        <v>56.36253</v>
      </c>
      <c r="AT82" s="496" t="n">
        <v>57.42372</v>
      </c>
      <c r="AU82" s="496" t="n">
        <v>57.42372</v>
      </c>
      <c r="AV82" s="496" t="n">
        <v>32.19019</v>
      </c>
      <c r="AW82" s="496" t="n">
        <v>32.19019</v>
      </c>
      <c r="AX82" s="496" t="n">
        <v>61.90329</v>
      </c>
      <c r="AY82" s="496" t="n">
        <v>61.90329</v>
      </c>
      <c r="AZ82" s="496" t="n">
        <v>65.08494</v>
      </c>
      <c r="BA82" s="496" t="n">
        <v>51.00973</v>
      </c>
      <c r="BB82" s="496" t="n">
        <v>32.7251</v>
      </c>
      <c r="BC82" s="496" t="n">
        <v>65.08494</v>
      </c>
      <c r="BD82" s="496" t="n">
        <v>32.0908</v>
      </c>
      <c r="BE82" s="496" t="n">
        <v>63.81659</v>
      </c>
      <c r="BF82" s="496" t="n">
        <v>87.91352</v>
      </c>
      <c r="BG82" s="496" t="n">
        <v>87.91352</v>
      </c>
      <c r="BH82" s="496" t="n">
        <v>56.36253</v>
      </c>
      <c r="BI82" s="496" t="n">
        <v>56.36253</v>
      </c>
      <c r="BJ82" s="496" t="n">
        <v>56.61168</v>
      </c>
      <c r="BK82" s="496" t="n">
        <v>59.05259</v>
      </c>
      <c r="BL82" s="496" t="n">
        <v>18.86247</v>
      </c>
      <c r="BM82" s="496" t="n">
        <v>57.42372</v>
      </c>
      <c r="BN82" s="496" t="n">
        <v>18.01584</v>
      </c>
      <c r="BO82" s="496" t="n">
        <v>18.86247</v>
      </c>
      <c r="BP82" s="496" t="n">
        <v>50.49645</v>
      </c>
      <c r="BQ82" s="496" t="n">
        <v>18.01584</v>
      </c>
      <c r="BR82" s="496" t="n">
        <v>18.01584</v>
      </c>
      <c r="BS82" s="496" t="n">
        <v>32.76828</v>
      </c>
      <c r="BT82" s="496" t="n">
        <v>32.19019</v>
      </c>
      <c r="BU82" s="496" t="s">
        <v>469</v>
      </c>
      <c r="BV82" s="496" t="n">
        <v>57.21502</v>
      </c>
      <c r="BW82" s="496" t="s">
        <v>469</v>
      </c>
      <c r="BX82" s="496" t="n">
        <v>32.0908</v>
      </c>
      <c r="BY82" s="496" t="s">
        <v>469</v>
      </c>
      <c r="BZ82" s="496" t="n">
        <v>57.42372</v>
      </c>
      <c r="CA82" s="496" t="s">
        <v>469</v>
      </c>
      <c r="CB82" s="496" t="n">
        <v>61.90329</v>
      </c>
      <c r="CC82" s="496" t="n">
        <v>61.90329</v>
      </c>
      <c r="CD82" s="496" t="n">
        <v>51.00973</v>
      </c>
      <c r="CE82" s="496" t="n">
        <v>57.21502</v>
      </c>
      <c r="CF82" s="496" t="n">
        <v>57.21502</v>
      </c>
      <c r="CG82" s="496" t="n">
        <v>32.0908</v>
      </c>
      <c r="CH82" s="496" t="n">
        <v>32.0908</v>
      </c>
      <c r="CI82" s="496" t="n">
        <v>61.90329</v>
      </c>
      <c r="CJ82" s="496" t="n">
        <v>61.90329</v>
      </c>
      <c r="CK82" s="496" t="n">
        <v>61.90329</v>
      </c>
      <c r="CL82" s="496" t="n">
        <v>61.90329</v>
      </c>
      <c r="CM82" s="496" t="n">
        <v>65.08494</v>
      </c>
      <c r="CN82" s="496" t="n">
        <v>65.08494</v>
      </c>
      <c r="CO82" s="496" t="n">
        <v>56.61168</v>
      </c>
      <c r="CP82" s="496" t="n">
        <v>56.61168</v>
      </c>
      <c r="CQ82" s="496" t="n">
        <v>18.01528</v>
      </c>
      <c r="CR82" s="496" t="n">
        <v>18.01528</v>
      </c>
      <c r="CS82" s="496" t="n">
        <v>56.36253</v>
      </c>
      <c r="CT82" s="496" t="n">
        <v>56.36253</v>
      </c>
      <c r="CU82" s="496" t="n">
        <v>57.42372</v>
      </c>
      <c r="CV82" s="496" t="n">
        <v>57.42372</v>
      </c>
      <c r="CW82" s="496" t="n">
        <v>57.42372</v>
      </c>
      <c r="CX82" s="496" t="n">
        <v>57.42372</v>
      </c>
      <c r="CY82" s="496" t="n">
        <v>32.19019</v>
      </c>
      <c r="CZ82" s="496" t="n">
        <v>32.19019</v>
      </c>
      <c r="DA82" s="496" t="n">
        <v>18.01528</v>
      </c>
      <c r="DB82" s="496" t="n">
        <v>18.01528</v>
      </c>
      <c r="DC82" s="496" t="n">
        <v>57.42372</v>
      </c>
      <c r="DD82" s="496" t="n">
        <v>57.42372</v>
      </c>
      <c r="DE82" s="496" t="n">
        <v>18.01528</v>
      </c>
      <c r="DF82" s="496" t="n">
        <v>18.01528</v>
      </c>
    </row>
    <row r="83" customFormat="false" ht="15" hidden="false" customHeight="false" outlineLevel="0" collapsed="false">
      <c r="A83" s="496" t="s">
        <v>2017</v>
      </c>
      <c r="B83" s="496" t="n">
        <v>145.0389</v>
      </c>
      <c r="C83" s="496" t="n">
        <v>144.0221</v>
      </c>
      <c r="D83" s="496" t="n">
        <v>188.0262</v>
      </c>
      <c r="E83" s="496" t="n">
        <v>91.98428</v>
      </c>
      <c r="F83" s="496" t="n">
        <v>2.029437</v>
      </c>
      <c r="G83" s="496" t="n">
        <v>0.0801541</v>
      </c>
      <c r="H83" s="496" t="n">
        <v>149.4829</v>
      </c>
      <c r="I83" s="496" t="n">
        <v>94.01309</v>
      </c>
      <c r="J83" s="496" t="n">
        <v>16.59062</v>
      </c>
      <c r="K83" s="496" t="n">
        <v>16.59062</v>
      </c>
      <c r="L83" s="496" t="n">
        <v>145.0389</v>
      </c>
      <c r="M83" s="496" t="n">
        <v>16.8204</v>
      </c>
      <c r="N83" s="496" t="n">
        <v>0</v>
      </c>
      <c r="O83" s="496" t="n">
        <v>131.6894</v>
      </c>
      <c r="P83" s="496" t="n">
        <v>15.02891</v>
      </c>
      <c r="Q83" s="496" t="n">
        <v>15.02934</v>
      </c>
      <c r="R83" s="496" t="n">
        <v>15.02934</v>
      </c>
      <c r="S83" s="496" t="n">
        <v>15.02934</v>
      </c>
      <c r="T83" s="496" t="n">
        <v>15.02934</v>
      </c>
      <c r="U83" s="496" t="n">
        <v>17.79359</v>
      </c>
      <c r="V83" s="496" t="n">
        <v>50.61363</v>
      </c>
      <c r="W83" s="496" t="n">
        <v>50.61363</v>
      </c>
      <c r="X83" s="496" t="n">
        <v>50.61363</v>
      </c>
      <c r="Y83" s="496" t="n">
        <v>50.61363</v>
      </c>
      <c r="Z83" s="496" t="n">
        <v>50.61363</v>
      </c>
      <c r="AA83" s="496" t="n">
        <v>131.6894</v>
      </c>
      <c r="AB83" s="496" t="n">
        <v>18.8495</v>
      </c>
      <c r="AC83" s="496" t="n">
        <v>94.01309</v>
      </c>
      <c r="AD83" s="1099" t="n">
        <v>0.00172</v>
      </c>
      <c r="AE83" s="1099" t="n">
        <v>0.00172</v>
      </c>
      <c r="AF83" s="1099" t="n">
        <v>0.00126</v>
      </c>
      <c r="AG83" s="1099" t="n">
        <v>0.00126</v>
      </c>
      <c r="AH83" s="1099" t="n">
        <v>0.0016</v>
      </c>
      <c r="AI83" s="1099" t="n">
        <v>0.0016</v>
      </c>
      <c r="AJ83" s="1099" t="n">
        <v>0.0016</v>
      </c>
      <c r="AK83" s="1099" t="n">
        <v>0.0016</v>
      </c>
      <c r="AL83" s="1099" t="n">
        <v>0.00159</v>
      </c>
      <c r="AM83" s="1099" t="n">
        <v>0.00159</v>
      </c>
      <c r="AN83" s="1099" t="n">
        <v>0.00173</v>
      </c>
      <c r="AO83" s="1099" t="n">
        <v>0.00173</v>
      </c>
      <c r="AP83" s="1099" t="n">
        <v>0.001</v>
      </c>
      <c r="AQ83" s="1099" t="n">
        <v>0.001</v>
      </c>
      <c r="AR83" s="1099" t="n">
        <v>0.00172</v>
      </c>
      <c r="AS83" s="1099" t="n">
        <v>0.00172</v>
      </c>
      <c r="AT83" s="1099" t="n">
        <v>0.00174</v>
      </c>
      <c r="AU83" s="1099" t="n">
        <v>0.00174</v>
      </c>
      <c r="AV83" s="1099" t="n">
        <v>0.00126</v>
      </c>
      <c r="AW83" s="1099" t="n">
        <v>0.00126</v>
      </c>
      <c r="AX83" s="496" t="n">
        <v>145.0389</v>
      </c>
      <c r="AY83" s="496" t="n">
        <v>145.0389</v>
      </c>
      <c r="AZ83" s="496" t="n">
        <v>144.022</v>
      </c>
      <c r="BA83" s="496" t="n">
        <v>149.4829</v>
      </c>
      <c r="BB83" s="496" t="n">
        <v>2.029102</v>
      </c>
      <c r="BC83" s="496" t="n">
        <v>144.022</v>
      </c>
      <c r="BD83" s="496" t="n">
        <v>1.055911</v>
      </c>
      <c r="BE83" s="496" t="n">
        <v>81.94139</v>
      </c>
      <c r="BF83" s="496" t="n">
        <v>774.9504</v>
      </c>
      <c r="BG83" s="496" t="n">
        <v>774.9504</v>
      </c>
      <c r="BH83" s="496" t="n">
        <v>94.01309</v>
      </c>
      <c r="BI83" s="496" t="n">
        <v>188.0262</v>
      </c>
      <c r="BJ83" s="496" t="n">
        <v>190.7739</v>
      </c>
      <c r="BK83" s="496" t="n">
        <v>175.3498</v>
      </c>
      <c r="BL83" s="496" t="n">
        <v>17.05772</v>
      </c>
      <c r="BM83" s="496" t="n">
        <v>91.98428</v>
      </c>
      <c r="BN83" s="496" t="n">
        <v>14.94919</v>
      </c>
      <c r="BO83" s="496" t="n">
        <v>17.05772</v>
      </c>
      <c r="BP83" s="496" t="n">
        <v>0.0790896</v>
      </c>
      <c r="BQ83" s="496" t="n">
        <v>29.29145</v>
      </c>
      <c r="BR83" s="496" t="n">
        <v>29.29145</v>
      </c>
      <c r="BS83" s="496" t="n">
        <v>16.59062</v>
      </c>
      <c r="BT83" s="496" t="n">
        <v>17.46526</v>
      </c>
      <c r="BU83" s="496" t="n">
        <v>0</v>
      </c>
      <c r="BV83" s="496" t="n">
        <v>131.6894</v>
      </c>
      <c r="BW83" s="496" t="n">
        <v>0</v>
      </c>
      <c r="BX83" s="496" t="n">
        <v>18.8495</v>
      </c>
      <c r="BY83" s="496" t="n">
        <v>0</v>
      </c>
      <c r="BZ83" s="496" t="n">
        <v>91.98428</v>
      </c>
      <c r="CA83" s="496" t="n">
        <v>0</v>
      </c>
      <c r="CB83" s="496" t="n">
        <v>145.0389</v>
      </c>
      <c r="CC83" s="496" t="n">
        <v>145.0389</v>
      </c>
      <c r="CD83" s="496" t="n">
        <v>149.483</v>
      </c>
      <c r="CE83" s="496" t="n">
        <v>131.6894</v>
      </c>
      <c r="CF83" s="496" t="n">
        <v>131.6894</v>
      </c>
      <c r="CG83" s="496" t="n">
        <v>18.8495</v>
      </c>
      <c r="CH83" s="496" t="n">
        <v>18.8495</v>
      </c>
      <c r="CI83" s="496" t="n">
        <v>145.0389</v>
      </c>
      <c r="CJ83" s="496" t="n">
        <v>145.0389</v>
      </c>
      <c r="CK83" s="496" t="n">
        <v>145.0389</v>
      </c>
      <c r="CL83" s="496" t="n">
        <v>145.0389</v>
      </c>
      <c r="CM83" s="496" t="n">
        <v>144.022</v>
      </c>
      <c r="CN83" s="496" t="n">
        <v>144.022</v>
      </c>
      <c r="CO83" s="496" t="n">
        <v>190.7739</v>
      </c>
      <c r="CP83" s="496" t="n">
        <v>190.7739</v>
      </c>
      <c r="CQ83" s="496" t="n">
        <v>16.36718</v>
      </c>
      <c r="CR83" s="496" t="n">
        <v>16.36718</v>
      </c>
      <c r="CS83" s="496" t="n">
        <v>188.0262</v>
      </c>
      <c r="CT83" s="496" t="n">
        <v>188.0262</v>
      </c>
      <c r="CU83" s="496" t="n">
        <v>91.98428</v>
      </c>
      <c r="CV83" s="496" t="n">
        <v>91.98428</v>
      </c>
      <c r="CW83" s="496" t="n">
        <v>91.98428</v>
      </c>
      <c r="CX83" s="496" t="n">
        <v>91.98428</v>
      </c>
      <c r="CY83" s="496" t="n">
        <v>17.46526</v>
      </c>
      <c r="CZ83" s="496" t="n">
        <v>17.46526</v>
      </c>
      <c r="DA83" s="496" t="n">
        <v>5.297099</v>
      </c>
      <c r="DB83" s="496" t="n">
        <v>5.297099</v>
      </c>
      <c r="DC83" s="1099" t="n">
        <v>0.00174</v>
      </c>
      <c r="DD83" s="1099" t="n">
        <v>0.00174</v>
      </c>
      <c r="DE83" s="1099" t="n">
        <v>0.001</v>
      </c>
      <c r="DF83" s="1099" t="n">
        <v>0.001</v>
      </c>
    </row>
    <row r="84" customFormat="false" ht="15" hidden="false" customHeight="false" outlineLevel="0" collapsed="false">
      <c r="A84" s="496" t="s">
        <v>2018</v>
      </c>
      <c r="B84" s="496" t="s">
        <v>469</v>
      </c>
      <c r="C84" s="496" t="s">
        <v>469</v>
      </c>
      <c r="D84" s="496" t="s">
        <v>469</v>
      </c>
      <c r="E84" s="496" t="s">
        <v>469</v>
      </c>
      <c r="F84" s="496" t="s">
        <v>469</v>
      </c>
      <c r="G84" s="496" t="s">
        <v>469</v>
      </c>
      <c r="H84" s="496" t="s">
        <v>469</v>
      </c>
      <c r="I84" s="496" t="s">
        <v>469</v>
      </c>
      <c r="J84" s="496" t="s">
        <v>469</v>
      </c>
      <c r="K84" s="496" t="s">
        <v>469</v>
      </c>
      <c r="L84" s="496" t="s">
        <v>469</v>
      </c>
      <c r="M84" s="496" t="s">
        <v>469</v>
      </c>
      <c r="N84" s="496" t="s">
        <v>469</v>
      </c>
      <c r="O84" s="496" t="s">
        <v>469</v>
      </c>
      <c r="P84" s="496" t="s">
        <v>469</v>
      </c>
      <c r="Q84" s="496" t="s">
        <v>469</v>
      </c>
      <c r="R84" s="496" t="s">
        <v>469</v>
      </c>
      <c r="S84" s="496" t="s">
        <v>469</v>
      </c>
      <c r="T84" s="496" t="s">
        <v>469</v>
      </c>
      <c r="U84" s="496" t="s">
        <v>469</v>
      </c>
      <c r="V84" s="496" t="s">
        <v>469</v>
      </c>
      <c r="W84" s="496" t="s">
        <v>469</v>
      </c>
      <c r="X84" s="496" t="s">
        <v>469</v>
      </c>
      <c r="Y84" s="496" t="s">
        <v>469</v>
      </c>
      <c r="Z84" s="496" t="s">
        <v>469</v>
      </c>
      <c r="AA84" s="496" t="s">
        <v>469</v>
      </c>
      <c r="AB84" s="496" t="s">
        <v>469</v>
      </c>
      <c r="AC84" s="496" t="s">
        <v>469</v>
      </c>
      <c r="AD84" s="496" t="s">
        <v>469</v>
      </c>
      <c r="AE84" s="496" t="s">
        <v>469</v>
      </c>
      <c r="AF84" s="496" t="s">
        <v>469</v>
      </c>
      <c r="AG84" s="496" t="s">
        <v>469</v>
      </c>
      <c r="AH84" s="496" t="s">
        <v>469</v>
      </c>
      <c r="AI84" s="496" t="s">
        <v>469</v>
      </c>
      <c r="AJ84" s="496" t="s">
        <v>469</v>
      </c>
      <c r="AK84" s="496" t="s">
        <v>469</v>
      </c>
      <c r="AL84" s="496" t="s">
        <v>469</v>
      </c>
      <c r="AM84" s="496" t="s">
        <v>469</v>
      </c>
      <c r="AN84" s="496" t="s">
        <v>469</v>
      </c>
      <c r="AO84" s="496" t="s">
        <v>469</v>
      </c>
      <c r="AP84" s="496" t="s">
        <v>469</v>
      </c>
      <c r="AQ84" s="496" t="s">
        <v>469</v>
      </c>
      <c r="AR84" s="496" t="s">
        <v>469</v>
      </c>
      <c r="AS84" s="496" t="s">
        <v>469</v>
      </c>
      <c r="AT84" s="496" t="s">
        <v>469</v>
      </c>
      <c r="AU84" s="496" t="s">
        <v>469</v>
      </c>
      <c r="AV84" s="496" t="s">
        <v>469</v>
      </c>
      <c r="AW84" s="496" t="s">
        <v>469</v>
      </c>
      <c r="AX84" s="496" t="s">
        <v>469</v>
      </c>
      <c r="AY84" s="496" t="s">
        <v>469</v>
      </c>
      <c r="AZ84" s="496" t="s">
        <v>469</v>
      </c>
      <c r="BA84" s="496" t="s">
        <v>469</v>
      </c>
      <c r="BB84" s="496" t="s">
        <v>469</v>
      </c>
      <c r="BC84" s="496" t="s">
        <v>469</v>
      </c>
      <c r="BD84" s="496" t="s">
        <v>469</v>
      </c>
      <c r="BE84" s="496" t="s">
        <v>469</v>
      </c>
      <c r="BF84" s="496" t="s">
        <v>469</v>
      </c>
      <c r="BG84" s="496" t="s">
        <v>469</v>
      </c>
      <c r="BH84" s="496" t="s">
        <v>469</v>
      </c>
      <c r="BI84" s="496" t="s">
        <v>469</v>
      </c>
      <c r="BJ84" s="496" t="s">
        <v>469</v>
      </c>
      <c r="BK84" s="496" t="s">
        <v>469</v>
      </c>
      <c r="BL84" s="496" t="s">
        <v>469</v>
      </c>
      <c r="BM84" s="496" t="s">
        <v>469</v>
      </c>
      <c r="BN84" s="496" t="s">
        <v>469</v>
      </c>
      <c r="BO84" s="496" t="s">
        <v>469</v>
      </c>
      <c r="BP84" s="496" t="s">
        <v>469</v>
      </c>
      <c r="BQ84" s="496" t="s">
        <v>469</v>
      </c>
      <c r="BR84" s="496" t="s">
        <v>469</v>
      </c>
      <c r="BS84" s="496" t="s">
        <v>469</v>
      </c>
      <c r="BT84" s="496" t="s">
        <v>469</v>
      </c>
      <c r="BU84" s="496" t="s">
        <v>469</v>
      </c>
      <c r="BV84" s="496" t="s">
        <v>469</v>
      </c>
      <c r="BW84" s="496" t="s">
        <v>469</v>
      </c>
      <c r="BX84" s="496" t="s">
        <v>469</v>
      </c>
      <c r="BY84" s="496" t="s">
        <v>469</v>
      </c>
      <c r="BZ84" s="496" t="s">
        <v>469</v>
      </c>
      <c r="CA84" s="496" t="s">
        <v>469</v>
      </c>
      <c r="CB84" s="496" t="s">
        <v>469</v>
      </c>
      <c r="CC84" s="496" t="s">
        <v>469</v>
      </c>
      <c r="CD84" s="496" t="s">
        <v>469</v>
      </c>
      <c r="CE84" s="496" t="s">
        <v>469</v>
      </c>
      <c r="CF84" s="496" t="s">
        <v>469</v>
      </c>
      <c r="CG84" s="496" t="s">
        <v>469</v>
      </c>
      <c r="CH84" s="496" t="s">
        <v>469</v>
      </c>
      <c r="CI84" s="496" t="s">
        <v>469</v>
      </c>
      <c r="CJ84" s="496" t="s">
        <v>469</v>
      </c>
      <c r="CK84" s="496" t="s">
        <v>469</v>
      </c>
      <c r="CL84" s="496" t="s">
        <v>469</v>
      </c>
      <c r="CM84" s="496" t="s">
        <v>469</v>
      </c>
      <c r="CN84" s="496" t="s">
        <v>469</v>
      </c>
      <c r="CO84" s="496" t="s">
        <v>469</v>
      </c>
      <c r="CP84" s="496" t="s">
        <v>469</v>
      </c>
      <c r="CQ84" s="496" t="s">
        <v>469</v>
      </c>
      <c r="CR84" s="496" t="s">
        <v>469</v>
      </c>
      <c r="CS84" s="496" t="s">
        <v>469</v>
      </c>
      <c r="CT84" s="496" t="s">
        <v>469</v>
      </c>
      <c r="CU84" s="496" t="s">
        <v>469</v>
      </c>
      <c r="CV84" s="496" t="s">
        <v>469</v>
      </c>
      <c r="CW84" s="496" t="s">
        <v>469</v>
      </c>
      <c r="CX84" s="496" t="s">
        <v>469</v>
      </c>
      <c r="CY84" s="496" t="s">
        <v>469</v>
      </c>
      <c r="CZ84" s="496" t="s">
        <v>469</v>
      </c>
      <c r="DA84" s="496" t="s">
        <v>469</v>
      </c>
      <c r="DB84" s="496" t="s">
        <v>469</v>
      </c>
      <c r="DC84" s="496" t="s">
        <v>469</v>
      </c>
      <c r="DD84" s="496" t="s">
        <v>469</v>
      </c>
      <c r="DE84" s="496" t="s">
        <v>469</v>
      </c>
      <c r="DF84" s="496" t="s">
        <v>469</v>
      </c>
    </row>
    <row r="85" customFormat="false" ht="15" hidden="false" customHeight="false" outlineLevel="0" collapsed="false">
      <c r="A85" s="496" t="s">
        <v>2019</v>
      </c>
      <c r="B85" s="496" t="n">
        <v>0.0985279</v>
      </c>
      <c r="C85" s="496" t="n">
        <v>0</v>
      </c>
      <c r="D85" s="496" t="n">
        <v>0</v>
      </c>
      <c r="E85" s="496" t="n">
        <v>0</v>
      </c>
      <c r="F85" s="496" t="n">
        <v>0</v>
      </c>
      <c r="G85" s="496" t="n">
        <v>0</v>
      </c>
      <c r="H85" s="496" t="n">
        <v>0</v>
      </c>
      <c r="I85" s="496" t="n">
        <v>0</v>
      </c>
      <c r="J85" s="1099" t="n">
        <v>0.00342</v>
      </c>
      <c r="K85" s="496" t="n">
        <v>0</v>
      </c>
      <c r="L85" s="496" t="n">
        <v>0</v>
      </c>
      <c r="M85" s="496" t="n">
        <v>0</v>
      </c>
      <c r="N85" s="496" t="s">
        <v>469</v>
      </c>
      <c r="O85" s="496" t="n">
        <v>0</v>
      </c>
      <c r="P85" s="496" t="n">
        <v>0</v>
      </c>
      <c r="Q85" s="496" t="n">
        <v>0</v>
      </c>
      <c r="R85" s="496" t="n">
        <v>0</v>
      </c>
      <c r="S85" s="496" t="n">
        <v>0</v>
      </c>
      <c r="T85" s="496" t="n">
        <v>0</v>
      </c>
      <c r="U85" s="496" t="n">
        <v>0</v>
      </c>
      <c r="V85" s="496" t="n">
        <v>0</v>
      </c>
      <c r="W85" s="496" t="n">
        <v>0</v>
      </c>
      <c r="X85" s="496" t="n">
        <v>0</v>
      </c>
      <c r="Y85" s="496" t="n">
        <v>0</v>
      </c>
      <c r="Z85" s="496" t="n">
        <v>0</v>
      </c>
      <c r="AA85" s="496" t="n">
        <v>0</v>
      </c>
      <c r="AB85" s="496" t="n">
        <v>0</v>
      </c>
      <c r="AC85" s="496" t="n">
        <v>0</v>
      </c>
      <c r="AD85" s="496" t="n">
        <v>0</v>
      </c>
      <c r="AE85" s="496" t="n">
        <v>1</v>
      </c>
      <c r="AF85" s="496" t="n">
        <v>0</v>
      </c>
      <c r="AG85" s="496" t="n">
        <v>1</v>
      </c>
      <c r="AH85" s="496" t="n">
        <v>0.1418984</v>
      </c>
      <c r="AI85" s="496" t="n">
        <v>1</v>
      </c>
      <c r="AJ85" s="496" t="n">
        <v>0</v>
      </c>
      <c r="AK85" s="496" t="n">
        <v>1</v>
      </c>
      <c r="AL85" s="496" t="n">
        <v>0</v>
      </c>
      <c r="AM85" s="496" t="n">
        <v>1</v>
      </c>
      <c r="AN85" s="496" t="n">
        <v>1</v>
      </c>
      <c r="AO85" s="496" t="n">
        <v>0.8944311</v>
      </c>
      <c r="AP85" s="496" t="n">
        <v>0</v>
      </c>
      <c r="AQ85" s="496" t="n">
        <v>1</v>
      </c>
      <c r="AR85" s="496" t="n">
        <v>0</v>
      </c>
      <c r="AS85" s="496" t="n">
        <v>1</v>
      </c>
      <c r="AT85" s="496" t="n">
        <v>0</v>
      </c>
      <c r="AU85" s="496" t="n">
        <v>1</v>
      </c>
      <c r="AV85" s="496" t="n">
        <v>1</v>
      </c>
      <c r="AW85" s="496" t="n">
        <v>1</v>
      </c>
      <c r="AX85" s="496" t="n">
        <v>0.1360727</v>
      </c>
      <c r="AY85" s="496" t="n">
        <v>0</v>
      </c>
      <c r="AZ85" s="496" t="n">
        <v>0</v>
      </c>
      <c r="BA85" s="496" t="n">
        <v>0</v>
      </c>
      <c r="BB85" s="496" t="n">
        <v>0</v>
      </c>
      <c r="BC85" s="496" t="n">
        <v>0</v>
      </c>
      <c r="BD85" s="496" t="n">
        <v>0</v>
      </c>
      <c r="BE85" s="496" t="n">
        <v>0</v>
      </c>
      <c r="BF85" s="496" t="n">
        <v>0</v>
      </c>
      <c r="BG85" s="496" t="n">
        <v>0.2496764</v>
      </c>
      <c r="BH85" s="496" t="n">
        <v>0</v>
      </c>
      <c r="BI85" s="496" t="n">
        <v>1</v>
      </c>
      <c r="BJ85" s="496" t="n">
        <v>1</v>
      </c>
      <c r="BK85" s="496" t="n">
        <v>1</v>
      </c>
      <c r="BL85" s="496" t="n">
        <v>0</v>
      </c>
      <c r="BM85" s="496" t="n">
        <v>0</v>
      </c>
      <c r="BN85" s="496" t="n">
        <v>0</v>
      </c>
      <c r="BO85" s="496" t="n">
        <v>0</v>
      </c>
      <c r="BP85" s="496" t="n">
        <v>1</v>
      </c>
      <c r="BQ85" s="496" t="n">
        <v>0</v>
      </c>
      <c r="BR85" s="496" t="n">
        <v>0.2498769</v>
      </c>
      <c r="BS85" s="496" t="n">
        <v>1</v>
      </c>
      <c r="BT85" s="496" t="n">
        <v>1</v>
      </c>
      <c r="BU85" s="496" t="s">
        <v>469</v>
      </c>
      <c r="BV85" s="496" t="n">
        <v>0</v>
      </c>
      <c r="BW85" s="496" t="s">
        <v>469</v>
      </c>
      <c r="BX85" s="496" t="n">
        <v>0</v>
      </c>
      <c r="BY85" s="496" t="s">
        <v>469</v>
      </c>
      <c r="BZ85" s="496" t="n">
        <v>0</v>
      </c>
      <c r="CA85" s="496" t="s">
        <v>469</v>
      </c>
      <c r="CB85" s="496" t="n">
        <v>0</v>
      </c>
      <c r="CC85" s="496" t="n">
        <v>0</v>
      </c>
      <c r="CD85" s="496" t="n">
        <v>0</v>
      </c>
      <c r="CE85" s="496" t="n">
        <v>0</v>
      </c>
      <c r="CF85" s="496" t="n">
        <v>0.3670587</v>
      </c>
      <c r="CG85" s="496" t="n">
        <v>0</v>
      </c>
      <c r="CH85" s="496" t="n">
        <v>0</v>
      </c>
      <c r="CI85" s="496" t="n">
        <v>0.1418984</v>
      </c>
      <c r="CJ85" s="496" t="n">
        <v>0.6164576</v>
      </c>
      <c r="CK85" s="496" t="n">
        <v>0</v>
      </c>
      <c r="CL85" s="496" t="n">
        <v>0.4092112</v>
      </c>
      <c r="CM85" s="496" t="n">
        <v>0</v>
      </c>
      <c r="CN85" s="496" t="n">
        <v>0.467169</v>
      </c>
      <c r="CO85" s="496" t="n">
        <v>1</v>
      </c>
      <c r="CP85" s="496" t="n">
        <v>1</v>
      </c>
      <c r="CQ85" s="496" t="n">
        <v>0</v>
      </c>
      <c r="CR85" s="496" t="n">
        <v>0.1907685</v>
      </c>
      <c r="CS85" s="496" t="n">
        <v>0</v>
      </c>
      <c r="CT85" s="496" t="n">
        <v>0.4698819</v>
      </c>
      <c r="CU85" s="496" t="n">
        <v>0</v>
      </c>
      <c r="CV85" s="496" t="n">
        <v>0.3733554</v>
      </c>
      <c r="CW85" s="496" t="n">
        <v>0</v>
      </c>
      <c r="CX85" s="496" t="n">
        <v>0.3795645</v>
      </c>
      <c r="CY85" s="496" t="n">
        <v>1</v>
      </c>
      <c r="CZ85" s="496" t="n">
        <v>1</v>
      </c>
      <c r="DA85" s="496" t="n">
        <v>0</v>
      </c>
      <c r="DB85" s="496" t="n">
        <v>0.1907691</v>
      </c>
      <c r="DC85" s="496" t="n">
        <v>0</v>
      </c>
      <c r="DD85" s="496" t="n">
        <v>1</v>
      </c>
      <c r="DE85" s="496" t="n">
        <v>0</v>
      </c>
      <c r="DF85" s="496" t="n">
        <v>1</v>
      </c>
    </row>
    <row r="86" customFormat="false" ht="15" hidden="false" customHeight="false" outlineLevel="0" collapsed="false">
      <c r="A86" s="496" t="s">
        <v>2002</v>
      </c>
      <c r="B86" s="496" t="n">
        <v>90822</v>
      </c>
      <c r="C86" s="496" t="n">
        <v>90822</v>
      </c>
      <c r="D86" s="1099" t="n">
        <v>109000</v>
      </c>
      <c r="E86" s="496" t="n">
        <v>52959.11</v>
      </c>
      <c r="F86" s="496" t="n">
        <v>1584.66</v>
      </c>
      <c r="G86" s="496" t="n">
        <v>80</v>
      </c>
      <c r="H86" s="496" t="n">
        <v>90821.98</v>
      </c>
      <c r="I86" s="496" t="n">
        <v>54511.6</v>
      </c>
      <c r="J86" s="496" t="n">
        <v>12940.49</v>
      </c>
      <c r="K86" s="496" t="n">
        <v>12940.49</v>
      </c>
      <c r="L86" s="496" t="n">
        <v>90821.98</v>
      </c>
      <c r="M86" s="496" t="n">
        <v>13365</v>
      </c>
      <c r="N86" s="496" t="s">
        <v>469</v>
      </c>
      <c r="O86" s="496" t="n">
        <v>76710</v>
      </c>
      <c r="P86" s="496" t="n">
        <v>15000</v>
      </c>
      <c r="Q86" s="496" t="n">
        <v>15000.16</v>
      </c>
      <c r="R86" s="496" t="n">
        <v>15000.16</v>
      </c>
      <c r="S86" s="496" t="n">
        <v>15000.16</v>
      </c>
      <c r="T86" s="496" t="n">
        <v>15000.16</v>
      </c>
      <c r="U86" s="496" t="n">
        <v>14111.98</v>
      </c>
      <c r="V86" s="496" t="n">
        <v>37147.81</v>
      </c>
      <c r="W86" s="496" t="n">
        <v>37147.81</v>
      </c>
      <c r="X86" s="496" t="n">
        <v>37147.81</v>
      </c>
      <c r="Y86" s="496" t="n">
        <v>37147.81</v>
      </c>
      <c r="Z86" s="496" t="n">
        <v>37147.81</v>
      </c>
      <c r="AA86" s="496" t="n">
        <v>76710</v>
      </c>
      <c r="AB86" s="496" t="n">
        <v>14949.41</v>
      </c>
      <c r="AC86" s="496" t="n">
        <v>54511.6</v>
      </c>
      <c r="AD86" s="496" t="n">
        <v>1</v>
      </c>
      <c r="AE86" s="496" t="n">
        <v>1</v>
      </c>
      <c r="AF86" s="496" t="n">
        <v>1</v>
      </c>
      <c r="AG86" s="496" t="n">
        <v>1</v>
      </c>
      <c r="AH86" s="496" t="n">
        <v>1</v>
      </c>
      <c r="AI86" s="496" t="n">
        <v>1</v>
      </c>
      <c r="AJ86" s="496" t="n">
        <v>1</v>
      </c>
      <c r="AK86" s="496" t="n">
        <v>1</v>
      </c>
      <c r="AL86" s="496" t="n">
        <v>1</v>
      </c>
      <c r="AM86" s="496" t="n">
        <v>1</v>
      </c>
      <c r="AN86" s="496" t="n">
        <v>1</v>
      </c>
      <c r="AO86" s="496" t="n">
        <v>1</v>
      </c>
      <c r="AP86" s="496" t="n">
        <v>1</v>
      </c>
      <c r="AQ86" s="496" t="n">
        <v>1</v>
      </c>
      <c r="AR86" s="496" t="n">
        <v>1</v>
      </c>
      <c r="AS86" s="496" t="n">
        <v>1</v>
      </c>
      <c r="AT86" s="496" t="n">
        <v>1</v>
      </c>
      <c r="AU86" s="496" t="n">
        <v>1</v>
      </c>
      <c r="AV86" s="496" t="n">
        <v>1</v>
      </c>
      <c r="AW86" s="496" t="n">
        <v>1</v>
      </c>
      <c r="AX86" s="496" t="n">
        <v>90821.98</v>
      </c>
      <c r="AY86" s="496" t="n">
        <v>90821.98</v>
      </c>
      <c r="AZ86" s="496" t="n">
        <v>90821.98</v>
      </c>
      <c r="BA86" s="496" t="n">
        <v>90821.98</v>
      </c>
      <c r="BB86" s="496" t="n">
        <v>1584.411</v>
      </c>
      <c r="BC86" s="496" t="n">
        <v>90821.98</v>
      </c>
      <c r="BD86" s="496" t="n">
        <v>837.4362</v>
      </c>
      <c r="BE86" s="496" t="n">
        <v>50600.52</v>
      </c>
      <c r="BF86" s="1099" t="n">
        <v>569000</v>
      </c>
      <c r="BG86" s="1099" t="n">
        <v>569000</v>
      </c>
      <c r="BH86" s="496" t="n">
        <v>54511.6</v>
      </c>
      <c r="BI86" s="1099" t="n">
        <v>109000</v>
      </c>
      <c r="BJ86" s="1099" t="n">
        <v>111000</v>
      </c>
      <c r="BK86" s="1099" t="n">
        <v>104000</v>
      </c>
      <c r="BL86" s="496" t="n">
        <v>16552.49</v>
      </c>
      <c r="BM86" s="496" t="n">
        <v>52959.11</v>
      </c>
      <c r="BN86" s="496" t="n">
        <v>14920.16</v>
      </c>
      <c r="BO86" s="496" t="n">
        <v>16552.49</v>
      </c>
      <c r="BP86" s="496" t="n">
        <v>47.66526</v>
      </c>
      <c r="BQ86" s="496" t="n">
        <v>29234.57</v>
      </c>
      <c r="BR86" s="496" t="n">
        <v>29234.57</v>
      </c>
      <c r="BS86" s="496" t="n">
        <v>12940.49</v>
      </c>
      <c r="BT86" s="496" t="n">
        <v>13827.32</v>
      </c>
      <c r="BU86" s="496" t="s">
        <v>469</v>
      </c>
      <c r="BV86" s="496" t="n">
        <v>76710</v>
      </c>
      <c r="BW86" s="496" t="s">
        <v>469</v>
      </c>
      <c r="BX86" s="496" t="n">
        <v>14949.41</v>
      </c>
      <c r="BY86" s="496" t="s">
        <v>469</v>
      </c>
      <c r="BZ86" s="496" t="n">
        <v>52959.11</v>
      </c>
      <c r="CA86" s="496" t="s">
        <v>469</v>
      </c>
      <c r="CB86" s="496" t="n">
        <v>90821.98</v>
      </c>
      <c r="CC86" s="496" t="n">
        <v>90822</v>
      </c>
      <c r="CD86" s="496" t="n">
        <v>90822</v>
      </c>
      <c r="CE86" s="496" t="n">
        <v>76710</v>
      </c>
      <c r="CF86" s="496" t="n">
        <v>76710</v>
      </c>
      <c r="CG86" s="496" t="n">
        <v>14949.41</v>
      </c>
      <c r="CH86" s="496" t="n">
        <v>14949.41</v>
      </c>
      <c r="CI86" s="496" t="n">
        <v>90821.98</v>
      </c>
      <c r="CJ86" s="496" t="n">
        <v>90821.98</v>
      </c>
      <c r="CK86" s="496" t="n">
        <v>90821.98</v>
      </c>
      <c r="CL86" s="496" t="n">
        <v>90821.98</v>
      </c>
      <c r="CM86" s="496" t="n">
        <v>90821.98</v>
      </c>
      <c r="CN86" s="496" t="n">
        <v>90821.98</v>
      </c>
      <c r="CO86" s="1099" t="n">
        <v>111000</v>
      </c>
      <c r="CP86" s="1099" t="n">
        <v>111000</v>
      </c>
      <c r="CQ86" s="496" t="n">
        <v>16335.7</v>
      </c>
      <c r="CR86" s="496" t="n">
        <v>16335.7</v>
      </c>
      <c r="CS86" s="1099" t="n">
        <v>109000</v>
      </c>
      <c r="CT86" s="1099" t="n">
        <v>109000</v>
      </c>
      <c r="CU86" s="496" t="n">
        <v>52959.11</v>
      </c>
      <c r="CV86" s="496" t="n">
        <v>52959.11</v>
      </c>
      <c r="CW86" s="496" t="n">
        <v>52959.11</v>
      </c>
      <c r="CX86" s="496" t="n">
        <v>52959.11</v>
      </c>
      <c r="CY86" s="496" t="n">
        <v>13827.32</v>
      </c>
      <c r="CZ86" s="496" t="n">
        <v>13827.32</v>
      </c>
      <c r="DA86" s="496" t="n">
        <v>5286.91</v>
      </c>
      <c r="DB86" s="496" t="n">
        <v>5286.91</v>
      </c>
      <c r="DC86" s="496" t="n">
        <v>1</v>
      </c>
      <c r="DD86" s="496" t="n">
        <v>1</v>
      </c>
      <c r="DE86" s="496" t="n">
        <v>1</v>
      </c>
      <c r="DF86" s="496" t="n">
        <v>1</v>
      </c>
    </row>
    <row r="87" customFormat="false" ht="15" hidden="false" customHeight="false" outlineLevel="0" collapsed="false">
      <c r="A87" s="496" t="s">
        <v>2020</v>
      </c>
      <c r="B87" s="1099" t="n">
        <v>-232000000</v>
      </c>
      <c r="C87" s="1099" t="n">
        <v>-241000000</v>
      </c>
      <c r="D87" s="1099" t="n">
        <v>-242000000</v>
      </c>
      <c r="E87" s="1099" t="n">
        <v>-113000000</v>
      </c>
      <c r="F87" s="1099" t="n">
        <v>-11300000</v>
      </c>
      <c r="G87" s="1099" t="n">
        <v>-1270000</v>
      </c>
      <c r="H87" s="1099" t="n">
        <v>-233000000</v>
      </c>
      <c r="I87" s="1099" t="n">
        <v>-123000000</v>
      </c>
      <c r="J87" s="1099" t="n">
        <v>-91400000</v>
      </c>
      <c r="K87" s="1099" t="n">
        <v>-92300000</v>
      </c>
      <c r="L87" s="1099" t="n">
        <v>-241000000</v>
      </c>
      <c r="M87" s="1099" t="n">
        <v>-99800000</v>
      </c>
      <c r="N87" s="496" t="s">
        <v>469</v>
      </c>
      <c r="O87" s="1099" t="n">
        <v>-128000000</v>
      </c>
      <c r="P87" s="1099" t="n">
        <v>-237000000</v>
      </c>
      <c r="Q87" s="1099" t="n">
        <v>-232000000</v>
      </c>
      <c r="R87" s="1099" t="n">
        <v>-232000000</v>
      </c>
      <c r="S87" s="1099" t="n">
        <v>-236000000</v>
      </c>
      <c r="T87" s="1099" t="n">
        <v>-237000000</v>
      </c>
      <c r="U87" s="1099" t="n">
        <v>-105000000</v>
      </c>
      <c r="V87" s="1099" t="n">
        <v>-122000000</v>
      </c>
      <c r="W87" s="1099" t="n">
        <v>-127000000</v>
      </c>
      <c r="X87" s="1099" t="n">
        <v>-128000000</v>
      </c>
      <c r="Y87" s="1099" t="n">
        <v>-130000000</v>
      </c>
      <c r="Z87" s="1099" t="n">
        <v>-130000000</v>
      </c>
      <c r="AA87" s="1099" t="n">
        <v>-128000000</v>
      </c>
      <c r="AB87" s="1099" t="n">
        <v>-111000000</v>
      </c>
      <c r="AC87" s="1099" t="n">
        <v>-121000000</v>
      </c>
      <c r="AD87" s="496" t="n">
        <v>-1666.513</v>
      </c>
      <c r="AE87" s="496" t="n">
        <v>-1278.517</v>
      </c>
      <c r="AF87" s="496" t="n">
        <v>-7432.916</v>
      </c>
      <c r="AG87" s="496" t="n">
        <v>-6139.237</v>
      </c>
      <c r="AH87" s="496" t="n">
        <v>-2548.943</v>
      </c>
      <c r="AI87" s="496" t="n">
        <v>-2175.829</v>
      </c>
      <c r="AJ87" s="496" t="n">
        <v>-2656.366</v>
      </c>
      <c r="AK87" s="496" t="n">
        <v>-2204.723</v>
      </c>
      <c r="AL87" s="496" t="n">
        <v>-2655.127</v>
      </c>
      <c r="AM87" s="496" t="n">
        <v>-2209.23</v>
      </c>
      <c r="AN87" s="496" t="n">
        <v>-1867.924</v>
      </c>
      <c r="AO87" s="496" t="n">
        <v>-1867.922</v>
      </c>
      <c r="AP87" s="496" t="n">
        <v>-15172.03</v>
      </c>
      <c r="AQ87" s="496" t="n">
        <v>-13133.19</v>
      </c>
      <c r="AR87" s="496" t="n">
        <v>-2223.357</v>
      </c>
      <c r="AS87" s="496" t="n">
        <v>-1846.406</v>
      </c>
      <c r="AT87" s="496" t="n">
        <v>-2136.457</v>
      </c>
      <c r="AU87" s="496" t="n">
        <v>-1738.331</v>
      </c>
      <c r="AV87" s="496" t="n">
        <v>-6160.36</v>
      </c>
      <c r="AW87" s="496" t="n">
        <v>-6103.938</v>
      </c>
      <c r="AX87" s="1099" t="n">
        <v>-232000000</v>
      </c>
      <c r="AY87" s="1099" t="n">
        <v>-241000000</v>
      </c>
      <c r="AZ87" s="1099" t="n">
        <v>-241000000</v>
      </c>
      <c r="BA87" s="1099" t="n">
        <v>-232000000</v>
      </c>
      <c r="BB87" s="1099" t="n">
        <v>-11300000</v>
      </c>
      <c r="BC87" s="1099" t="n">
        <v>-236000000</v>
      </c>
      <c r="BD87" s="1099" t="n">
        <v>-6220000</v>
      </c>
      <c r="BE87" s="1099" t="n">
        <v>-124000000</v>
      </c>
      <c r="BF87" s="1099" t="n">
        <v>-1870000000</v>
      </c>
      <c r="BG87" s="1099" t="n">
        <v>-1830000000</v>
      </c>
      <c r="BH87" s="1099" t="n">
        <v>-121000000</v>
      </c>
      <c r="BI87" s="1099" t="n">
        <v>-206000000</v>
      </c>
      <c r="BJ87" s="1099" t="n">
        <v>-207000000</v>
      </c>
      <c r="BK87" s="1099" t="n">
        <v>-203000000</v>
      </c>
      <c r="BL87" s="1099" t="n">
        <v>-247000000</v>
      </c>
      <c r="BM87" s="1099" t="n">
        <v>-113000000</v>
      </c>
      <c r="BN87" s="1099" t="n">
        <v>-231000000</v>
      </c>
      <c r="BO87" s="1099" t="n">
        <v>-244000000</v>
      </c>
      <c r="BP87" s="1099" t="n">
        <v>-119000</v>
      </c>
      <c r="BQ87" s="1099" t="n">
        <v>-452000000</v>
      </c>
      <c r="BR87" s="1099" t="n">
        <v>-436000000</v>
      </c>
      <c r="BS87" s="1099" t="n">
        <v>-77300000</v>
      </c>
      <c r="BT87" s="1099" t="n">
        <v>-85200000</v>
      </c>
      <c r="BU87" s="496" t="s">
        <v>469</v>
      </c>
      <c r="BV87" s="1099" t="n">
        <v>-128000000</v>
      </c>
      <c r="BW87" s="496" t="s">
        <v>469</v>
      </c>
      <c r="BX87" s="1099" t="n">
        <v>-111000000</v>
      </c>
      <c r="BY87" s="496" t="s">
        <v>469</v>
      </c>
      <c r="BZ87" s="1099" t="n">
        <v>-113000000</v>
      </c>
      <c r="CA87" s="496" t="s">
        <v>469</v>
      </c>
      <c r="CB87" s="1099" t="n">
        <v>-241000000</v>
      </c>
      <c r="CC87" s="1099" t="n">
        <v>-241000000</v>
      </c>
      <c r="CD87" s="1099" t="n">
        <v>-232000000</v>
      </c>
      <c r="CE87" s="1099" t="n">
        <v>-128000000</v>
      </c>
      <c r="CF87" s="1099" t="n">
        <v>-128000000</v>
      </c>
      <c r="CG87" s="1099" t="n">
        <v>-111000000</v>
      </c>
      <c r="CH87" s="1099" t="n">
        <v>-111000000</v>
      </c>
      <c r="CI87" s="1099" t="n">
        <v>-232000000</v>
      </c>
      <c r="CJ87" s="1099" t="n">
        <v>-232000000</v>
      </c>
      <c r="CK87" s="1099" t="n">
        <v>-241000000</v>
      </c>
      <c r="CL87" s="1099" t="n">
        <v>-241000000</v>
      </c>
      <c r="CM87" s="1099" t="n">
        <v>-241000000</v>
      </c>
      <c r="CN87" s="1099" t="n">
        <v>-241000000</v>
      </c>
      <c r="CO87" s="1099" t="n">
        <v>-207000000</v>
      </c>
      <c r="CP87" s="1099" t="n">
        <v>-207000000</v>
      </c>
      <c r="CQ87" s="1099" t="n">
        <v>-248000000</v>
      </c>
      <c r="CR87" s="1099" t="n">
        <v>-248000000</v>
      </c>
      <c r="CS87" s="1099" t="n">
        <v>-242000000</v>
      </c>
      <c r="CT87" s="1099" t="n">
        <v>-242000000</v>
      </c>
      <c r="CU87" s="1099" t="n">
        <v>-113000000</v>
      </c>
      <c r="CV87" s="1099" t="n">
        <v>-113000000</v>
      </c>
      <c r="CW87" s="1099" t="n">
        <v>-113000000</v>
      </c>
      <c r="CX87" s="1099" t="n">
        <v>-113000000</v>
      </c>
      <c r="CY87" s="1099" t="n">
        <v>-85200000</v>
      </c>
      <c r="CZ87" s="1099" t="n">
        <v>-85200000</v>
      </c>
      <c r="DA87" s="1099" t="n">
        <v>-80200000</v>
      </c>
      <c r="DB87" s="1099" t="n">
        <v>-80200000</v>
      </c>
      <c r="DC87" s="496" t="n">
        <v>-2138.933</v>
      </c>
      <c r="DD87" s="496" t="n">
        <v>-1732.976</v>
      </c>
      <c r="DE87" s="496" t="n">
        <v>-15172.03</v>
      </c>
      <c r="DF87" s="496" t="n">
        <v>-13133.19</v>
      </c>
    </row>
    <row r="88" customFormat="false" ht="15" hidden="false" customHeight="false" outlineLevel="0" collapsed="false">
      <c r="A88" s="496" t="s">
        <v>2010</v>
      </c>
      <c r="B88" s="496" t="n">
        <v>-2550.729</v>
      </c>
      <c r="C88" s="496" t="n">
        <v>-2655.13</v>
      </c>
      <c r="D88" s="496" t="n">
        <v>-2223.357</v>
      </c>
      <c r="E88" s="496" t="n">
        <v>-2133.866</v>
      </c>
      <c r="F88" s="496" t="n">
        <v>-7150.445</v>
      </c>
      <c r="G88" s="496" t="n">
        <v>-15876.79</v>
      </c>
      <c r="H88" s="496" t="n">
        <v>-2560.658</v>
      </c>
      <c r="I88" s="496" t="n">
        <v>-2263.679</v>
      </c>
      <c r="J88" s="496" t="n">
        <v>-7063.573</v>
      </c>
      <c r="K88" s="496" t="n">
        <v>-7136.178</v>
      </c>
      <c r="L88" s="496" t="n">
        <v>-2656.365</v>
      </c>
      <c r="M88" s="496" t="n">
        <v>-7466.344</v>
      </c>
      <c r="N88" s="496" t="s">
        <v>469</v>
      </c>
      <c r="O88" s="496" t="n">
        <v>-1666.441</v>
      </c>
      <c r="P88" s="496" t="n">
        <v>-15798.74</v>
      </c>
      <c r="Q88" s="496" t="n">
        <v>-15475.47</v>
      </c>
      <c r="R88" s="496" t="n">
        <v>-15473.29</v>
      </c>
      <c r="S88" s="496" t="n">
        <v>-15718.34</v>
      </c>
      <c r="T88" s="496" t="n">
        <v>-15798.16</v>
      </c>
      <c r="U88" s="496" t="n">
        <v>-7430.582</v>
      </c>
      <c r="V88" s="496" t="n">
        <v>-3284.07</v>
      </c>
      <c r="W88" s="496" t="n">
        <v>-3415.291</v>
      </c>
      <c r="X88" s="496" t="n">
        <v>-3439.56</v>
      </c>
      <c r="Y88" s="496" t="n">
        <v>-3509.69</v>
      </c>
      <c r="Z88" s="496" t="n">
        <v>-3508.811</v>
      </c>
      <c r="AA88" s="496" t="n">
        <v>-1664.761</v>
      </c>
      <c r="AB88" s="496" t="n">
        <v>-7430.582</v>
      </c>
      <c r="AC88" s="496" t="n">
        <v>-2215.239</v>
      </c>
      <c r="AD88" s="496" t="n">
        <v>-1666.513</v>
      </c>
      <c r="AE88" s="496" t="n">
        <v>-1278.517</v>
      </c>
      <c r="AF88" s="496" t="n">
        <v>-7432.916</v>
      </c>
      <c r="AG88" s="496" t="n">
        <v>-6139.237</v>
      </c>
      <c r="AH88" s="496" t="n">
        <v>-2548.943</v>
      </c>
      <c r="AI88" s="496" t="n">
        <v>-2175.829</v>
      </c>
      <c r="AJ88" s="496" t="n">
        <v>-2656.366</v>
      </c>
      <c r="AK88" s="496" t="n">
        <v>-2204.723</v>
      </c>
      <c r="AL88" s="496" t="n">
        <v>-2655.127</v>
      </c>
      <c r="AM88" s="496" t="n">
        <v>-2209.23</v>
      </c>
      <c r="AN88" s="496" t="n">
        <v>-1867.924</v>
      </c>
      <c r="AO88" s="496" t="n">
        <v>-1867.922</v>
      </c>
      <c r="AP88" s="496" t="n">
        <v>-15172.03</v>
      </c>
      <c r="AQ88" s="496" t="n">
        <v>-13133.19</v>
      </c>
      <c r="AR88" s="496" t="n">
        <v>-2223.357</v>
      </c>
      <c r="AS88" s="496" t="n">
        <v>-1846.406</v>
      </c>
      <c r="AT88" s="496" t="n">
        <v>-2136.457</v>
      </c>
      <c r="AU88" s="496" t="n">
        <v>-1738.331</v>
      </c>
      <c r="AV88" s="496" t="n">
        <v>-6160.36</v>
      </c>
      <c r="AW88" s="496" t="n">
        <v>-6103.938</v>
      </c>
      <c r="AX88" s="496" t="n">
        <v>-2550.731</v>
      </c>
      <c r="AY88" s="496" t="n">
        <v>-2655.12</v>
      </c>
      <c r="AZ88" s="496" t="n">
        <v>-2655.12</v>
      </c>
      <c r="BA88" s="496" t="n">
        <v>-2550.731</v>
      </c>
      <c r="BB88" s="496" t="n">
        <v>-7151.676</v>
      </c>
      <c r="BC88" s="496" t="n">
        <v>-2601.448</v>
      </c>
      <c r="BD88" s="496" t="n">
        <v>-7430.582</v>
      </c>
      <c r="BE88" s="496" t="n">
        <v>-2445.109</v>
      </c>
      <c r="BF88" s="496" t="n">
        <v>-3284.07</v>
      </c>
      <c r="BG88" s="496" t="n">
        <v>-3221.776</v>
      </c>
      <c r="BH88" s="496" t="n">
        <v>-2216.711</v>
      </c>
      <c r="BI88" s="496" t="n">
        <v>-1888.595</v>
      </c>
      <c r="BJ88" s="496" t="n">
        <v>-1871.777</v>
      </c>
      <c r="BK88" s="496" t="n">
        <v>-1942.615</v>
      </c>
      <c r="BL88" s="496" t="n">
        <v>-14936.35</v>
      </c>
      <c r="BM88" s="496" t="n">
        <v>-2136.458</v>
      </c>
      <c r="BN88" s="496" t="n">
        <v>-15473.31</v>
      </c>
      <c r="BO88" s="496" t="n">
        <v>-14714.26</v>
      </c>
      <c r="BP88" s="496" t="n">
        <v>-2500.919</v>
      </c>
      <c r="BQ88" s="496" t="n">
        <v>-15473.31</v>
      </c>
      <c r="BR88" s="496" t="n">
        <v>-14918.55</v>
      </c>
      <c r="BS88" s="496" t="n">
        <v>-5975.388</v>
      </c>
      <c r="BT88" s="496" t="n">
        <v>-6160.37</v>
      </c>
      <c r="BU88" s="496" t="s">
        <v>469</v>
      </c>
      <c r="BV88" s="496" t="n">
        <v>-1666.441</v>
      </c>
      <c r="BW88" s="496" t="s">
        <v>469</v>
      </c>
      <c r="BX88" s="496" t="n">
        <v>-7432.994</v>
      </c>
      <c r="BY88" s="496" t="s">
        <v>469</v>
      </c>
      <c r="BZ88" s="496" t="n">
        <v>-2136.458</v>
      </c>
      <c r="CA88" s="496" t="s">
        <v>469</v>
      </c>
      <c r="CB88" s="496" t="n">
        <v>-2656.365</v>
      </c>
      <c r="CC88" s="496" t="n">
        <v>-2655.13</v>
      </c>
      <c r="CD88" s="496" t="n">
        <v>-2550.732</v>
      </c>
      <c r="CE88" s="496" t="n">
        <v>-1666.513</v>
      </c>
      <c r="CF88" s="496" t="n">
        <v>-1666.513</v>
      </c>
      <c r="CG88" s="496" t="n">
        <v>-7432.916</v>
      </c>
      <c r="CH88" s="496" t="n">
        <v>-7432.916</v>
      </c>
      <c r="CI88" s="496" t="n">
        <v>-2548.943</v>
      </c>
      <c r="CJ88" s="496" t="n">
        <v>-2548.943</v>
      </c>
      <c r="CK88" s="496" t="n">
        <v>-2656.366</v>
      </c>
      <c r="CL88" s="496" t="n">
        <v>-2656.355</v>
      </c>
      <c r="CM88" s="496" t="n">
        <v>-2655.127</v>
      </c>
      <c r="CN88" s="496" t="n">
        <v>-2655.128</v>
      </c>
      <c r="CO88" s="496" t="n">
        <v>-1867.924</v>
      </c>
      <c r="CP88" s="496" t="n">
        <v>-1867.924</v>
      </c>
      <c r="CQ88" s="496" t="n">
        <v>-15172.03</v>
      </c>
      <c r="CR88" s="496" t="n">
        <v>-15172.03</v>
      </c>
      <c r="CS88" s="496" t="n">
        <v>-2223.357</v>
      </c>
      <c r="CT88" s="496" t="n">
        <v>-2223.359</v>
      </c>
      <c r="CU88" s="496" t="n">
        <v>-2138.933</v>
      </c>
      <c r="CV88" s="496" t="n">
        <v>-2138.933</v>
      </c>
      <c r="CW88" s="496" t="n">
        <v>-2136.483</v>
      </c>
      <c r="CX88" s="496" t="n">
        <v>-2136.483</v>
      </c>
      <c r="CY88" s="496" t="n">
        <v>-6160.359</v>
      </c>
      <c r="CZ88" s="496" t="n">
        <v>-6160.359</v>
      </c>
      <c r="DA88" s="496" t="n">
        <v>-15172.03</v>
      </c>
      <c r="DB88" s="496" t="n">
        <v>-15172.03</v>
      </c>
      <c r="DC88" s="496" t="n">
        <v>-2138.933</v>
      </c>
      <c r="DD88" s="496" t="n">
        <v>-1732.976</v>
      </c>
      <c r="DE88" s="496" t="n">
        <v>-15172.03</v>
      </c>
      <c r="DF88" s="496" t="n">
        <v>-13133.19</v>
      </c>
    </row>
    <row r="89" customFormat="false" ht="15" hidden="false" customHeight="false" outlineLevel="0" collapsed="false">
      <c r="A89" s="496" t="s">
        <v>2015</v>
      </c>
      <c r="B89" s="496" t="n">
        <v>141.7314</v>
      </c>
      <c r="C89" s="496" t="n">
        <v>585.1778</v>
      </c>
      <c r="D89" s="496" t="n">
        <v>533.9423</v>
      </c>
      <c r="E89" s="496" t="n">
        <v>545.6952</v>
      </c>
      <c r="F89" s="496" t="n">
        <v>771.2363</v>
      </c>
      <c r="G89" s="496" t="n">
        <v>998.3221</v>
      </c>
      <c r="H89" s="496" t="n">
        <v>598.3955</v>
      </c>
      <c r="I89" s="496" t="n">
        <v>554.6642</v>
      </c>
      <c r="J89" s="496" t="n">
        <v>347.2163</v>
      </c>
      <c r="K89" s="496" t="n">
        <v>770.6119</v>
      </c>
      <c r="L89" s="496" t="n">
        <v>596.1884</v>
      </c>
      <c r="M89" s="496" t="n">
        <v>799.3633</v>
      </c>
      <c r="N89" s="496" t="s">
        <v>469</v>
      </c>
      <c r="O89" s="496" t="n">
        <v>553.7165</v>
      </c>
      <c r="P89" s="496" t="n">
        <v>978.9333</v>
      </c>
      <c r="Q89" s="496" t="n">
        <v>900.0605</v>
      </c>
      <c r="R89" s="496" t="n">
        <v>899.6736</v>
      </c>
      <c r="S89" s="496" t="n">
        <v>959.1792</v>
      </c>
      <c r="T89" s="496" t="n">
        <v>978.9141</v>
      </c>
      <c r="U89" s="496" t="n">
        <v>795.8171</v>
      </c>
      <c r="V89" s="496" t="n">
        <v>596.0323</v>
      </c>
      <c r="W89" s="496" t="n">
        <v>668.3751</v>
      </c>
      <c r="X89" s="496" t="n">
        <v>681.1461</v>
      </c>
      <c r="Y89" s="496" t="n">
        <v>717.5283</v>
      </c>
      <c r="Z89" s="496" t="n">
        <v>717.2253</v>
      </c>
      <c r="AA89" s="496" t="n">
        <v>552.8999</v>
      </c>
      <c r="AB89" s="496" t="n">
        <v>795.8171</v>
      </c>
      <c r="AC89" s="496" t="n">
        <v>529.7628</v>
      </c>
      <c r="AD89" s="496" t="n">
        <v>553.7165</v>
      </c>
      <c r="AE89" s="496" t="n">
        <v>28.65393</v>
      </c>
      <c r="AF89" s="496" t="n">
        <v>796.3961</v>
      </c>
      <c r="AG89" s="496" t="n">
        <v>5.457413</v>
      </c>
      <c r="AH89" s="496" t="n">
        <v>98.31358</v>
      </c>
      <c r="AI89" s="496" t="n">
        <v>37.80988</v>
      </c>
      <c r="AJ89" s="496" t="n">
        <v>596.1884</v>
      </c>
      <c r="AK89" s="496" t="n">
        <v>27.44518</v>
      </c>
      <c r="AL89" s="496" t="n">
        <v>585.0991</v>
      </c>
      <c r="AM89" s="496" t="n">
        <v>38.804</v>
      </c>
      <c r="AN89" s="496" t="n">
        <v>14.47497</v>
      </c>
      <c r="AO89" s="496" t="n">
        <v>31.08104</v>
      </c>
      <c r="AP89" s="496" t="n">
        <v>827.3242</v>
      </c>
      <c r="AQ89" s="496" t="n">
        <v>6.851997</v>
      </c>
      <c r="AR89" s="496" t="n">
        <v>533.9423</v>
      </c>
      <c r="AS89" s="496" t="n">
        <v>27.44836</v>
      </c>
      <c r="AT89" s="496" t="n">
        <v>546.7985</v>
      </c>
      <c r="AU89" s="496" t="n">
        <v>27.97292</v>
      </c>
      <c r="AV89" s="496" t="n">
        <v>1.724633</v>
      </c>
      <c r="AW89" s="496" t="n">
        <v>6.583027</v>
      </c>
      <c r="AX89" s="496" t="n">
        <v>101.938</v>
      </c>
      <c r="AY89" s="496" t="n">
        <v>595.6985</v>
      </c>
      <c r="AZ89" s="496" t="n">
        <v>585.0963</v>
      </c>
      <c r="BA89" s="496" t="n">
        <v>593.5214</v>
      </c>
      <c r="BB89" s="496" t="n">
        <v>771.241</v>
      </c>
      <c r="BC89" s="496" t="n">
        <v>560.9217</v>
      </c>
      <c r="BD89" s="496" t="n">
        <v>795.8171</v>
      </c>
      <c r="BE89" s="496" t="n">
        <v>555.8614</v>
      </c>
      <c r="BF89" s="496" t="n">
        <v>596.0323</v>
      </c>
      <c r="BG89" s="496" t="n">
        <v>87.5525</v>
      </c>
      <c r="BH89" s="496" t="n">
        <v>533.9423</v>
      </c>
      <c r="BI89" s="496" t="n">
        <v>18.0011</v>
      </c>
      <c r="BJ89" s="496" t="n">
        <v>18.07625</v>
      </c>
      <c r="BK89" s="496" t="n">
        <v>18.48071</v>
      </c>
      <c r="BL89" s="496" t="n">
        <v>952.087</v>
      </c>
      <c r="BM89" s="496" t="n">
        <v>548.1095</v>
      </c>
      <c r="BN89" s="496" t="n">
        <v>899.5451</v>
      </c>
      <c r="BO89" s="496" t="n">
        <v>894.0229</v>
      </c>
      <c r="BP89" s="496" t="n">
        <v>2.612573</v>
      </c>
      <c r="BQ89" s="496" t="n">
        <v>899.5451</v>
      </c>
      <c r="BR89" s="496" t="n">
        <v>4.060946</v>
      </c>
      <c r="BS89" s="496" t="n">
        <v>1.75025</v>
      </c>
      <c r="BT89" s="496" t="n">
        <v>1.726516</v>
      </c>
      <c r="BU89" s="496" t="s">
        <v>469</v>
      </c>
      <c r="BV89" s="496" t="n">
        <v>553.6071</v>
      </c>
      <c r="BW89" s="496" t="s">
        <v>469</v>
      </c>
      <c r="BX89" s="496" t="n">
        <v>796.3952</v>
      </c>
      <c r="BY89" s="496" t="s">
        <v>469</v>
      </c>
      <c r="BZ89" s="496" t="n">
        <v>546.7993</v>
      </c>
      <c r="CA89" s="496" t="s">
        <v>469</v>
      </c>
      <c r="CB89" s="496" t="n">
        <v>596.1406</v>
      </c>
      <c r="CC89" s="496" t="n">
        <v>595.7032</v>
      </c>
      <c r="CD89" s="496" t="n">
        <v>593.5214</v>
      </c>
      <c r="CE89" s="496" t="n">
        <v>553.7165</v>
      </c>
      <c r="CF89" s="496" t="n">
        <v>4.505688</v>
      </c>
      <c r="CG89" s="496" t="n">
        <v>796.3961</v>
      </c>
      <c r="CH89" s="496" t="n">
        <v>796.3272</v>
      </c>
      <c r="CI89" s="496" t="n">
        <v>98.31359</v>
      </c>
      <c r="CJ89" s="496" t="n">
        <v>2.567477</v>
      </c>
      <c r="CK89" s="496" t="n">
        <v>596.1884</v>
      </c>
      <c r="CL89" s="496" t="n">
        <v>3.892449</v>
      </c>
      <c r="CM89" s="496" t="n">
        <v>585.0991</v>
      </c>
      <c r="CN89" s="496" t="n">
        <v>3.436882</v>
      </c>
      <c r="CO89" s="496" t="n">
        <v>14.47496</v>
      </c>
      <c r="CP89" s="496" t="n">
        <v>1.277736</v>
      </c>
      <c r="CQ89" s="496" t="n">
        <v>827.3242</v>
      </c>
      <c r="CR89" s="496" t="n">
        <v>1.90348</v>
      </c>
      <c r="CS89" s="496" t="n">
        <v>533.9423</v>
      </c>
      <c r="CT89" s="496" t="n">
        <v>3.522791</v>
      </c>
      <c r="CU89" s="496" t="n">
        <v>548.1095</v>
      </c>
      <c r="CV89" s="496" t="n">
        <v>4.467669</v>
      </c>
      <c r="CW89" s="496" t="n">
        <v>546.8118</v>
      </c>
      <c r="CX89" s="496" t="n">
        <v>4.395026</v>
      </c>
      <c r="CY89" s="496" t="n">
        <v>1.724633</v>
      </c>
      <c r="CZ89" s="496" t="n">
        <v>0.6758182</v>
      </c>
      <c r="DA89" s="496" t="n">
        <v>827.3242</v>
      </c>
      <c r="DB89" s="496" t="n">
        <v>1.903476</v>
      </c>
      <c r="DC89" s="496" t="n">
        <v>548.1095</v>
      </c>
      <c r="DD89" s="496" t="n">
        <v>30.75456</v>
      </c>
      <c r="DE89" s="496" t="n">
        <v>827.3242</v>
      </c>
      <c r="DF89" s="496" t="n">
        <v>6.851997</v>
      </c>
    </row>
    <row r="90" customFormat="false" ht="15" hidden="false" customHeight="false" outlineLevel="0" collapsed="false">
      <c r="A90" s="496" t="s">
        <v>2021</v>
      </c>
      <c r="B90" s="496" t="n">
        <v>2.995521</v>
      </c>
      <c r="C90" s="496" t="n">
        <v>3.040154</v>
      </c>
      <c r="D90" s="496" t="n">
        <v>2.764942</v>
      </c>
      <c r="E90" s="496" t="n">
        <v>2.620059</v>
      </c>
      <c r="F90" s="496" t="n">
        <v>3.45096</v>
      </c>
      <c r="G90" s="496" t="n">
        <v>3.817421</v>
      </c>
      <c r="H90" s="496" t="n">
        <v>2.750735</v>
      </c>
      <c r="I90" s="496" t="n">
        <v>2.640268</v>
      </c>
      <c r="J90" s="496" t="n">
        <v>3.584632</v>
      </c>
      <c r="K90" s="496" t="n">
        <v>3.444949</v>
      </c>
      <c r="L90" s="496" t="n">
        <v>2.987813</v>
      </c>
      <c r="M90" s="496" t="n">
        <v>3.383115</v>
      </c>
      <c r="N90" s="496" t="s">
        <v>469</v>
      </c>
      <c r="O90" s="496" t="n">
        <v>2.601256</v>
      </c>
      <c r="P90" s="496" t="n">
        <v>3.943238</v>
      </c>
      <c r="Q90" s="496" t="n">
        <v>4.51747</v>
      </c>
      <c r="R90" s="496" t="n">
        <v>4.518374</v>
      </c>
      <c r="S90" s="496" t="n">
        <v>4.079934</v>
      </c>
      <c r="T90" s="496" t="n">
        <v>3.943282</v>
      </c>
      <c r="U90" s="496" t="n">
        <v>3.391048</v>
      </c>
      <c r="V90" s="496" t="n">
        <v>2.637953</v>
      </c>
      <c r="W90" s="496" t="n">
        <v>2.327819</v>
      </c>
      <c r="X90" s="496" t="n">
        <v>2.275945</v>
      </c>
      <c r="Y90" s="496" t="n">
        <v>2.125185</v>
      </c>
      <c r="Z90" s="496" t="n">
        <v>2.125019</v>
      </c>
      <c r="AA90" s="496" t="n">
        <v>2.602872</v>
      </c>
      <c r="AB90" s="496" t="n">
        <v>3.391048</v>
      </c>
      <c r="AC90" s="496" t="n">
        <v>2.779665</v>
      </c>
      <c r="AD90" s="496" t="n">
        <v>2.603314</v>
      </c>
      <c r="AE90" s="496" t="n">
        <v>2.066022</v>
      </c>
      <c r="AF90" s="496" t="n">
        <v>3.389799</v>
      </c>
      <c r="AG90" s="496" t="n">
        <v>1.642397</v>
      </c>
      <c r="AH90" s="496" t="n">
        <v>2.917432</v>
      </c>
      <c r="AI90" s="496" t="n">
        <v>2.230359</v>
      </c>
      <c r="AJ90" s="496" t="n">
        <v>2.987829</v>
      </c>
      <c r="AK90" s="496" t="n">
        <v>2.091909</v>
      </c>
      <c r="AL90" s="496" t="n">
        <v>3.048847</v>
      </c>
      <c r="AM90" s="496" t="n">
        <v>2.251063</v>
      </c>
      <c r="AN90" s="496" t="n">
        <v>1.887829</v>
      </c>
      <c r="AO90" s="496" t="n">
        <v>2.207639</v>
      </c>
      <c r="AP90" s="496" t="n">
        <v>5.084156</v>
      </c>
      <c r="AQ90" s="496" t="n">
        <v>2.059312</v>
      </c>
      <c r="AR90" s="496" t="n">
        <v>2.764966</v>
      </c>
      <c r="AS90" s="496" t="n">
        <v>2.101333</v>
      </c>
      <c r="AT90" s="496" t="n">
        <v>2.627583</v>
      </c>
      <c r="AU90" s="496" t="n">
        <v>2.112327</v>
      </c>
      <c r="AV90" s="496" t="n">
        <v>1.510414</v>
      </c>
      <c r="AW90" s="496" t="n">
        <v>1.672823</v>
      </c>
      <c r="AX90" s="496" t="n">
        <v>2.924522</v>
      </c>
      <c r="AY90" s="496" t="n">
        <v>2.98528</v>
      </c>
      <c r="AZ90" s="496" t="n">
        <v>3.048834</v>
      </c>
      <c r="BA90" s="496" t="n">
        <v>2.774562</v>
      </c>
      <c r="BB90" s="496" t="n">
        <v>3.446391</v>
      </c>
      <c r="BC90" s="496" t="n">
        <v>3.135414</v>
      </c>
      <c r="BD90" s="496" t="n">
        <v>3.391048</v>
      </c>
      <c r="BE90" s="496" t="n">
        <v>2.721811</v>
      </c>
      <c r="BF90" s="496" t="n">
        <v>2.637953</v>
      </c>
      <c r="BG90" s="496" t="n">
        <v>2.471684</v>
      </c>
      <c r="BH90" s="496" t="n">
        <v>2.758882</v>
      </c>
      <c r="BI90" s="496" t="n">
        <v>1.913096</v>
      </c>
      <c r="BJ90" s="496" t="n">
        <v>1.91859</v>
      </c>
      <c r="BK90" s="496" t="n">
        <v>1.950221</v>
      </c>
      <c r="BL90" s="496" t="n">
        <v>3.909282</v>
      </c>
      <c r="BM90" s="496" t="n">
        <v>2.6113</v>
      </c>
      <c r="BN90" s="496" t="n">
        <v>4.521319</v>
      </c>
      <c r="BO90" s="496" t="n">
        <v>4.38429</v>
      </c>
      <c r="BP90" s="496" t="n">
        <v>1.675235</v>
      </c>
      <c r="BQ90" s="496" t="n">
        <v>4.521319</v>
      </c>
      <c r="BR90" s="496" t="n">
        <v>3.871638</v>
      </c>
      <c r="BS90" s="496" t="n">
        <v>1.523237</v>
      </c>
      <c r="BT90" s="496" t="n">
        <v>1.51043</v>
      </c>
      <c r="BU90" s="496" t="s">
        <v>469</v>
      </c>
      <c r="BV90" s="496" t="n">
        <v>2.608007</v>
      </c>
      <c r="BW90" s="496" t="s">
        <v>469</v>
      </c>
      <c r="BX90" s="496" t="n">
        <v>3.390029</v>
      </c>
      <c r="BY90" s="496" t="s">
        <v>469</v>
      </c>
      <c r="BZ90" s="496" t="n">
        <v>2.627574</v>
      </c>
      <c r="CA90" s="496" t="s">
        <v>469</v>
      </c>
      <c r="CB90" s="496" t="n">
        <v>2.990959</v>
      </c>
      <c r="CC90" s="496" t="n">
        <v>2.98527</v>
      </c>
      <c r="CD90" s="496" t="n">
        <v>2.774577</v>
      </c>
      <c r="CE90" s="496" t="n">
        <v>2.603314</v>
      </c>
      <c r="CF90" s="496" t="n">
        <v>1.959192</v>
      </c>
      <c r="CG90" s="496" t="n">
        <v>3.389799</v>
      </c>
      <c r="CH90" s="496" t="n">
        <v>3.390728</v>
      </c>
      <c r="CI90" s="496" t="n">
        <v>2.917432</v>
      </c>
      <c r="CJ90" s="496" t="n">
        <v>2.25717</v>
      </c>
      <c r="CK90" s="496" t="n">
        <v>2.987829</v>
      </c>
      <c r="CL90" s="496" t="n">
        <v>2.659544</v>
      </c>
      <c r="CM90" s="496" t="n">
        <v>3.048847</v>
      </c>
      <c r="CN90" s="496" t="n">
        <v>2.609153</v>
      </c>
      <c r="CO90" s="496" t="n">
        <v>1.887829</v>
      </c>
      <c r="CP90" s="496" t="n">
        <v>1.762731</v>
      </c>
      <c r="CQ90" s="496" t="n">
        <v>5.084156</v>
      </c>
      <c r="CR90" s="496" t="n">
        <v>3.819716</v>
      </c>
      <c r="CS90" s="496" t="n">
        <v>2.764966</v>
      </c>
      <c r="CT90" s="496" t="n">
        <v>1.924251</v>
      </c>
      <c r="CU90" s="496" t="n">
        <v>2.616925</v>
      </c>
      <c r="CV90" s="496" t="n">
        <v>1.96488</v>
      </c>
      <c r="CW90" s="496" t="n">
        <v>2.62751</v>
      </c>
      <c r="CX90" s="496" t="n">
        <v>1.959862</v>
      </c>
      <c r="CY90" s="496" t="n">
        <v>1.510414</v>
      </c>
      <c r="CZ90" s="496" t="n">
        <v>1.49267</v>
      </c>
      <c r="DA90" s="496" t="n">
        <v>5.084156</v>
      </c>
      <c r="DB90" s="496" t="n">
        <v>3.819714</v>
      </c>
      <c r="DC90" s="496" t="n">
        <v>2.616925</v>
      </c>
      <c r="DD90" s="496" t="n">
        <v>2.152675</v>
      </c>
      <c r="DE90" s="496" t="n">
        <v>5.084156</v>
      </c>
      <c r="DF90" s="496" t="n">
        <v>2.059312</v>
      </c>
    </row>
    <row r="91" customFormat="false" ht="15" hidden="false" customHeight="false" outlineLevel="0" collapsed="false">
      <c r="A91" s="496" t="s">
        <v>2016</v>
      </c>
      <c r="B91" s="496" t="n">
        <v>61.90329</v>
      </c>
      <c r="C91" s="496" t="n">
        <v>65.08494</v>
      </c>
      <c r="D91" s="496" t="n">
        <v>56.36253</v>
      </c>
      <c r="E91" s="496" t="n">
        <v>57.42372</v>
      </c>
      <c r="F91" s="496" t="n">
        <v>32.72581</v>
      </c>
      <c r="G91" s="496" t="n">
        <v>18.01528</v>
      </c>
      <c r="H91" s="496" t="n">
        <v>51.00973</v>
      </c>
      <c r="I91" s="496" t="n">
        <v>56.36253</v>
      </c>
      <c r="J91" s="496" t="n">
        <v>32.76828</v>
      </c>
      <c r="K91" s="496" t="n">
        <v>32.76828</v>
      </c>
      <c r="L91" s="496" t="n">
        <v>61.90329</v>
      </c>
      <c r="M91" s="496" t="n">
        <v>32.01723</v>
      </c>
      <c r="N91" s="496" t="s">
        <v>469</v>
      </c>
      <c r="O91" s="496" t="n">
        <v>57.21502</v>
      </c>
      <c r="P91" s="496" t="n">
        <v>18.01528</v>
      </c>
      <c r="Q91" s="496" t="n">
        <v>18.01584</v>
      </c>
      <c r="R91" s="496" t="n">
        <v>18.01584</v>
      </c>
      <c r="S91" s="496" t="n">
        <v>18.01584</v>
      </c>
      <c r="T91" s="496" t="n">
        <v>18.01584</v>
      </c>
      <c r="U91" s="496" t="n">
        <v>32.0908</v>
      </c>
      <c r="V91" s="496" t="n">
        <v>87.91352</v>
      </c>
      <c r="W91" s="496" t="n">
        <v>87.91352</v>
      </c>
      <c r="X91" s="496" t="n">
        <v>87.91352</v>
      </c>
      <c r="Y91" s="496" t="n">
        <v>87.91352</v>
      </c>
      <c r="Z91" s="496" t="n">
        <v>87.91352</v>
      </c>
      <c r="AA91" s="496" t="n">
        <v>57.21502</v>
      </c>
      <c r="AB91" s="496" t="n">
        <v>32.0908</v>
      </c>
      <c r="AC91" s="496" t="n">
        <v>56.36253</v>
      </c>
      <c r="AD91" s="496" t="n">
        <v>57.21502</v>
      </c>
      <c r="AE91" s="496" t="n">
        <v>57.21502</v>
      </c>
      <c r="AF91" s="496" t="n">
        <v>32.0908</v>
      </c>
      <c r="AG91" s="496" t="n">
        <v>32.0908</v>
      </c>
      <c r="AH91" s="496" t="n">
        <v>61.90329</v>
      </c>
      <c r="AI91" s="496" t="n">
        <v>61.90329</v>
      </c>
      <c r="AJ91" s="496" t="n">
        <v>61.90329</v>
      </c>
      <c r="AK91" s="496" t="n">
        <v>61.90329</v>
      </c>
      <c r="AL91" s="496" t="n">
        <v>65.08494</v>
      </c>
      <c r="AM91" s="496" t="n">
        <v>65.08494</v>
      </c>
      <c r="AN91" s="496" t="n">
        <v>56.61168</v>
      </c>
      <c r="AO91" s="496" t="n">
        <v>56.61168</v>
      </c>
      <c r="AP91" s="496" t="n">
        <v>18.01528</v>
      </c>
      <c r="AQ91" s="496" t="n">
        <v>18.01528</v>
      </c>
      <c r="AR91" s="496" t="n">
        <v>56.36253</v>
      </c>
      <c r="AS91" s="496" t="n">
        <v>56.36253</v>
      </c>
      <c r="AT91" s="496" t="n">
        <v>57.42372</v>
      </c>
      <c r="AU91" s="496" t="n">
        <v>57.42372</v>
      </c>
      <c r="AV91" s="496" t="n">
        <v>32.19019</v>
      </c>
      <c r="AW91" s="496" t="n">
        <v>32.19019</v>
      </c>
      <c r="AX91" s="496" t="n">
        <v>61.90329</v>
      </c>
      <c r="AY91" s="496" t="n">
        <v>61.90329</v>
      </c>
      <c r="AZ91" s="496" t="n">
        <v>65.08494</v>
      </c>
      <c r="BA91" s="496" t="n">
        <v>51.00973</v>
      </c>
      <c r="BB91" s="496" t="n">
        <v>32.7251</v>
      </c>
      <c r="BC91" s="496" t="n">
        <v>65.08494</v>
      </c>
      <c r="BD91" s="496" t="n">
        <v>32.0908</v>
      </c>
      <c r="BE91" s="496" t="n">
        <v>63.81659</v>
      </c>
      <c r="BF91" s="496" t="n">
        <v>87.91352</v>
      </c>
      <c r="BG91" s="496" t="n">
        <v>87.91352</v>
      </c>
      <c r="BH91" s="496" t="n">
        <v>56.36253</v>
      </c>
      <c r="BI91" s="496" t="n">
        <v>56.36253</v>
      </c>
      <c r="BJ91" s="496" t="n">
        <v>56.61168</v>
      </c>
      <c r="BK91" s="496" t="n">
        <v>59.05259</v>
      </c>
      <c r="BL91" s="496" t="n">
        <v>18.86247</v>
      </c>
      <c r="BM91" s="496" t="n">
        <v>57.42372</v>
      </c>
      <c r="BN91" s="496" t="n">
        <v>18.01584</v>
      </c>
      <c r="BO91" s="496" t="n">
        <v>18.86247</v>
      </c>
      <c r="BP91" s="496" t="n">
        <v>50.49645</v>
      </c>
      <c r="BQ91" s="496" t="n">
        <v>18.01584</v>
      </c>
      <c r="BR91" s="496" t="n">
        <v>18.01584</v>
      </c>
      <c r="BS91" s="496" t="n">
        <v>32.76828</v>
      </c>
      <c r="BT91" s="496" t="n">
        <v>32.19019</v>
      </c>
      <c r="BU91" s="496" t="s">
        <v>469</v>
      </c>
      <c r="BV91" s="496" t="n">
        <v>57.21502</v>
      </c>
      <c r="BW91" s="496" t="s">
        <v>469</v>
      </c>
      <c r="BX91" s="496" t="n">
        <v>32.0908</v>
      </c>
      <c r="BY91" s="496" t="s">
        <v>469</v>
      </c>
      <c r="BZ91" s="496" t="n">
        <v>57.42372</v>
      </c>
      <c r="CA91" s="496" t="s">
        <v>469</v>
      </c>
      <c r="CB91" s="496" t="n">
        <v>61.90329</v>
      </c>
      <c r="CC91" s="496" t="n">
        <v>61.90329</v>
      </c>
      <c r="CD91" s="496" t="n">
        <v>51.00973</v>
      </c>
      <c r="CE91" s="496" t="n">
        <v>57.21502</v>
      </c>
      <c r="CF91" s="496" t="n">
        <v>57.21502</v>
      </c>
      <c r="CG91" s="496" t="n">
        <v>32.0908</v>
      </c>
      <c r="CH91" s="496" t="n">
        <v>32.0908</v>
      </c>
      <c r="CI91" s="496" t="n">
        <v>61.90329</v>
      </c>
      <c r="CJ91" s="496" t="n">
        <v>61.90329</v>
      </c>
      <c r="CK91" s="496" t="n">
        <v>61.90329</v>
      </c>
      <c r="CL91" s="496" t="n">
        <v>61.90329</v>
      </c>
      <c r="CM91" s="496" t="n">
        <v>65.08494</v>
      </c>
      <c r="CN91" s="496" t="n">
        <v>65.08494</v>
      </c>
      <c r="CO91" s="496" t="n">
        <v>56.61168</v>
      </c>
      <c r="CP91" s="496" t="n">
        <v>56.61168</v>
      </c>
      <c r="CQ91" s="496" t="n">
        <v>18.01528</v>
      </c>
      <c r="CR91" s="496" t="n">
        <v>18.01528</v>
      </c>
      <c r="CS91" s="496" t="n">
        <v>56.36253</v>
      </c>
      <c r="CT91" s="496" t="n">
        <v>56.36253</v>
      </c>
      <c r="CU91" s="496" t="n">
        <v>57.42372</v>
      </c>
      <c r="CV91" s="496" t="n">
        <v>57.42372</v>
      </c>
      <c r="CW91" s="496" t="n">
        <v>57.42372</v>
      </c>
      <c r="CX91" s="496" t="n">
        <v>57.42372</v>
      </c>
      <c r="CY91" s="496" t="n">
        <v>32.19019</v>
      </c>
      <c r="CZ91" s="496" t="n">
        <v>32.19019</v>
      </c>
      <c r="DA91" s="496" t="n">
        <v>18.01528</v>
      </c>
      <c r="DB91" s="496" t="n">
        <v>18.01528</v>
      </c>
      <c r="DC91" s="496" t="n">
        <v>57.42372</v>
      </c>
      <c r="DD91" s="496" t="n">
        <v>57.42372</v>
      </c>
      <c r="DE91" s="496" t="n">
        <v>18.01528</v>
      </c>
      <c r="DF91" s="496" t="n">
        <v>18.01528</v>
      </c>
    </row>
    <row r="92" customFormat="false" ht="15" hidden="false" customHeight="false" outlineLevel="0" collapsed="false">
      <c r="A92" s="496" t="s">
        <v>2022</v>
      </c>
      <c r="B92" s="496" t="n">
        <v>1.007778</v>
      </c>
      <c r="C92" s="496" t="n">
        <v>1</v>
      </c>
      <c r="D92" s="496" t="n">
        <v>1</v>
      </c>
      <c r="E92" s="496" t="n">
        <v>1</v>
      </c>
      <c r="F92" s="496" t="n">
        <v>1</v>
      </c>
      <c r="G92" s="496" t="n">
        <v>1</v>
      </c>
      <c r="H92" s="496" t="n">
        <v>1</v>
      </c>
      <c r="I92" s="496" t="n">
        <v>1</v>
      </c>
      <c r="J92" s="496" t="n">
        <v>1.000202</v>
      </c>
      <c r="K92" s="496" t="n">
        <v>1</v>
      </c>
      <c r="L92" s="496" t="n">
        <v>1</v>
      </c>
      <c r="M92" s="496" t="n">
        <v>1</v>
      </c>
      <c r="N92" s="496" t="s">
        <v>469</v>
      </c>
      <c r="O92" s="496" t="n">
        <v>1</v>
      </c>
      <c r="P92" s="496" t="n">
        <v>1</v>
      </c>
      <c r="Q92" s="496" t="n">
        <v>1</v>
      </c>
      <c r="R92" s="496" t="n">
        <v>1</v>
      </c>
      <c r="S92" s="496" t="n">
        <v>1</v>
      </c>
      <c r="T92" s="496" t="n">
        <v>1</v>
      </c>
      <c r="U92" s="496" t="n">
        <v>1</v>
      </c>
      <c r="V92" s="496" t="n">
        <v>1</v>
      </c>
      <c r="W92" s="496" t="n">
        <v>1</v>
      </c>
      <c r="X92" s="496" t="n">
        <v>1</v>
      </c>
      <c r="Y92" s="496" t="n">
        <v>1</v>
      </c>
      <c r="Z92" s="496" t="n">
        <v>1</v>
      </c>
      <c r="AA92" s="496" t="n">
        <v>1</v>
      </c>
      <c r="AB92" s="496" t="n">
        <v>1</v>
      </c>
      <c r="AC92" s="496" t="n">
        <v>1</v>
      </c>
      <c r="AD92" s="496" t="n">
        <v>1</v>
      </c>
      <c r="AE92" s="496" t="n">
        <v>1.182074</v>
      </c>
      <c r="AF92" s="496" t="n">
        <v>1</v>
      </c>
      <c r="AG92" s="496" t="n">
        <v>1.232565</v>
      </c>
      <c r="AH92" s="496" t="n">
        <v>1.011077</v>
      </c>
      <c r="AI92" s="496" t="n">
        <v>1.16715</v>
      </c>
      <c r="AJ92" s="496" t="n">
        <v>1</v>
      </c>
      <c r="AK92" s="496" t="n">
        <v>1.144047</v>
      </c>
      <c r="AL92" s="496" t="n">
        <v>1</v>
      </c>
      <c r="AM92" s="496" t="n">
        <v>1.154211</v>
      </c>
      <c r="AN92" s="496" t="n">
        <v>1.136235</v>
      </c>
      <c r="AO92" s="496" t="n">
        <v>1.14568</v>
      </c>
      <c r="AP92" s="496" t="n">
        <v>1</v>
      </c>
      <c r="AQ92" s="496" t="n">
        <v>1.375516</v>
      </c>
      <c r="AR92" s="496" t="n">
        <v>1</v>
      </c>
      <c r="AS92" s="496" t="n">
        <v>1.172626</v>
      </c>
      <c r="AT92" s="496" t="n">
        <v>1</v>
      </c>
      <c r="AU92" s="496" t="n">
        <v>1.16882</v>
      </c>
      <c r="AV92" s="496" t="n">
        <v>1.223514</v>
      </c>
      <c r="AW92" s="496" t="n">
        <v>1.235419</v>
      </c>
      <c r="AX92" s="496" t="n">
        <v>1.010603</v>
      </c>
      <c r="AY92" s="496" t="n">
        <v>1</v>
      </c>
      <c r="AZ92" s="496" t="n">
        <v>1</v>
      </c>
      <c r="BA92" s="496" t="n">
        <v>1</v>
      </c>
      <c r="BB92" s="496" t="n">
        <v>1</v>
      </c>
      <c r="BC92" s="496" t="n">
        <v>1</v>
      </c>
      <c r="BD92" s="496" t="n">
        <v>1</v>
      </c>
      <c r="BE92" s="496" t="n">
        <v>1</v>
      </c>
      <c r="BF92" s="496" t="n">
        <v>1</v>
      </c>
      <c r="BG92" s="496" t="n">
        <v>1.017793</v>
      </c>
      <c r="BH92" s="496" t="n">
        <v>1</v>
      </c>
      <c r="BI92" s="496" t="n">
        <v>1.153349</v>
      </c>
      <c r="BJ92" s="496" t="n">
        <v>1.152183</v>
      </c>
      <c r="BK92" s="496" t="n">
        <v>1.140071</v>
      </c>
      <c r="BL92" s="496" t="n">
        <v>1</v>
      </c>
      <c r="BM92" s="496" t="n">
        <v>1</v>
      </c>
      <c r="BN92" s="496" t="n">
        <v>1</v>
      </c>
      <c r="BO92" s="496" t="n">
        <v>1</v>
      </c>
      <c r="BP92" s="496" t="n">
        <v>1.120236</v>
      </c>
      <c r="BQ92" s="496" t="n">
        <v>1</v>
      </c>
      <c r="BR92" s="496" t="n">
        <v>1.031954</v>
      </c>
      <c r="BS92" s="496" t="n">
        <v>1.216571</v>
      </c>
      <c r="BT92" s="496" t="n">
        <v>1.223531</v>
      </c>
      <c r="BU92" s="496" t="s">
        <v>469</v>
      </c>
      <c r="BV92" s="496" t="n">
        <v>1</v>
      </c>
      <c r="BW92" s="496" t="s">
        <v>469</v>
      </c>
      <c r="BX92" s="496" t="n">
        <v>1</v>
      </c>
      <c r="BY92" s="496" t="s">
        <v>469</v>
      </c>
      <c r="BZ92" s="496" t="n">
        <v>1</v>
      </c>
      <c r="CA92" s="496" t="s">
        <v>469</v>
      </c>
      <c r="CB92" s="496" t="n">
        <v>1</v>
      </c>
      <c r="CC92" s="496" t="n">
        <v>1</v>
      </c>
      <c r="CD92" s="496" t="n">
        <v>1</v>
      </c>
      <c r="CE92" s="496" t="n">
        <v>1</v>
      </c>
      <c r="CF92" s="496" t="n">
        <v>1.030193</v>
      </c>
      <c r="CG92" s="496" t="n">
        <v>1</v>
      </c>
      <c r="CH92" s="496" t="n">
        <v>1</v>
      </c>
      <c r="CI92" s="496" t="n">
        <v>1.011077</v>
      </c>
      <c r="CJ92" s="496" t="n">
        <v>1.042218</v>
      </c>
      <c r="CK92" s="496" t="n">
        <v>1</v>
      </c>
      <c r="CL92" s="496" t="n">
        <v>1.023846</v>
      </c>
      <c r="CM92" s="496" t="n">
        <v>1</v>
      </c>
      <c r="CN92" s="496" t="n">
        <v>1.027202</v>
      </c>
      <c r="CO92" s="496" t="n">
        <v>1.136235</v>
      </c>
      <c r="CP92" s="496" t="n">
        <v>1.094895</v>
      </c>
      <c r="CQ92" s="496" t="n">
        <v>1</v>
      </c>
      <c r="CR92" s="496" t="n">
        <v>1.023991</v>
      </c>
      <c r="CS92" s="496" t="n">
        <v>1</v>
      </c>
      <c r="CT92" s="496" t="n">
        <v>1.03943</v>
      </c>
      <c r="CU92" s="496" t="n">
        <v>1</v>
      </c>
      <c r="CV92" s="496" t="n">
        <v>1.030428</v>
      </c>
      <c r="CW92" s="496" t="n">
        <v>1</v>
      </c>
      <c r="CX92" s="496" t="n">
        <v>1.031031</v>
      </c>
      <c r="CY92" s="496" t="n">
        <v>1.223514</v>
      </c>
      <c r="CZ92" s="496" t="n">
        <v>1.216108</v>
      </c>
      <c r="DA92" s="496" t="n">
        <v>1</v>
      </c>
      <c r="DB92" s="496" t="n">
        <v>1.023991</v>
      </c>
      <c r="DC92" s="496" t="n">
        <v>1</v>
      </c>
      <c r="DD92" s="496" t="n">
        <v>1.17773</v>
      </c>
      <c r="DE92" s="496" t="n">
        <v>1</v>
      </c>
      <c r="DF92" s="496" t="n">
        <v>1.375516</v>
      </c>
    </row>
    <row r="93" customFormat="false" ht="15" hidden="false" customHeight="false" outlineLevel="0" collapsed="false">
      <c r="A93" s="496" t="s">
        <v>2023</v>
      </c>
      <c r="B93" s="496" t="n">
        <v>0.2723292</v>
      </c>
      <c r="C93" s="496" t="n">
        <v>0.2747104</v>
      </c>
      <c r="D93" s="496" t="n">
        <v>0.2757219</v>
      </c>
      <c r="E93" s="496" t="n">
        <v>0.2781476</v>
      </c>
      <c r="F93" s="496" t="n">
        <v>0.2254514</v>
      </c>
      <c r="G93" s="496" t="n">
        <v>0.229</v>
      </c>
      <c r="H93" s="496" t="n">
        <v>0.2641805</v>
      </c>
      <c r="I93" s="496" t="n">
        <v>0.2757219</v>
      </c>
      <c r="J93" s="496" t="n">
        <v>0.2255436</v>
      </c>
      <c r="K93" s="496" t="n">
        <v>0.2255436</v>
      </c>
      <c r="L93" s="496" t="n">
        <v>0.2723292</v>
      </c>
      <c r="M93" s="496" t="n">
        <v>0.2240089</v>
      </c>
      <c r="N93" s="496" t="s">
        <v>469</v>
      </c>
      <c r="O93" s="496" t="n">
        <v>0.2773073</v>
      </c>
      <c r="P93" s="496" t="n">
        <v>0.229</v>
      </c>
      <c r="Q93" s="496" t="n">
        <v>0.2289998</v>
      </c>
      <c r="R93" s="496" t="n">
        <v>0.2289998</v>
      </c>
      <c r="S93" s="496" t="n">
        <v>0.2289998</v>
      </c>
      <c r="T93" s="496" t="n">
        <v>0.2289998</v>
      </c>
      <c r="U93" s="496" t="n">
        <v>0.2241588</v>
      </c>
      <c r="V93" s="496" t="n">
        <v>0.2729419</v>
      </c>
      <c r="W93" s="496" t="n">
        <v>0.2729419</v>
      </c>
      <c r="X93" s="496" t="n">
        <v>0.2729419</v>
      </c>
      <c r="Y93" s="496" t="n">
        <v>0.2729419</v>
      </c>
      <c r="Z93" s="496" t="n">
        <v>0.2729419</v>
      </c>
      <c r="AA93" s="496" t="n">
        <v>0.2773073</v>
      </c>
      <c r="AB93" s="496" t="n">
        <v>0.2241588</v>
      </c>
      <c r="AC93" s="496" t="n">
        <v>0.2757219</v>
      </c>
      <c r="AD93" s="496" t="n">
        <v>0.2773073</v>
      </c>
      <c r="AE93" s="496" t="n">
        <v>0.2773073</v>
      </c>
      <c r="AF93" s="496" t="n">
        <v>0.2241588</v>
      </c>
      <c r="AG93" s="496" t="n">
        <v>0.2241588</v>
      </c>
      <c r="AH93" s="496" t="n">
        <v>0.2723292</v>
      </c>
      <c r="AI93" s="496" t="n">
        <v>0.2723292</v>
      </c>
      <c r="AJ93" s="496" t="n">
        <v>0.2723292</v>
      </c>
      <c r="AK93" s="496" t="n">
        <v>0.2723292</v>
      </c>
      <c r="AL93" s="496" t="n">
        <v>0.2747104</v>
      </c>
      <c r="AM93" s="496" t="n">
        <v>0.2747104</v>
      </c>
      <c r="AN93" s="496" t="n">
        <v>0.2759753</v>
      </c>
      <c r="AO93" s="496" t="n">
        <v>0.2759753</v>
      </c>
      <c r="AP93" s="496" t="n">
        <v>0.229</v>
      </c>
      <c r="AQ93" s="496" t="n">
        <v>0.229</v>
      </c>
      <c r="AR93" s="496" t="n">
        <v>0.2757219</v>
      </c>
      <c r="AS93" s="496" t="n">
        <v>0.2757219</v>
      </c>
      <c r="AT93" s="496" t="n">
        <v>0.2781476</v>
      </c>
      <c r="AU93" s="496" t="n">
        <v>0.2781476</v>
      </c>
      <c r="AV93" s="496" t="n">
        <v>0.2242956</v>
      </c>
      <c r="AW93" s="496" t="n">
        <v>0.2242956</v>
      </c>
      <c r="AX93" s="496" t="n">
        <v>0.2723292</v>
      </c>
      <c r="AY93" s="496" t="n">
        <v>0.2723292</v>
      </c>
      <c r="AZ93" s="496" t="n">
        <v>0.2747104</v>
      </c>
      <c r="BA93" s="496" t="n">
        <v>0.2641805</v>
      </c>
      <c r="BB93" s="496" t="n">
        <v>0.2254512</v>
      </c>
      <c r="BC93" s="496" t="n">
        <v>0.2747104</v>
      </c>
      <c r="BD93" s="496" t="n">
        <v>0.2241588</v>
      </c>
      <c r="BE93" s="496" t="n">
        <v>0.2745452</v>
      </c>
      <c r="BF93" s="496" t="n">
        <v>0.2729419</v>
      </c>
      <c r="BG93" s="496" t="n">
        <v>0.2729419</v>
      </c>
      <c r="BH93" s="496" t="n">
        <v>0.2757219</v>
      </c>
      <c r="BI93" s="496" t="n">
        <v>0.2757219</v>
      </c>
      <c r="BJ93" s="496" t="n">
        <v>0.2759753</v>
      </c>
      <c r="BK93" s="496" t="n">
        <v>0.2750594</v>
      </c>
      <c r="BL93" s="496" t="n">
        <v>0.2288417</v>
      </c>
      <c r="BM93" s="496" t="n">
        <v>0.2781476</v>
      </c>
      <c r="BN93" s="496" t="n">
        <v>0.2289998</v>
      </c>
      <c r="BO93" s="496" t="n">
        <v>0.2288417</v>
      </c>
      <c r="BP93" s="496" t="n">
        <v>0.2640433</v>
      </c>
      <c r="BQ93" s="496" t="n">
        <v>0.2289998</v>
      </c>
      <c r="BR93" s="496" t="n">
        <v>0.2289998</v>
      </c>
      <c r="BS93" s="496" t="n">
        <v>0.2255436</v>
      </c>
      <c r="BT93" s="496" t="n">
        <v>0.2242956</v>
      </c>
      <c r="BU93" s="496" t="s">
        <v>469</v>
      </c>
      <c r="BV93" s="496" t="n">
        <v>0.2773073</v>
      </c>
      <c r="BW93" s="496" t="s">
        <v>469</v>
      </c>
      <c r="BX93" s="496" t="n">
        <v>0.2241588</v>
      </c>
      <c r="BY93" s="496" t="s">
        <v>469</v>
      </c>
      <c r="BZ93" s="496" t="n">
        <v>0.2781476</v>
      </c>
      <c r="CA93" s="496" t="s">
        <v>469</v>
      </c>
      <c r="CB93" s="496" t="n">
        <v>0.2723292</v>
      </c>
      <c r="CC93" s="496" t="n">
        <v>0.2723292</v>
      </c>
      <c r="CD93" s="496" t="n">
        <v>0.2641805</v>
      </c>
      <c r="CE93" s="496" t="n">
        <v>0.2773073</v>
      </c>
      <c r="CF93" s="496" t="n">
        <v>0.2773073</v>
      </c>
      <c r="CG93" s="496" t="n">
        <v>0.2241588</v>
      </c>
      <c r="CH93" s="496" t="n">
        <v>0.2241588</v>
      </c>
      <c r="CI93" s="496" t="n">
        <v>0.2723292</v>
      </c>
      <c r="CJ93" s="496" t="n">
        <v>0.2723292</v>
      </c>
      <c r="CK93" s="496" t="n">
        <v>0.2723292</v>
      </c>
      <c r="CL93" s="496" t="n">
        <v>0.2723292</v>
      </c>
      <c r="CM93" s="496" t="n">
        <v>0.2747104</v>
      </c>
      <c r="CN93" s="496" t="n">
        <v>0.2747104</v>
      </c>
      <c r="CO93" s="496" t="n">
        <v>0.2759753</v>
      </c>
      <c r="CP93" s="496" t="n">
        <v>0.2759753</v>
      </c>
      <c r="CQ93" s="496" t="n">
        <v>0.229</v>
      </c>
      <c r="CR93" s="496" t="n">
        <v>0.229</v>
      </c>
      <c r="CS93" s="496" t="n">
        <v>0.2757219</v>
      </c>
      <c r="CT93" s="496" t="n">
        <v>0.2757219</v>
      </c>
      <c r="CU93" s="496" t="n">
        <v>0.2781476</v>
      </c>
      <c r="CV93" s="496" t="n">
        <v>0.2781476</v>
      </c>
      <c r="CW93" s="496" t="n">
        <v>0.2781476</v>
      </c>
      <c r="CX93" s="496" t="n">
        <v>0.2781476</v>
      </c>
      <c r="CY93" s="496" t="n">
        <v>0.2242956</v>
      </c>
      <c r="CZ93" s="496" t="n">
        <v>0.2242956</v>
      </c>
      <c r="DA93" s="496" t="n">
        <v>0.229</v>
      </c>
      <c r="DB93" s="496" t="n">
        <v>0.229</v>
      </c>
      <c r="DC93" s="496" t="n">
        <v>0.2781476</v>
      </c>
      <c r="DD93" s="496" t="n">
        <v>0.2781476</v>
      </c>
      <c r="DE93" s="496" t="n">
        <v>0.229</v>
      </c>
      <c r="DF93" s="496" t="n">
        <v>0.229</v>
      </c>
    </row>
    <row r="94" customFormat="false" ht="15" hidden="false" customHeight="false" outlineLevel="0" collapsed="false">
      <c r="A94" s="496" t="s">
        <v>2024</v>
      </c>
      <c r="B94" s="496" t="n">
        <v>0.7938647</v>
      </c>
      <c r="C94" s="496" t="n">
        <v>0.5593813</v>
      </c>
      <c r="D94" s="496" t="n">
        <v>0.6596129</v>
      </c>
      <c r="E94" s="496" t="n">
        <v>0.4912115</v>
      </c>
      <c r="F94" s="496" t="n">
        <v>0.131325</v>
      </c>
      <c r="G94" s="1099" t="n">
        <v>0.00234</v>
      </c>
      <c r="H94" s="496" t="n">
        <v>0.356365</v>
      </c>
      <c r="I94" s="496" t="n">
        <v>0.4489278</v>
      </c>
      <c r="J94" s="496" t="n">
        <v>0.1458037</v>
      </c>
      <c r="K94" s="496" t="n">
        <v>0.074867</v>
      </c>
      <c r="L94" s="496" t="n">
        <v>0.4417363</v>
      </c>
      <c r="M94" s="496" t="n">
        <v>0.0168209</v>
      </c>
      <c r="N94" s="496" t="s">
        <v>469</v>
      </c>
      <c r="O94" s="496" t="n">
        <v>0.4670734</v>
      </c>
      <c r="P94" s="1099" t="n">
        <v>0.00739</v>
      </c>
      <c r="Q94" s="496" t="n">
        <v>0.1779774</v>
      </c>
      <c r="R94" s="496" t="n">
        <v>0.1800343</v>
      </c>
      <c r="S94" s="496" t="n">
        <v>0.0198537</v>
      </c>
      <c r="T94" s="1099" t="n">
        <v>0.00739</v>
      </c>
      <c r="U94" s="496" t="n">
        <v>0.021727</v>
      </c>
      <c r="V94" s="496" t="n">
        <v>0.8008531</v>
      </c>
      <c r="W94" s="496" t="n">
        <v>0.231985</v>
      </c>
      <c r="X94" s="496" t="n">
        <v>0.1722761</v>
      </c>
      <c r="Y94" s="496" t="n">
        <v>0.0605809</v>
      </c>
      <c r="Z94" s="496" t="n">
        <v>0.0611988</v>
      </c>
      <c r="AA94" s="496" t="n">
        <v>0.4748222</v>
      </c>
      <c r="AB94" s="496" t="n">
        <v>0.021727</v>
      </c>
      <c r="AC94" s="496" t="n">
        <v>0.707481</v>
      </c>
      <c r="AD94" s="496" t="n">
        <v>0.4670733</v>
      </c>
      <c r="AE94" s="496" t="n">
        <v>1.19665</v>
      </c>
      <c r="AF94" s="496" t="n">
        <v>0.0212291</v>
      </c>
      <c r="AG94" s="496" t="n">
        <v>0.5321242</v>
      </c>
      <c r="AH94" s="496" t="n">
        <v>0.7291735</v>
      </c>
      <c r="AI94" s="496" t="n">
        <v>2.180472</v>
      </c>
      <c r="AJ94" s="496" t="n">
        <v>0.4417363</v>
      </c>
      <c r="AK94" s="496" t="n">
        <v>1.627274</v>
      </c>
      <c r="AL94" s="496" t="n">
        <v>0.5601488</v>
      </c>
      <c r="AM94" s="496" t="n">
        <v>2.217978</v>
      </c>
      <c r="AN94" s="496" t="n">
        <v>0.7119371</v>
      </c>
      <c r="AO94" s="496" t="n">
        <v>1.239357</v>
      </c>
      <c r="AP94" s="496" t="n">
        <v>1</v>
      </c>
      <c r="AQ94" s="496" t="n">
        <v>1.398001</v>
      </c>
      <c r="AR94" s="496" t="n">
        <v>0.6596129</v>
      </c>
      <c r="AS94" s="496" t="n">
        <v>1.291819</v>
      </c>
      <c r="AT94" s="496" t="n">
        <v>0.4805133</v>
      </c>
      <c r="AU94" s="496" t="n">
        <v>1.351628</v>
      </c>
      <c r="AV94" s="496" t="n">
        <v>0.166843</v>
      </c>
      <c r="AW94" s="496" t="n">
        <v>0.6547899</v>
      </c>
      <c r="AX94" s="496" t="n">
        <v>0.7292206</v>
      </c>
      <c r="AY94" s="496" t="n">
        <v>0.445968</v>
      </c>
      <c r="AZ94" s="496" t="n">
        <v>0.5601761</v>
      </c>
      <c r="BA94" s="496" t="n">
        <v>0.3938586</v>
      </c>
      <c r="BB94" s="496" t="n">
        <v>0.0727641</v>
      </c>
      <c r="BC94" s="496" t="n">
        <v>0.8201878</v>
      </c>
      <c r="BD94" s="496" t="n">
        <v>0.021727</v>
      </c>
      <c r="BE94" s="496" t="n">
        <v>0.7699286</v>
      </c>
      <c r="BF94" s="496" t="n">
        <v>0.8008531</v>
      </c>
      <c r="BG94" s="496" t="n">
        <v>0.8031941</v>
      </c>
      <c r="BH94" s="496" t="n">
        <v>0.7224544</v>
      </c>
      <c r="BI94" s="496" t="n">
        <v>0.7707286</v>
      </c>
      <c r="BJ94" s="496" t="n">
        <v>0.7733085</v>
      </c>
      <c r="BK94" s="496" t="n">
        <v>0.963436</v>
      </c>
      <c r="BL94" s="496" t="n">
        <v>0.4792132</v>
      </c>
      <c r="BM94" s="496" t="n">
        <v>0.4832591</v>
      </c>
      <c r="BN94" s="496" t="n">
        <v>0.1807214</v>
      </c>
      <c r="BO94" s="496" t="n">
        <v>0.1147548</v>
      </c>
      <c r="BP94" s="496" t="n">
        <v>0.5070432</v>
      </c>
      <c r="BQ94" s="496" t="n">
        <v>0.1807214</v>
      </c>
      <c r="BR94" s="496" t="n">
        <v>0.1813524</v>
      </c>
      <c r="BS94" s="496" t="n">
        <v>0.3482495</v>
      </c>
      <c r="BT94" s="496" t="n">
        <v>0.1913665</v>
      </c>
      <c r="BU94" s="496" t="s">
        <v>469</v>
      </c>
      <c r="BV94" s="496" t="n">
        <v>0.4681076</v>
      </c>
      <c r="BW94" s="496" t="s">
        <v>469</v>
      </c>
      <c r="BX94" s="496" t="n">
        <v>0.0212299</v>
      </c>
      <c r="BY94" s="496" t="s">
        <v>469</v>
      </c>
      <c r="BZ94" s="496" t="n">
        <v>0.4805075</v>
      </c>
      <c r="CA94" s="496" t="s">
        <v>469</v>
      </c>
      <c r="CB94" s="496" t="n">
        <v>0.4421478</v>
      </c>
      <c r="CC94" s="496" t="n">
        <v>0.4459277</v>
      </c>
      <c r="CD94" s="496" t="n">
        <v>0.3938586</v>
      </c>
      <c r="CE94" s="496" t="n">
        <v>0.4670733</v>
      </c>
      <c r="CF94" s="496" t="n">
        <v>0.0611803</v>
      </c>
      <c r="CG94" s="496" t="n">
        <v>0.0212291</v>
      </c>
      <c r="CH94" s="496" t="n">
        <v>0.0212883</v>
      </c>
      <c r="CI94" s="496" t="n">
        <v>0.7291735</v>
      </c>
      <c r="CJ94" s="496" t="n">
        <v>0.1063572</v>
      </c>
      <c r="CK94" s="496" t="n">
        <v>0.4417363</v>
      </c>
      <c r="CL94" s="496" t="n">
        <v>0.0822599</v>
      </c>
      <c r="CM94" s="496" t="n">
        <v>0.5601488</v>
      </c>
      <c r="CN94" s="496" t="n">
        <v>0.0932312</v>
      </c>
      <c r="CO94" s="496" t="n">
        <v>0.711937</v>
      </c>
      <c r="CP94" s="496" t="n">
        <v>0.5834894</v>
      </c>
      <c r="CQ94" s="496" t="n">
        <v>1</v>
      </c>
      <c r="CR94" s="496" t="n">
        <v>0.06</v>
      </c>
      <c r="CS94" s="496" t="n">
        <v>0.6596129</v>
      </c>
      <c r="CT94" s="496" t="n">
        <v>0.0638299</v>
      </c>
      <c r="CU94" s="496" t="n">
        <v>0.4679784</v>
      </c>
      <c r="CV94" s="496" t="n">
        <v>0.061687</v>
      </c>
      <c r="CW94" s="496" t="n">
        <v>0.4803851</v>
      </c>
      <c r="CX94" s="496" t="n">
        <v>0.061713</v>
      </c>
      <c r="CY94" s="496" t="n">
        <v>0.1668431</v>
      </c>
      <c r="CZ94" s="496" t="n">
        <v>0.1561534</v>
      </c>
      <c r="DA94" s="496" t="n">
        <v>1</v>
      </c>
      <c r="DB94" s="496" t="n">
        <v>0.0599997</v>
      </c>
      <c r="DC94" s="496" t="n">
        <v>0.4679784</v>
      </c>
      <c r="DD94" s="496" t="n">
        <v>1.466282</v>
      </c>
      <c r="DE94" s="496" t="n">
        <v>1</v>
      </c>
      <c r="DF94" s="496" t="n">
        <v>1.398001</v>
      </c>
    </row>
    <row r="95" customFormat="false" ht="15" hidden="false" customHeight="false" outlineLevel="0" collapsed="false">
      <c r="A95" s="496" t="s">
        <v>2025</v>
      </c>
      <c r="B95" s="496" t="n">
        <v>73.76109</v>
      </c>
      <c r="C95" s="496" t="n">
        <v>105.3068</v>
      </c>
      <c r="D95" s="496" t="n">
        <v>59.27834</v>
      </c>
      <c r="E95" s="496" t="n">
        <v>89.84629</v>
      </c>
      <c r="F95" s="496" t="n">
        <v>40</v>
      </c>
      <c r="G95" s="496" t="n">
        <v>152.0164</v>
      </c>
      <c r="H95" s="496" t="n">
        <v>84.19268</v>
      </c>
      <c r="I95" s="496" t="n">
        <v>83.4801</v>
      </c>
      <c r="J95" s="496" t="n">
        <v>59.02611</v>
      </c>
      <c r="K95" s="496" t="n">
        <v>56.75059</v>
      </c>
      <c r="L95" s="496" t="n">
        <v>69.34663</v>
      </c>
      <c r="M95" s="496" t="n">
        <v>95.03804</v>
      </c>
      <c r="N95" s="496" t="s">
        <v>469</v>
      </c>
      <c r="O95" s="496" t="n">
        <v>68.96946</v>
      </c>
      <c r="P95" s="496" t="n">
        <v>186.1944</v>
      </c>
      <c r="Q95" s="496" t="n">
        <v>117.1906</v>
      </c>
      <c r="R95" s="496" t="n">
        <v>186.1857</v>
      </c>
      <c r="S95" s="496" t="n">
        <v>186.1857</v>
      </c>
      <c r="T95" s="496" t="n">
        <v>186.1857</v>
      </c>
      <c r="U95" s="496" t="n">
        <v>142.6698</v>
      </c>
      <c r="V95" s="496" t="n">
        <v>135.4581</v>
      </c>
      <c r="W95" s="496" t="n">
        <v>135.823</v>
      </c>
      <c r="X95" s="496" t="n">
        <v>135.823</v>
      </c>
      <c r="Y95" s="496" t="n">
        <v>135.823</v>
      </c>
      <c r="Z95" s="496" t="n">
        <v>157.3518</v>
      </c>
      <c r="AA95" s="496" t="n">
        <v>77.69643</v>
      </c>
      <c r="AB95" s="496" t="n">
        <v>142.6698</v>
      </c>
      <c r="AC95" s="496" t="n">
        <v>84.62718</v>
      </c>
      <c r="AD95" s="496" t="n">
        <v>60.95113</v>
      </c>
      <c r="AE95" s="496" t="n">
        <v>78.77375</v>
      </c>
      <c r="AF95" s="496" t="n">
        <v>93.84966</v>
      </c>
      <c r="AG95" s="496" t="n">
        <v>111.6895</v>
      </c>
      <c r="AH95" s="496" t="n">
        <v>69.26201</v>
      </c>
      <c r="AI95" s="496" t="n">
        <v>112.2322</v>
      </c>
      <c r="AJ95" s="496" t="n">
        <v>69.26201</v>
      </c>
      <c r="AK95" s="496" t="n">
        <v>94.53722</v>
      </c>
      <c r="AL95" s="496" t="n">
        <v>76.79286</v>
      </c>
      <c r="AM95" s="496" t="n">
        <v>115.7754</v>
      </c>
      <c r="AN95" s="496" t="n">
        <v>52.7138</v>
      </c>
      <c r="AO95" s="496" t="n">
        <v>80.60622</v>
      </c>
      <c r="AP95" s="496" t="n">
        <v>179.9768</v>
      </c>
      <c r="AQ95" s="496" t="n">
        <v>195.0739</v>
      </c>
      <c r="AR95" s="496" t="n">
        <v>59.20217</v>
      </c>
      <c r="AS95" s="496" t="n">
        <v>80.58832</v>
      </c>
      <c r="AT95" s="496" t="n">
        <v>41.64136</v>
      </c>
      <c r="AU95" s="496" t="n">
        <v>78.66082</v>
      </c>
      <c r="AV95" s="496" t="n">
        <v>72.46388</v>
      </c>
      <c r="AW95" s="496" t="n">
        <v>117.7221</v>
      </c>
      <c r="AX95" s="496" t="n">
        <v>69.34663</v>
      </c>
      <c r="AY95" s="496" t="n">
        <v>86.12362</v>
      </c>
      <c r="AZ95" s="496" t="n">
        <v>76.87269</v>
      </c>
      <c r="BA95" s="496" t="n">
        <v>84.19268</v>
      </c>
      <c r="BB95" s="496" t="n">
        <v>94.46965</v>
      </c>
      <c r="BC95" s="496" t="n">
        <v>76.87269</v>
      </c>
      <c r="BD95" s="496" t="n">
        <v>142.6698</v>
      </c>
      <c r="BE95" s="496" t="n">
        <v>70.75102</v>
      </c>
      <c r="BF95" s="496" t="n">
        <v>135.4581</v>
      </c>
      <c r="BG95" s="496" t="n">
        <v>135.4581</v>
      </c>
      <c r="BH95" s="496" t="n">
        <v>55.48421</v>
      </c>
      <c r="BI95" s="496" t="n">
        <v>56.55926</v>
      </c>
      <c r="BJ95" s="496" t="n">
        <v>57.11589</v>
      </c>
      <c r="BK95" s="496" t="n">
        <v>62.24544</v>
      </c>
      <c r="BL95" s="496" t="n">
        <v>70.93488</v>
      </c>
      <c r="BM95" s="496" t="n">
        <v>56.9866</v>
      </c>
      <c r="BN95" s="496" t="n">
        <v>117.1906</v>
      </c>
      <c r="BO95" s="496" t="n">
        <v>161.6988</v>
      </c>
      <c r="BP95" s="496" t="n">
        <v>-3.310966</v>
      </c>
      <c r="BQ95" s="496" t="n">
        <v>117.1906</v>
      </c>
      <c r="BR95" s="496" t="n">
        <v>117.1906</v>
      </c>
      <c r="BS95" s="496" t="n">
        <v>43.42184</v>
      </c>
      <c r="BT95" s="496" t="n">
        <v>68.18138</v>
      </c>
      <c r="BU95" s="496" t="s">
        <v>469</v>
      </c>
      <c r="BV95" s="496" t="n">
        <v>40.33666</v>
      </c>
      <c r="BW95" s="496" t="s">
        <v>469</v>
      </c>
      <c r="BX95" s="496" t="n">
        <v>81.66715</v>
      </c>
      <c r="BY95" s="496" t="s">
        <v>469</v>
      </c>
      <c r="BZ95" s="496" t="n">
        <v>41.6663</v>
      </c>
      <c r="CA95" s="496" t="s">
        <v>469</v>
      </c>
      <c r="CB95" s="496" t="n">
        <v>50.84274</v>
      </c>
      <c r="CC95" s="496" t="n">
        <v>86.12362</v>
      </c>
      <c r="CD95" s="496" t="n">
        <v>84.13938</v>
      </c>
      <c r="CE95" s="496" t="n">
        <v>60.95113</v>
      </c>
      <c r="CF95" s="496" t="n">
        <v>-20.13846</v>
      </c>
      <c r="CG95" s="496" t="n">
        <v>93.84965</v>
      </c>
      <c r="CH95" s="496" t="n">
        <v>49.71389</v>
      </c>
      <c r="CI95" s="496" t="n">
        <v>69.26201</v>
      </c>
      <c r="CJ95" s="496" t="n">
        <v>-11.76053</v>
      </c>
      <c r="CK95" s="496" t="n">
        <v>69.26201</v>
      </c>
      <c r="CL95" s="496" t="n">
        <v>-11.76053</v>
      </c>
      <c r="CM95" s="496" t="n">
        <v>76.79286</v>
      </c>
      <c r="CN95" s="496" t="n">
        <v>-11.12817</v>
      </c>
      <c r="CO95" s="496" t="n">
        <v>52.71377</v>
      </c>
      <c r="CP95" s="496" t="n">
        <v>-19.10644</v>
      </c>
      <c r="CQ95" s="496" t="n">
        <v>179.9768</v>
      </c>
      <c r="CR95" s="496" t="n">
        <v>85.95582</v>
      </c>
      <c r="CS95" s="496" t="n">
        <v>59.20217</v>
      </c>
      <c r="CT95" s="496" t="n">
        <v>-19.29403</v>
      </c>
      <c r="CU95" s="496" t="n">
        <v>58.58405</v>
      </c>
      <c r="CV95" s="496" t="n">
        <v>-20.49659</v>
      </c>
      <c r="CW95" s="496" t="n">
        <v>41.64136</v>
      </c>
      <c r="CX95" s="496" t="n">
        <v>-20.49659</v>
      </c>
      <c r="CY95" s="496" t="n">
        <v>72.46387</v>
      </c>
      <c r="CZ95" s="496" t="n">
        <v>48.034</v>
      </c>
      <c r="DA95" s="496" t="n">
        <v>179.9768</v>
      </c>
      <c r="DB95" s="496" t="n">
        <v>85.95582</v>
      </c>
      <c r="DC95" s="496" t="n">
        <v>58.58405</v>
      </c>
      <c r="DD95" s="496" t="n">
        <v>82.93746</v>
      </c>
      <c r="DE95" s="496" t="n">
        <v>179.9768</v>
      </c>
      <c r="DF95" s="496" t="n">
        <v>195.0739</v>
      </c>
    </row>
    <row r="96" customFormat="false" ht="15" hidden="false" customHeight="false" outlineLevel="0" collapsed="false">
      <c r="A96" s="496" t="s">
        <v>2026</v>
      </c>
      <c r="B96" s="1099" t="n">
        <v>-232000000</v>
      </c>
      <c r="C96" s="1099" t="n">
        <v>-241000000</v>
      </c>
      <c r="D96" s="1099" t="n">
        <v>-242000000</v>
      </c>
      <c r="E96" s="1099" t="n">
        <v>-113000000</v>
      </c>
      <c r="F96" s="1099" t="n">
        <v>-11300000</v>
      </c>
      <c r="G96" s="1099" t="n">
        <v>-1270000</v>
      </c>
      <c r="H96" s="1099" t="n">
        <v>-233000000</v>
      </c>
      <c r="I96" s="1099" t="n">
        <v>-123000000</v>
      </c>
      <c r="J96" s="1099" t="n">
        <v>-91400000</v>
      </c>
      <c r="K96" s="1099" t="n">
        <v>-92300000</v>
      </c>
      <c r="L96" s="1099" t="n">
        <v>-241000000</v>
      </c>
      <c r="M96" s="1099" t="n">
        <v>-99800000</v>
      </c>
      <c r="N96" s="496" t="s">
        <v>469</v>
      </c>
      <c r="O96" s="1099" t="n">
        <v>-128000000</v>
      </c>
      <c r="P96" s="1099" t="n">
        <v>-237000000</v>
      </c>
      <c r="Q96" s="1099" t="n">
        <v>-232000000</v>
      </c>
      <c r="R96" s="1099" t="n">
        <v>-232000000</v>
      </c>
      <c r="S96" s="1099" t="n">
        <v>-236000000</v>
      </c>
      <c r="T96" s="1099" t="n">
        <v>-237000000</v>
      </c>
      <c r="U96" s="1099" t="n">
        <v>-105000000</v>
      </c>
      <c r="V96" s="1099" t="n">
        <v>-122000000</v>
      </c>
      <c r="W96" s="1099" t="n">
        <v>-127000000</v>
      </c>
      <c r="X96" s="1099" t="n">
        <v>-128000000</v>
      </c>
      <c r="Y96" s="1099" t="n">
        <v>-130000000</v>
      </c>
      <c r="Z96" s="1099" t="n">
        <v>-130000000</v>
      </c>
      <c r="AA96" s="1099" t="n">
        <v>-128000000</v>
      </c>
      <c r="AB96" s="1099" t="n">
        <v>-111000000</v>
      </c>
      <c r="AC96" s="1099" t="n">
        <v>-121000000</v>
      </c>
      <c r="AD96" s="496" t="n">
        <v>-1666.513</v>
      </c>
      <c r="AE96" s="496" t="n">
        <v>-1278.517</v>
      </c>
      <c r="AF96" s="496" t="n">
        <v>-7432.916</v>
      </c>
      <c r="AG96" s="496" t="n">
        <v>-6139.237</v>
      </c>
      <c r="AH96" s="496" t="n">
        <v>-2548.943</v>
      </c>
      <c r="AI96" s="496" t="n">
        <v>-2175.829</v>
      </c>
      <c r="AJ96" s="496" t="n">
        <v>-2656.366</v>
      </c>
      <c r="AK96" s="496" t="n">
        <v>-2204.723</v>
      </c>
      <c r="AL96" s="496" t="n">
        <v>-2655.127</v>
      </c>
      <c r="AM96" s="496" t="n">
        <v>-2209.23</v>
      </c>
      <c r="AN96" s="496" t="n">
        <v>-1867.924</v>
      </c>
      <c r="AO96" s="496" t="n">
        <v>-1867.922</v>
      </c>
      <c r="AP96" s="496" t="n">
        <v>-15172.03</v>
      </c>
      <c r="AQ96" s="496" t="n">
        <v>-13133.19</v>
      </c>
      <c r="AR96" s="496" t="n">
        <v>-2223.357</v>
      </c>
      <c r="AS96" s="496" t="n">
        <v>-1846.406</v>
      </c>
      <c r="AT96" s="496" t="n">
        <v>-2136.457</v>
      </c>
      <c r="AU96" s="496" t="n">
        <v>-1738.331</v>
      </c>
      <c r="AV96" s="496" t="n">
        <v>-6160.36</v>
      </c>
      <c r="AW96" s="496" t="n">
        <v>-6103.938</v>
      </c>
      <c r="AX96" s="1099" t="n">
        <v>-232000000</v>
      </c>
      <c r="AY96" s="1099" t="n">
        <v>-241000000</v>
      </c>
      <c r="AZ96" s="1099" t="n">
        <v>-241000000</v>
      </c>
      <c r="BA96" s="1099" t="n">
        <v>-232000000</v>
      </c>
      <c r="BB96" s="1099" t="n">
        <v>-11300000</v>
      </c>
      <c r="BC96" s="1099" t="n">
        <v>-236000000</v>
      </c>
      <c r="BD96" s="1099" t="n">
        <v>-6220000</v>
      </c>
      <c r="BE96" s="1099" t="n">
        <v>-124000000</v>
      </c>
      <c r="BF96" s="1099" t="n">
        <v>-1870000000</v>
      </c>
      <c r="BG96" s="1099" t="n">
        <v>-1830000000</v>
      </c>
      <c r="BH96" s="1099" t="n">
        <v>-121000000</v>
      </c>
      <c r="BI96" s="1099" t="n">
        <v>-206000000</v>
      </c>
      <c r="BJ96" s="1099" t="n">
        <v>-207000000</v>
      </c>
      <c r="BK96" s="1099" t="n">
        <v>-203000000</v>
      </c>
      <c r="BL96" s="1099" t="n">
        <v>-247000000</v>
      </c>
      <c r="BM96" s="1099" t="n">
        <v>-113000000</v>
      </c>
      <c r="BN96" s="1099" t="n">
        <v>-231000000</v>
      </c>
      <c r="BO96" s="1099" t="n">
        <v>-244000000</v>
      </c>
      <c r="BP96" s="1099" t="n">
        <v>-119000</v>
      </c>
      <c r="BQ96" s="1099" t="n">
        <v>-452000000</v>
      </c>
      <c r="BR96" s="1099" t="n">
        <v>-436000000</v>
      </c>
      <c r="BS96" s="1099" t="n">
        <v>-77300000</v>
      </c>
      <c r="BT96" s="1099" t="n">
        <v>-85200000</v>
      </c>
      <c r="BU96" s="496" t="s">
        <v>469</v>
      </c>
      <c r="BV96" s="1099" t="n">
        <v>-128000000</v>
      </c>
      <c r="BW96" s="496" t="s">
        <v>469</v>
      </c>
      <c r="BX96" s="1099" t="n">
        <v>-111000000</v>
      </c>
      <c r="BY96" s="496" t="s">
        <v>469</v>
      </c>
      <c r="BZ96" s="1099" t="n">
        <v>-113000000</v>
      </c>
      <c r="CA96" s="496" t="s">
        <v>469</v>
      </c>
      <c r="CB96" s="1099" t="n">
        <v>-241000000</v>
      </c>
      <c r="CC96" s="1099" t="n">
        <v>-241000000</v>
      </c>
      <c r="CD96" s="1099" t="n">
        <v>-232000000</v>
      </c>
      <c r="CE96" s="1099" t="n">
        <v>-128000000</v>
      </c>
      <c r="CF96" s="1099" t="n">
        <v>-128000000</v>
      </c>
      <c r="CG96" s="1099" t="n">
        <v>-111000000</v>
      </c>
      <c r="CH96" s="1099" t="n">
        <v>-111000000</v>
      </c>
      <c r="CI96" s="1099" t="n">
        <v>-232000000</v>
      </c>
      <c r="CJ96" s="1099" t="n">
        <v>-232000000</v>
      </c>
      <c r="CK96" s="1099" t="n">
        <v>-241000000</v>
      </c>
      <c r="CL96" s="1099" t="n">
        <v>-241000000</v>
      </c>
      <c r="CM96" s="1099" t="n">
        <v>-241000000</v>
      </c>
      <c r="CN96" s="1099" t="n">
        <v>-241000000</v>
      </c>
      <c r="CO96" s="1099" t="n">
        <v>-207000000</v>
      </c>
      <c r="CP96" s="1099" t="n">
        <v>-207000000</v>
      </c>
      <c r="CQ96" s="1099" t="n">
        <v>-248000000</v>
      </c>
      <c r="CR96" s="1099" t="n">
        <v>-248000000</v>
      </c>
      <c r="CS96" s="1099" t="n">
        <v>-242000000</v>
      </c>
      <c r="CT96" s="1099" t="n">
        <v>-242000000</v>
      </c>
      <c r="CU96" s="1099" t="n">
        <v>-113000000</v>
      </c>
      <c r="CV96" s="1099" t="n">
        <v>-113000000</v>
      </c>
      <c r="CW96" s="1099" t="n">
        <v>-113000000</v>
      </c>
      <c r="CX96" s="1099" t="n">
        <v>-113000000</v>
      </c>
      <c r="CY96" s="1099" t="n">
        <v>-85200000</v>
      </c>
      <c r="CZ96" s="1099" t="n">
        <v>-85200000</v>
      </c>
      <c r="DA96" s="1099" t="n">
        <v>-80200000</v>
      </c>
      <c r="DB96" s="1099" t="n">
        <v>-80200000</v>
      </c>
      <c r="DC96" s="496" t="n">
        <v>-2138.933</v>
      </c>
      <c r="DD96" s="496" t="n">
        <v>-1732.976</v>
      </c>
      <c r="DE96" s="496" t="n">
        <v>-15172.03</v>
      </c>
      <c r="DF96" s="496" t="n">
        <v>-13133.19</v>
      </c>
    </row>
    <row r="97" customFormat="false" ht="15" hidden="false" customHeight="false" outlineLevel="0" collapsed="false">
      <c r="A97" s="496" t="s">
        <v>2027</v>
      </c>
      <c r="B97" s="496" t="s">
        <v>469</v>
      </c>
      <c r="C97" s="496" t="s">
        <v>469</v>
      </c>
      <c r="D97" s="496" t="s">
        <v>469</v>
      </c>
      <c r="E97" s="496" t="s">
        <v>469</v>
      </c>
      <c r="F97" s="496" t="s">
        <v>469</v>
      </c>
      <c r="G97" s="496" t="s">
        <v>469</v>
      </c>
      <c r="H97" s="496" t="s">
        <v>469</v>
      </c>
      <c r="I97" s="496" t="s">
        <v>469</v>
      </c>
      <c r="J97" s="496" t="s">
        <v>469</v>
      </c>
      <c r="K97" s="496" t="s">
        <v>469</v>
      </c>
      <c r="L97" s="496" t="s">
        <v>469</v>
      </c>
      <c r="M97" s="496" t="s">
        <v>469</v>
      </c>
      <c r="N97" s="496" t="s">
        <v>469</v>
      </c>
      <c r="O97" s="496" t="s">
        <v>469</v>
      </c>
      <c r="P97" s="496" t="s">
        <v>469</v>
      </c>
      <c r="Q97" s="496" t="s">
        <v>469</v>
      </c>
      <c r="R97" s="496" t="s">
        <v>469</v>
      </c>
      <c r="S97" s="496" t="s">
        <v>469</v>
      </c>
      <c r="T97" s="496" t="s">
        <v>469</v>
      </c>
      <c r="U97" s="496" t="s">
        <v>469</v>
      </c>
      <c r="V97" s="496" t="s">
        <v>469</v>
      </c>
      <c r="W97" s="496" t="s">
        <v>469</v>
      </c>
      <c r="X97" s="496" t="s">
        <v>469</v>
      </c>
      <c r="Y97" s="496" t="s">
        <v>469</v>
      </c>
      <c r="Z97" s="496" t="s">
        <v>469</v>
      </c>
      <c r="AA97" s="496" t="s">
        <v>469</v>
      </c>
      <c r="AB97" s="496" t="s">
        <v>469</v>
      </c>
      <c r="AC97" s="496" t="s">
        <v>469</v>
      </c>
      <c r="AD97" s="496" t="s">
        <v>469</v>
      </c>
      <c r="AE97" s="496" t="s">
        <v>469</v>
      </c>
      <c r="AF97" s="496" t="s">
        <v>469</v>
      </c>
      <c r="AG97" s="496" t="s">
        <v>469</v>
      </c>
      <c r="AH97" s="496" t="s">
        <v>469</v>
      </c>
      <c r="AI97" s="496" t="s">
        <v>469</v>
      </c>
      <c r="AJ97" s="496" t="s">
        <v>469</v>
      </c>
      <c r="AK97" s="496" t="s">
        <v>469</v>
      </c>
      <c r="AL97" s="496" t="s">
        <v>469</v>
      </c>
      <c r="AM97" s="496" t="s">
        <v>469</v>
      </c>
      <c r="AN97" s="496" t="s">
        <v>469</v>
      </c>
      <c r="AO97" s="496" t="s">
        <v>469</v>
      </c>
      <c r="AP97" s="496" t="s">
        <v>469</v>
      </c>
      <c r="AQ97" s="496" t="s">
        <v>469</v>
      </c>
      <c r="AR97" s="496" t="s">
        <v>469</v>
      </c>
      <c r="AS97" s="496" t="s">
        <v>469</v>
      </c>
      <c r="AT97" s="496" t="s">
        <v>469</v>
      </c>
      <c r="AU97" s="496" t="s">
        <v>469</v>
      </c>
      <c r="AV97" s="496" t="s">
        <v>469</v>
      </c>
      <c r="AW97" s="496" t="s">
        <v>469</v>
      </c>
      <c r="AX97" s="496" t="s">
        <v>469</v>
      </c>
      <c r="AY97" s="496" t="s">
        <v>469</v>
      </c>
      <c r="AZ97" s="496" t="s">
        <v>469</v>
      </c>
      <c r="BA97" s="496" t="s">
        <v>469</v>
      </c>
      <c r="BB97" s="496" t="s">
        <v>469</v>
      </c>
      <c r="BC97" s="496" t="s">
        <v>469</v>
      </c>
      <c r="BD97" s="496" t="s">
        <v>469</v>
      </c>
      <c r="BE97" s="496" t="s">
        <v>469</v>
      </c>
      <c r="BF97" s="496" t="s">
        <v>469</v>
      </c>
      <c r="BG97" s="496" t="s">
        <v>469</v>
      </c>
      <c r="BH97" s="496" t="s">
        <v>469</v>
      </c>
      <c r="BI97" s="496" t="s">
        <v>469</v>
      </c>
      <c r="BJ97" s="496" t="s">
        <v>469</v>
      </c>
      <c r="BK97" s="496" t="s">
        <v>469</v>
      </c>
      <c r="BL97" s="496" t="s">
        <v>469</v>
      </c>
      <c r="BM97" s="496" t="s">
        <v>469</v>
      </c>
      <c r="BN97" s="496" t="s">
        <v>469</v>
      </c>
      <c r="BO97" s="496" t="s">
        <v>469</v>
      </c>
      <c r="BP97" s="496" t="s">
        <v>469</v>
      </c>
      <c r="BQ97" s="496" t="s">
        <v>469</v>
      </c>
      <c r="BR97" s="496" t="s">
        <v>469</v>
      </c>
      <c r="BS97" s="496" t="s">
        <v>469</v>
      </c>
      <c r="BT97" s="496" t="s">
        <v>469</v>
      </c>
      <c r="BU97" s="496" t="s">
        <v>469</v>
      </c>
      <c r="BV97" s="496" t="s">
        <v>469</v>
      </c>
      <c r="BW97" s="496" t="s">
        <v>469</v>
      </c>
      <c r="BX97" s="496" t="s">
        <v>469</v>
      </c>
      <c r="BY97" s="496" t="s">
        <v>469</v>
      </c>
      <c r="BZ97" s="496" t="s">
        <v>469</v>
      </c>
      <c r="CA97" s="496" t="s">
        <v>469</v>
      </c>
      <c r="CB97" s="496" t="s">
        <v>469</v>
      </c>
      <c r="CC97" s="496" t="s">
        <v>469</v>
      </c>
      <c r="CD97" s="496" t="s">
        <v>469</v>
      </c>
      <c r="CE97" s="496" t="s">
        <v>469</v>
      </c>
      <c r="CF97" s="496" t="s">
        <v>469</v>
      </c>
      <c r="CG97" s="496" t="s">
        <v>469</v>
      </c>
      <c r="CH97" s="496" t="s">
        <v>469</v>
      </c>
      <c r="CI97" s="496" t="s">
        <v>469</v>
      </c>
      <c r="CJ97" s="496" t="s">
        <v>469</v>
      </c>
      <c r="CK97" s="496" t="s">
        <v>469</v>
      </c>
      <c r="CL97" s="496" t="s">
        <v>469</v>
      </c>
      <c r="CM97" s="496" t="s">
        <v>469</v>
      </c>
      <c r="CN97" s="496" t="s">
        <v>469</v>
      </c>
      <c r="CO97" s="496" t="s">
        <v>469</v>
      </c>
      <c r="CP97" s="496" t="s">
        <v>469</v>
      </c>
      <c r="CQ97" s="496" t="s">
        <v>469</v>
      </c>
      <c r="CR97" s="496" t="s">
        <v>469</v>
      </c>
      <c r="CS97" s="496" t="s">
        <v>469</v>
      </c>
      <c r="CT97" s="496" t="s">
        <v>469</v>
      </c>
      <c r="CU97" s="496" t="s">
        <v>469</v>
      </c>
      <c r="CV97" s="496" t="s">
        <v>469</v>
      </c>
      <c r="CW97" s="496" t="s">
        <v>469</v>
      </c>
      <c r="CX97" s="496" t="s">
        <v>469</v>
      </c>
      <c r="CY97" s="496" t="s">
        <v>469</v>
      </c>
      <c r="CZ97" s="496" t="s">
        <v>469</v>
      </c>
      <c r="DA97" s="496" t="s">
        <v>469</v>
      </c>
      <c r="DB97" s="496" t="s">
        <v>469</v>
      </c>
      <c r="DC97" s="496" t="s">
        <v>469</v>
      </c>
      <c r="DD97" s="496" t="s">
        <v>469</v>
      </c>
      <c r="DE97" s="496" t="s">
        <v>469</v>
      </c>
      <c r="DF97" s="496" t="s">
        <v>469</v>
      </c>
    </row>
    <row r="98" customFormat="false" ht="15" hidden="false" customHeight="false" outlineLevel="0" collapsed="false">
      <c r="A98" s="496" t="s">
        <v>2002</v>
      </c>
      <c r="B98" s="496" t="n">
        <v>8948.509</v>
      </c>
      <c r="C98" s="496" t="s">
        <v>469</v>
      </c>
      <c r="D98" s="496" t="s">
        <v>469</v>
      </c>
      <c r="E98" s="496" t="s">
        <v>469</v>
      </c>
      <c r="F98" s="496" t="s">
        <v>469</v>
      </c>
      <c r="G98" s="496" t="s">
        <v>469</v>
      </c>
      <c r="H98" s="496" t="s">
        <v>469</v>
      </c>
      <c r="I98" s="496" t="s">
        <v>469</v>
      </c>
      <c r="J98" s="496" t="n">
        <v>44.21235</v>
      </c>
      <c r="K98" s="496" t="s">
        <v>469</v>
      </c>
      <c r="L98" s="496" t="s">
        <v>469</v>
      </c>
      <c r="M98" s="496" t="s">
        <v>469</v>
      </c>
      <c r="N98" s="496" t="s">
        <v>469</v>
      </c>
      <c r="O98" s="496" t="s">
        <v>469</v>
      </c>
      <c r="P98" s="496" t="s">
        <v>469</v>
      </c>
      <c r="Q98" s="496" t="s">
        <v>469</v>
      </c>
      <c r="R98" s="496" t="s">
        <v>469</v>
      </c>
      <c r="S98" s="496" t="s">
        <v>469</v>
      </c>
      <c r="T98" s="496" t="s">
        <v>469</v>
      </c>
      <c r="U98" s="496" t="s">
        <v>469</v>
      </c>
      <c r="V98" s="496" t="s">
        <v>469</v>
      </c>
      <c r="W98" s="496" t="s">
        <v>469</v>
      </c>
      <c r="X98" s="496" t="s">
        <v>469</v>
      </c>
      <c r="Y98" s="496" t="s">
        <v>469</v>
      </c>
      <c r="Z98" s="496" t="s">
        <v>469</v>
      </c>
      <c r="AA98" s="496" t="s">
        <v>469</v>
      </c>
      <c r="AB98" s="496" t="s">
        <v>469</v>
      </c>
      <c r="AC98" s="496" t="s">
        <v>469</v>
      </c>
      <c r="AD98" s="496" t="s">
        <v>469</v>
      </c>
      <c r="AE98" s="496" t="n">
        <v>1</v>
      </c>
      <c r="AF98" s="496" t="s">
        <v>469</v>
      </c>
      <c r="AG98" s="496" t="n">
        <v>1</v>
      </c>
      <c r="AH98" s="496" t="n">
        <v>0.1418984</v>
      </c>
      <c r="AI98" s="496" t="n">
        <v>1</v>
      </c>
      <c r="AJ98" s="496" t="s">
        <v>469</v>
      </c>
      <c r="AK98" s="496" t="n">
        <v>1</v>
      </c>
      <c r="AL98" s="496" t="s">
        <v>469</v>
      </c>
      <c r="AM98" s="496" t="n">
        <v>1</v>
      </c>
      <c r="AN98" s="496" t="n">
        <v>1</v>
      </c>
      <c r="AO98" s="496" t="n">
        <v>0.8944311</v>
      </c>
      <c r="AP98" s="496" t="s">
        <v>469</v>
      </c>
      <c r="AQ98" s="496" t="n">
        <v>1</v>
      </c>
      <c r="AR98" s="496" t="s">
        <v>469</v>
      </c>
      <c r="AS98" s="496" t="n">
        <v>1</v>
      </c>
      <c r="AT98" s="496" t="s">
        <v>469</v>
      </c>
      <c r="AU98" s="496" t="n">
        <v>1</v>
      </c>
      <c r="AV98" s="496" t="n">
        <v>1</v>
      </c>
      <c r="AW98" s="496" t="n">
        <v>1</v>
      </c>
      <c r="AX98" s="496" t="n">
        <v>12358.39</v>
      </c>
      <c r="AY98" s="496" t="s">
        <v>469</v>
      </c>
      <c r="AZ98" s="496" t="s">
        <v>469</v>
      </c>
      <c r="BA98" s="496" t="s">
        <v>469</v>
      </c>
      <c r="BB98" s="496" t="s">
        <v>469</v>
      </c>
      <c r="BC98" s="496" t="s">
        <v>469</v>
      </c>
      <c r="BD98" s="496" t="s">
        <v>469</v>
      </c>
      <c r="BE98" s="496" t="s">
        <v>469</v>
      </c>
      <c r="BF98" s="496" t="s">
        <v>469</v>
      </c>
      <c r="BG98" s="1099" t="n">
        <v>142000</v>
      </c>
      <c r="BH98" s="496" t="s">
        <v>469</v>
      </c>
      <c r="BI98" s="1099" t="n">
        <v>109000</v>
      </c>
      <c r="BJ98" s="1099" t="n">
        <v>111000</v>
      </c>
      <c r="BK98" s="1099" t="n">
        <v>104000</v>
      </c>
      <c r="BL98" s="496" t="s">
        <v>469</v>
      </c>
      <c r="BM98" s="496" t="s">
        <v>469</v>
      </c>
      <c r="BN98" s="496" t="s">
        <v>469</v>
      </c>
      <c r="BO98" s="496" t="s">
        <v>469</v>
      </c>
      <c r="BP98" s="496" t="n">
        <v>47.66526</v>
      </c>
      <c r="BQ98" s="496" t="s">
        <v>469</v>
      </c>
      <c r="BR98" s="496" t="n">
        <v>7305.046</v>
      </c>
      <c r="BS98" s="496" t="n">
        <v>12940.49</v>
      </c>
      <c r="BT98" s="496" t="n">
        <v>13827.32</v>
      </c>
      <c r="BU98" s="496" t="s">
        <v>469</v>
      </c>
      <c r="BV98" s="496" t="s">
        <v>469</v>
      </c>
      <c r="BW98" s="496" t="s">
        <v>469</v>
      </c>
      <c r="BX98" s="496" t="s">
        <v>469</v>
      </c>
      <c r="BY98" s="496" t="s">
        <v>469</v>
      </c>
      <c r="BZ98" s="496" t="s">
        <v>469</v>
      </c>
      <c r="CA98" s="496" t="s">
        <v>469</v>
      </c>
      <c r="CB98" s="496" t="s">
        <v>469</v>
      </c>
      <c r="CC98" s="496" t="s">
        <v>469</v>
      </c>
      <c r="CD98" s="496" t="s">
        <v>469</v>
      </c>
      <c r="CE98" s="496" t="s">
        <v>469</v>
      </c>
      <c r="CF98" s="496" t="n">
        <v>28157.07</v>
      </c>
      <c r="CG98" s="496" t="s">
        <v>469</v>
      </c>
      <c r="CH98" s="496" t="s">
        <v>469</v>
      </c>
      <c r="CI98" s="496" t="n">
        <v>12887.49</v>
      </c>
      <c r="CJ98" s="496" t="n">
        <v>55987.89</v>
      </c>
      <c r="CK98" s="496" t="s">
        <v>469</v>
      </c>
      <c r="CL98" s="496" t="n">
        <v>37165.37</v>
      </c>
      <c r="CM98" s="496" t="s">
        <v>469</v>
      </c>
      <c r="CN98" s="496" t="n">
        <v>42429.22</v>
      </c>
      <c r="CO98" s="1099" t="n">
        <v>111000</v>
      </c>
      <c r="CP98" s="1099" t="n">
        <v>111000</v>
      </c>
      <c r="CQ98" s="496" t="s">
        <v>469</v>
      </c>
      <c r="CR98" s="496" t="n">
        <v>3116.338</v>
      </c>
      <c r="CS98" s="496" t="s">
        <v>469</v>
      </c>
      <c r="CT98" s="496" t="n">
        <v>51228.03</v>
      </c>
      <c r="CU98" s="496" t="s">
        <v>469</v>
      </c>
      <c r="CV98" s="496" t="n">
        <v>19772.57</v>
      </c>
      <c r="CW98" s="496" t="s">
        <v>469</v>
      </c>
      <c r="CX98" s="496" t="n">
        <v>20101.4</v>
      </c>
      <c r="CY98" s="496" t="n">
        <v>13827.32</v>
      </c>
      <c r="CZ98" s="496" t="n">
        <v>13827.32</v>
      </c>
      <c r="DA98" s="496" t="s">
        <v>469</v>
      </c>
      <c r="DB98" s="496" t="n">
        <v>1008.579</v>
      </c>
      <c r="DC98" s="496" t="s">
        <v>469</v>
      </c>
      <c r="DD98" s="496" t="n">
        <v>1</v>
      </c>
      <c r="DE98" s="496" t="s">
        <v>469</v>
      </c>
      <c r="DF98" s="496" t="n">
        <v>1</v>
      </c>
    </row>
    <row r="99" customFormat="false" ht="15" hidden="false" customHeight="false" outlineLevel="0" collapsed="false">
      <c r="A99" s="496" t="s">
        <v>2020</v>
      </c>
      <c r="B99" s="1099" t="n">
        <v>-16500000</v>
      </c>
      <c r="C99" s="496" t="s">
        <v>469</v>
      </c>
      <c r="D99" s="496" t="s">
        <v>469</v>
      </c>
      <c r="E99" s="496" t="s">
        <v>469</v>
      </c>
      <c r="F99" s="496" t="s">
        <v>469</v>
      </c>
      <c r="G99" s="496" t="s">
        <v>469</v>
      </c>
      <c r="H99" s="496" t="s">
        <v>469</v>
      </c>
      <c r="I99" s="496" t="s">
        <v>469</v>
      </c>
      <c r="J99" s="1099" t="n">
        <v>-170000</v>
      </c>
      <c r="K99" s="496" t="s">
        <v>469</v>
      </c>
      <c r="L99" s="496" t="s">
        <v>469</v>
      </c>
      <c r="M99" s="496" t="s">
        <v>469</v>
      </c>
      <c r="N99" s="496" t="s">
        <v>469</v>
      </c>
      <c r="O99" s="496" t="s">
        <v>469</v>
      </c>
      <c r="P99" s="496" t="s">
        <v>469</v>
      </c>
      <c r="Q99" s="496" t="s">
        <v>469</v>
      </c>
      <c r="R99" s="496" t="s">
        <v>469</v>
      </c>
      <c r="S99" s="496" t="s">
        <v>469</v>
      </c>
      <c r="T99" s="496" t="s">
        <v>469</v>
      </c>
      <c r="U99" s="496" t="s">
        <v>469</v>
      </c>
      <c r="V99" s="496" t="s">
        <v>469</v>
      </c>
      <c r="W99" s="496" t="s">
        <v>469</v>
      </c>
      <c r="X99" s="496" t="s">
        <v>469</v>
      </c>
      <c r="Y99" s="496" t="s">
        <v>469</v>
      </c>
      <c r="Z99" s="496" t="s">
        <v>469</v>
      </c>
      <c r="AA99" s="496" t="s">
        <v>469</v>
      </c>
      <c r="AB99" s="496" t="s">
        <v>469</v>
      </c>
      <c r="AC99" s="496" t="s">
        <v>469</v>
      </c>
      <c r="AD99" s="496" t="s">
        <v>469</v>
      </c>
      <c r="AE99" s="496" t="n">
        <v>-1278.517</v>
      </c>
      <c r="AF99" s="496" t="s">
        <v>469</v>
      </c>
      <c r="AG99" s="496" t="n">
        <v>-6139.237</v>
      </c>
      <c r="AH99" s="496" t="n">
        <v>-262.2456</v>
      </c>
      <c r="AI99" s="496" t="n">
        <v>-2175.829</v>
      </c>
      <c r="AJ99" s="496" t="s">
        <v>469</v>
      </c>
      <c r="AK99" s="496" t="n">
        <v>-2204.723</v>
      </c>
      <c r="AL99" s="496" t="s">
        <v>469</v>
      </c>
      <c r="AM99" s="496" t="n">
        <v>-2209.23</v>
      </c>
      <c r="AN99" s="496" t="n">
        <v>-1867.924</v>
      </c>
      <c r="AO99" s="496" t="n">
        <v>-1627.19</v>
      </c>
      <c r="AP99" s="496" t="s">
        <v>469</v>
      </c>
      <c r="AQ99" s="496" t="n">
        <v>-13133.19</v>
      </c>
      <c r="AR99" s="496" t="s">
        <v>469</v>
      </c>
      <c r="AS99" s="496" t="n">
        <v>-1846.406</v>
      </c>
      <c r="AT99" s="496" t="s">
        <v>469</v>
      </c>
      <c r="AU99" s="496" t="n">
        <v>-1738.331</v>
      </c>
      <c r="AV99" s="496" t="n">
        <v>-6160.36</v>
      </c>
      <c r="AW99" s="496" t="n">
        <v>-6103.938</v>
      </c>
      <c r="AX99" s="1099" t="n">
        <v>-22800000</v>
      </c>
      <c r="AY99" s="496" t="s">
        <v>469</v>
      </c>
      <c r="AZ99" s="496" t="s">
        <v>469</v>
      </c>
      <c r="BA99" s="496" t="s">
        <v>469</v>
      </c>
      <c r="BB99" s="496" t="s">
        <v>469</v>
      </c>
      <c r="BC99" s="496" t="s">
        <v>469</v>
      </c>
      <c r="BD99" s="496" t="s">
        <v>469</v>
      </c>
      <c r="BE99" s="496" t="s">
        <v>469</v>
      </c>
      <c r="BF99" s="496" t="s">
        <v>469</v>
      </c>
      <c r="BG99" s="1099" t="n">
        <v>-430000000</v>
      </c>
      <c r="BH99" s="496" t="s">
        <v>469</v>
      </c>
      <c r="BI99" s="1099" t="n">
        <v>-206000000</v>
      </c>
      <c r="BJ99" s="1099" t="n">
        <v>-207000000</v>
      </c>
      <c r="BK99" s="1099" t="n">
        <v>-203000000</v>
      </c>
      <c r="BL99" s="496" t="s">
        <v>469</v>
      </c>
      <c r="BM99" s="496" t="s">
        <v>469</v>
      </c>
      <c r="BN99" s="496" t="s">
        <v>469</v>
      </c>
      <c r="BO99" s="496" t="s">
        <v>469</v>
      </c>
      <c r="BP99" s="1099" t="n">
        <v>-119000</v>
      </c>
      <c r="BQ99" s="496" t="s">
        <v>469</v>
      </c>
      <c r="BR99" s="1099" t="n">
        <v>-96800000</v>
      </c>
      <c r="BS99" s="1099" t="n">
        <v>-77300000</v>
      </c>
      <c r="BT99" s="1099" t="n">
        <v>-85200000</v>
      </c>
      <c r="BU99" s="496" t="s">
        <v>469</v>
      </c>
      <c r="BV99" s="496" t="s">
        <v>469</v>
      </c>
      <c r="BW99" s="496" t="s">
        <v>469</v>
      </c>
      <c r="BX99" s="496" t="s">
        <v>469</v>
      </c>
      <c r="BY99" s="496" t="s">
        <v>469</v>
      </c>
      <c r="BZ99" s="496" t="s">
        <v>469</v>
      </c>
      <c r="CA99" s="496" t="s">
        <v>469</v>
      </c>
      <c r="CB99" s="496" t="s">
        <v>469</v>
      </c>
      <c r="CC99" s="496" t="s">
        <v>469</v>
      </c>
      <c r="CD99" s="496" t="s">
        <v>469</v>
      </c>
      <c r="CE99" s="496" t="s">
        <v>469</v>
      </c>
      <c r="CF99" s="1099" t="n">
        <v>-40100000</v>
      </c>
      <c r="CG99" s="496" t="s">
        <v>469</v>
      </c>
      <c r="CH99" s="496" t="s">
        <v>469</v>
      </c>
      <c r="CI99" s="1099" t="n">
        <v>-23800000</v>
      </c>
      <c r="CJ99" s="1099" t="n">
        <v>-113000000</v>
      </c>
      <c r="CK99" s="496" t="s">
        <v>469</v>
      </c>
      <c r="CL99" s="1099" t="n">
        <v>-71400000</v>
      </c>
      <c r="CM99" s="496" t="s">
        <v>469</v>
      </c>
      <c r="CN99" s="1099" t="n">
        <v>-87500000</v>
      </c>
      <c r="CO99" s="1099" t="n">
        <v>-207000000</v>
      </c>
      <c r="CP99" s="1099" t="n">
        <v>-207000000</v>
      </c>
      <c r="CQ99" s="496" t="s">
        <v>469</v>
      </c>
      <c r="CR99" s="1099" t="n">
        <v>-41500000</v>
      </c>
      <c r="CS99" s="496" t="s">
        <v>469</v>
      </c>
      <c r="CT99" s="1099" t="n">
        <v>-97200000</v>
      </c>
      <c r="CU99" s="496" t="s">
        <v>469</v>
      </c>
      <c r="CV99" s="1099" t="n">
        <v>-37200000</v>
      </c>
      <c r="CW99" s="496" t="s">
        <v>469</v>
      </c>
      <c r="CX99" s="1099" t="n">
        <v>-37800000</v>
      </c>
      <c r="CY99" s="1099" t="n">
        <v>-85200000</v>
      </c>
      <c r="CZ99" s="1099" t="n">
        <v>-85200000</v>
      </c>
      <c r="DA99" s="496" t="s">
        <v>469</v>
      </c>
      <c r="DB99" s="1099" t="n">
        <v>-13400000</v>
      </c>
      <c r="DC99" s="496" t="s">
        <v>469</v>
      </c>
      <c r="DD99" s="496" t="n">
        <v>-1732.976</v>
      </c>
      <c r="DE99" s="496" t="s">
        <v>469</v>
      </c>
      <c r="DF99" s="496" t="n">
        <v>-13133.19</v>
      </c>
    </row>
    <row r="100" customFormat="false" ht="15" hidden="false" customHeight="false" outlineLevel="0" collapsed="false">
      <c r="A100" s="496" t="s">
        <v>2010</v>
      </c>
      <c r="B100" s="496" t="n">
        <v>-1845.158</v>
      </c>
      <c r="C100" s="496" t="s">
        <v>469</v>
      </c>
      <c r="D100" s="496" t="s">
        <v>469</v>
      </c>
      <c r="E100" s="496" t="s">
        <v>469</v>
      </c>
      <c r="F100" s="496" t="s">
        <v>469</v>
      </c>
      <c r="G100" s="496" t="s">
        <v>469</v>
      </c>
      <c r="H100" s="496" t="s">
        <v>469</v>
      </c>
      <c r="I100" s="496" t="s">
        <v>469</v>
      </c>
      <c r="J100" s="496" t="n">
        <v>-3836.424</v>
      </c>
      <c r="K100" s="496" t="s">
        <v>469</v>
      </c>
      <c r="L100" s="496" t="s">
        <v>469</v>
      </c>
      <c r="M100" s="496" t="s">
        <v>469</v>
      </c>
      <c r="N100" s="496" t="s">
        <v>469</v>
      </c>
      <c r="O100" s="496" t="s">
        <v>469</v>
      </c>
      <c r="P100" s="496" t="s">
        <v>469</v>
      </c>
      <c r="Q100" s="496" t="s">
        <v>469</v>
      </c>
      <c r="R100" s="496" t="s">
        <v>469</v>
      </c>
      <c r="S100" s="496" t="s">
        <v>469</v>
      </c>
      <c r="T100" s="496" t="s">
        <v>469</v>
      </c>
      <c r="U100" s="496" t="s">
        <v>469</v>
      </c>
      <c r="V100" s="496" t="s">
        <v>469</v>
      </c>
      <c r="W100" s="496" t="s">
        <v>469</v>
      </c>
      <c r="X100" s="496" t="s">
        <v>469</v>
      </c>
      <c r="Y100" s="496" t="s">
        <v>469</v>
      </c>
      <c r="Z100" s="496" t="s">
        <v>469</v>
      </c>
      <c r="AA100" s="496" t="s">
        <v>469</v>
      </c>
      <c r="AB100" s="496" t="s">
        <v>469</v>
      </c>
      <c r="AC100" s="496" t="s">
        <v>469</v>
      </c>
      <c r="AD100" s="496" t="s">
        <v>469</v>
      </c>
      <c r="AE100" s="496" t="n">
        <v>-1278.517</v>
      </c>
      <c r="AF100" s="496" t="s">
        <v>469</v>
      </c>
      <c r="AG100" s="496" t="n">
        <v>-6139.237</v>
      </c>
      <c r="AH100" s="496" t="n">
        <v>-1848.122</v>
      </c>
      <c r="AI100" s="496" t="n">
        <v>-2175.829</v>
      </c>
      <c r="AJ100" s="496" t="s">
        <v>469</v>
      </c>
      <c r="AK100" s="496" t="n">
        <v>-2204.723</v>
      </c>
      <c r="AL100" s="496" t="s">
        <v>469</v>
      </c>
      <c r="AM100" s="496" t="n">
        <v>-2209.23</v>
      </c>
      <c r="AN100" s="496" t="n">
        <v>-1867.924</v>
      </c>
      <c r="AO100" s="496" t="n">
        <v>-1819.245</v>
      </c>
      <c r="AP100" s="496" t="s">
        <v>469</v>
      </c>
      <c r="AQ100" s="496" t="n">
        <v>-13133.19</v>
      </c>
      <c r="AR100" s="496" t="s">
        <v>469</v>
      </c>
      <c r="AS100" s="496" t="n">
        <v>-1846.406</v>
      </c>
      <c r="AT100" s="496" t="s">
        <v>469</v>
      </c>
      <c r="AU100" s="496" t="n">
        <v>-1738.331</v>
      </c>
      <c r="AV100" s="496" t="n">
        <v>-6160.36</v>
      </c>
      <c r="AW100" s="496" t="n">
        <v>-6103.938</v>
      </c>
      <c r="AX100" s="496" t="n">
        <v>-1846.623</v>
      </c>
      <c r="AY100" s="496" t="s">
        <v>469</v>
      </c>
      <c r="AZ100" s="496" t="s">
        <v>469</v>
      </c>
      <c r="BA100" s="496" t="s">
        <v>469</v>
      </c>
      <c r="BB100" s="496" t="s">
        <v>469</v>
      </c>
      <c r="BC100" s="496" t="s">
        <v>469</v>
      </c>
      <c r="BD100" s="496" t="s">
        <v>469</v>
      </c>
      <c r="BE100" s="496" t="s">
        <v>469</v>
      </c>
      <c r="BF100" s="496" t="s">
        <v>469</v>
      </c>
      <c r="BG100" s="496" t="n">
        <v>-3029.342</v>
      </c>
      <c r="BH100" s="496" t="s">
        <v>469</v>
      </c>
      <c r="BI100" s="496" t="n">
        <v>-1888.595</v>
      </c>
      <c r="BJ100" s="496" t="n">
        <v>-1871.777</v>
      </c>
      <c r="BK100" s="496" t="n">
        <v>-1942.615</v>
      </c>
      <c r="BL100" s="496" t="s">
        <v>469</v>
      </c>
      <c r="BM100" s="496" t="s">
        <v>469</v>
      </c>
      <c r="BN100" s="496" t="s">
        <v>469</v>
      </c>
      <c r="BO100" s="496" t="s">
        <v>469</v>
      </c>
      <c r="BP100" s="496" t="n">
        <v>-2500.919</v>
      </c>
      <c r="BQ100" s="496" t="s">
        <v>469</v>
      </c>
      <c r="BR100" s="496" t="n">
        <v>-13253.55</v>
      </c>
      <c r="BS100" s="496" t="n">
        <v>-5975.388</v>
      </c>
      <c r="BT100" s="496" t="n">
        <v>-6160.37</v>
      </c>
      <c r="BU100" s="496" t="s">
        <v>469</v>
      </c>
      <c r="BV100" s="496" t="s">
        <v>469</v>
      </c>
      <c r="BW100" s="496" t="s">
        <v>469</v>
      </c>
      <c r="BX100" s="496" t="s">
        <v>469</v>
      </c>
      <c r="BY100" s="496" t="s">
        <v>469</v>
      </c>
      <c r="BZ100" s="496" t="s">
        <v>469</v>
      </c>
      <c r="CA100" s="496" t="s">
        <v>469</v>
      </c>
      <c r="CB100" s="496" t="s">
        <v>469</v>
      </c>
      <c r="CC100" s="496" t="s">
        <v>469</v>
      </c>
      <c r="CD100" s="496" t="s">
        <v>469</v>
      </c>
      <c r="CE100" s="496" t="s">
        <v>469</v>
      </c>
      <c r="CF100" s="496" t="n">
        <v>-1423.736</v>
      </c>
      <c r="CG100" s="496" t="s">
        <v>469</v>
      </c>
      <c r="CH100" s="496" t="s">
        <v>469</v>
      </c>
      <c r="CI100" s="496" t="n">
        <v>-1848.122</v>
      </c>
      <c r="CJ100" s="496" t="n">
        <v>-2011.155</v>
      </c>
      <c r="CK100" s="496" t="s">
        <v>469</v>
      </c>
      <c r="CL100" s="496" t="n">
        <v>-1920.437</v>
      </c>
      <c r="CM100" s="496" t="s">
        <v>469</v>
      </c>
      <c r="CN100" s="496" t="n">
        <v>-2061.552</v>
      </c>
      <c r="CO100" s="496" t="n">
        <v>-1867.924</v>
      </c>
      <c r="CP100" s="496" t="n">
        <v>-1867.924</v>
      </c>
      <c r="CQ100" s="496" t="s">
        <v>469</v>
      </c>
      <c r="CR100" s="496" t="n">
        <v>-13310.61</v>
      </c>
      <c r="CS100" s="496" t="s">
        <v>469</v>
      </c>
      <c r="CT100" s="496" t="n">
        <v>-1898.296</v>
      </c>
      <c r="CU100" s="496" t="s">
        <v>469</v>
      </c>
      <c r="CV100" s="496" t="n">
        <v>-1881.673</v>
      </c>
      <c r="CW100" s="496" t="s">
        <v>469</v>
      </c>
      <c r="CX100" s="496" t="n">
        <v>-1881.486</v>
      </c>
      <c r="CY100" s="496" t="n">
        <v>-6160.359</v>
      </c>
      <c r="CZ100" s="496" t="n">
        <v>-6160.359</v>
      </c>
      <c r="DA100" s="496" t="s">
        <v>469</v>
      </c>
      <c r="DB100" s="496" t="n">
        <v>-13310.61</v>
      </c>
      <c r="DC100" s="496" t="s">
        <v>469</v>
      </c>
      <c r="DD100" s="496" t="n">
        <v>-1732.976</v>
      </c>
      <c r="DE100" s="496" t="s">
        <v>469</v>
      </c>
      <c r="DF100" s="496" t="n">
        <v>-13133.19</v>
      </c>
    </row>
    <row r="101" customFormat="false" ht="15" hidden="false" customHeight="false" outlineLevel="0" collapsed="false">
      <c r="A101" s="496" t="s">
        <v>2015</v>
      </c>
      <c r="B101" s="496" t="n">
        <v>18.03361</v>
      </c>
      <c r="C101" s="496" t="s">
        <v>469</v>
      </c>
      <c r="D101" s="496" t="s">
        <v>469</v>
      </c>
      <c r="E101" s="496" t="s">
        <v>469</v>
      </c>
      <c r="F101" s="496" t="s">
        <v>469</v>
      </c>
      <c r="G101" s="496" t="s">
        <v>469</v>
      </c>
      <c r="H101" s="496" t="s">
        <v>469</v>
      </c>
      <c r="I101" s="496" t="s">
        <v>469</v>
      </c>
      <c r="J101" s="496" t="n">
        <v>2.214216</v>
      </c>
      <c r="K101" s="496" t="s">
        <v>469</v>
      </c>
      <c r="L101" s="496" t="s">
        <v>469</v>
      </c>
      <c r="M101" s="496" t="s">
        <v>469</v>
      </c>
      <c r="N101" s="496" t="s">
        <v>469</v>
      </c>
      <c r="O101" s="496" t="s">
        <v>469</v>
      </c>
      <c r="P101" s="496" t="s">
        <v>469</v>
      </c>
      <c r="Q101" s="496" t="s">
        <v>469</v>
      </c>
      <c r="R101" s="496" t="s">
        <v>469</v>
      </c>
      <c r="S101" s="496" t="s">
        <v>469</v>
      </c>
      <c r="T101" s="496" t="s">
        <v>469</v>
      </c>
      <c r="U101" s="496" t="s">
        <v>469</v>
      </c>
      <c r="V101" s="496" t="s">
        <v>469</v>
      </c>
      <c r="W101" s="496" t="s">
        <v>469</v>
      </c>
      <c r="X101" s="496" t="s">
        <v>469</v>
      </c>
      <c r="Y101" s="496" t="s">
        <v>469</v>
      </c>
      <c r="Z101" s="496" t="s">
        <v>469</v>
      </c>
      <c r="AA101" s="496" t="s">
        <v>469</v>
      </c>
      <c r="AB101" s="496" t="s">
        <v>469</v>
      </c>
      <c r="AC101" s="496" t="s">
        <v>469</v>
      </c>
      <c r="AD101" s="496" t="s">
        <v>469</v>
      </c>
      <c r="AE101" s="496" t="n">
        <v>28.65393</v>
      </c>
      <c r="AF101" s="496" t="s">
        <v>469</v>
      </c>
      <c r="AG101" s="496" t="n">
        <v>5.457413</v>
      </c>
      <c r="AH101" s="496" t="n">
        <v>16.35312</v>
      </c>
      <c r="AI101" s="496" t="n">
        <v>37.80988</v>
      </c>
      <c r="AJ101" s="496" t="s">
        <v>469</v>
      </c>
      <c r="AK101" s="496" t="n">
        <v>27.44518</v>
      </c>
      <c r="AL101" s="496" t="s">
        <v>469</v>
      </c>
      <c r="AM101" s="496" t="n">
        <v>38.804</v>
      </c>
      <c r="AN101" s="496" t="n">
        <v>14.47497</v>
      </c>
      <c r="AO101" s="496" t="n">
        <v>27.98396</v>
      </c>
      <c r="AP101" s="496" t="s">
        <v>469</v>
      </c>
      <c r="AQ101" s="496" t="n">
        <v>6.851997</v>
      </c>
      <c r="AR101" s="496" t="s">
        <v>469</v>
      </c>
      <c r="AS101" s="496" t="n">
        <v>27.44836</v>
      </c>
      <c r="AT101" s="496" t="s">
        <v>469</v>
      </c>
      <c r="AU101" s="496" t="n">
        <v>27.97292</v>
      </c>
      <c r="AV101" s="496" t="n">
        <v>1.724633</v>
      </c>
      <c r="AW101" s="496" t="n">
        <v>6.583027</v>
      </c>
      <c r="AX101" s="496" t="n">
        <v>16.38535</v>
      </c>
      <c r="AY101" s="496" t="s">
        <v>469</v>
      </c>
      <c r="AZ101" s="496" t="s">
        <v>469</v>
      </c>
      <c r="BA101" s="496" t="s">
        <v>469</v>
      </c>
      <c r="BB101" s="496" t="s">
        <v>469</v>
      </c>
      <c r="BC101" s="496" t="s">
        <v>469</v>
      </c>
      <c r="BD101" s="496" t="s">
        <v>469</v>
      </c>
      <c r="BE101" s="496" t="s">
        <v>469</v>
      </c>
      <c r="BF101" s="496" t="s">
        <v>469</v>
      </c>
      <c r="BG101" s="496" t="n">
        <v>24.56746</v>
      </c>
      <c r="BH101" s="496" t="s">
        <v>469</v>
      </c>
      <c r="BI101" s="496" t="n">
        <v>18.0011</v>
      </c>
      <c r="BJ101" s="496" t="n">
        <v>18.07625</v>
      </c>
      <c r="BK101" s="496" t="n">
        <v>18.48071</v>
      </c>
      <c r="BL101" s="496" t="s">
        <v>469</v>
      </c>
      <c r="BM101" s="496" t="s">
        <v>469</v>
      </c>
      <c r="BN101" s="496" t="s">
        <v>469</v>
      </c>
      <c r="BO101" s="496" t="s">
        <v>469</v>
      </c>
      <c r="BP101" s="496" t="n">
        <v>2.612573</v>
      </c>
      <c r="BQ101" s="496" t="s">
        <v>469</v>
      </c>
      <c r="BR101" s="496" t="n">
        <v>1.018185</v>
      </c>
      <c r="BS101" s="496" t="n">
        <v>1.75025</v>
      </c>
      <c r="BT101" s="496" t="n">
        <v>1.726516</v>
      </c>
      <c r="BU101" s="496" t="s">
        <v>469</v>
      </c>
      <c r="BV101" s="496" t="s">
        <v>469</v>
      </c>
      <c r="BW101" s="496" t="s">
        <v>469</v>
      </c>
      <c r="BX101" s="496" t="s">
        <v>469</v>
      </c>
      <c r="BY101" s="496" t="s">
        <v>469</v>
      </c>
      <c r="BZ101" s="496" t="s">
        <v>469</v>
      </c>
      <c r="CA101" s="496" t="s">
        <v>469</v>
      </c>
      <c r="CB101" s="496" t="s">
        <v>469</v>
      </c>
      <c r="CC101" s="496" t="s">
        <v>469</v>
      </c>
      <c r="CD101" s="496" t="s">
        <v>469</v>
      </c>
      <c r="CE101" s="496" t="s">
        <v>469</v>
      </c>
      <c r="CF101" s="496" t="n">
        <v>1.661425</v>
      </c>
      <c r="CG101" s="496" t="s">
        <v>469</v>
      </c>
      <c r="CH101" s="496" t="s">
        <v>469</v>
      </c>
      <c r="CI101" s="496" t="n">
        <v>16.35312</v>
      </c>
      <c r="CJ101" s="496" t="n">
        <v>1.584925</v>
      </c>
      <c r="CK101" s="496" t="s">
        <v>469</v>
      </c>
      <c r="CL101" s="496" t="n">
        <v>1.598111</v>
      </c>
      <c r="CM101" s="496" t="s">
        <v>469</v>
      </c>
      <c r="CN101" s="496" t="n">
        <v>1.609818</v>
      </c>
      <c r="CO101" s="496" t="n">
        <v>14.47496</v>
      </c>
      <c r="CP101" s="496" t="n">
        <v>1.277736</v>
      </c>
      <c r="CQ101" s="496" t="s">
        <v>469</v>
      </c>
      <c r="CR101" s="496" t="n">
        <v>0.3637249</v>
      </c>
      <c r="CS101" s="496" t="s">
        <v>469</v>
      </c>
      <c r="CT101" s="496" t="n">
        <v>1.660206</v>
      </c>
      <c r="CU101" s="496" t="s">
        <v>469</v>
      </c>
      <c r="CV101" s="496" t="n">
        <v>1.675592</v>
      </c>
      <c r="CW101" s="496" t="s">
        <v>469</v>
      </c>
      <c r="CX101" s="496" t="n">
        <v>1.675562</v>
      </c>
      <c r="CY101" s="496" t="n">
        <v>1.724633</v>
      </c>
      <c r="CZ101" s="496" t="n">
        <v>0.6758182</v>
      </c>
      <c r="DA101" s="496" t="s">
        <v>469</v>
      </c>
      <c r="DB101" s="496" t="n">
        <v>0.363725</v>
      </c>
      <c r="DC101" s="496" t="s">
        <v>469</v>
      </c>
      <c r="DD101" s="496" t="n">
        <v>30.75456</v>
      </c>
      <c r="DE101" s="496" t="s">
        <v>469</v>
      </c>
      <c r="DF101" s="496" t="n">
        <v>6.851997</v>
      </c>
    </row>
    <row r="102" customFormat="false" ht="15" hidden="false" customHeight="false" outlineLevel="0" collapsed="false">
      <c r="A102" s="496" t="s">
        <v>2021</v>
      </c>
      <c r="B102" s="496" t="n">
        <v>1.945895</v>
      </c>
      <c r="C102" s="496" t="s">
        <v>469</v>
      </c>
      <c r="D102" s="496" t="s">
        <v>469</v>
      </c>
      <c r="E102" s="496" t="s">
        <v>469</v>
      </c>
      <c r="F102" s="496" t="s">
        <v>469</v>
      </c>
      <c r="G102" s="496" t="s">
        <v>469</v>
      </c>
      <c r="H102" s="496" t="s">
        <v>469</v>
      </c>
      <c r="I102" s="496" t="s">
        <v>469</v>
      </c>
      <c r="J102" s="496" t="n">
        <v>1.679743</v>
      </c>
      <c r="K102" s="496" t="s">
        <v>469</v>
      </c>
      <c r="L102" s="496" t="s">
        <v>469</v>
      </c>
      <c r="M102" s="496" t="s">
        <v>469</v>
      </c>
      <c r="N102" s="496" t="s">
        <v>469</v>
      </c>
      <c r="O102" s="496" t="s">
        <v>469</v>
      </c>
      <c r="P102" s="496" t="s">
        <v>469</v>
      </c>
      <c r="Q102" s="496" t="s">
        <v>469</v>
      </c>
      <c r="R102" s="496" t="s">
        <v>469</v>
      </c>
      <c r="S102" s="496" t="s">
        <v>469</v>
      </c>
      <c r="T102" s="496" t="s">
        <v>469</v>
      </c>
      <c r="U102" s="496" t="s">
        <v>469</v>
      </c>
      <c r="V102" s="496" t="s">
        <v>469</v>
      </c>
      <c r="W102" s="496" t="s">
        <v>469</v>
      </c>
      <c r="X102" s="496" t="s">
        <v>469</v>
      </c>
      <c r="Y102" s="496" t="s">
        <v>469</v>
      </c>
      <c r="Z102" s="496" t="s">
        <v>469</v>
      </c>
      <c r="AA102" s="496" t="s">
        <v>469</v>
      </c>
      <c r="AB102" s="496" t="s">
        <v>469</v>
      </c>
      <c r="AC102" s="496" t="s">
        <v>469</v>
      </c>
      <c r="AD102" s="496" t="s">
        <v>469</v>
      </c>
      <c r="AE102" s="496" t="n">
        <v>2.066022</v>
      </c>
      <c r="AF102" s="496" t="s">
        <v>469</v>
      </c>
      <c r="AG102" s="496" t="n">
        <v>1.642397</v>
      </c>
      <c r="AH102" s="496" t="n">
        <v>1.917379</v>
      </c>
      <c r="AI102" s="496" t="n">
        <v>2.230359</v>
      </c>
      <c r="AJ102" s="496" t="s">
        <v>469</v>
      </c>
      <c r="AK102" s="496" t="n">
        <v>2.091909</v>
      </c>
      <c r="AL102" s="496" t="s">
        <v>469</v>
      </c>
      <c r="AM102" s="496" t="n">
        <v>2.251063</v>
      </c>
      <c r="AN102" s="496" t="n">
        <v>1.887829</v>
      </c>
      <c r="AO102" s="496" t="n">
        <v>2.103148</v>
      </c>
      <c r="AP102" s="496" t="s">
        <v>469</v>
      </c>
      <c r="AQ102" s="496" t="n">
        <v>2.059312</v>
      </c>
      <c r="AR102" s="496" t="s">
        <v>469</v>
      </c>
      <c r="AS102" s="496" t="n">
        <v>2.101333</v>
      </c>
      <c r="AT102" s="496" t="s">
        <v>469</v>
      </c>
      <c r="AU102" s="496" t="n">
        <v>2.112327</v>
      </c>
      <c r="AV102" s="496" t="n">
        <v>1.510414</v>
      </c>
      <c r="AW102" s="496" t="n">
        <v>1.672823</v>
      </c>
      <c r="AX102" s="496" t="n">
        <v>1.917813</v>
      </c>
      <c r="AY102" s="496" t="s">
        <v>469</v>
      </c>
      <c r="AZ102" s="496" t="s">
        <v>469</v>
      </c>
      <c r="BA102" s="496" t="s">
        <v>469</v>
      </c>
      <c r="BB102" s="496" t="s">
        <v>469</v>
      </c>
      <c r="BC102" s="496" t="s">
        <v>469</v>
      </c>
      <c r="BD102" s="496" t="s">
        <v>469</v>
      </c>
      <c r="BE102" s="496" t="s">
        <v>469</v>
      </c>
      <c r="BF102" s="496" t="s">
        <v>469</v>
      </c>
      <c r="BG102" s="496" t="n">
        <v>1.972513</v>
      </c>
      <c r="BH102" s="496" t="s">
        <v>469</v>
      </c>
      <c r="BI102" s="496" t="n">
        <v>1.913096</v>
      </c>
      <c r="BJ102" s="496" t="n">
        <v>1.91859</v>
      </c>
      <c r="BK102" s="496" t="n">
        <v>1.950221</v>
      </c>
      <c r="BL102" s="496" t="s">
        <v>469</v>
      </c>
      <c r="BM102" s="496" t="s">
        <v>469</v>
      </c>
      <c r="BN102" s="496" t="s">
        <v>469</v>
      </c>
      <c r="BO102" s="496" t="s">
        <v>469</v>
      </c>
      <c r="BP102" s="496" t="n">
        <v>1.675235</v>
      </c>
      <c r="BQ102" s="496" t="s">
        <v>469</v>
      </c>
      <c r="BR102" s="496" t="n">
        <v>1.918601</v>
      </c>
      <c r="BS102" s="496" t="n">
        <v>1.523237</v>
      </c>
      <c r="BT102" s="496" t="n">
        <v>1.51043</v>
      </c>
      <c r="BU102" s="496" t="s">
        <v>469</v>
      </c>
      <c r="BV102" s="496" t="s">
        <v>469</v>
      </c>
      <c r="BW102" s="496" t="s">
        <v>469</v>
      </c>
      <c r="BX102" s="496" t="s">
        <v>469</v>
      </c>
      <c r="BY102" s="496" t="s">
        <v>469</v>
      </c>
      <c r="BZ102" s="496" t="s">
        <v>469</v>
      </c>
      <c r="CA102" s="496" t="s">
        <v>469</v>
      </c>
      <c r="CB102" s="496" t="s">
        <v>469</v>
      </c>
      <c r="CC102" s="496" t="s">
        <v>469</v>
      </c>
      <c r="CD102" s="496" t="s">
        <v>469</v>
      </c>
      <c r="CE102" s="496" t="s">
        <v>469</v>
      </c>
      <c r="CF102" s="496" t="n">
        <v>1.435884</v>
      </c>
      <c r="CG102" s="496" t="s">
        <v>469</v>
      </c>
      <c r="CH102" s="496" t="s">
        <v>469</v>
      </c>
      <c r="CI102" s="496" t="n">
        <v>1.917379</v>
      </c>
      <c r="CJ102" s="496" t="n">
        <v>1.523179</v>
      </c>
      <c r="CK102" s="496" t="s">
        <v>469</v>
      </c>
      <c r="CL102" s="496" t="n">
        <v>1.508065</v>
      </c>
      <c r="CM102" s="496" t="s">
        <v>469</v>
      </c>
      <c r="CN102" s="496" t="n">
        <v>1.520028</v>
      </c>
      <c r="CO102" s="496" t="n">
        <v>1.887829</v>
      </c>
      <c r="CP102" s="496" t="n">
        <v>1.762731</v>
      </c>
      <c r="CQ102" s="496" t="s">
        <v>469</v>
      </c>
      <c r="CR102" s="496" t="n">
        <v>1.892006</v>
      </c>
      <c r="CS102" s="496" t="s">
        <v>469</v>
      </c>
      <c r="CT102" s="496" t="n">
        <v>1.461511</v>
      </c>
      <c r="CU102" s="496" t="s">
        <v>469</v>
      </c>
      <c r="CV102" s="496" t="n">
        <v>1.450925</v>
      </c>
      <c r="CW102" s="496" t="s">
        <v>469</v>
      </c>
      <c r="CX102" s="496" t="n">
        <v>1.450986</v>
      </c>
      <c r="CY102" s="496" t="n">
        <v>1.510414</v>
      </c>
      <c r="CZ102" s="496" t="n">
        <v>1.49267</v>
      </c>
      <c r="DA102" s="496" t="s">
        <v>469</v>
      </c>
      <c r="DB102" s="496" t="n">
        <v>1.892006</v>
      </c>
      <c r="DC102" s="496" t="s">
        <v>469</v>
      </c>
      <c r="DD102" s="496" t="n">
        <v>2.152675</v>
      </c>
      <c r="DE102" s="496" t="s">
        <v>469</v>
      </c>
      <c r="DF102" s="496" t="n">
        <v>2.059312</v>
      </c>
    </row>
    <row r="103" customFormat="false" ht="15" hidden="false" customHeight="false" outlineLevel="0" collapsed="false">
      <c r="A103" s="496" t="s">
        <v>2028</v>
      </c>
      <c r="B103" s="496" t="n">
        <v>0.5234281</v>
      </c>
      <c r="C103" s="496" t="s">
        <v>469</v>
      </c>
      <c r="D103" s="496" t="s">
        <v>469</v>
      </c>
      <c r="E103" s="496" t="s">
        <v>469</v>
      </c>
      <c r="F103" s="496" t="s">
        <v>469</v>
      </c>
      <c r="G103" s="496" t="s">
        <v>469</v>
      </c>
      <c r="H103" s="496" t="s">
        <v>469</v>
      </c>
      <c r="I103" s="496" t="s">
        <v>469</v>
      </c>
      <c r="J103" s="496" t="n">
        <v>4.446862</v>
      </c>
      <c r="K103" s="496" t="s">
        <v>469</v>
      </c>
      <c r="L103" s="496" t="s">
        <v>469</v>
      </c>
      <c r="M103" s="496" t="s">
        <v>469</v>
      </c>
      <c r="N103" s="496" t="s">
        <v>469</v>
      </c>
      <c r="O103" s="496" t="s">
        <v>469</v>
      </c>
      <c r="P103" s="496" t="s">
        <v>469</v>
      </c>
      <c r="Q103" s="496" t="s">
        <v>469</v>
      </c>
      <c r="R103" s="496" t="s">
        <v>469</v>
      </c>
      <c r="S103" s="496" t="s">
        <v>469</v>
      </c>
      <c r="T103" s="496" t="s">
        <v>469</v>
      </c>
      <c r="U103" s="496" t="s">
        <v>469</v>
      </c>
      <c r="V103" s="496" t="s">
        <v>469</v>
      </c>
      <c r="W103" s="496" t="s">
        <v>469</v>
      </c>
      <c r="X103" s="496" t="s">
        <v>469</v>
      </c>
      <c r="Y103" s="496" t="s">
        <v>469</v>
      </c>
      <c r="Z103" s="496" t="s">
        <v>469</v>
      </c>
      <c r="AA103" s="496" t="s">
        <v>469</v>
      </c>
      <c r="AB103" s="496" t="s">
        <v>469</v>
      </c>
      <c r="AC103" s="496" t="s">
        <v>469</v>
      </c>
      <c r="AD103" s="496" t="s">
        <v>469</v>
      </c>
      <c r="AE103" s="496" t="n">
        <v>0.3458822</v>
      </c>
      <c r="AF103" s="496" t="s">
        <v>469</v>
      </c>
      <c r="AG103" s="496" t="n">
        <v>2.343875</v>
      </c>
      <c r="AH103" s="496" t="n">
        <v>0.5684306</v>
      </c>
      <c r="AI103" s="496" t="n">
        <v>0.3036296</v>
      </c>
      <c r="AJ103" s="496" t="s">
        <v>469</v>
      </c>
      <c r="AK103" s="496" t="n">
        <v>0.3899976</v>
      </c>
      <c r="AL103" s="496" t="s">
        <v>469</v>
      </c>
      <c r="AM103" s="496" t="n">
        <v>0.2973666</v>
      </c>
      <c r="AN103" s="496" t="n">
        <v>0.6123556</v>
      </c>
      <c r="AO103" s="496" t="n">
        <v>0.3515795</v>
      </c>
      <c r="AP103" s="496" t="s">
        <v>469</v>
      </c>
      <c r="AQ103" s="496" t="n">
        <v>2.383298</v>
      </c>
      <c r="AR103" s="496" t="s">
        <v>469</v>
      </c>
      <c r="AS103" s="496" t="n">
        <v>0.3610835</v>
      </c>
      <c r="AT103" s="496" t="s">
        <v>469</v>
      </c>
      <c r="AU103" s="496" t="n">
        <v>0.3517133</v>
      </c>
      <c r="AV103" s="496" t="n">
        <v>6.610271</v>
      </c>
      <c r="AW103" s="496" t="n">
        <v>1.979542</v>
      </c>
      <c r="AX103" s="496" t="n">
        <v>0.5673524</v>
      </c>
      <c r="AY103" s="496" t="s">
        <v>469</v>
      </c>
      <c r="AZ103" s="496" t="s">
        <v>469</v>
      </c>
      <c r="BA103" s="496" t="s">
        <v>469</v>
      </c>
      <c r="BB103" s="496" t="s">
        <v>469</v>
      </c>
      <c r="BC103" s="496" t="s">
        <v>469</v>
      </c>
      <c r="BD103" s="496" t="s">
        <v>469</v>
      </c>
      <c r="BE103" s="496" t="s">
        <v>469</v>
      </c>
      <c r="BF103" s="496" t="s">
        <v>469</v>
      </c>
      <c r="BG103" s="496" t="n">
        <v>0.4381728</v>
      </c>
      <c r="BH103" s="496" t="s">
        <v>469</v>
      </c>
      <c r="BI103" s="496" t="n">
        <v>0.4980425</v>
      </c>
      <c r="BJ103" s="496" t="n">
        <v>0.4956943</v>
      </c>
      <c r="BK103" s="496" t="n">
        <v>0.5018779</v>
      </c>
      <c r="BL103" s="496" t="s">
        <v>469</v>
      </c>
      <c r="BM103" s="496" t="s">
        <v>469</v>
      </c>
      <c r="BN103" s="496" t="s">
        <v>469</v>
      </c>
      <c r="BO103" s="496" t="s">
        <v>469</v>
      </c>
      <c r="BP103" s="496" t="n">
        <v>3.293358</v>
      </c>
      <c r="BQ103" s="496" t="s">
        <v>469</v>
      </c>
      <c r="BR103" s="496" t="n">
        <v>12.93498</v>
      </c>
      <c r="BS103" s="496" t="n">
        <v>6.462285</v>
      </c>
      <c r="BT103" s="496" t="n">
        <v>6.603014</v>
      </c>
      <c r="BU103" s="496" t="s">
        <v>469</v>
      </c>
      <c r="BV103" s="496" t="s">
        <v>469</v>
      </c>
      <c r="BW103" s="496" t="s">
        <v>469</v>
      </c>
      <c r="BX103" s="496" t="s">
        <v>469</v>
      </c>
      <c r="BY103" s="496" t="s">
        <v>469</v>
      </c>
      <c r="BZ103" s="496" t="s">
        <v>469</v>
      </c>
      <c r="CA103" s="496" t="s">
        <v>469</v>
      </c>
      <c r="CB103" s="496" t="s">
        <v>469</v>
      </c>
      <c r="CC103" s="496" t="s">
        <v>469</v>
      </c>
      <c r="CD103" s="496" t="s">
        <v>469</v>
      </c>
      <c r="CE103" s="496" t="s">
        <v>469</v>
      </c>
      <c r="CF103" s="496" t="n">
        <v>4.002538</v>
      </c>
      <c r="CG103" s="496" t="s">
        <v>469</v>
      </c>
      <c r="CH103" s="496" t="s">
        <v>469</v>
      </c>
      <c r="CI103" s="496" t="n">
        <v>0.5684306</v>
      </c>
      <c r="CJ103" s="496" t="n">
        <v>4.539575</v>
      </c>
      <c r="CK103" s="496" t="s">
        <v>469</v>
      </c>
      <c r="CL103" s="496" t="n">
        <v>4.380689</v>
      </c>
      <c r="CM103" s="496" t="s">
        <v>469</v>
      </c>
      <c r="CN103" s="496" t="n">
        <v>4.389029</v>
      </c>
      <c r="CO103" s="496" t="n">
        <v>0.6123563</v>
      </c>
      <c r="CP103" s="496" t="n">
        <v>6.531599</v>
      </c>
      <c r="CQ103" s="496" t="s">
        <v>469</v>
      </c>
      <c r="CR103" s="496" t="n">
        <v>32.94185</v>
      </c>
      <c r="CS103" s="496" t="s">
        <v>469</v>
      </c>
      <c r="CT103" s="496" t="n">
        <v>3.96583</v>
      </c>
      <c r="CU103" s="496" t="s">
        <v>469</v>
      </c>
      <c r="CV103" s="496" t="n">
        <v>3.898471</v>
      </c>
      <c r="CW103" s="496" t="s">
        <v>469</v>
      </c>
      <c r="CX103" s="496" t="n">
        <v>3.898631</v>
      </c>
      <c r="CY103" s="496" t="n">
        <v>6.610271</v>
      </c>
      <c r="CZ103" s="496" t="n">
        <v>16.73817</v>
      </c>
      <c r="DA103" s="496" t="s">
        <v>469</v>
      </c>
      <c r="DB103" s="496" t="n">
        <v>32.94183</v>
      </c>
      <c r="DC103" s="496" t="s">
        <v>469</v>
      </c>
      <c r="DD103" s="496" t="n">
        <v>0.3258421</v>
      </c>
      <c r="DE103" s="496" t="s">
        <v>469</v>
      </c>
      <c r="DF103" s="496" t="n">
        <v>2.383298</v>
      </c>
    </row>
    <row r="104" customFormat="false" ht="15" hidden="false" customHeight="false" outlineLevel="0" collapsed="false">
      <c r="A104" s="496" t="s">
        <v>2029</v>
      </c>
      <c r="B104" s="1099" t="n">
        <v>0.00944</v>
      </c>
      <c r="C104" s="496" t="s">
        <v>469</v>
      </c>
      <c r="D104" s="496" t="s">
        <v>469</v>
      </c>
      <c r="E104" s="496" t="s">
        <v>469</v>
      </c>
      <c r="F104" s="496" t="s">
        <v>469</v>
      </c>
      <c r="G104" s="496" t="s">
        <v>469</v>
      </c>
      <c r="H104" s="496" t="s">
        <v>469</v>
      </c>
      <c r="I104" s="496" t="s">
        <v>469</v>
      </c>
      <c r="J104" s="1099" t="n">
        <v>0.00985</v>
      </c>
      <c r="K104" s="496" t="s">
        <v>469</v>
      </c>
      <c r="L104" s="496" t="s">
        <v>469</v>
      </c>
      <c r="M104" s="496" t="s">
        <v>469</v>
      </c>
      <c r="N104" s="496" t="s">
        <v>469</v>
      </c>
      <c r="O104" s="496" t="s">
        <v>469</v>
      </c>
      <c r="P104" s="496" t="s">
        <v>469</v>
      </c>
      <c r="Q104" s="496" t="s">
        <v>469</v>
      </c>
      <c r="R104" s="496" t="s">
        <v>469</v>
      </c>
      <c r="S104" s="496" t="s">
        <v>469</v>
      </c>
      <c r="T104" s="496" t="s">
        <v>469</v>
      </c>
      <c r="U104" s="496" t="s">
        <v>469</v>
      </c>
      <c r="V104" s="496" t="s">
        <v>469</v>
      </c>
      <c r="W104" s="496" t="s">
        <v>469</v>
      </c>
      <c r="X104" s="496" t="s">
        <v>469</v>
      </c>
      <c r="Y104" s="496" t="s">
        <v>469</v>
      </c>
      <c r="Z104" s="496" t="s">
        <v>469</v>
      </c>
      <c r="AA104" s="496" t="s">
        <v>469</v>
      </c>
      <c r="AB104" s="496" t="s">
        <v>469</v>
      </c>
      <c r="AC104" s="496" t="s">
        <v>469</v>
      </c>
      <c r="AD104" s="496" t="s">
        <v>469</v>
      </c>
      <c r="AE104" s="1099" t="n">
        <v>0.00991</v>
      </c>
      <c r="AF104" s="496" t="s">
        <v>469</v>
      </c>
      <c r="AG104" s="496" t="n">
        <v>0.0127914</v>
      </c>
      <c r="AH104" s="1099" t="n">
        <v>0.0093</v>
      </c>
      <c r="AI104" s="496" t="n">
        <v>0.0114802</v>
      </c>
      <c r="AJ104" s="496" t="s">
        <v>469</v>
      </c>
      <c r="AK104" s="496" t="n">
        <v>0.0107035</v>
      </c>
      <c r="AL104" s="496" t="s">
        <v>469</v>
      </c>
      <c r="AM104" s="496" t="n">
        <v>0.011539</v>
      </c>
      <c r="AN104" s="1099" t="n">
        <v>0.00886</v>
      </c>
      <c r="AO104" s="1099" t="n">
        <v>0.00984</v>
      </c>
      <c r="AP104" s="496" t="s">
        <v>469</v>
      </c>
      <c r="AQ104" s="496" t="n">
        <v>0.0163303</v>
      </c>
      <c r="AR104" s="496" t="s">
        <v>469</v>
      </c>
      <c r="AS104" s="1099" t="n">
        <v>0.00991</v>
      </c>
      <c r="AT104" s="496" t="s">
        <v>469</v>
      </c>
      <c r="AU104" s="1099" t="n">
        <v>0.00984</v>
      </c>
      <c r="AV104" s="496" t="n">
        <v>0.0114002</v>
      </c>
      <c r="AW104" s="496" t="n">
        <v>0.0130313</v>
      </c>
      <c r="AX104" s="1099" t="n">
        <v>0.0093</v>
      </c>
      <c r="AY104" s="496" t="s">
        <v>469</v>
      </c>
      <c r="AZ104" s="496" t="s">
        <v>469</v>
      </c>
      <c r="BA104" s="496" t="s">
        <v>469</v>
      </c>
      <c r="BB104" s="496" t="s">
        <v>469</v>
      </c>
      <c r="BC104" s="496" t="s">
        <v>469</v>
      </c>
      <c r="BD104" s="496" t="s">
        <v>469</v>
      </c>
      <c r="BE104" s="496" t="s">
        <v>469</v>
      </c>
      <c r="BF104" s="496" t="s">
        <v>469</v>
      </c>
      <c r="BG104" s="496" t="n">
        <v>0.0107647</v>
      </c>
      <c r="BH104" s="496" t="s">
        <v>469</v>
      </c>
      <c r="BI104" s="1099" t="n">
        <v>0.00897</v>
      </c>
      <c r="BJ104" s="1099" t="n">
        <v>0.00896</v>
      </c>
      <c r="BK104" s="1099" t="n">
        <v>0.00928</v>
      </c>
      <c r="BL104" s="496" t="s">
        <v>469</v>
      </c>
      <c r="BM104" s="496" t="s">
        <v>469</v>
      </c>
      <c r="BN104" s="496" t="s">
        <v>469</v>
      </c>
      <c r="BO104" s="496" t="s">
        <v>469</v>
      </c>
      <c r="BP104" s="1099" t="n">
        <v>0.0086</v>
      </c>
      <c r="BQ104" s="496" t="s">
        <v>469</v>
      </c>
      <c r="BR104" s="496" t="n">
        <v>0.0131702</v>
      </c>
      <c r="BS104" s="496" t="n">
        <v>0.0113106</v>
      </c>
      <c r="BT104" s="496" t="n">
        <v>0.0114002</v>
      </c>
      <c r="BU104" s="496" t="s">
        <v>469</v>
      </c>
      <c r="BV104" s="496" t="s">
        <v>469</v>
      </c>
      <c r="BW104" s="496" t="s">
        <v>469</v>
      </c>
      <c r="BX104" s="496" t="s">
        <v>469</v>
      </c>
      <c r="BY104" s="496" t="s">
        <v>469</v>
      </c>
      <c r="BZ104" s="496" t="s">
        <v>469</v>
      </c>
      <c r="CA104" s="496" t="s">
        <v>469</v>
      </c>
      <c r="CB104" s="496" t="s">
        <v>469</v>
      </c>
      <c r="CC104" s="496" t="s">
        <v>469</v>
      </c>
      <c r="CD104" s="496" t="s">
        <v>469</v>
      </c>
      <c r="CE104" s="496" t="s">
        <v>469</v>
      </c>
      <c r="CF104" s="1099" t="n">
        <v>0.00665</v>
      </c>
      <c r="CG104" s="496" t="s">
        <v>469</v>
      </c>
      <c r="CH104" s="496" t="s">
        <v>469</v>
      </c>
      <c r="CI104" s="1099" t="n">
        <v>0.0093</v>
      </c>
      <c r="CJ104" s="1099" t="n">
        <v>0.00719</v>
      </c>
      <c r="CK104" s="496" t="s">
        <v>469</v>
      </c>
      <c r="CL104" s="1099" t="n">
        <v>0.007</v>
      </c>
      <c r="CM104" s="496" t="s">
        <v>469</v>
      </c>
      <c r="CN104" s="1099" t="n">
        <v>0.00707</v>
      </c>
      <c r="CO104" s="1099" t="n">
        <v>0.00886</v>
      </c>
      <c r="CP104" s="1099" t="n">
        <v>0.00835</v>
      </c>
      <c r="CQ104" s="496" t="s">
        <v>469</v>
      </c>
      <c r="CR104" s="496" t="n">
        <v>0.0119817</v>
      </c>
      <c r="CS104" s="496" t="s">
        <v>469</v>
      </c>
      <c r="CT104" s="1099" t="n">
        <v>0.00658</v>
      </c>
      <c r="CU104" s="496" t="s">
        <v>469</v>
      </c>
      <c r="CV104" s="1099" t="n">
        <v>0.00653</v>
      </c>
      <c r="CW104" s="496" t="s">
        <v>469</v>
      </c>
      <c r="CX104" s="1099" t="n">
        <v>0.00653</v>
      </c>
      <c r="CY104" s="496" t="n">
        <v>0.0114002</v>
      </c>
      <c r="CZ104" s="496" t="n">
        <v>0.0113119</v>
      </c>
      <c r="DA104" s="496" t="s">
        <v>469</v>
      </c>
      <c r="DB104" s="496" t="n">
        <v>0.0119817</v>
      </c>
      <c r="DC104" s="496" t="s">
        <v>469</v>
      </c>
      <c r="DD104" s="496" t="n">
        <v>0.0100211</v>
      </c>
      <c r="DE104" s="496" t="s">
        <v>469</v>
      </c>
      <c r="DF104" s="496" t="n">
        <v>0.0163303</v>
      </c>
    </row>
    <row r="105" customFormat="false" ht="15" hidden="false" customHeight="false" outlineLevel="0" collapsed="false">
      <c r="A105" s="496" t="s">
        <v>2030</v>
      </c>
      <c r="B105" s="496" t="n">
        <v>0.0212327</v>
      </c>
      <c r="C105" s="496" t="s">
        <v>469</v>
      </c>
      <c r="D105" s="496" t="s">
        <v>469</v>
      </c>
      <c r="E105" s="496" t="s">
        <v>469</v>
      </c>
      <c r="F105" s="496" t="s">
        <v>469</v>
      </c>
      <c r="G105" s="496" t="s">
        <v>469</v>
      </c>
      <c r="H105" s="496" t="s">
        <v>469</v>
      </c>
      <c r="I105" s="496" t="s">
        <v>469</v>
      </c>
      <c r="J105" s="496" t="n">
        <v>0.0194266</v>
      </c>
      <c r="K105" s="496" t="s">
        <v>469</v>
      </c>
      <c r="L105" s="496" t="s">
        <v>469</v>
      </c>
      <c r="M105" s="496" t="s">
        <v>469</v>
      </c>
      <c r="N105" s="496" t="s">
        <v>469</v>
      </c>
      <c r="O105" s="496" t="s">
        <v>469</v>
      </c>
      <c r="P105" s="496" t="s">
        <v>469</v>
      </c>
      <c r="Q105" s="496" t="s">
        <v>469</v>
      </c>
      <c r="R105" s="496" t="s">
        <v>469</v>
      </c>
      <c r="S105" s="496" t="s">
        <v>469</v>
      </c>
      <c r="T105" s="496" t="s">
        <v>469</v>
      </c>
      <c r="U105" s="496" t="s">
        <v>469</v>
      </c>
      <c r="V105" s="496" t="s">
        <v>469</v>
      </c>
      <c r="W105" s="496" t="s">
        <v>469</v>
      </c>
      <c r="X105" s="496" t="s">
        <v>469</v>
      </c>
      <c r="Y105" s="496" t="s">
        <v>469</v>
      </c>
      <c r="Z105" s="496" t="s">
        <v>469</v>
      </c>
      <c r="AA105" s="496" t="s">
        <v>469</v>
      </c>
      <c r="AB105" s="496" t="s">
        <v>469</v>
      </c>
      <c r="AC105" s="496" t="s">
        <v>469</v>
      </c>
      <c r="AD105" s="496" t="s">
        <v>469</v>
      </c>
      <c r="AE105" s="496" t="n">
        <v>0.0219494</v>
      </c>
      <c r="AF105" s="496" t="s">
        <v>469</v>
      </c>
      <c r="AG105" s="496" t="n">
        <v>0.0240226</v>
      </c>
      <c r="AH105" s="496" t="n">
        <v>0.0207855</v>
      </c>
      <c r="AI105" s="496" t="n">
        <v>0.0271032</v>
      </c>
      <c r="AJ105" s="496" t="s">
        <v>469</v>
      </c>
      <c r="AK105" s="496" t="n">
        <v>0.0248846</v>
      </c>
      <c r="AL105" s="496" t="s">
        <v>469</v>
      </c>
      <c r="AM105" s="496" t="n">
        <v>0.027889</v>
      </c>
      <c r="AN105" s="496" t="n">
        <v>0.0196265</v>
      </c>
      <c r="AO105" s="496" t="n">
        <v>0.0224634</v>
      </c>
      <c r="AP105" s="496" t="s">
        <v>469</v>
      </c>
      <c r="AQ105" s="496" t="n">
        <v>0.0329764</v>
      </c>
      <c r="AR105" s="496" t="s">
        <v>469</v>
      </c>
      <c r="AS105" s="496" t="n">
        <v>0.0226775</v>
      </c>
      <c r="AT105" s="496" t="s">
        <v>469</v>
      </c>
      <c r="AU105" s="496" t="n">
        <v>0.0227619</v>
      </c>
      <c r="AV105" s="496" t="n">
        <v>0.0201928</v>
      </c>
      <c r="AW105" s="496" t="n">
        <v>0.0247416</v>
      </c>
      <c r="AX105" s="496" t="n">
        <v>0.0207877</v>
      </c>
      <c r="AY105" s="496" t="s">
        <v>469</v>
      </c>
      <c r="AZ105" s="496" t="s">
        <v>469</v>
      </c>
      <c r="BA105" s="496" t="s">
        <v>469</v>
      </c>
      <c r="BB105" s="496" t="s">
        <v>469</v>
      </c>
      <c r="BC105" s="496" t="s">
        <v>469</v>
      </c>
      <c r="BD105" s="496" t="s">
        <v>469</v>
      </c>
      <c r="BE105" s="496" t="s">
        <v>469</v>
      </c>
      <c r="BF105" s="496" t="s">
        <v>469</v>
      </c>
      <c r="BG105" s="496" t="n">
        <v>0.0241152</v>
      </c>
      <c r="BH105" s="496" t="s">
        <v>469</v>
      </c>
      <c r="BI105" s="496" t="n">
        <v>0.0195513</v>
      </c>
      <c r="BJ105" s="496" t="n">
        <v>0.0196261</v>
      </c>
      <c r="BK105" s="496" t="n">
        <v>0.0208138</v>
      </c>
      <c r="BL105" s="496" t="s">
        <v>469</v>
      </c>
      <c r="BM105" s="496" t="s">
        <v>469</v>
      </c>
      <c r="BN105" s="496" t="s">
        <v>469</v>
      </c>
      <c r="BO105" s="496" t="s">
        <v>469</v>
      </c>
      <c r="BP105" s="496" t="n">
        <v>0.0175491</v>
      </c>
      <c r="BQ105" s="496" t="s">
        <v>469</v>
      </c>
      <c r="BR105" s="496" t="n">
        <v>0.0259107</v>
      </c>
      <c r="BS105" s="496" t="n">
        <v>0.0201586</v>
      </c>
      <c r="BT105" s="496" t="n">
        <v>0.0201924</v>
      </c>
      <c r="BU105" s="496" t="s">
        <v>469</v>
      </c>
      <c r="BV105" s="496" t="s">
        <v>469</v>
      </c>
      <c r="BW105" s="496" t="s">
        <v>469</v>
      </c>
      <c r="BX105" s="496" t="s">
        <v>469</v>
      </c>
      <c r="BY105" s="496" t="s">
        <v>469</v>
      </c>
      <c r="BZ105" s="496" t="s">
        <v>469</v>
      </c>
      <c r="CA105" s="496" t="s">
        <v>469</v>
      </c>
      <c r="CB105" s="496" t="s">
        <v>469</v>
      </c>
      <c r="CC105" s="496" t="s">
        <v>469</v>
      </c>
      <c r="CD105" s="496" t="s">
        <v>469</v>
      </c>
      <c r="CE105" s="496" t="s">
        <v>469</v>
      </c>
      <c r="CF105" s="496" t="n">
        <v>0.0117216</v>
      </c>
      <c r="CG105" s="496" t="s">
        <v>469</v>
      </c>
      <c r="CH105" s="496" t="s">
        <v>469</v>
      </c>
      <c r="CI105" s="496" t="n">
        <v>0.0207855</v>
      </c>
      <c r="CJ105" s="496" t="n">
        <v>0.0137045</v>
      </c>
      <c r="CK105" s="496" t="s">
        <v>469</v>
      </c>
      <c r="CL105" s="496" t="n">
        <v>0.0131686</v>
      </c>
      <c r="CM105" s="496" t="s">
        <v>469</v>
      </c>
      <c r="CN105" s="496" t="n">
        <v>0.0134796</v>
      </c>
      <c r="CO105" s="496" t="n">
        <v>0.0196265</v>
      </c>
      <c r="CP105" s="496" t="n">
        <v>0.0187383</v>
      </c>
      <c r="CQ105" s="496" t="s">
        <v>469</v>
      </c>
      <c r="CR105" s="496" t="n">
        <v>0.0233108</v>
      </c>
      <c r="CS105" s="496" t="s">
        <v>469</v>
      </c>
      <c r="CT105" s="496" t="n">
        <v>0.0119403</v>
      </c>
      <c r="CU105" s="496" t="s">
        <v>469</v>
      </c>
      <c r="CV105" s="496" t="n">
        <v>0.0117594</v>
      </c>
      <c r="CW105" s="496" t="s">
        <v>469</v>
      </c>
      <c r="CX105" s="496" t="n">
        <v>0.01176</v>
      </c>
      <c r="CY105" s="496" t="n">
        <v>0.0201928</v>
      </c>
      <c r="CZ105" s="496" t="n">
        <v>0.0200102</v>
      </c>
      <c r="DA105" s="496" t="s">
        <v>469</v>
      </c>
      <c r="DB105" s="496" t="n">
        <v>0.0233108</v>
      </c>
      <c r="DC105" s="496" t="s">
        <v>469</v>
      </c>
      <c r="DD105" s="496" t="n">
        <v>0.0232398</v>
      </c>
      <c r="DE105" s="496" t="s">
        <v>469</v>
      </c>
      <c r="DF105" s="496" t="n">
        <v>0.0329764</v>
      </c>
    </row>
    <row r="106" customFormat="false" ht="15" hidden="false" customHeight="false" outlineLevel="0" collapsed="false">
      <c r="A106" s="496" t="s">
        <v>2016</v>
      </c>
      <c r="B106" s="496" t="n">
        <v>58.55532</v>
      </c>
      <c r="C106" s="496" t="s">
        <v>469</v>
      </c>
      <c r="D106" s="496" t="s">
        <v>469</v>
      </c>
      <c r="E106" s="496" t="s">
        <v>469</v>
      </c>
      <c r="F106" s="496" t="s">
        <v>469</v>
      </c>
      <c r="G106" s="496" t="s">
        <v>469</v>
      </c>
      <c r="H106" s="496" t="s">
        <v>469</v>
      </c>
      <c r="I106" s="496" t="s">
        <v>469</v>
      </c>
      <c r="J106" s="496" t="n">
        <v>42.45319</v>
      </c>
      <c r="K106" s="496" t="s">
        <v>469</v>
      </c>
      <c r="L106" s="496" t="s">
        <v>469</v>
      </c>
      <c r="M106" s="496" t="s">
        <v>469</v>
      </c>
      <c r="N106" s="496" t="s">
        <v>469</v>
      </c>
      <c r="O106" s="496" t="s">
        <v>469</v>
      </c>
      <c r="P106" s="496" t="s">
        <v>469</v>
      </c>
      <c r="Q106" s="496" t="s">
        <v>469</v>
      </c>
      <c r="R106" s="496" t="s">
        <v>469</v>
      </c>
      <c r="S106" s="496" t="s">
        <v>469</v>
      </c>
      <c r="T106" s="496" t="s">
        <v>469</v>
      </c>
      <c r="U106" s="496" t="s">
        <v>469</v>
      </c>
      <c r="V106" s="496" t="s">
        <v>469</v>
      </c>
      <c r="W106" s="496" t="s">
        <v>469</v>
      </c>
      <c r="X106" s="496" t="s">
        <v>469</v>
      </c>
      <c r="Y106" s="496" t="s">
        <v>469</v>
      </c>
      <c r="Z106" s="496" t="s">
        <v>469</v>
      </c>
      <c r="AA106" s="496" t="s">
        <v>469</v>
      </c>
      <c r="AB106" s="496" t="s">
        <v>469</v>
      </c>
      <c r="AC106" s="496" t="s">
        <v>469</v>
      </c>
      <c r="AD106" s="496" t="s">
        <v>469</v>
      </c>
      <c r="AE106" s="496" t="n">
        <v>57.21502</v>
      </c>
      <c r="AF106" s="496" t="s">
        <v>469</v>
      </c>
      <c r="AG106" s="496" t="n">
        <v>32.0908</v>
      </c>
      <c r="AH106" s="496" t="n">
        <v>58.61179</v>
      </c>
      <c r="AI106" s="496" t="n">
        <v>61.90329</v>
      </c>
      <c r="AJ106" s="496" t="s">
        <v>469</v>
      </c>
      <c r="AK106" s="496" t="n">
        <v>61.90329</v>
      </c>
      <c r="AL106" s="496" t="s">
        <v>469</v>
      </c>
      <c r="AM106" s="496" t="n">
        <v>65.08494</v>
      </c>
      <c r="AN106" s="496" t="n">
        <v>56.61168</v>
      </c>
      <c r="AO106" s="496" t="n">
        <v>56.78472</v>
      </c>
      <c r="AP106" s="496" t="s">
        <v>469</v>
      </c>
      <c r="AQ106" s="496" t="n">
        <v>18.01528</v>
      </c>
      <c r="AR106" s="496" t="s">
        <v>469</v>
      </c>
      <c r="AS106" s="496" t="n">
        <v>56.36253</v>
      </c>
      <c r="AT106" s="496" t="s">
        <v>469</v>
      </c>
      <c r="AU106" s="496" t="n">
        <v>57.42372</v>
      </c>
      <c r="AV106" s="496" t="n">
        <v>32.19019</v>
      </c>
      <c r="AW106" s="496" t="n">
        <v>32.19019</v>
      </c>
      <c r="AX106" s="496" t="n">
        <v>58.60237</v>
      </c>
      <c r="AY106" s="496" t="s">
        <v>469</v>
      </c>
      <c r="AZ106" s="496" t="s">
        <v>469</v>
      </c>
      <c r="BA106" s="496" t="s">
        <v>469</v>
      </c>
      <c r="BB106" s="496" t="s">
        <v>469</v>
      </c>
      <c r="BC106" s="496" t="s">
        <v>469</v>
      </c>
      <c r="BD106" s="496" t="s">
        <v>469</v>
      </c>
      <c r="BE106" s="496" t="s">
        <v>469</v>
      </c>
      <c r="BF106" s="496" t="s">
        <v>469</v>
      </c>
      <c r="BG106" s="496" t="n">
        <v>87.79915</v>
      </c>
      <c r="BH106" s="496" t="s">
        <v>469</v>
      </c>
      <c r="BI106" s="496" t="n">
        <v>56.36253</v>
      </c>
      <c r="BJ106" s="496" t="n">
        <v>56.61168</v>
      </c>
      <c r="BK106" s="496" t="n">
        <v>59.05259</v>
      </c>
      <c r="BL106" s="496" t="s">
        <v>469</v>
      </c>
      <c r="BM106" s="496" t="s">
        <v>469</v>
      </c>
      <c r="BN106" s="496" t="s">
        <v>469</v>
      </c>
      <c r="BO106" s="496" t="s">
        <v>469</v>
      </c>
      <c r="BP106" s="496" t="n">
        <v>50.49645</v>
      </c>
      <c r="BQ106" s="496" t="s">
        <v>469</v>
      </c>
      <c r="BR106" s="496" t="n">
        <v>18.01686</v>
      </c>
      <c r="BS106" s="496" t="n">
        <v>32.76828</v>
      </c>
      <c r="BT106" s="496" t="n">
        <v>32.19019</v>
      </c>
      <c r="BU106" s="496" t="s">
        <v>469</v>
      </c>
      <c r="BV106" s="496" t="s">
        <v>469</v>
      </c>
      <c r="BW106" s="496" t="s">
        <v>469</v>
      </c>
      <c r="BX106" s="496" t="s">
        <v>469</v>
      </c>
      <c r="BY106" s="496" t="s">
        <v>469</v>
      </c>
      <c r="BZ106" s="496" t="s">
        <v>469</v>
      </c>
      <c r="CA106" s="496" t="s">
        <v>469</v>
      </c>
      <c r="CB106" s="496" t="s">
        <v>469</v>
      </c>
      <c r="CC106" s="496" t="s">
        <v>469</v>
      </c>
      <c r="CD106" s="496" t="s">
        <v>469</v>
      </c>
      <c r="CE106" s="496" t="s">
        <v>469</v>
      </c>
      <c r="CF106" s="496" t="n">
        <v>57.11813</v>
      </c>
      <c r="CG106" s="496" t="s">
        <v>469</v>
      </c>
      <c r="CH106" s="496" t="s">
        <v>469</v>
      </c>
      <c r="CI106" s="496" t="n">
        <v>58.61179</v>
      </c>
      <c r="CJ106" s="496" t="n">
        <v>59.62752</v>
      </c>
      <c r="CK106" s="496" t="s">
        <v>469</v>
      </c>
      <c r="CL106" s="496" t="n">
        <v>58.56586</v>
      </c>
      <c r="CM106" s="496" t="s">
        <v>469</v>
      </c>
      <c r="CN106" s="496" t="n">
        <v>59.89608</v>
      </c>
      <c r="CO106" s="496" t="n">
        <v>56.61168</v>
      </c>
      <c r="CP106" s="496" t="n">
        <v>56.61168</v>
      </c>
      <c r="CQ106" s="496" t="s">
        <v>469</v>
      </c>
      <c r="CR106" s="496" t="n">
        <v>18.01528</v>
      </c>
      <c r="CS106" s="496" t="s">
        <v>469</v>
      </c>
      <c r="CT106" s="496" t="n">
        <v>57.49879</v>
      </c>
      <c r="CU106" s="496" t="s">
        <v>469</v>
      </c>
      <c r="CV106" s="496" t="n">
        <v>57.55097</v>
      </c>
      <c r="CW106" s="496" t="s">
        <v>469</v>
      </c>
      <c r="CX106" s="496" t="n">
        <v>57.55222</v>
      </c>
      <c r="CY106" s="496" t="n">
        <v>32.19019</v>
      </c>
      <c r="CZ106" s="496" t="n">
        <v>32.19019</v>
      </c>
      <c r="DA106" s="496" t="s">
        <v>469</v>
      </c>
      <c r="DB106" s="496" t="n">
        <v>18.01528</v>
      </c>
      <c r="DC106" s="496" t="s">
        <v>469</v>
      </c>
      <c r="DD106" s="496" t="n">
        <v>57.42372</v>
      </c>
      <c r="DE106" s="496" t="s">
        <v>469</v>
      </c>
      <c r="DF106" s="496" t="n">
        <v>18.01528</v>
      </c>
    </row>
    <row r="107" customFormat="false" ht="15" hidden="false" customHeight="false" outlineLevel="0" collapsed="false">
      <c r="A107" s="496" t="s">
        <v>2022</v>
      </c>
      <c r="B107" s="496" t="n">
        <v>1.137114</v>
      </c>
      <c r="C107" s="496" t="s">
        <v>469</v>
      </c>
      <c r="D107" s="496" t="s">
        <v>469</v>
      </c>
      <c r="E107" s="496" t="s">
        <v>469</v>
      </c>
      <c r="F107" s="496" t="s">
        <v>469</v>
      </c>
      <c r="G107" s="496" t="s">
        <v>469</v>
      </c>
      <c r="H107" s="496" t="s">
        <v>469</v>
      </c>
      <c r="I107" s="496" t="s">
        <v>469</v>
      </c>
      <c r="J107" s="496" t="n">
        <v>1.143947</v>
      </c>
      <c r="K107" s="496" t="s">
        <v>469</v>
      </c>
      <c r="L107" s="496" t="s">
        <v>469</v>
      </c>
      <c r="M107" s="496" t="s">
        <v>469</v>
      </c>
      <c r="N107" s="496" t="s">
        <v>469</v>
      </c>
      <c r="O107" s="496" t="s">
        <v>469</v>
      </c>
      <c r="P107" s="496" t="s">
        <v>469</v>
      </c>
      <c r="Q107" s="496" t="s">
        <v>469</v>
      </c>
      <c r="R107" s="496" t="s">
        <v>469</v>
      </c>
      <c r="S107" s="496" t="s">
        <v>469</v>
      </c>
      <c r="T107" s="496" t="s">
        <v>469</v>
      </c>
      <c r="U107" s="496" t="s">
        <v>469</v>
      </c>
      <c r="V107" s="496" t="s">
        <v>469</v>
      </c>
      <c r="W107" s="496" t="s">
        <v>469</v>
      </c>
      <c r="X107" s="496" t="s">
        <v>469</v>
      </c>
      <c r="Y107" s="496" t="s">
        <v>469</v>
      </c>
      <c r="Z107" s="496" t="s">
        <v>469</v>
      </c>
      <c r="AA107" s="496" t="s">
        <v>469</v>
      </c>
      <c r="AB107" s="496" t="s">
        <v>469</v>
      </c>
      <c r="AC107" s="496" t="s">
        <v>469</v>
      </c>
      <c r="AD107" s="496" t="s">
        <v>469</v>
      </c>
      <c r="AE107" s="496" t="n">
        <v>1.182074</v>
      </c>
      <c r="AF107" s="496" t="s">
        <v>469</v>
      </c>
      <c r="AG107" s="496" t="n">
        <v>1.232565</v>
      </c>
      <c r="AH107" s="496" t="n">
        <v>1.133115</v>
      </c>
      <c r="AI107" s="496" t="n">
        <v>1.16715</v>
      </c>
      <c r="AJ107" s="496" t="s">
        <v>469</v>
      </c>
      <c r="AK107" s="496" t="n">
        <v>1.144047</v>
      </c>
      <c r="AL107" s="496" t="s">
        <v>469</v>
      </c>
      <c r="AM107" s="496" t="n">
        <v>1.154211</v>
      </c>
      <c r="AN107" s="496" t="n">
        <v>1.136235</v>
      </c>
      <c r="AO107" s="496" t="n">
        <v>1.175402</v>
      </c>
      <c r="AP107" s="496" t="s">
        <v>469</v>
      </c>
      <c r="AQ107" s="496" t="n">
        <v>1.375516</v>
      </c>
      <c r="AR107" s="496" t="s">
        <v>469</v>
      </c>
      <c r="AS107" s="496" t="n">
        <v>1.172626</v>
      </c>
      <c r="AT107" s="496" t="s">
        <v>469</v>
      </c>
      <c r="AU107" s="496" t="n">
        <v>1.16882</v>
      </c>
      <c r="AV107" s="496" t="n">
        <v>1.223514</v>
      </c>
      <c r="AW107" s="496" t="n">
        <v>1.235419</v>
      </c>
      <c r="AX107" s="496" t="n">
        <v>1.133238</v>
      </c>
      <c r="AY107" s="496" t="s">
        <v>469</v>
      </c>
      <c r="AZ107" s="496" t="s">
        <v>469</v>
      </c>
      <c r="BA107" s="496" t="s">
        <v>469</v>
      </c>
      <c r="BB107" s="496" t="s">
        <v>469</v>
      </c>
      <c r="BC107" s="496" t="s">
        <v>469</v>
      </c>
      <c r="BD107" s="496" t="s">
        <v>469</v>
      </c>
      <c r="BE107" s="496" t="s">
        <v>469</v>
      </c>
      <c r="BF107" s="496" t="s">
        <v>469</v>
      </c>
      <c r="BG107" s="496" t="n">
        <v>1.096175</v>
      </c>
      <c r="BH107" s="496" t="s">
        <v>469</v>
      </c>
      <c r="BI107" s="496" t="n">
        <v>1.153349</v>
      </c>
      <c r="BJ107" s="496" t="n">
        <v>1.152183</v>
      </c>
      <c r="BK107" s="496" t="n">
        <v>1.140071</v>
      </c>
      <c r="BL107" s="496" t="s">
        <v>469</v>
      </c>
      <c r="BM107" s="496" t="s">
        <v>469</v>
      </c>
      <c r="BN107" s="496" t="s">
        <v>469</v>
      </c>
      <c r="BO107" s="496" t="s">
        <v>469</v>
      </c>
      <c r="BP107" s="496" t="n">
        <v>1.120236</v>
      </c>
      <c r="BQ107" s="496" t="s">
        <v>469</v>
      </c>
      <c r="BR107" s="496" t="n">
        <v>1.333448</v>
      </c>
      <c r="BS107" s="496" t="n">
        <v>1.216571</v>
      </c>
      <c r="BT107" s="496" t="n">
        <v>1.223531</v>
      </c>
      <c r="BU107" s="496" t="s">
        <v>469</v>
      </c>
      <c r="BV107" s="496" t="s">
        <v>469</v>
      </c>
      <c r="BW107" s="496" t="s">
        <v>469</v>
      </c>
      <c r="BX107" s="496" t="s">
        <v>469</v>
      </c>
      <c r="BY107" s="496" t="s">
        <v>469</v>
      </c>
      <c r="BZ107" s="496" t="s">
        <v>469</v>
      </c>
      <c r="CA107" s="496" t="s">
        <v>469</v>
      </c>
      <c r="CB107" s="496" t="s">
        <v>469</v>
      </c>
      <c r="CC107" s="496" t="s">
        <v>469</v>
      </c>
      <c r="CD107" s="496" t="s">
        <v>469</v>
      </c>
      <c r="CE107" s="496" t="s">
        <v>469</v>
      </c>
      <c r="CF107" s="496" t="n">
        <v>1.122266</v>
      </c>
      <c r="CG107" s="496" t="s">
        <v>469</v>
      </c>
      <c r="CH107" s="496" t="s">
        <v>469</v>
      </c>
      <c r="CI107" s="496" t="n">
        <v>1.133115</v>
      </c>
      <c r="CJ107" s="496" t="n">
        <v>1.107881</v>
      </c>
      <c r="CK107" s="496" t="s">
        <v>469</v>
      </c>
      <c r="CL107" s="496" t="n">
        <v>1.111574</v>
      </c>
      <c r="CM107" s="496" t="s">
        <v>469</v>
      </c>
      <c r="CN107" s="496" t="n">
        <v>1.107789</v>
      </c>
      <c r="CO107" s="496" t="n">
        <v>1.136235</v>
      </c>
      <c r="CP107" s="496" t="n">
        <v>1.094895</v>
      </c>
      <c r="CQ107" s="496" t="s">
        <v>469</v>
      </c>
      <c r="CR107" s="496" t="n">
        <v>1.32968</v>
      </c>
      <c r="CS107" s="496" t="s">
        <v>469</v>
      </c>
      <c r="CT107" s="496" t="n">
        <v>1.118934</v>
      </c>
      <c r="CU107" s="496" t="s">
        <v>469</v>
      </c>
      <c r="CV107" s="496" t="n">
        <v>1.119958</v>
      </c>
      <c r="CW107" s="496" t="s">
        <v>469</v>
      </c>
      <c r="CX107" s="496" t="n">
        <v>1.119949</v>
      </c>
      <c r="CY107" s="496" t="n">
        <v>1.223514</v>
      </c>
      <c r="CZ107" s="496" t="n">
        <v>1.216108</v>
      </c>
      <c r="DA107" s="496" t="s">
        <v>469</v>
      </c>
      <c r="DB107" s="496" t="n">
        <v>1.32968</v>
      </c>
      <c r="DC107" s="496" t="s">
        <v>469</v>
      </c>
      <c r="DD107" s="496" t="n">
        <v>1.17773</v>
      </c>
      <c r="DE107" s="496" t="s">
        <v>469</v>
      </c>
      <c r="DF107" s="496" t="n">
        <v>1.375516</v>
      </c>
    </row>
    <row r="108" customFormat="false" ht="15" hidden="false" customHeight="false" outlineLevel="0" collapsed="false">
      <c r="A108" s="496" t="s">
        <v>2023</v>
      </c>
      <c r="B108" s="496" t="n">
        <v>0.2755322</v>
      </c>
      <c r="C108" s="496" t="s">
        <v>469</v>
      </c>
      <c r="D108" s="496" t="s">
        <v>469</v>
      </c>
      <c r="E108" s="496" t="s">
        <v>469</v>
      </c>
      <c r="F108" s="496" t="s">
        <v>469</v>
      </c>
      <c r="G108" s="496" t="s">
        <v>469</v>
      </c>
      <c r="H108" s="496" t="s">
        <v>469</v>
      </c>
      <c r="I108" s="496" t="s">
        <v>469</v>
      </c>
      <c r="J108" s="496" t="n">
        <v>0.2452968</v>
      </c>
      <c r="K108" s="496" t="s">
        <v>469</v>
      </c>
      <c r="L108" s="496" t="s">
        <v>469</v>
      </c>
      <c r="M108" s="496" t="s">
        <v>469</v>
      </c>
      <c r="N108" s="496" t="s">
        <v>469</v>
      </c>
      <c r="O108" s="496" t="s">
        <v>469</v>
      </c>
      <c r="P108" s="496" t="s">
        <v>469</v>
      </c>
      <c r="Q108" s="496" t="s">
        <v>469</v>
      </c>
      <c r="R108" s="496" t="s">
        <v>469</v>
      </c>
      <c r="S108" s="496" t="s">
        <v>469</v>
      </c>
      <c r="T108" s="496" t="s">
        <v>469</v>
      </c>
      <c r="U108" s="496" t="s">
        <v>469</v>
      </c>
      <c r="V108" s="496" t="s">
        <v>469</v>
      </c>
      <c r="W108" s="496" t="s">
        <v>469</v>
      </c>
      <c r="X108" s="496" t="s">
        <v>469</v>
      </c>
      <c r="Y108" s="496" t="s">
        <v>469</v>
      </c>
      <c r="Z108" s="496" t="s">
        <v>469</v>
      </c>
      <c r="AA108" s="496" t="s">
        <v>469</v>
      </c>
      <c r="AB108" s="496" t="s">
        <v>469</v>
      </c>
      <c r="AC108" s="496" t="s">
        <v>469</v>
      </c>
      <c r="AD108" s="496" t="s">
        <v>469</v>
      </c>
      <c r="AE108" s="496" t="n">
        <v>0.2773073</v>
      </c>
      <c r="AF108" s="496" t="s">
        <v>469</v>
      </c>
      <c r="AG108" s="496" t="n">
        <v>0.2241588</v>
      </c>
      <c r="AH108" s="496" t="n">
        <v>0.275565</v>
      </c>
      <c r="AI108" s="496" t="n">
        <v>0.2723292</v>
      </c>
      <c r="AJ108" s="496" t="s">
        <v>469</v>
      </c>
      <c r="AK108" s="496" t="n">
        <v>0.2723292</v>
      </c>
      <c r="AL108" s="496" t="s">
        <v>469</v>
      </c>
      <c r="AM108" s="496" t="n">
        <v>0.2747104</v>
      </c>
      <c r="AN108" s="496" t="n">
        <v>0.2759753</v>
      </c>
      <c r="AO108" s="496" t="n">
        <v>0.2763456</v>
      </c>
      <c r="AP108" s="496" t="s">
        <v>469</v>
      </c>
      <c r="AQ108" s="496" t="n">
        <v>0.229</v>
      </c>
      <c r="AR108" s="496" t="s">
        <v>469</v>
      </c>
      <c r="AS108" s="496" t="n">
        <v>0.2757219</v>
      </c>
      <c r="AT108" s="496" t="s">
        <v>469</v>
      </c>
      <c r="AU108" s="496" t="n">
        <v>0.2781476</v>
      </c>
      <c r="AV108" s="496" t="n">
        <v>0.2242956</v>
      </c>
      <c r="AW108" s="496" t="n">
        <v>0.2242956</v>
      </c>
      <c r="AX108" s="496" t="n">
        <v>0.2755789</v>
      </c>
      <c r="AY108" s="496" t="s">
        <v>469</v>
      </c>
      <c r="AZ108" s="496" t="s">
        <v>469</v>
      </c>
      <c r="BA108" s="496" t="s">
        <v>469</v>
      </c>
      <c r="BB108" s="496" t="s">
        <v>469</v>
      </c>
      <c r="BC108" s="496" t="s">
        <v>469</v>
      </c>
      <c r="BD108" s="496" t="s">
        <v>469</v>
      </c>
      <c r="BE108" s="496" t="s">
        <v>469</v>
      </c>
      <c r="BF108" s="496" t="s">
        <v>469</v>
      </c>
      <c r="BG108" s="496" t="n">
        <v>0.2729163</v>
      </c>
      <c r="BH108" s="496" t="s">
        <v>469</v>
      </c>
      <c r="BI108" s="496" t="n">
        <v>0.2757219</v>
      </c>
      <c r="BJ108" s="496" t="n">
        <v>0.2759753</v>
      </c>
      <c r="BK108" s="496" t="n">
        <v>0.2750594</v>
      </c>
      <c r="BL108" s="496" t="s">
        <v>469</v>
      </c>
      <c r="BM108" s="496" t="s">
        <v>469</v>
      </c>
      <c r="BN108" s="496" t="s">
        <v>469</v>
      </c>
      <c r="BO108" s="496" t="s">
        <v>469</v>
      </c>
      <c r="BP108" s="496" t="n">
        <v>0.2640433</v>
      </c>
      <c r="BQ108" s="496" t="s">
        <v>469</v>
      </c>
      <c r="BR108" s="496" t="n">
        <v>0.2289994</v>
      </c>
      <c r="BS108" s="496" t="n">
        <v>0.2255436</v>
      </c>
      <c r="BT108" s="496" t="n">
        <v>0.2242956</v>
      </c>
      <c r="BU108" s="496" t="s">
        <v>469</v>
      </c>
      <c r="BV108" s="496" t="s">
        <v>469</v>
      </c>
      <c r="BW108" s="496" t="s">
        <v>469</v>
      </c>
      <c r="BX108" s="496" t="s">
        <v>469</v>
      </c>
      <c r="BY108" s="496" t="s">
        <v>469</v>
      </c>
      <c r="BZ108" s="496" t="s">
        <v>469</v>
      </c>
      <c r="CA108" s="496" t="s">
        <v>469</v>
      </c>
      <c r="CB108" s="496" t="s">
        <v>469</v>
      </c>
      <c r="CC108" s="496" t="s">
        <v>469</v>
      </c>
      <c r="CD108" s="496" t="s">
        <v>469</v>
      </c>
      <c r="CE108" s="496" t="s">
        <v>469</v>
      </c>
      <c r="CF108" s="496" t="n">
        <v>0.2776559</v>
      </c>
      <c r="CG108" s="496" t="s">
        <v>469</v>
      </c>
      <c r="CH108" s="496" t="s">
        <v>469</v>
      </c>
      <c r="CI108" s="496" t="n">
        <v>0.275565</v>
      </c>
      <c r="CJ108" s="496" t="n">
        <v>0.2759063</v>
      </c>
      <c r="CK108" s="496" t="s">
        <v>469</v>
      </c>
      <c r="CL108" s="496" t="n">
        <v>0.2770044</v>
      </c>
      <c r="CM108" s="496" t="s">
        <v>469</v>
      </c>
      <c r="CN108" s="496" t="n">
        <v>0.2773547</v>
      </c>
      <c r="CO108" s="496" t="n">
        <v>0.2759753</v>
      </c>
      <c r="CP108" s="496" t="n">
        <v>0.2759753</v>
      </c>
      <c r="CQ108" s="496" t="s">
        <v>469</v>
      </c>
      <c r="CR108" s="496" t="n">
        <v>0.229</v>
      </c>
      <c r="CS108" s="496" t="s">
        <v>469</v>
      </c>
      <c r="CT108" s="496" t="n">
        <v>0.278414</v>
      </c>
      <c r="CU108" s="496" t="s">
        <v>469</v>
      </c>
      <c r="CV108" s="496" t="n">
        <v>0.2788491</v>
      </c>
      <c r="CW108" s="496" t="s">
        <v>469</v>
      </c>
      <c r="CX108" s="496" t="n">
        <v>0.2788447</v>
      </c>
      <c r="CY108" s="496" t="n">
        <v>0.2242956</v>
      </c>
      <c r="CZ108" s="496" t="n">
        <v>0.2242956</v>
      </c>
      <c r="DA108" s="496" t="s">
        <v>469</v>
      </c>
      <c r="DB108" s="496" t="n">
        <v>0.229</v>
      </c>
      <c r="DC108" s="496" t="s">
        <v>469</v>
      </c>
      <c r="DD108" s="496" t="n">
        <v>0.2781476</v>
      </c>
      <c r="DE108" s="496" t="s">
        <v>469</v>
      </c>
      <c r="DF108" s="496" t="n">
        <v>0.229</v>
      </c>
    </row>
    <row r="109" customFormat="false" ht="15" hidden="false" customHeight="false" outlineLevel="0" collapsed="false">
      <c r="A109" s="496" t="s">
        <v>2024</v>
      </c>
      <c r="B109" s="496" t="n">
        <v>0.9841792</v>
      </c>
      <c r="C109" s="496" t="s">
        <v>469</v>
      </c>
      <c r="D109" s="496" t="s">
        <v>469</v>
      </c>
      <c r="E109" s="496" t="s">
        <v>469</v>
      </c>
      <c r="F109" s="496" t="s">
        <v>469</v>
      </c>
      <c r="G109" s="496" t="s">
        <v>469</v>
      </c>
      <c r="H109" s="496" t="s">
        <v>469</v>
      </c>
      <c r="I109" s="496" t="s">
        <v>469</v>
      </c>
      <c r="J109" s="496" t="n">
        <v>0.6497364</v>
      </c>
      <c r="K109" s="496" t="s">
        <v>469</v>
      </c>
      <c r="L109" s="496" t="s">
        <v>469</v>
      </c>
      <c r="M109" s="496" t="s">
        <v>469</v>
      </c>
      <c r="N109" s="496" t="s">
        <v>469</v>
      </c>
      <c r="O109" s="496" t="s">
        <v>469</v>
      </c>
      <c r="P109" s="496" t="s">
        <v>469</v>
      </c>
      <c r="Q109" s="496" t="s">
        <v>469</v>
      </c>
      <c r="R109" s="496" t="s">
        <v>469</v>
      </c>
      <c r="S109" s="496" t="s">
        <v>469</v>
      </c>
      <c r="T109" s="496" t="s">
        <v>469</v>
      </c>
      <c r="U109" s="496" t="s">
        <v>469</v>
      </c>
      <c r="V109" s="496" t="s">
        <v>469</v>
      </c>
      <c r="W109" s="496" t="s">
        <v>469</v>
      </c>
      <c r="X109" s="496" t="s">
        <v>469</v>
      </c>
      <c r="Y109" s="496" t="s">
        <v>469</v>
      </c>
      <c r="Z109" s="496" t="s">
        <v>469</v>
      </c>
      <c r="AA109" s="496" t="s">
        <v>469</v>
      </c>
      <c r="AB109" s="496" t="s">
        <v>469</v>
      </c>
      <c r="AC109" s="496" t="s">
        <v>469</v>
      </c>
      <c r="AD109" s="496" t="s">
        <v>469</v>
      </c>
      <c r="AE109" s="496" t="n">
        <v>1.196656</v>
      </c>
      <c r="AF109" s="496" t="s">
        <v>469</v>
      </c>
      <c r="AG109" s="496" t="n">
        <v>0.5321242</v>
      </c>
      <c r="AH109" s="496" t="n">
        <v>0.9031769</v>
      </c>
      <c r="AI109" s="496" t="n">
        <v>2.180474</v>
      </c>
      <c r="AJ109" s="496" t="s">
        <v>469</v>
      </c>
      <c r="AK109" s="496" t="n">
        <v>1.627274</v>
      </c>
      <c r="AL109" s="496" t="s">
        <v>469</v>
      </c>
      <c r="AM109" s="496" t="n">
        <v>2.217978</v>
      </c>
      <c r="AN109" s="496" t="n">
        <v>0.7119371</v>
      </c>
      <c r="AO109" s="496" t="n">
        <v>1.247383</v>
      </c>
      <c r="AP109" s="496" t="s">
        <v>469</v>
      </c>
      <c r="AQ109" s="496" t="n">
        <v>1.398001</v>
      </c>
      <c r="AR109" s="496" t="s">
        <v>469</v>
      </c>
      <c r="AS109" s="496" t="n">
        <v>1.291825</v>
      </c>
      <c r="AT109" s="496" t="s">
        <v>469</v>
      </c>
      <c r="AU109" s="496" t="n">
        <v>1.351642</v>
      </c>
      <c r="AV109" s="496" t="n">
        <v>0.166843</v>
      </c>
      <c r="AW109" s="496" t="n">
        <v>0.6547899</v>
      </c>
      <c r="AX109" s="496" t="n">
        <v>0.9039345</v>
      </c>
      <c r="AY109" s="496" t="s">
        <v>469</v>
      </c>
      <c r="AZ109" s="496" t="s">
        <v>469</v>
      </c>
      <c r="BA109" s="496" t="s">
        <v>469</v>
      </c>
      <c r="BB109" s="496" t="s">
        <v>469</v>
      </c>
      <c r="BC109" s="496" t="s">
        <v>469</v>
      </c>
      <c r="BD109" s="496" t="s">
        <v>469</v>
      </c>
      <c r="BE109" s="496" t="s">
        <v>469</v>
      </c>
      <c r="BF109" s="496" t="s">
        <v>469</v>
      </c>
      <c r="BG109" s="496" t="n">
        <v>0.8087801</v>
      </c>
      <c r="BH109" s="496" t="s">
        <v>469</v>
      </c>
      <c r="BI109" s="496" t="n">
        <v>0.7707286</v>
      </c>
      <c r="BJ109" s="496" t="n">
        <v>0.7733085</v>
      </c>
      <c r="BK109" s="496" t="n">
        <v>0.9634361</v>
      </c>
      <c r="BL109" s="496" t="s">
        <v>469</v>
      </c>
      <c r="BM109" s="496" t="s">
        <v>469</v>
      </c>
      <c r="BN109" s="496" t="s">
        <v>469</v>
      </c>
      <c r="BO109" s="496" t="s">
        <v>469</v>
      </c>
      <c r="BP109" s="496" t="n">
        <v>0.5070432</v>
      </c>
      <c r="BQ109" s="496" t="s">
        <v>469</v>
      </c>
      <c r="BR109" s="496" t="n">
        <v>0.1814345</v>
      </c>
      <c r="BS109" s="496" t="n">
        <v>0.3482495</v>
      </c>
      <c r="BT109" s="496" t="n">
        <v>0.1913665</v>
      </c>
      <c r="BU109" s="496" t="s">
        <v>469</v>
      </c>
      <c r="BV109" s="496" t="s">
        <v>469</v>
      </c>
      <c r="BW109" s="496" t="s">
        <v>469</v>
      </c>
      <c r="BX109" s="496" t="s">
        <v>469</v>
      </c>
      <c r="BY109" s="496" t="s">
        <v>469</v>
      </c>
      <c r="BZ109" s="496" t="s">
        <v>469</v>
      </c>
      <c r="CA109" s="496" t="s">
        <v>469</v>
      </c>
      <c r="CB109" s="496" t="s">
        <v>469</v>
      </c>
      <c r="CC109" s="496" t="s">
        <v>469</v>
      </c>
      <c r="CD109" s="496" t="s">
        <v>469</v>
      </c>
      <c r="CE109" s="496" t="s">
        <v>469</v>
      </c>
      <c r="CF109" s="496" t="n">
        <v>0.0632276</v>
      </c>
      <c r="CG109" s="496" t="s">
        <v>469</v>
      </c>
      <c r="CH109" s="496" t="s">
        <v>469</v>
      </c>
      <c r="CI109" s="496" t="n">
        <v>0.9031769</v>
      </c>
      <c r="CJ109" s="496" t="n">
        <v>0.1329963</v>
      </c>
      <c r="CK109" s="496" t="s">
        <v>469</v>
      </c>
      <c r="CL109" s="496" t="n">
        <v>0.1114217</v>
      </c>
      <c r="CM109" s="496" t="s">
        <v>469</v>
      </c>
      <c r="CN109" s="496" t="n">
        <v>0.1257209</v>
      </c>
      <c r="CO109" s="496" t="n">
        <v>0.711937</v>
      </c>
      <c r="CP109" s="496" t="n">
        <v>0.5834931</v>
      </c>
      <c r="CQ109" s="496" t="s">
        <v>469</v>
      </c>
      <c r="CR109" s="496" t="n">
        <v>0.0599999</v>
      </c>
      <c r="CS109" s="496" t="s">
        <v>469</v>
      </c>
      <c r="CT109" s="496" t="n">
        <v>0.0687386</v>
      </c>
      <c r="CU109" s="496" t="s">
        <v>469</v>
      </c>
      <c r="CV109" s="496" t="n">
        <v>0.064546</v>
      </c>
      <c r="CW109" s="496" t="s">
        <v>469</v>
      </c>
      <c r="CX109" s="496" t="n">
        <v>0.0645402</v>
      </c>
      <c r="CY109" s="496" t="n">
        <v>0.1668431</v>
      </c>
      <c r="CZ109" s="496" t="n">
        <v>0.1561534</v>
      </c>
      <c r="DA109" s="496" t="s">
        <v>469</v>
      </c>
      <c r="DB109" s="496" t="n">
        <v>0.0599997</v>
      </c>
      <c r="DC109" s="496" t="s">
        <v>469</v>
      </c>
      <c r="DD109" s="496" t="n">
        <v>1.466303</v>
      </c>
      <c r="DE109" s="496" t="s">
        <v>469</v>
      </c>
      <c r="DF109" s="496" t="n">
        <v>1.398001</v>
      </c>
    </row>
    <row r="110" customFormat="false" ht="15" hidden="false" customHeight="false" outlineLevel="0" collapsed="false">
      <c r="A110" s="496" t="s">
        <v>2031</v>
      </c>
      <c r="B110" s="496" t="n">
        <v>0.8669874</v>
      </c>
      <c r="C110" s="496" t="s">
        <v>469</v>
      </c>
      <c r="D110" s="496" t="s">
        <v>469</v>
      </c>
      <c r="E110" s="496" t="s">
        <v>469</v>
      </c>
      <c r="F110" s="496" t="s">
        <v>469</v>
      </c>
      <c r="G110" s="496" t="s">
        <v>469</v>
      </c>
      <c r="H110" s="496" t="s">
        <v>469</v>
      </c>
      <c r="I110" s="496" t="s">
        <v>469</v>
      </c>
      <c r="J110" s="496" t="n">
        <v>0.9782331</v>
      </c>
      <c r="K110" s="496" t="s">
        <v>469</v>
      </c>
      <c r="L110" s="496" t="s">
        <v>469</v>
      </c>
      <c r="M110" s="496" t="s">
        <v>469</v>
      </c>
      <c r="N110" s="496" t="s">
        <v>469</v>
      </c>
      <c r="O110" s="496" t="s">
        <v>469</v>
      </c>
      <c r="P110" s="496" t="s">
        <v>469</v>
      </c>
      <c r="Q110" s="496" t="s">
        <v>469</v>
      </c>
      <c r="R110" s="496" t="s">
        <v>469</v>
      </c>
      <c r="S110" s="496" t="s">
        <v>469</v>
      </c>
      <c r="T110" s="496" t="s">
        <v>469</v>
      </c>
      <c r="U110" s="496" t="s">
        <v>469</v>
      </c>
      <c r="V110" s="496" t="s">
        <v>469</v>
      </c>
      <c r="W110" s="496" t="s">
        <v>469</v>
      </c>
      <c r="X110" s="496" t="s">
        <v>469</v>
      </c>
      <c r="Y110" s="496" t="s">
        <v>469</v>
      </c>
      <c r="Z110" s="496" t="s">
        <v>469</v>
      </c>
      <c r="AA110" s="496" t="s">
        <v>469</v>
      </c>
      <c r="AB110" s="496" t="s">
        <v>469</v>
      </c>
      <c r="AC110" s="496" t="s">
        <v>469</v>
      </c>
      <c r="AD110" s="496" t="s">
        <v>469</v>
      </c>
      <c r="AE110" s="496" t="n">
        <v>0.8021949</v>
      </c>
      <c r="AF110" s="496" t="s">
        <v>469</v>
      </c>
      <c r="AG110" s="496" t="n">
        <v>0.9496507</v>
      </c>
      <c r="AH110" s="496" t="n">
        <v>0.8765593</v>
      </c>
      <c r="AI110" s="496" t="n">
        <v>0.7877468</v>
      </c>
      <c r="AJ110" s="496" t="s">
        <v>469</v>
      </c>
      <c r="AK110" s="496" t="n">
        <v>0.8285022</v>
      </c>
      <c r="AL110" s="496" t="s">
        <v>469</v>
      </c>
      <c r="AM110" s="496" t="n">
        <v>0.7905961</v>
      </c>
      <c r="AN110" s="496" t="n">
        <v>0.8834334</v>
      </c>
      <c r="AO110" s="496" t="n">
        <v>0.807184</v>
      </c>
      <c r="AP110" s="496" t="s">
        <v>469</v>
      </c>
      <c r="AQ110" s="496" t="n">
        <v>0.94417</v>
      </c>
      <c r="AR110" s="496" t="s">
        <v>469</v>
      </c>
      <c r="AS110" s="496" t="n">
        <v>0.8122662</v>
      </c>
      <c r="AT110" s="496" t="s">
        <v>469</v>
      </c>
      <c r="AU110" s="496" t="n">
        <v>0.8114374</v>
      </c>
      <c r="AV110" s="496" t="n">
        <v>0.9809443</v>
      </c>
      <c r="AW110" s="496" t="n">
        <v>0.9412649</v>
      </c>
      <c r="AX110" s="496" t="n">
        <v>0.8763425</v>
      </c>
      <c r="AY110" s="496" t="s">
        <v>469</v>
      </c>
      <c r="AZ110" s="496" t="s">
        <v>469</v>
      </c>
      <c r="BA110" s="496" t="s">
        <v>469</v>
      </c>
      <c r="BB110" s="496" t="s">
        <v>469</v>
      </c>
      <c r="BC110" s="496" t="s">
        <v>469</v>
      </c>
      <c r="BD110" s="496" t="s">
        <v>469</v>
      </c>
      <c r="BE110" s="496" t="s">
        <v>469</v>
      </c>
      <c r="BF110" s="496" t="s">
        <v>469</v>
      </c>
      <c r="BG110" s="496" t="n">
        <v>0.8427135</v>
      </c>
      <c r="BH110" s="496" t="s">
        <v>469</v>
      </c>
      <c r="BI110" s="496" t="n">
        <v>0.8554943</v>
      </c>
      <c r="BJ110" s="496" t="n">
        <v>0.8553862</v>
      </c>
      <c r="BK110" s="496" t="n">
        <v>0.8593456</v>
      </c>
      <c r="BL110" s="496" t="s">
        <v>469</v>
      </c>
      <c r="BM110" s="496" t="s">
        <v>469</v>
      </c>
      <c r="BN110" s="496" t="s">
        <v>469</v>
      </c>
      <c r="BO110" s="496" t="s">
        <v>469</v>
      </c>
      <c r="BP110" s="496" t="n">
        <v>0.9749003</v>
      </c>
      <c r="BQ110" s="496" t="s">
        <v>469</v>
      </c>
      <c r="BR110" s="496" t="n">
        <v>0.9886302</v>
      </c>
      <c r="BS110" s="496" t="n">
        <v>0.9808489</v>
      </c>
      <c r="BT110" s="496" t="n">
        <v>0.9809232</v>
      </c>
      <c r="BU110" s="496" t="s">
        <v>469</v>
      </c>
      <c r="BV110" s="496" t="s">
        <v>469</v>
      </c>
      <c r="BW110" s="496" t="s">
        <v>469</v>
      </c>
      <c r="BX110" s="496" t="s">
        <v>469</v>
      </c>
      <c r="BY110" s="496" t="s">
        <v>469</v>
      </c>
      <c r="BZ110" s="496" t="s">
        <v>469</v>
      </c>
      <c r="CA110" s="496" t="s">
        <v>469</v>
      </c>
      <c r="CB110" s="496" t="s">
        <v>469</v>
      </c>
      <c r="CC110" s="496" t="s">
        <v>469</v>
      </c>
      <c r="CD110" s="496" t="s">
        <v>469</v>
      </c>
      <c r="CE110" s="496" t="s">
        <v>469</v>
      </c>
      <c r="CF110" s="496" t="n">
        <v>0.9788259</v>
      </c>
      <c r="CG110" s="496" t="s">
        <v>469</v>
      </c>
      <c r="CH110" s="496" t="s">
        <v>469</v>
      </c>
      <c r="CI110" s="496" t="n">
        <v>0.8765593</v>
      </c>
      <c r="CJ110" s="496" t="n">
        <v>0.9820435</v>
      </c>
      <c r="CK110" s="496" t="s">
        <v>469</v>
      </c>
      <c r="CL110" s="496" t="n">
        <v>0.9812977</v>
      </c>
      <c r="CM110" s="496" t="s">
        <v>469</v>
      </c>
      <c r="CN110" s="496" t="n">
        <v>0.9815443</v>
      </c>
      <c r="CO110" s="496" t="n">
        <v>0.8834335</v>
      </c>
      <c r="CP110" s="496" t="n">
        <v>0.9889943</v>
      </c>
      <c r="CQ110" s="496" t="s">
        <v>469</v>
      </c>
      <c r="CR110" s="496" t="n">
        <v>0.9953356</v>
      </c>
      <c r="CS110" s="496" t="s">
        <v>469</v>
      </c>
      <c r="CT110" s="496" t="n">
        <v>0.9789465</v>
      </c>
      <c r="CU110" s="496" t="s">
        <v>469</v>
      </c>
      <c r="CV110" s="496" t="n">
        <v>0.9785455</v>
      </c>
      <c r="CW110" s="496" t="s">
        <v>469</v>
      </c>
      <c r="CX110" s="496" t="n">
        <v>0.9785461</v>
      </c>
      <c r="CY110" s="496" t="n">
        <v>0.9809443</v>
      </c>
      <c r="CZ110" s="496" t="n">
        <v>0.9924498</v>
      </c>
      <c r="DA110" s="496" t="s">
        <v>469</v>
      </c>
      <c r="DB110" s="496" t="n">
        <v>0.9953356</v>
      </c>
      <c r="DC110" s="496" t="s">
        <v>469</v>
      </c>
      <c r="DD110" s="496" t="n">
        <v>0.7979631</v>
      </c>
      <c r="DE110" s="496" t="s">
        <v>469</v>
      </c>
      <c r="DF110" s="496" t="n">
        <v>0.94417</v>
      </c>
    </row>
    <row r="111" customFormat="false" ht="15" hidden="false" customHeight="false" outlineLevel="0" collapsed="false">
      <c r="A111" s="496" t="s">
        <v>2025</v>
      </c>
      <c r="B111" s="496" t="n">
        <v>64.13481</v>
      </c>
      <c r="C111" s="496" t="s">
        <v>469</v>
      </c>
      <c r="D111" s="496" t="s">
        <v>469</v>
      </c>
      <c r="E111" s="496" t="s">
        <v>469</v>
      </c>
      <c r="F111" s="496" t="s">
        <v>469</v>
      </c>
      <c r="G111" s="496" t="s">
        <v>469</v>
      </c>
      <c r="H111" s="496" t="s">
        <v>469</v>
      </c>
      <c r="I111" s="496" t="s">
        <v>469</v>
      </c>
      <c r="J111" s="496" t="n">
        <v>6.380885</v>
      </c>
      <c r="K111" s="496" t="s">
        <v>469</v>
      </c>
      <c r="L111" s="496" t="s">
        <v>469</v>
      </c>
      <c r="M111" s="496" t="s">
        <v>469</v>
      </c>
      <c r="N111" s="496" t="s">
        <v>469</v>
      </c>
      <c r="O111" s="496" t="s">
        <v>469</v>
      </c>
      <c r="P111" s="496" t="s">
        <v>469</v>
      </c>
      <c r="Q111" s="496" t="s">
        <v>469</v>
      </c>
      <c r="R111" s="496" t="s">
        <v>469</v>
      </c>
      <c r="S111" s="496" t="s">
        <v>469</v>
      </c>
      <c r="T111" s="496" t="s">
        <v>469</v>
      </c>
      <c r="U111" s="496" t="s">
        <v>469</v>
      </c>
      <c r="V111" s="496" t="s">
        <v>469</v>
      </c>
      <c r="W111" s="496" t="s">
        <v>469</v>
      </c>
      <c r="X111" s="496" t="s">
        <v>469</v>
      </c>
      <c r="Y111" s="496" t="s">
        <v>469</v>
      </c>
      <c r="Z111" s="496" t="s">
        <v>469</v>
      </c>
      <c r="AA111" s="496" t="s">
        <v>469</v>
      </c>
      <c r="AB111" s="496" t="s">
        <v>469</v>
      </c>
      <c r="AC111" s="496" t="s">
        <v>469</v>
      </c>
      <c r="AD111" s="496" t="s">
        <v>469</v>
      </c>
      <c r="AE111" s="496" t="n">
        <v>78.77375</v>
      </c>
      <c r="AF111" s="496" t="s">
        <v>469</v>
      </c>
      <c r="AG111" s="496" t="n">
        <v>111.6895</v>
      </c>
      <c r="AH111" s="496" t="n">
        <v>59.92633</v>
      </c>
      <c r="AI111" s="496" t="n">
        <v>112.2322</v>
      </c>
      <c r="AJ111" s="496" t="s">
        <v>469</v>
      </c>
      <c r="AK111" s="496" t="n">
        <v>94.53722</v>
      </c>
      <c r="AL111" s="496" t="s">
        <v>469</v>
      </c>
      <c r="AM111" s="496" t="n">
        <v>115.7754</v>
      </c>
      <c r="AN111" s="496" t="n">
        <v>52.7138</v>
      </c>
      <c r="AO111" s="496" t="n">
        <v>80.29795</v>
      </c>
      <c r="AP111" s="496" t="s">
        <v>469</v>
      </c>
      <c r="AQ111" s="496" t="n">
        <v>195.0739</v>
      </c>
      <c r="AR111" s="496" t="s">
        <v>469</v>
      </c>
      <c r="AS111" s="496" t="n">
        <v>80.58832</v>
      </c>
      <c r="AT111" s="496" t="s">
        <v>469</v>
      </c>
      <c r="AU111" s="496" t="n">
        <v>78.66082</v>
      </c>
      <c r="AV111" s="496" t="n">
        <v>72.46388</v>
      </c>
      <c r="AW111" s="496" t="n">
        <v>117.7221</v>
      </c>
      <c r="AX111" s="496" t="n">
        <v>59.97309</v>
      </c>
      <c r="AY111" s="496" t="s">
        <v>469</v>
      </c>
      <c r="AZ111" s="496" t="s">
        <v>469</v>
      </c>
      <c r="BA111" s="496" t="s">
        <v>469</v>
      </c>
      <c r="BB111" s="496" t="s">
        <v>469</v>
      </c>
      <c r="BC111" s="496" t="s">
        <v>469</v>
      </c>
      <c r="BD111" s="496" t="s">
        <v>469</v>
      </c>
      <c r="BE111" s="496" t="s">
        <v>469</v>
      </c>
      <c r="BF111" s="496" t="s">
        <v>469</v>
      </c>
      <c r="BG111" s="496" t="n">
        <v>135.1093</v>
      </c>
      <c r="BH111" s="496" t="s">
        <v>469</v>
      </c>
      <c r="BI111" s="496" t="n">
        <v>56.55926</v>
      </c>
      <c r="BJ111" s="496" t="n">
        <v>57.11589</v>
      </c>
      <c r="BK111" s="496" t="n">
        <v>62.24544</v>
      </c>
      <c r="BL111" s="496" t="s">
        <v>469</v>
      </c>
      <c r="BM111" s="496" t="s">
        <v>469</v>
      </c>
      <c r="BN111" s="496" t="s">
        <v>469</v>
      </c>
      <c r="BO111" s="496" t="s">
        <v>469</v>
      </c>
      <c r="BP111" s="496" t="n">
        <v>-3.310966</v>
      </c>
      <c r="BQ111" s="496" t="s">
        <v>469</v>
      </c>
      <c r="BR111" s="496" t="n">
        <v>117.1765</v>
      </c>
      <c r="BS111" s="496" t="n">
        <v>43.42184</v>
      </c>
      <c r="BT111" s="496" t="n">
        <v>68.18138</v>
      </c>
      <c r="BU111" s="496" t="s">
        <v>469</v>
      </c>
      <c r="BV111" s="496" t="s">
        <v>469</v>
      </c>
      <c r="BW111" s="496" t="s">
        <v>469</v>
      </c>
      <c r="BX111" s="496" t="s">
        <v>469</v>
      </c>
      <c r="BY111" s="496" t="s">
        <v>469</v>
      </c>
      <c r="BZ111" s="496" t="s">
        <v>469</v>
      </c>
      <c r="CA111" s="496" t="s">
        <v>469</v>
      </c>
      <c r="CB111" s="496" t="s">
        <v>469</v>
      </c>
      <c r="CC111" s="496" t="s">
        <v>469</v>
      </c>
      <c r="CD111" s="496" t="s">
        <v>469</v>
      </c>
      <c r="CE111" s="496" t="s">
        <v>469</v>
      </c>
      <c r="CF111" s="496" t="n">
        <v>-20.90141</v>
      </c>
      <c r="CG111" s="496" t="s">
        <v>469</v>
      </c>
      <c r="CH111" s="496" t="s">
        <v>469</v>
      </c>
      <c r="CI111" s="496" t="n">
        <v>59.92633</v>
      </c>
      <c r="CJ111" s="496" t="n">
        <v>-17.31784</v>
      </c>
      <c r="CK111" s="496" t="s">
        <v>469</v>
      </c>
      <c r="CL111" s="496" t="n">
        <v>-19.14629</v>
      </c>
      <c r="CM111" s="496" t="s">
        <v>469</v>
      </c>
      <c r="CN111" s="496" t="n">
        <v>-18.54301</v>
      </c>
      <c r="CO111" s="496" t="n">
        <v>52.71377</v>
      </c>
      <c r="CP111" s="496" t="n">
        <v>-19.10644</v>
      </c>
      <c r="CQ111" s="496" t="s">
        <v>469</v>
      </c>
      <c r="CR111" s="496" t="n">
        <v>85.95582</v>
      </c>
      <c r="CS111" s="496" t="s">
        <v>469</v>
      </c>
      <c r="CT111" s="496" t="n">
        <v>-21.02577</v>
      </c>
      <c r="CU111" s="496" t="s">
        <v>469</v>
      </c>
      <c r="CV111" s="496" t="n">
        <v>-21.54971</v>
      </c>
      <c r="CW111" s="496" t="s">
        <v>469</v>
      </c>
      <c r="CX111" s="496" t="n">
        <v>-21.53787</v>
      </c>
      <c r="CY111" s="496" t="n">
        <v>72.46387</v>
      </c>
      <c r="CZ111" s="496" t="n">
        <v>48.034</v>
      </c>
      <c r="DA111" s="496" t="s">
        <v>469</v>
      </c>
      <c r="DB111" s="496" t="n">
        <v>85.95582</v>
      </c>
      <c r="DC111" s="496" t="s">
        <v>469</v>
      </c>
      <c r="DD111" s="496" t="n">
        <v>82.93746</v>
      </c>
      <c r="DE111" s="496" t="s">
        <v>469</v>
      </c>
      <c r="DF111" s="496" t="n">
        <v>195.0739</v>
      </c>
    </row>
    <row r="112" customFormat="false" ht="15" hidden="false" customHeight="false" outlineLevel="0" collapsed="false">
      <c r="A112" s="496" t="s">
        <v>2026</v>
      </c>
      <c r="B112" s="1099" t="n">
        <v>-16500000</v>
      </c>
      <c r="C112" s="496" t="s">
        <v>469</v>
      </c>
      <c r="D112" s="496" t="s">
        <v>469</v>
      </c>
      <c r="E112" s="496" t="s">
        <v>469</v>
      </c>
      <c r="F112" s="496" t="s">
        <v>469</v>
      </c>
      <c r="G112" s="496" t="s">
        <v>469</v>
      </c>
      <c r="H112" s="496" t="s">
        <v>469</v>
      </c>
      <c r="I112" s="496" t="s">
        <v>469</v>
      </c>
      <c r="J112" s="1099" t="n">
        <v>-170000</v>
      </c>
      <c r="K112" s="496" t="s">
        <v>469</v>
      </c>
      <c r="L112" s="496" t="s">
        <v>469</v>
      </c>
      <c r="M112" s="496" t="s">
        <v>469</v>
      </c>
      <c r="N112" s="496" t="s">
        <v>469</v>
      </c>
      <c r="O112" s="496" t="s">
        <v>469</v>
      </c>
      <c r="P112" s="496" t="s">
        <v>469</v>
      </c>
      <c r="Q112" s="496" t="s">
        <v>469</v>
      </c>
      <c r="R112" s="496" t="s">
        <v>469</v>
      </c>
      <c r="S112" s="496" t="s">
        <v>469</v>
      </c>
      <c r="T112" s="496" t="s">
        <v>469</v>
      </c>
      <c r="U112" s="496" t="s">
        <v>469</v>
      </c>
      <c r="V112" s="496" t="s">
        <v>469</v>
      </c>
      <c r="W112" s="496" t="s">
        <v>469</v>
      </c>
      <c r="X112" s="496" t="s">
        <v>469</v>
      </c>
      <c r="Y112" s="496" t="s">
        <v>469</v>
      </c>
      <c r="Z112" s="496" t="s">
        <v>469</v>
      </c>
      <c r="AA112" s="496" t="s">
        <v>469</v>
      </c>
      <c r="AB112" s="496" t="s">
        <v>469</v>
      </c>
      <c r="AC112" s="496" t="s">
        <v>469</v>
      </c>
      <c r="AD112" s="496" t="s">
        <v>469</v>
      </c>
      <c r="AE112" s="496" t="n">
        <v>-1278.517</v>
      </c>
      <c r="AF112" s="496" t="s">
        <v>469</v>
      </c>
      <c r="AG112" s="496" t="n">
        <v>-6139.237</v>
      </c>
      <c r="AH112" s="496" t="n">
        <v>-262.2456</v>
      </c>
      <c r="AI112" s="496" t="n">
        <v>-2175.829</v>
      </c>
      <c r="AJ112" s="496" t="s">
        <v>469</v>
      </c>
      <c r="AK112" s="496" t="n">
        <v>-2204.723</v>
      </c>
      <c r="AL112" s="496" t="s">
        <v>469</v>
      </c>
      <c r="AM112" s="496" t="n">
        <v>-2209.23</v>
      </c>
      <c r="AN112" s="496" t="n">
        <v>-1867.924</v>
      </c>
      <c r="AO112" s="496" t="n">
        <v>-1627.19</v>
      </c>
      <c r="AP112" s="496" t="s">
        <v>469</v>
      </c>
      <c r="AQ112" s="496" t="n">
        <v>-13133.19</v>
      </c>
      <c r="AR112" s="496" t="s">
        <v>469</v>
      </c>
      <c r="AS112" s="496" t="n">
        <v>-1846.406</v>
      </c>
      <c r="AT112" s="496" t="s">
        <v>469</v>
      </c>
      <c r="AU112" s="496" t="n">
        <v>-1738.331</v>
      </c>
      <c r="AV112" s="496" t="n">
        <v>-6160.36</v>
      </c>
      <c r="AW112" s="496" t="n">
        <v>-6103.938</v>
      </c>
      <c r="AX112" s="1099" t="n">
        <v>-22800000</v>
      </c>
      <c r="AY112" s="496" t="s">
        <v>469</v>
      </c>
      <c r="AZ112" s="496" t="s">
        <v>469</v>
      </c>
      <c r="BA112" s="496" t="s">
        <v>469</v>
      </c>
      <c r="BB112" s="496" t="s">
        <v>469</v>
      </c>
      <c r="BC112" s="496" t="s">
        <v>469</v>
      </c>
      <c r="BD112" s="496" t="s">
        <v>469</v>
      </c>
      <c r="BE112" s="496" t="s">
        <v>469</v>
      </c>
      <c r="BF112" s="496" t="s">
        <v>469</v>
      </c>
      <c r="BG112" s="1099" t="n">
        <v>-430000000</v>
      </c>
      <c r="BH112" s="496" t="s">
        <v>469</v>
      </c>
      <c r="BI112" s="1099" t="n">
        <v>-206000000</v>
      </c>
      <c r="BJ112" s="1099" t="n">
        <v>-207000000</v>
      </c>
      <c r="BK112" s="1099" t="n">
        <v>-203000000</v>
      </c>
      <c r="BL112" s="496" t="s">
        <v>469</v>
      </c>
      <c r="BM112" s="496" t="s">
        <v>469</v>
      </c>
      <c r="BN112" s="496" t="s">
        <v>469</v>
      </c>
      <c r="BO112" s="496" t="s">
        <v>469</v>
      </c>
      <c r="BP112" s="1099" t="n">
        <v>-119000</v>
      </c>
      <c r="BQ112" s="496" t="s">
        <v>469</v>
      </c>
      <c r="BR112" s="1099" t="n">
        <v>-96800000</v>
      </c>
      <c r="BS112" s="1099" t="n">
        <v>-77300000</v>
      </c>
      <c r="BT112" s="1099" t="n">
        <v>-85200000</v>
      </c>
      <c r="BU112" s="496" t="s">
        <v>469</v>
      </c>
      <c r="BV112" s="496" t="s">
        <v>469</v>
      </c>
      <c r="BW112" s="496" t="s">
        <v>469</v>
      </c>
      <c r="BX112" s="496" t="s">
        <v>469</v>
      </c>
      <c r="BY112" s="496" t="s">
        <v>469</v>
      </c>
      <c r="BZ112" s="496" t="s">
        <v>469</v>
      </c>
      <c r="CA112" s="496" t="s">
        <v>469</v>
      </c>
      <c r="CB112" s="496" t="s">
        <v>469</v>
      </c>
      <c r="CC112" s="496" t="s">
        <v>469</v>
      </c>
      <c r="CD112" s="496" t="s">
        <v>469</v>
      </c>
      <c r="CE112" s="496" t="s">
        <v>469</v>
      </c>
      <c r="CF112" s="1099" t="n">
        <v>-40100000</v>
      </c>
      <c r="CG112" s="496" t="s">
        <v>469</v>
      </c>
      <c r="CH112" s="496" t="s">
        <v>469</v>
      </c>
      <c r="CI112" s="1099" t="n">
        <v>-23800000</v>
      </c>
      <c r="CJ112" s="1099" t="n">
        <v>-113000000</v>
      </c>
      <c r="CK112" s="496" t="s">
        <v>469</v>
      </c>
      <c r="CL112" s="1099" t="n">
        <v>-71400000</v>
      </c>
      <c r="CM112" s="496" t="s">
        <v>469</v>
      </c>
      <c r="CN112" s="1099" t="n">
        <v>-87500000</v>
      </c>
      <c r="CO112" s="1099" t="n">
        <v>-207000000</v>
      </c>
      <c r="CP112" s="1099" t="n">
        <v>-207000000</v>
      </c>
      <c r="CQ112" s="496" t="s">
        <v>469</v>
      </c>
      <c r="CR112" s="1099" t="n">
        <v>-41500000</v>
      </c>
      <c r="CS112" s="496" t="s">
        <v>469</v>
      </c>
      <c r="CT112" s="1099" t="n">
        <v>-97200000</v>
      </c>
      <c r="CU112" s="496" t="s">
        <v>469</v>
      </c>
      <c r="CV112" s="1099" t="n">
        <v>-37200000</v>
      </c>
      <c r="CW112" s="496" t="s">
        <v>469</v>
      </c>
      <c r="CX112" s="1099" t="n">
        <v>-37800000</v>
      </c>
      <c r="CY112" s="1099" t="n">
        <v>-85200000</v>
      </c>
      <c r="CZ112" s="1099" t="n">
        <v>-85200000</v>
      </c>
      <c r="DA112" s="496" t="s">
        <v>469</v>
      </c>
      <c r="DB112" s="1099" t="n">
        <v>-13400000</v>
      </c>
      <c r="DC112" s="496" t="s">
        <v>469</v>
      </c>
      <c r="DD112" s="496" t="n">
        <v>-1732.976</v>
      </c>
      <c r="DE112" s="496" t="s">
        <v>469</v>
      </c>
      <c r="DF112" s="496" t="n">
        <v>-13133.19</v>
      </c>
    </row>
    <row r="113" customFormat="false" ht="15" hidden="false" customHeight="false" outlineLevel="0" collapsed="false">
      <c r="A113" s="496" t="s">
        <v>2032</v>
      </c>
      <c r="B113" s="1099" t="n">
        <v>-16300000</v>
      </c>
      <c r="C113" s="496" t="s">
        <v>469</v>
      </c>
      <c r="D113" s="496" t="s">
        <v>469</v>
      </c>
      <c r="E113" s="496" t="s">
        <v>469</v>
      </c>
      <c r="F113" s="496" t="s">
        <v>469</v>
      </c>
      <c r="G113" s="496" t="s">
        <v>469</v>
      </c>
      <c r="H113" s="496" t="s">
        <v>469</v>
      </c>
      <c r="I113" s="496" t="s">
        <v>469</v>
      </c>
      <c r="J113" s="1099" t="n">
        <v>-169000</v>
      </c>
      <c r="K113" s="496" t="s">
        <v>469</v>
      </c>
      <c r="L113" s="496" t="s">
        <v>469</v>
      </c>
      <c r="M113" s="496" t="s">
        <v>469</v>
      </c>
      <c r="N113" s="496" t="s">
        <v>469</v>
      </c>
      <c r="O113" s="496" t="s">
        <v>469</v>
      </c>
      <c r="P113" s="496" t="s">
        <v>469</v>
      </c>
      <c r="Q113" s="496" t="s">
        <v>469</v>
      </c>
      <c r="R113" s="496" t="s">
        <v>469</v>
      </c>
      <c r="S113" s="496" t="s">
        <v>469</v>
      </c>
      <c r="T113" s="496" t="s">
        <v>469</v>
      </c>
      <c r="U113" s="496" t="s">
        <v>469</v>
      </c>
      <c r="V113" s="496" t="s">
        <v>469</v>
      </c>
      <c r="W113" s="496" t="s">
        <v>469</v>
      </c>
      <c r="X113" s="496" t="s">
        <v>469</v>
      </c>
      <c r="Y113" s="496" t="s">
        <v>469</v>
      </c>
      <c r="Z113" s="496" t="s">
        <v>469</v>
      </c>
      <c r="AA113" s="496" t="s">
        <v>469</v>
      </c>
      <c r="AB113" s="496" t="s">
        <v>469</v>
      </c>
      <c r="AC113" s="496" t="s">
        <v>469</v>
      </c>
      <c r="AD113" s="496" t="s">
        <v>469</v>
      </c>
      <c r="AE113" s="496" t="n">
        <v>-1249.688</v>
      </c>
      <c r="AF113" s="496" t="s">
        <v>469</v>
      </c>
      <c r="AG113" s="496" t="n">
        <v>-6125.449</v>
      </c>
      <c r="AH113" s="496" t="n">
        <v>-259.8551</v>
      </c>
      <c r="AI113" s="496" t="n">
        <v>-2142.201</v>
      </c>
      <c r="AJ113" s="496" t="s">
        <v>469</v>
      </c>
      <c r="AK113" s="496" t="n">
        <v>-2179.304</v>
      </c>
      <c r="AL113" s="496" t="s">
        <v>469</v>
      </c>
      <c r="AM113" s="496" t="n">
        <v>-2176.882</v>
      </c>
      <c r="AN113" s="496" t="n">
        <v>-1852.157</v>
      </c>
      <c r="AO113" s="496" t="n">
        <v>-1601.589</v>
      </c>
      <c r="AP113" s="496" t="s">
        <v>469</v>
      </c>
      <c r="AQ113" s="496" t="n">
        <v>-13100.32</v>
      </c>
      <c r="AR113" s="496" t="s">
        <v>469</v>
      </c>
      <c r="AS113" s="496" t="n">
        <v>-1818.157</v>
      </c>
      <c r="AT113" s="496" t="s">
        <v>469</v>
      </c>
      <c r="AU113" s="496" t="n">
        <v>-1710.411</v>
      </c>
      <c r="AV113" s="496" t="n">
        <v>-6155.739</v>
      </c>
      <c r="AW113" s="496" t="n">
        <v>-6087.571</v>
      </c>
      <c r="AX113" s="1099" t="n">
        <v>-22600000</v>
      </c>
      <c r="AY113" s="496" t="s">
        <v>469</v>
      </c>
      <c r="AZ113" s="496" t="s">
        <v>469</v>
      </c>
      <c r="BA113" s="496" t="s">
        <v>469</v>
      </c>
      <c r="BB113" s="496" t="s">
        <v>469</v>
      </c>
      <c r="BC113" s="496" t="s">
        <v>469</v>
      </c>
      <c r="BD113" s="496" t="s">
        <v>469</v>
      </c>
      <c r="BE113" s="496" t="s">
        <v>469</v>
      </c>
      <c r="BF113" s="496" t="s">
        <v>469</v>
      </c>
      <c r="BG113" s="1099" t="n">
        <v>-428000000</v>
      </c>
      <c r="BH113" s="496" t="s">
        <v>469</v>
      </c>
      <c r="BI113" s="1099" t="n">
        <v>-204000000</v>
      </c>
      <c r="BJ113" s="1099" t="n">
        <v>-205000000</v>
      </c>
      <c r="BK113" s="1099" t="n">
        <v>-201000000</v>
      </c>
      <c r="BL113" s="496" t="s">
        <v>469</v>
      </c>
      <c r="BM113" s="496" t="s">
        <v>469</v>
      </c>
      <c r="BN113" s="496" t="s">
        <v>469</v>
      </c>
      <c r="BO113" s="496" t="s">
        <v>469</v>
      </c>
      <c r="BP113" s="1099" t="n">
        <v>-119000</v>
      </c>
      <c r="BQ113" s="496" t="s">
        <v>469</v>
      </c>
      <c r="BR113" s="1099" t="n">
        <v>-96800000</v>
      </c>
      <c r="BS113" s="1099" t="n">
        <v>-77300000</v>
      </c>
      <c r="BT113" s="1099" t="n">
        <v>-85100000</v>
      </c>
      <c r="BU113" s="496" t="s">
        <v>469</v>
      </c>
      <c r="BV113" s="496" t="s">
        <v>469</v>
      </c>
      <c r="BW113" s="496" t="s">
        <v>469</v>
      </c>
      <c r="BX113" s="496" t="s">
        <v>469</v>
      </c>
      <c r="BY113" s="496" t="s">
        <v>469</v>
      </c>
      <c r="BZ113" s="496" t="s">
        <v>469</v>
      </c>
      <c r="CA113" s="496" t="s">
        <v>469</v>
      </c>
      <c r="CB113" s="496" t="s">
        <v>469</v>
      </c>
      <c r="CC113" s="496" t="s">
        <v>469</v>
      </c>
      <c r="CD113" s="496" t="s">
        <v>469</v>
      </c>
      <c r="CE113" s="496" t="s">
        <v>469</v>
      </c>
      <c r="CF113" s="1099" t="n">
        <v>-40000000</v>
      </c>
      <c r="CG113" s="496" t="s">
        <v>469</v>
      </c>
      <c r="CH113" s="496" t="s">
        <v>469</v>
      </c>
      <c r="CI113" s="1099" t="n">
        <v>-23600000</v>
      </c>
      <c r="CJ113" s="1099" t="n">
        <v>-113000000</v>
      </c>
      <c r="CK113" s="496" t="s">
        <v>469</v>
      </c>
      <c r="CL113" s="1099" t="n">
        <v>-71300000</v>
      </c>
      <c r="CM113" s="496" t="s">
        <v>469</v>
      </c>
      <c r="CN113" s="1099" t="n">
        <v>-87400000</v>
      </c>
      <c r="CO113" s="1099" t="n">
        <v>-205000000</v>
      </c>
      <c r="CP113" s="1099" t="n">
        <v>-206000000</v>
      </c>
      <c r="CQ113" s="496" t="s">
        <v>469</v>
      </c>
      <c r="CR113" s="1099" t="n">
        <v>-41500000</v>
      </c>
      <c r="CS113" s="496" t="s">
        <v>469</v>
      </c>
      <c r="CT113" s="1099" t="n">
        <v>-97100000</v>
      </c>
      <c r="CU113" s="496" t="s">
        <v>469</v>
      </c>
      <c r="CV113" s="1099" t="n">
        <v>-37200000</v>
      </c>
      <c r="CW113" s="496" t="s">
        <v>469</v>
      </c>
      <c r="CX113" s="1099" t="n">
        <v>-37800000</v>
      </c>
      <c r="CY113" s="1099" t="n">
        <v>-85100000</v>
      </c>
      <c r="CZ113" s="1099" t="n">
        <v>-85200000</v>
      </c>
      <c r="DA113" s="496" t="s">
        <v>469</v>
      </c>
      <c r="DB113" s="1099" t="n">
        <v>-13400000</v>
      </c>
      <c r="DC113" s="496" t="s">
        <v>469</v>
      </c>
      <c r="DD113" s="496" t="n">
        <v>-1702.583</v>
      </c>
      <c r="DE113" s="496" t="s">
        <v>469</v>
      </c>
      <c r="DF113" s="496" t="n">
        <v>-13100.32</v>
      </c>
    </row>
    <row r="114" customFormat="false" ht="15" hidden="false" customHeight="false" outlineLevel="0" collapsed="false">
      <c r="A114" s="496" t="s">
        <v>2033</v>
      </c>
      <c r="B114" s="496" t="n">
        <v>-1826.721</v>
      </c>
      <c r="C114" s="496" t="s">
        <v>469</v>
      </c>
      <c r="D114" s="496" t="s">
        <v>469</v>
      </c>
      <c r="E114" s="496" t="s">
        <v>469</v>
      </c>
      <c r="F114" s="496" t="s">
        <v>469</v>
      </c>
      <c r="G114" s="496" t="s">
        <v>469</v>
      </c>
      <c r="H114" s="496" t="s">
        <v>469</v>
      </c>
      <c r="I114" s="496" t="s">
        <v>469</v>
      </c>
      <c r="J114" s="496" t="n">
        <v>-3832.566</v>
      </c>
      <c r="K114" s="496" t="s">
        <v>469</v>
      </c>
      <c r="L114" s="496" t="s">
        <v>469</v>
      </c>
      <c r="M114" s="496" t="s">
        <v>469</v>
      </c>
      <c r="N114" s="496" t="s">
        <v>469</v>
      </c>
      <c r="O114" s="496" t="s">
        <v>469</v>
      </c>
      <c r="P114" s="496" t="s">
        <v>469</v>
      </c>
      <c r="Q114" s="496" t="s">
        <v>469</v>
      </c>
      <c r="R114" s="496" t="s">
        <v>469</v>
      </c>
      <c r="S114" s="496" t="s">
        <v>469</v>
      </c>
      <c r="T114" s="496" t="s">
        <v>469</v>
      </c>
      <c r="U114" s="496" t="s">
        <v>469</v>
      </c>
      <c r="V114" s="496" t="s">
        <v>469</v>
      </c>
      <c r="W114" s="496" t="s">
        <v>469</v>
      </c>
      <c r="X114" s="496" t="s">
        <v>469</v>
      </c>
      <c r="Y114" s="496" t="s">
        <v>469</v>
      </c>
      <c r="Z114" s="496" t="s">
        <v>469</v>
      </c>
      <c r="AA114" s="496" t="s">
        <v>469</v>
      </c>
      <c r="AB114" s="496" t="s">
        <v>469</v>
      </c>
      <c r="AC114" s="496" t="s">
        <v>469</v>
      </c>
      <c r="AD114" s="496" t="s">
        <v>469</v>
      </c>
      <c r="AE114" s="496" t="n">
        <v>-1249.688</v>
      </c>
      <c r="AF114" s="496" t="s">
        <v>469</v>
      </c>
      <c r="AG114" s="496" t="n">
        <v>-6125.449</v>
      </c>
      <c r="AH114" s="496" t="n">
        <v>-1831.276</v>
      </c>
      <c r="AI114" s="496" t="n">
        <v>-2142.201</v>
      </c>
      <c r="AJ114" s="496" t="s">
        <v>469</v>
      </c>
      <c r="AK114" s="496" t="n">
        <v>-2179.304</v>
      </c>
      <c r="AL114" s="496" t="s">
        <v>469</v>
      </c>
      <c r="AM114" s="496" t="n">
        <v>-2176.882</v>
      </c>
      <c r="AN114" s="496" t="n">
        <v>-1852.157</v>
      </c>
      <c r="AO114" s="496" t="n">
        <v>-1790.623</v>
      </c>
      <c r="AP114" s="496" t="s">
        <v>469</v>
      </c>
      <c r="AQ114" s="496" t="n">
        <v>-13100.32</v>
      </c>
      <c r="AR114" s="496" t="s">
        <v>469</v>
      </c>
      <c r="AS114" s="496" t="n">
        <v>-1818.157</v>
      </c>
      <c r="AT114" s="496" t="s">
        <v>469</v>
      </c>
      <c r="AU114" s="496" t="n">
        <v>-1710.411</v>
      </c>
      <c r="AV114" s="496" t="n">
        <v>-6155.739</v>
      </c>
      <c r="AW114" s="496" t="n">
        <v>-6087.571</v>
      </c>
      <c r="AX114" s="496" t="n">
        <v>-1829.743</v>
      </c>
      <c r="AY114" s="496" t="s">
        <v>469</v>
      </c>
      <c r="AZ114" s="496" t="s">
        <v>469</v>
      </c>
      <c r="BA114" s="496" t="s">
        <v>469</v>
      </c>
      <c r="BB114" s="496" t="s">
        <v>469</v>
      </c>
      <c r="BC114" s="496" t="s">
        <v>469</v>
      </c>
      <c r="BD114" s="496" t="s">
        <v>469</v>
      </c>
      <c r="BE114" s="496" t="s">
        <v>469</v>
      </c>
      <c r="BF114" s="496" t="s">
        <v>469</v>
      </c>
      <c r="BG114" s="496" t="n">
        <v>-3012.221</v>
      </c>
      <c r="BH114" s="496" t="s">
        <v>469</v>
      </c>
      <c r="BI114" s="496" t="n">
        <v>-1868.956</v>
      </c>
      <c r="BJ114" s="496" t="n">
        <v>-1852.165</v>
      </c>
      <c r="BK114" s="496" t="n">
        <v>-1923.511</v>
      </c>
      <c r="BL114" s="496" t="s">
        <v>469</v>
      </c>
      <c r="BM114" s="496" t="s">
        <v>469</v>
      </c>
      <c r="BN114" s="496" t="s">
        <v>469</v>
      </c>
      <c r="BO114" s="496" t="s">
        <v>469</v>
      </c>
      <c r="BP114" s="496" t="n">
        <v>-2497.399</v>
      </c>
      <c r="BQ114" s="496" t="s">
        <v>469</v>
      </c>
      <c r="BR114" s="496" t="n">
        <v>-13248.11</v>
      </c>
      <c r="BS114" s="496" t="n">
        <v>-5970.834</v>
      </c>
      <c r="BT114" s="496" t="n">
        <v>-6155.744</v>
      </c>
      <c r="BU114" s="496" t="s">
        <v>469</v>
      </c>
      <c r="BV114" s="496" t="s">
        <v>469</v>
      </c>
      <c r="BW114" s="496" t="s">
        <v>469</v>
      </c>
      <c r="BX114" s="496" t="s">
        <v>469</v>
      </c>
      <c r="BY114" s="496" t="s">
        <v>469</v>
      </c>
      <c r="BZ114" s="496" t="s">
        <v>469</v>
      </c>
      <c r="CA114" s="496" t="s">
        <v>469</v>
      </c>
      <c r="CB114" s="496" t="s">
        <v>469</v>
      </c>
      <c r="CC114" s="496" t="s">
        <v>469</v>
      </c>
      <c r="CD114" s="496" t="s">
        <v>469</v>
      </c>
      <c r="CE114" s="496" t="s">
        <v>469</v>
      </c>
      <c r="CF114" s="496" t="n">
        <v>-1421.656</v>
      </c>
      <c r="CG114" s="496" t="s">
        <v>469</v>
      </c>
      <c r="CH114" s="496" t="s">
        <v>469</v>
      </c>
      <c r="CI114" s="496" t="n">
        <v>-1831.276</v>
      </c>
      <c r="CJ114" s="496" t="n">
        <v>-2009.299</v>
      </c>
      <c r="CK114" s="496" t="s">
        <v>469</v>
      </c>
      <c r="CL114" s="496" t="n">
        <v>-1918.522</v>
      </c>
      <c r="CM114" s="496" t="s">
        <v>469</v>
      </c>
      <c r="CN114" s="496" t="n">
        <v>-2059.674</v>
      </c>
      <c r="CO114" s="496" t="n">
        <v>-1852.157</v>
      </c>
      <c r="CP114" s="496" t="n">
        <v>-1866.491</v>
      </c>
      <c r="CQ114" s="496" t="s">
        <v>469</v>
      </c>
      <c r="CR114" s="496" t="n">
        <v>-13308.57</v>
      </c>
      <c r="CS114" s="496" t="s">
        <v>469</v>
      </c>
      <c r="CT114" s="496" t="n">
        <v>-1896.224</v>
      </c>
      <c r="CU114" s="496" t="s">
        <v>469</v>
      </c>
      <c r="CV114" s="496" t="n">
        <v>-1879.582</v>
      </c>
      <c r="CW114" s="496" t="s">
        <v>469</v>
      </c>
      <c r="CX114" s="496" t="n">
        <v>-1879.395</v>
      </c>
      <c r="CY114" s="496" t="n">
        <v>-6155.739</v>
      </c>
      <c r="CZ114" s="496" t="n">
        <v>-6158.541</v>
      </c>
      <c r="DA114" s="496" t="s">
        <v>469</v>
      </c>
      <c r="DB114" s="496" t="n">
        <v>-13308.57</v>
      </c>
      <c r="DC114" s="496" t="s">
        <v>469</v>
      </c>
      <c r="DD114" s="496" t="n">
        <v>-1702.583</v>
      </c>
      <c r="DE114" s="496" t="s">
        <v>469</v>
      </c>
      <c r="DF114" s="496" t="n">
        <v>-13100.32</v>
      </c>
    </row>
    <row r="115" customFormat="false" ht="15" hidden="false" customHeight="false" outlineLevel="0" collapsed="false">
      <c r="A115" s="496" t="s">
        <v>2034</v>
      </c>
      <c r="B115" s="496" t="s">
        <v>469</v>
      </c>
      <c r="C115" s="496" t="s">
        <v>469</v>
      </c>
      <c r="D115" s="496" t="s">
        <v>469</v>
      </c>
      <c r="E115" s="496" t="s">
        <v>469</v>
      </c>
      <c r="F115" s="496" t="s">
        <v>469</v>
      </c>
      <c r="G115" s="496" t="s">
        <v>469</v>
      </c>
      <c r="H115" s="496" t="s">
        <v>469</v>
      </c>
      <c r="I115" s="496" t="s">
        <v>469</v>
      </c>
      <c r="J115" s="496" t="s">
        <v>469</v>
      </c>
      <c r="K115" s="496" t="s">
        <v>469</v>
      </c>
      <c r="L115" s="496" t="s">
        <v>469</v>
      </c>
      <c r="M115" s="496" t="s">
        <v>469</v>
      </c>
      <c r="N115" s="496" t="s">
        <v>469</v>
      </c>
      <c r="O115" s="496" t="s">
        <v>469</v>
      </c>
      <c r="P115" s="496" t="s">
        <v>469</v>
      </c>
      <c r="Q115" s="496" t="s">
        <v>469</v>
      </c>
      <c r="R115" s="496" t="s">
        <v>469</v>
      </c>
      <c r="S115" s="496" t="s">
        <v>469</v>
      </c>
      <c r="T115" s="496" t="s">
        <v>469</v>
      </c>
      <c r="U115" s="496" t="s">
        <v>469</v>
      </c>
      <c r="V115" s="496" t="s">
        <v>469</v>
      </c>
      <c r="W115" s="496" t="s">
        <v>469</v>
      </c>
      <c r="X115" s="496" t="s">
        <v>469</v>
      </c>
      <c r="Y115" s="496" t="s">
        <v>469</v>
      </c>
      <c r="Z115" s="496" t="s">
        <v>469</v>
      </c>
      <c r="AA115" s="496" t="s">
        <v>469</v>
      </c>
      <c r="AB115" s="496" t="s">
        <v>469</v>
      </c>
      <c r="AC115" s="496" t="s">
        <v>469</v>
      </c>
      <c r="AD115" s="496" t="s">
        <v>469</v>
      </c>
      <c r="AE115" s="496" t="s">
        <v>469</v>
      </c>
      <c r="AF115" s="496" t="s">
        <v>469</v>
      </c>
      <c r="AG115" s="496" t="s">
        <v>469</v>
      </c>
      <c r="AH115" s="496" t="s">
        <v>469</v>
      </c>
      <c r="AI115" s="496" t="s">
        <v>469</v>
      </c>
      <c r="AJ115" s="496" t="s">
        <v>469</v>
      </c>
      <c r="AK115" s="496" t="s">
        <v>469</v>
      </c>
      <c r="AL115" s="496" t="s">
        <v>469</v>
      </c>
      <c r="AM115" s="496" t="s">
        <v>469</v>
      </c>
      <c r="AN115" s="496" t="s">
        <v>469</v>
      </c>
      <c r="AO115" s="496" t="s">
        <v>469</v>
      </c>
      <c r="AP115" s="496" t="s">
        <v>469</v>
      </c>
      <c r="AQ115" s="496" t="s">
        <v>469</v>
      </c>
      <c r="AR115" s="496" t="s">
        <v>469</v>
      </c>
      <c r="AS115" s="496" t="s">
        <v>469</v>
      </c>
      <c r="AT115" s="496" t="s">
        <v>469</v>
      </c>
      <c r="AU115" s="496" t="s">
        <v>469</v>
      </c>
      <c r="AV115" s="496" t="s">
        <v>469</v>
      </c>
      <c r="AW115" s="496" t="s">
        <v>469</v>
      </c>
      <c r="AX115" s="496" t="s">
        <v>469</v>
      </c>
      <c r="AY115" s="496" t="s">
        <v>469</v>
      </c>
      <c r="AZ115" s="496" t="s">
        <v>469</v>
      </c>
      <c r="BA115" s="496" t="s">
        <v>469</v>
      </c>
      <c r="BB115" s="496" t="s">
        <v>469</v>
      </c>
      <c r="BC115" s="496" t="s">
        <v>469</v>
      </c>
      <c r="BD115" s="496" t="s">
        <v>469</v>
      </c>
      <c r="BE115" s="496" t="s">
        <v>469</v>
      </c>
      <c r="BF115" s="496" t="s">
        <v>469</v>
      </c>
      <c r="BG115" s="496" t="s">
        <v>469</v>
      </c>
      <c r="BH115" s="496" t="s">
        <v>469</v>
      </c>
      <c r="BI115" s="496" t="s">
        <v>469</v>
      </c>
      <c r="BJ115" s="496" t="s">
        <v>469</v>
      </c>
      <c r="BK115" s="496" t="s">
        <v>469</v>
      </c>
      <c r="BL115" s="496" t="s">
        <v>469</v>
      </c>
      <c r="BM115" s="496" t="s">
        <v>469</v>
      </c>
      <c r="BN115" s="496" t="s">
        <v>469</v>
      </c>
      <c r="BO115" s="496" t="s">
        <v>469</v>
      </c>
      <c r="BP115" s="496" t="s">
        <v>469</v>
      </c>
      <c r="BQ115" s="496" t="s">
        <v>469</v>
      </c>
      <c r="BR115" s="496" t="s">
        <v>469</v>
      </c>
      <c r="BS115" s="496" t="s">
        <v>469</v>
      </c>
      <c r="BT115" s="496" t="s">
        <v>469</v>
      </c>
      <c r="BU115" s="496" t="s">
        <v>469</v>
      </c>
      <c r="BV115" s="496" t="s">
        <v>469</v>
      </c>
      <c r="BW115" s="496" t="s">
        <v>469</v>
      </c>
      <c r="BX115" s="496" t="s">
        <v>469</v>
      </c>
      <c r="BY115" s="496" t="s">
        <v>469</v>
      </c>
      <c r="BZ115" s="496" t="s">
        <v>469</v>
      </c>
      <c r="CA115" s="496" t="s">
        <v>469</v>
      </c>
      <c r="CB115" s="496" t="s">
        <v>469</v>
      </c>
      <c r="CC115" s="496" t="s">
        <v>469</v>
      </c>
      <c r="CD115" s="496" t="s">
        <v>469</v>
      </c>
      <c r="CE115" s="496" t="s">
        <v>469</v>
      </c>
      <c r="CF115" s="496" t="s">
        <v>469</v>
      </c>
      <c r="CG115" s="496" t="s">
        <v>469</v>
      </c>
      <c r="CH115" s="496" t="s">
        <v>469</v>
      </c>
      <c r="CI115" s="496" t="s">
        <v>469</v>
      </c>
      <c r="CJ115" s="496" t="s">
        <v>469</v>
      </c>
      <c r="CK115" s="496" t="s">
        <v>469</v>
      </c>
      <c r="CL115" s="496" t="s">
        <v>469</v>
      </c>
      <c r="CM115" s="496" t="s">
        <v>469</v>
      </c>
      <c r="CN115" s="496" t="s">
        <v>469</v>
      </c>
      <c r="CO115" s="496" t="s">
        <v>469</v>
      </c>
      <c r="CP115" s="496" t="s">
        <v>469</v>
      </c>
      <c r="CQ115" s="496" t="s">
        <v>469</v>
      </c>
      <c r="CR115" s="496" t="s">
        <v>469</v>
      </c>
      <c r="CS115" s="496" t="s">
        <v>469</v>
      </c>
      <c r="CT115" s="496" t="s">
        <v>469</v>
      </c>
      <c r="CU115" s="496" t="s">
        <v>469</v>
      </c>
      <c r="CV115" s="496" t="s">
        <v>469</v>
      </c>
      <c r="CW115" s="496" t="s">
        <v>469</v>
      </c>
      <c r="CX115" s="496" t="s">
        <v>469</v>
      </c>
      <c r="CY115" s="496" t="s">
        <v>469</v>
      </c>
      <c r="CZ115" s="496" t="s">
        <v>469</v>
      </c>
      <c r="DA115" s="496" t="s">
        <v>469</v>
      </c>
      <c r="DB115" s="496" t="s">
        <v>469</v>
      </c>
      <c r="DC115" s="496" t="s">
        <v>469</v>
      </c>
      <c r="DD115" s="496" t="s">
        <v>469</v>
      </c>
      <c r="DE115" s="496" t="s">
        <v>469</v>
      </c>
      <c r="DF115" s="496" t="s">
        <v>469</v>
      </c>
    </row>
    <row r="116" customFormat="false" ht="15" hidden="false" customHeight="false" outlineLevel="0" collapsed="false">
      <c r="A116" s="496" t="s">
        <v>2002</v>
      </c>
      <c r="B116" s="496" t="n">
        <v>81873.49</v>
      </c>
      <c r="C116" s="496" t="n">
        <v>90822</v>
      </c>
      <c r="D116" s="1099" t="n">
        <v>109000</v>
      </c>
      <c r="E116" s="496" t="n">
        <v>52959.11</v>
      </c>
      <c r="F116" s="496" t="n">
        <v>1584.66</v>
      </c>
      <c r="G116" s="496" t="n">
        <v>80</v>
      </c>
      <c r="H116" s="496" t="n">
        <v>90821.98</v>
      </c>
      <c r="I116" s="496" t="n">
        <v>54511.6</v>
      </c>
      <c r="J116" s="496" t="n">
        <v>12896.27</v>
      </c>
      <c r="K116" s="496" t="n">
        <v>12940.49</v>
      </c>
      <c r="L116" s="496" t="n">
        <v>90821.98</v>
      </c>
      <c r="M116" s="496" t="n">
        <v>13365</v>
      </c>
      <c r="N116" s="496" t="s">
        <v>469</v>
      </c>
      <c r="O116" s="496" t="n">
        <v>76710</v>
      </c>
      <c r="P116" s="496" t="n">
        <v>15000</v>
      </c>
      <c r="Q116" s="496" t="n">
        <v>15000.16</v>
      </c>
      <c r="R116" s="496" t="n">
        <v>15000.16</v>
      </c>
      <c r="S116" s="496" t="n">
        <v>15000.16</v>
      </c>
      <c r="T116" s="496" t="n">
        <v>15000.16</v>
      </c>
      <c r="U116" s="496" t="n">
        <v>14111.98</v>
      </c>
      <c r="V116" s="496" t="n">
        <v>37147.81</v>
      </c>
      <c r="W116" s="496" t="n">
        <v>37147.81</v>
      </c>
      <c r="X116" s="496" t="n">
        <v>37147.81</v>
      </c>
      <c r="Y116" s="496" t="n">
        <v>37147.81</v>
      </c>
      <c r="Z116" s="496" t="n">
        <v>37147.81</v>
      </c>
      <c r="AA116" s="496" t="n">
        <v>76710</v>
      </c>
      <c r="AB116" s="496" t="n">
        <v>14949.41</v>
      </c>
      <c r="AC116" s="496" t="n">
        <v>54511.6</v>
      </c>
      <c r="AD116" s="496" t="n">
        <v>1</v>
      </c>
      <c r="AE116" s="496" t="s">
        <v>469</v>
      </c>
      <c r="AF116" s="496" t="n">
        <v>1</v>
      </c>
      <c r="AG116" s="496" t="s">
        <v>469</v>
      </c>
      <c r="AH116" s="496" t="n">
        <v>0.8581016</v>
      </c>
      <c r="AI116" s="496" t="s">
        <v>469</v>
      </c>
      <c r="AJ116" s="496" t="n">
        <v>1</v>
      </c>
      <c r="AK116" s="496" t="s">
        <v>469</v>
      </c>
      <c r="AL116" s="496" t="n">
        <v>1</v>
      </c>
      <c r="AM116" s="496" t="s">
        <v>469</v>
      </c>
      <c r="AN116" s="496" t="s">
        <v>469</v>
      </c>
      <c r="AO116" s="496" t="n">
        <v>0.1055689</v>
      </c>
      <c r="AP116" s="496" t="n">
        <v>1</v>
      </c>
      <c r="AQ116" s="496" t="s">
        <v>469</v>
      </c>
      <c r="AR116" s="496" t="n">
        <v>1</v>
      </c>
      <c r="AS116" s="496" t="s">
        <v>469</v>
      </c>
      <c r="AT116" s="496" t="n">
        <v>1</v>
      </c>
      <c r="AU116" s="496" t="s">
        <v>469</v>
      </c>
      <c r="AV116" s="496" t="s">
        <v>469</v>
      </c>
      <c r="AW116" s="496" t="s">
        <v>469</v>
      </c>
      <c r="AX116" s="496" t="n">
        <v>78463.59</v>
      </c>
      <c r="AY116" s="496" t="n">
        <v>90821.98</v>
      </c>
      <c r="AZ116" s="496" t="n">
        <v>90821.98</v>
      </c>
      <c r="BA116" s="496" t="n">
        <v>90821.98</v>
      </c>
      <c r="BB116" s="496" t="n">
        <v>1584.411</v>
      </c>
      <c r="BC116" s="496" t="n">
        <v>90821.98</v>
      </c>
      <c r="BD116" s="496" t="n">
        <v>837.4362</v>
      </c>
      <c r="BE116" s="496" t="n">
        <v>50600.52</v>
      </c>
      <c r="BF116" s="1099" t="n">
        <v>569000</v>
      </c>
      <c r="BG116" s="1099" t="n">
        <v>427000</v>
      </c>
      <c r="BH116" s="496" t="n">
        <v>54511.6</v>
      </c>
      <c r="BI116" s="496" t="s">
        <v>469</v>
      </c>
      <c r="BJ116" s="496" t="s">
        <v>469</v>
      </c>
      <c r="BK116" s="496" t="s">
        <v>469</v>
      </c>
      <c r="BL116" s="496" t="n">
        <v>16552.49</v>
      </c>
      <c r="BM116" s="496" t="n">
        <v>52959.11</v>
      </c>
      <c r="BN116" s="496" t="n">
        <v>14920.16</v>
      </c>
      <c r="BO116" s="496" t="n">
        <v>16552.49</v>
      </c>
      <c r="BP116" s="496" t="s">
        <v>469</v>
      </c>
      <c r="BQ116" s="496" t="n">
        <v>29234.57</v>
      </c>
      <c r="BR116" s="496" t="n">
        <v>21929.53</v>
      </c>
      <c r="BS116" s="496" t="s">
        <v>469</v>
      </c>
      <c r="BT116" s="496" t="s">
        <v>469</v>
      </c>
      <c r="BU116" s="496" t="s">
        <v>469</v>
      </c>
      <c r="BV116" s="496" t="n">
        <v>76710</v>
      </c>
      <c r="BW116" s="496" t="s">
        <v>469</v>
      </c>
      <c r="BX116" s="496" t="n">
        <v>14949.41</v>
      </c>
      <c r="BY116" s="496" t="s">
        <v>469</v>
      </c>
      <c r="BZ116" s="496" t="n">
        <v>52959.11</v>
      </c>
      <c r="CA116" s="496" t="s">
        <v>469</v>
      </c>
      <c r="CB116" s="496" t="n">
        <v>90821.98</v>
      </c>
      <c r="CC116" s="496" t="n">
        <v>90822</v>
      </c>
      <c r="CD116" s="496" t="n">
        <v>90822</v>
      </c>
      <c r="CE116" s="496" t="n">
        <v>76710</v>
      </c>
      <c r="CF116" s="496" t="n">
        <v>48552.93</v>
      </c>
      <c r="CG116" s="496" t="n">
        <v>14949.41</v>
      </c>
      <c r="CH116" s="496" t="n">
        <v>14949.41</v>
      </c>
      <c r="CI116" s="496" t="n">
        <v>77934.48</v>
      </c>
      <c r="CJ116" s="496" t="n">
        <v>34834.08</v>
      </c>
      <c r="CK116" s="496" t="n">
        <v>90821.98</v>
      </c>
      <c r="CL116" s="496" t="n">
        <v>53656.6</v>
      </c>
      <c r="CM116" s="496" t="n">
        <v>90821.98</v>
      </c>
      <c r="CN116" s="496" t="n">
        <v>48392.76</v>
      </c>
      <c r="CO116" s="496" t="s">
        <v>469</v>
      </c>
      <c r="CP116" s="496" t="s">
        <v>469</v>
      </c>
      <c r="CQ116" s="496" t="n">
        <v>16335.7</v>
      </c>
      <c r="CR116" s="496" t="n">
        <v>13219.36</v>
      </c>
      <c r="CS116" s="1099" t="n">
        <v>109000</v>
      </c>
      <c r="CT116" s="496" t="n">
        <v>57795.17</v>
      </c>
      <c r="CU116" s="496" t="n">
        <v>52959.11</v>
      </c>
      <c r="CV116" s="496" t="n">
        <v>33186.54</v>
      </c>
      <c r="CW116" s="496" t="n">
        <v>52959.11</v>
      </c>
      <c r="CX116" s="496" t="n">
        <v>32857.71</v>
      </c>
      <c r="CY116" s="496" t="s">
        <v>469</v>
      </c>
      <c r="CZ116" s="496" t="s">
        <v>469</v>
      </c>
      <c r="DA116" s="496" t="n">
        <v>5286.91</v>
      </c>
      <c r="DB116" s="496" t="n">
        <v>4278.331</v>
      </c>
      <c r="DC116" s="496" t="n">
        <v>1</v>
      </c>
      <c r="DD116" s="496" t="s">
        <v>469</v>
      </c>
      <c r="DE116" s="496" t="n">
        <v>1</v>
      </c>
      <c r="DF116" s="496" t="s">
        <v>469</v>
      </c>
    </row>
    <row r="117" customFormat="false" ht="15" hidden="false" customHeight="false" outlineLevel="0" collapsed="false">
      <c r="A117" s="496" t="s">
        <v>2020</v>
      </c>
      <c r="B117" s="1099" t="n">
        <v>-215000000</v>
      </c>
      <c r="C117" s="1099" t="n">
        <v>-241000000</v>
      </c>
      <c r="D117" s="1099" t="n">
        <v>-242000000</v>
      </c>
      <c r="E117" s="1099" t="n">
        <v>-113000000</v>
      </c>
      <c r="F117" s="1099" t="n">
        <v>-11300000</v>
      </c>
      <c r="G117" s="1099" t="n">
        <v>-1270000</v>
      </c>
      <c r="H117" s="1099" t="n">
        <v>-233000000</v>
      </c>
      <c r="I117" s="1099" t="n">
        <v>-123000000</v>
      </c>
      <c r="J117" s="1099" t="n">
        <v>-91200000</v>
      </c>
      <c r="K117" s="1099" t="n">
        <v>-92300000</v>
      </c>
      <c r="L117" s="1099" t="n">
        <v>-241000000</v>
      </c>
      <c r="M117" s="1099" t="n">
        <v>-99800000</v>
      </c>
      <c r="N117" s="496" t="s">
        <v>469</v>
      </c>
      <c r="O117" s="1099" t="n">
        <v>-128000000</v>
      </c>
      <c r="P117" s="1099" t="n">
        <v>-237000000</v>
      </c>
      <c r="Q117" s="1099" t="n">
        <v>-232000000</v>
      </c>
      <c r="R117" s="1099" t="n">
        <v>-232000000</v>
      </c>
      <c r="S117" s="1099" t="n">
        <v>-236000000</v>
      </c>
      <c r="T117" s="1099" t="n">
        <v>-237000000</v>
      </c>
      <c r="U117" s="1099" t="n">
        <v>-105000000</v>
      </c>
      <c r="V117" s="1099" t="n">
        <v>-122000000</v>
      </c>
      <c r="W117" s="1099" t="n">
        <v>-127000000</v>
      </c>
      <c r="X117" s="1099" t="n">
        <v>-128000000</v>
      </c>
      <c r="Y117" s="1099" t="n">
        <v>-130000000</v>
      </c>
      <c r="Z117" s="1099" t="n">
        <v>-130000000</v>
      </c>
      <c r="AA117" s="1099" t="n">
        <v>-128000000</v>
      </c>
      <c r="AB117" s="1099" t="n">
        <v>-111000000</v>
      </c>
      <c r="AC117" s="1099" t="n">
        <v>-121000000</v>
      </c>
      <c r="AD117" s="496" t="n">
        <v>-1666.513</v>
      </c>
      <c r="AE117" s="496" t="s">
        <v>469</v>
      </c>
      <c r="AF117" s="496" t="n">
        <v>-7432.916</v>
      </c>
      <c r="AG117" s="496" t="s">
        <v>469</v>
      </c>
      <c r="AH117" s="496" t="n">
        <v>-2286.698</v>
      </c>
      <c r="AI117" s="496" t="s">
        <v>469</v>
      </c>
      <c r="AJ117" s="496" t="n">
        <v>-2656.366</v>
      </c>
      <c r="AK117" s="496" t="s">
        <v>469</v>
      </c>
      <c r="AL117" s="496" t="n">
        <v>-2655.127</v>
      </c>
      <c r="AM117" s="496" t="s">
        <v>469</v>
      </c>
      <c r="AN117" s="496" t="s">
        <v>469</v>
      </c>
      <c r="AO117" s="496" t="n">
        <v>-240.732</v>
      </c>
      <c r="AP117" s="496" t="n">
        <v>-15172.03</v>
      </c>
      <c r="AQ117" s="496" t="s">
        <v>469</v>
      </c>
      <c r="AR117" s="496" t="n">
        <v>-2223.357</v>
      </c>
      <c r="AS117" s="496" t="s">
        <v>469</v>
      </c>
      <c r="AT117" s="496" t="n">
        <v>-2136.457</v>
      </c>
      <c r="AU117" s="496" t="s">
        <v>469</v>
      </c>
      <c r="AV117" s="496" t="s">
        <v>469</v>
      </c>
      <c r="AW117" s="496" t="s">
        <v>469</v>
      </c>
      <c r="AX117" s="1099" t="n">
        <v>-209000000</v>
      </c>
      <c r="AY117" s="1099" t="n">
        <v>-241000000</v>
      </c>
      <c r="AZ117" s="1099" t="n">
        <v>-241000000</v>
      </c>
      <c r="BA117" s="1099" t="n">
        <v>-232000000</v>
      </c>
      <c r="BB117" s="1099" t="n">
        <v>-11300000</v>
      </c>
      <c r="BC117" s="1099" t="n">
        <v>-236000000</v>
      </c>
      <c r="BD117" s="1099" t="n">
        <v>-6220000</v>
      </c>
      <c r="BE117" s="1099" t="n">
        <v>-124000000</v>
      </c>
      <c r="BF117" s="1099" t="n">
        <v>-1870000000</v>
      </c>
      <c r="BG117" s="1099" t="n">
        <v>-1400000000</v>
      </c>
      <c r="BH117" s="1099" t="n">
        <v>-121000000</v>
      </c>
      <c r="BI117" s="496" t="s">
        <v>469</v>
      </c>
      <c r="BJ117" s="496" t="s">
        <v>469</v>
      </c>
      <c r="BK117" s="496" t="s">
        <v>469</v>
      </c>
      <c r="BL117" s="1099" t="n">
        <v>-247000000</v>
      </c>
      <c r="BM117" s="1099" t="n">
        <v>-113000000</v>
      </c>
      <c r="BN117" s="1099" t="n">
        <v>-231000000</v>
      </c>
      <c r="BO117" s="1099" t="n">
        <v>-244000000</v>
      </c>
      <c r="BP117" s="496" t="s">
        <v>469</v>
      </c>
      <c r="BQ117" s="1099" t="n">
        <v>-452000000</v>
      </c>
      <c r="BR117" s="1099" t="n">
        <v>-339000000</v>
      </c>
      <c r="BS117" s="496" t="s">
        <v>469</v>
      </c>
      <c r="BT117" s="496" t="s">
        <v>469</v>
      </c>
      <c r="BU117" s="496" t="s">
        <v>469</v>
      </c>
      <c r="BV117" s="1099" t="n">
        <v>-128000000</v>
      </c>
      <c r="BW117" s="496" t="s">
        <v>469</v>
      </c>
      <c r="BX117" s="1099" t="n">
        <v>-111000000</v>
      </c>
      <c r="BY117" s="496" t="s">
        <v>469</v>
      </c>
      <c r="BZ117" s="1099" t="n">
        <v>-113000000</v>
      </c>
      <c r="CA117" s="496" t="s">
        <v>469</v>
      </c>
      <c r="CB117" s="1099" t="n">
        <v>-241000000</v>
      </c>
      <c r="CC117" s="1099" t="n">
        <v>-241000000</v>
      </c>
      <c r="CD117" s="1099" t="n">
        <v>-232000000</v>
      </c>
      <c r="CE117" s="1099" t="n">
        <v>-128000000</v>
      </c>
      <c r="CF117" s="1099" t="n">
        <v>-87800000</v>
      </c>
      <c r="CG117" s="1099" t="n">
        <v>-111000000</v>
      </c>
      <c r="CH117" s="1099" t="n">
        <v>-111000000</v>
      </c>
      <c r="CI117" s="1099" t="n">
        <v>-208000000</v>
      </c>
      <c r="CJ117" s="1099" t="n">
        <v>-119000000</v>
      </c>
      <c r="CK117" s="1099" t="n">
        <v>-241000000</v>
      </c>
      <c r="CL117" s="1099" t="n">
        <v>-170000000</v>
      </c>
      <c r="CM117" s="1099" t="n">
        <v>-241000000</v>
      </c>
      <c r="CN117" s="1099" t="n">
        <v>-154000000</v>
      </c>
      <c r="CO117" s="496" t="s">
        <v>469</v>
      </c>
      <c r="CP117" s="496" t="s">
        <v>469</v>
      </c>
      <c r="CQ117" s="1099" t="n">
        <v>-248000000</v>
      </c>
      <c r="CR117" s="1099" t="n">
        <v>-206000000</v>
      </c>
      <c r="CS117" s="1099" t="n">
        <v>-242000000</v>
      </c>
      <c r="CT117" s="1099" t="n">
        <v>-145000000</v>
      </c>
      <c r="CU117" s="1099" t="n">
        <v>-113000000</v>
      </c>
      <c r="CV117" s="1099" t="n">
        <v>-76100000</v>
      </c>
      <c r="CW117" s="1099" t="n">
        <v>-113000000</v>
      </c>
      <c r="CX117" s="1099" t="n">
        <v>-75300000</v>
      </c>
      <c r="CY117" s="496" t="s">
        <v>469</v>
      </c>
      <c r="CZ117" s="496" t="s">
        <v>469</v>
      </c>
      <c r="DA117" s="1099" t="n">
        <v>-80200000</v>
      </c>
      <c r="DB117" s="1099" t="n">
        <v>-66800000</v>
      </c>
      <c r="DC117" s="496" t="n">
        <v>-2138.933</v>
      </c>
      <c r="DD117" s="496" t="s">
        <v>469</v>
      </c>
      <c r="DE117" s="496" t="n">
        <v>-15172.03</v>
      </c>
      <c r="DF117" s="496" t="s">
        <v>469</v>
      </c>
    </row>
    <row r="118" customFormat="false" ht="15" hidden="false" customHeight="false" outlineLevel="0" collapsed="false">
      <c r="A118" s="496" t="s">
        <v>2010</v>
      </c>
      <c r="B118" s="496" t="n">
        <v>-2627.846</v>
      </c>
      <c r="C118" s="496" t="n">
        <v>-2655.13</v>
      </c>
      <c r="D118" s="496" t="n">
        <v>-2223.357</v>
      </c>
      <c r="E118" s="496" t="n">
        <v>-2133.866</v>
      </c>
      <c r="F118" s="496" t="n">
        <v>-7150.445</v>
      </c>
      <c r="G118" s="496" t="n">
        <v>-15876.79</v>
      </c>
      <c r="H118" s="496" t="n">
        <v>-2560.658</v>
      </c>
      <c r="I118" s="496" t="n">
        <v>-2263.679</v>
      </c>
      <c r="J118" s="496" t="n">
        <v>-7074.637</v>
      </c>
      <c r="K118" s="496" t="n">
        <v>-7136.178</v>
      </c>
      <c r="L118" s="496" t="n">
        <v>-2656.365</v>
      </c>
      <c r="M118" s="496" t="n">
        <v>-7466.344</v>
      </c>
      <c r="N118" s="496" t="s">
        <v>469</v>
      </c>
      <c r="O118" s="496" t="n">
        <v>-1666.441</v>
      </c>
      <c r="P118" s="496" t="n">
        <v>-15798.74</v>
      </c>
      <c r="Q118" s="496" t="n">
        <v>-15475.47</v>
      </c>
      <c r="R118" s="496" t="n">
        <v>-15473.29</v>
      </c>
      <c r="S118" s="496" t="n">
        <v>-15718.34</v>
      </c>
      <c r="T118" s="496" t="n">
        <v>-15798.16</v>
      </c>
      <c r="U118" s="496" t="n">
        <v>-7430.582</v>
      </c>
      <c r="V118" s="496" t="n">
        <v>-3284.07</v>
      </c>
      <c r="W118" s="496" t="n">
        <v>-3415.291</v>
      </c>
      <c r="X118" s="496" t="n">
        <v>-3439.56</v>
      </c>
      <c r="Y118" s="496" t="n">
        <v>-3509.69</v>
      </c>
      <c r="Z118" s="496" t="n">
        <v>-3508.811</v>
      </c>
      <c r="AA118" s="496" t="n">
        <v>-1664.761</v>
      </c>
      <c r="AB118" s="496" t="n">
        <v>-7430.582</v>
      </c>
      <c r="AC118" s="496" t="n">
        <v>-2215.239</v>
      </c>
      <c r="AD118" s="496" t="n">
        <v>-1666.513</v>
      </c>
      <c r="AE118" s="496" t="s">
        <v>469</v>
      </c>
      <c r="AF118" s="496" t="n">
        <v>-7432.916</v>
      </c>
      <c r="AG118" s="496" t="s">
        <v>469</v>
      </c>
      <c r="AH118" s="496" t="n">
        <v>-2664.833</v>
      </c>
      <c r="AI118" s="496" t="s">
        <v>469</v>
      </c>
      <c r="AJ118" s="496" t="n">
        <v>-2656.366</v>
      </c>
      <c r="AK118" s="496" t="s">
        <v>469</v>
      </c>
      <c r="AL118" s="496" t="n">
        <v>-2655.127</v>
      </c>
      <c r="AM118" s="496" t="s">
        <v>469</v>
      </c>
      <c r="AN118" s="496" t="s">
        <v>469</v>
      </c>
      <c r="AO118" s="496" t="n">
        <v>-2280.33</v>
      </c>
      <c r="AP118" s="496" t="n">
        <v>-15172.03</v>
      </c>
      <c r="AQ118" s="496" t="s">
        <v>469</v>
      </c>
      <c r="AR118" s="496" t="n">
        <v>-2223.357</v>
      </c>
      <c r="AS118" s="496" t="s">
        <v>469</v>
      </c>
      <c r="AT118" s="496" t="n">
        <v>-2136.457</v>
      </c>
      <c r="AU118" s="496" t="s">
        <v>469</v>
      </c>
      <c r="AV118" s="496" t="s">
        <v>469</v>
      </c>
      <c r="AW118" s="496" t="s">
        <v>469</v>
      </c>
      <c r="AX118" s="496" t="n">
        <v>-2661.631</v>
      </c>
      <c r="AY118" s="496" t="n">
        <v>-2655.12</v>
      </c>
      <c r="AZ118" s="496" t="n">
        <v>-2655.12</v>
      </c>
      <c r="BA118" s="496" t="n">
        <v>-2550.731</v>
      </c>
      <c r="BB118" s="496" t="n">
        <v>-7151.676</v>
      </c>
      <c r="BC118" s="496" t="n">
        <v>-2601.448</v>
      </c>
      <c r="BD118" s="496" t="n">
        <v>-7430.582</v>
      </c>
      <c r="BE118" s="496" t="n">
        <v>-2445.109</v>
      </c>
      <c r="BF118" s="496" t="n">
        <v>-3284.07</v>
      </c>
      <c r="BG118" s="496" t="n">
        <v>-3285.81</v>
      </c>
      <c r="BH118" s="496" t="n">
        <v>-2216.711</v>
      </c>
      <c r="BI118" s="496" t="s">
        <v>469</v>
      </c>
      <c r="BJ118" s="496" t="s">
        <v>469</v>
      </c>
      <c r="BK118" s="496" t="s">
        <v>469</v>
      </c>
      <c r="BL118" s="496" t="n">
        <v>-14936.35</v>
      </c>
      <c r="BM118" s="496" t="n">
        <v>-2136.458</v>
      </c>
      <c r="BN118" s="496" t="n">
        <v>-15473.31</v>
      </c>
      <c r="BO118" s="496" t="n">
        <v>-14714.26</v>
      </c>
      <c r="BP118" s="496" t="s">
        <v>469</v>
      </c>
      <c r="BQ118" s="496" t="n">
        <v>-15473.31</v>
      </c>
      <c r="BR118" s="496" t="n">
        <v>-15473.19</v>
      </c>
      <c r="BS118" s="496" t="s">
        <v>469</v>
      </c>
      <c r="BT118" s="496" t="s">
        <v>469</v>
      </c>
      <c r="BU118" s="496" t="s">
        <v>469</v>
      </c>
      <c r="BV118" s="496" t="n">
        <v>-1666.441</v>
      </c>
      <c r="BW118" s="496" t="s">
        <v>469</v>
      </c>
      <c r="BX118" s="496" t="n">
        <v>-7432.994</v>
      </c>
      <c r="BY118" s="496" t="s">
        <v>469</v>
      </c>
      <c r="BZ118" s="496" t="n">
        <v>-2136.458</v>
      </c>
      <c r="CA118" s="496" t="s">
        <v>469</v>
      </c>
      <c r="CB118" s="496" t="n">
        <v>-2656.365</v>
      </c>
      <c r="CC118" s="496" t="n">
        <v>-2655.13</v>
      </c>
      <c r="CD118" s="496" t="n">
        <v>-2550.732</v>
      </c>
      <c r="CE118" s="496" t="n">
        <v>-1666.513</v>
      </c>
      <c r="CF118" s="496" t="n">
        <v>-1807.305</v>
      </c>
      <c r="CG118" s="496" t="n">
        <v>-7432.916</v>
      </c>
      <c r="CH118" s="496" t="n">
        <v>-7432.916</v>
      </c>
      <c r="CI118" s="496" t="n">
        <v>-2664.833</v>
      </c>
      <c r="CJ118" s="496" t="n">
        <v>-3413.315</v>
      </c>
      <c r="CK118" s="496" t="n">
        <v>-2656.366</v>
      </c>
      <c r="CL118" s="496" t="n">
        <v>-3166.09</v>
      </c>
      <c r="CM118" s="496" t="n">
        <v>-2655.127</v>
      </c>
      <c r="CN118" s="496" t="n">
        <v>-3175.556</v>
      </c>
      <c r="CO118" s="496" t="s">
        <v>469</v>
      </c>
      <c r="CP118" s="496" t="s">
        <v>469</v>
      </c>
      <c r="CQ118" s="496" t="n">
        <v>-15172.03</v>
      </c>
      <c r="CR118" s="496" t="n">
        <v>-15610.85</v>
      </c>
      <c r="CS118" s="496" t="n">
        <v>-2223.357</v>
      </c>
      <c r="CT118" s="496" t="n">
        <v>-2511.486</v>
      </c>
      <c r="CU118" s="496" t="n">
        <v>-2138.933</v>
      </c>
      <c r="CV118" s="496" t="n">
        <v>-2292.209</v>
      </c>
      <c r="CW118" s="496" t="n">
        <v>-2136.483</v>
      </c>
      <c r="CX118" s="496" t="n">
        <v>-2292.483</v>
      </c>
      <c r="CY118" s="496" t="s">
        <v>469</v>
      </c>
      <c r="CZ118" s="496" t="s">
        <v>469</v>
      </c>
      <c r="DA118" s="496" t="n">
        <v>-15172.03</v>
      </c>
      <c r="DB118" s="496" t="n">
        <v>-15610.85</v>
      </c>
      <c r="DC118" s="496" t="n">
        <v>-2138.933</v>
      </c>
      <c r="DD118" s="496" t="s">
        <v>469</v>
      </c>
      <c r="DE118" s="496" t="n">
        <v>-15172.03</v>
      </c>
      <c r="DF118" s="496" t="s">
        <v>469</v>
      </c>
    </row>
    <row r="119" customFormat="false" ht="15" hidden="false" customHeight="false" outlineLevel="0" collapsed="false">
      <c r="A119" s="496" t="s">
        <v>2015</v>
      </c>
      <c r="B119" s="496" t="n">
        <v>566.2427</v>
      </c>
      <c r="C119" s="496" t="n">
        <v>585.1778</v>
      </c>
      <c r="D119" s="496" t="n">
        <v>533.9423</v>
      </c>
      <c r="E119" s="496" t="n">
        <v>545.6952</v>
      </c>
      <c r="F119" s="496" t="n">
        <v>771.2363</v>
      </c>
      <c r="G119" s="496" t="n">
        <v>998.3221</v>
      </c>
      <c r="H119" s="496" t="n">
        <v>598.3955</v>
      </c>
      <c r="I119" s="496" t="n">
        <v>554.6642</v>
      </c>
      <c r="J119" s="496" t="n">
        <v>745.3743</v>
      </c>
      <c r="K119" s="496" t="n">
        <v>770.6119</v>
      </c>
      <c r="L119" s="496" t="n">
        <v>596.1884</v>
      </c>
      <c r="M119" s="496" t="n">
        <v>799.3633</v>
      </c>
      <c r="N119" s="496" t="s">
        <v>469</v>
      </c>
      <c r="O119" s="496" t="n">
        <v>553.7165</v>
      </c>
      <c r="P119" s="496" t="n">
        <v>978.9333</v>
      </c>
      <c r="Q119" s="496" t="n">
        <v>900.0605</v>
      </c>
      <c r="R119" s="496" t="n">
        <v>899.6736</v>
      </c>
      <c r="S119" s="496" t="n">
        <v>959.1792</v>
      </c>
      <c r="T119" s="496" t="n">
        <v>978.9141</v>
      </c>
      <c r="U119" s="496" t="n">
        <v>795.8171</v>
      </c>
      <c r="V119" s="496" t="n">
        <v>596.0323</v>
      </c>
      <c r="W119" s="496" t="n">
        <v>668.3751</v>
      </c>
      <c r="X119" s="496" t="n">
        <v>681.1461</v>
      </c>
      <c r="Y119" s="496" t="n">
        <v>717.5283</v>
      </c>
      <c r="Z119" s="496" t="n">
        <v>717.2253</v>
      </c>
      <c r="AA119" s="496" t="n">
        <v>552.8999</v>
      </c>
      <c r="AB119" s="496" t="n">
        <v>795.8171</v>
      </c>
      <c r="AC119" s="496" t="n">
        <v>529.7628</v>
      </c>
      <c r="AD119" s="496" t="n">
        <v>553.7165</v>
      </c>
      <c r="AE119" s="496" t="s">
        <v>469</v>
      </c>
      <c r="AF119" s="496" t="n">
        <v>796.3961</v>
      </c>
      <c r="AG119" s="496" t="s">
        <v>469</v>
      </c>
      <c r="AH119" s="496" t="n">
        <v>574.2162</v>
      </c>
      <c r="AI119" s="496" t="s">
        <v>469</v>
      </c>
      <c r="AJ119" s="496" t="n">
        <v>596.1884</v>
      </c>
      <c r="AK119" s="496" t="s">
        <v>469</v>
      </c>
      <c r="AL119" s="496" t="n">
        <v>585.0991</v>
      </c>
      <c r="AM119" s="496" t="s">
        <v>469</v>
      </c>
      <c r="AN119" s="496" t="s">
        <v>469</v>
      </c>
      <c r="AO119" s="496" t="n">
        <v>498.7287</v>
      </c>
      <c r="AP119" s="496" t="n">
        <v>827.3242</v>
      </c>
      <c r="AQ119" s="496" t="s">
        <v>469</v>
      </c>
      <c r="AR119" s="496" t="n">
        <v>533.9423</v>
      </c>
      <c r="AS119" s="496" t="s">
        <v>469</v>
      </c>
      <c r="AT119" s="496" t="n">
        <v>546.7985</v>
      </c>
      <c r="AU119" s="496" t="s">
        <v>469</v>
      </c>
      <c r="AV119" s="496" t="s">
        <v>469</v>
      </c>
      <c r="AW119" s="496" t="s">
        <v>469</v>
      </c>
      <c r="AX119" s="496" t="n">
        <v>573.9036</v>
      </c>
      <c r="AY119" s="496" t="n">
        <v>595.6985</v>
      </c>
      <c r="AZ119" s="496" t="n">
        <v>585.0963</v>
      </c>
      <c r="BA119" s="496" t="n">
        <v>593.5214</v>
      </c>
      <c r="BB119" s="496" t="n">
        <v>771.241</v>
      </c>
      <c r="BC119" s="496" t="n">
        <v>560.9217</v>
      </c>
      <c r="BD119" s="496" t="n">
        <v>795.8171</v>
      </c>
      <c r="BE119" s="496" t="n">
        <v>555.8614</v>
      </c>
      <c r="BF119" s="496" t="n">
        <v>596.0323</v>
      </c>
      <c r="BG119" s="496" t="n">
        <v>596.0499</v>
      </c>
      <c r="BH119" s="496" t="n">
        <v>533.9423</v>
      </c>
      <c r="BI119" s="496" t="s">
        <v>469</v>
      </c>
      <c r="BJ119" s="496" t="s">
        <v>469</v>
      </c>
      <c r="BK119" s="496" t="s">
        <v>469</v>
      </c>
      <c r="BL119" s="496" t="n">
        <v>952.087</v>
      </c>
      <c r="BM119" s="496" t="n">
        <v>548.1095</v>
      </c>
      <c r="BN119" s="496" t="n">
        <v>899.5451</v>
      </c>
      <c r="BO119" s="496" t="n">
        <v>894.0229</v>
      </c>
      <c r="BP119" s="496" t="s">
        <v>469</v>
      </c>
      <c r="BQ119" s="496" t="n">
        <v>899.5451</v>
      </c>
      <c r="BR119" s="496" t="n">
        <v>899.44</v>
      </c>
      <c r="BS119" s="496" t="s">
        <v>469</v>
      </c>
      <c r="BT119" s="496" t="s">
        <v>469</v>
      </c>
      <c r="BU119" s="496" t="s">
        <v>469</v>
      </c>
      <c r="BV119" s="496" t="n">
        <v>553.6071</v>
      </c>
      <c r="BW119" s="496" t="s">
        <v>469</v>
      </c>
      <c r="BX119" s="496" t="n">
        <v>796.3952</v>
      </c>
      <c r="BY119" s="496" t="s">
        <v>469</v>
      </c>
      <c r="BZ119" s="496" t="n">
        <v>546.7993</v>
      </c>
      <c r="CA119" s="496" t="s">
        <v>469</v>
      </c>
      <c r="CB119" s="496" t="n">
        <v>596.1406</v>
      </c>
      <c r="CC119" s="496" t="n">
        <v>595.7032</v>
      </c>
      <c r="CD119" s="496" t="n">
        <v>593.5214</v>
      </c>
      <c r="CE119" s="496" t="n">
        <v>553.7165</v>
      </c>
      <c r="CF119" s="496" t="n">
        <v>625.6618</v>
      </c>
      <c r="CG119" s="496" t="n">
        <v>796.3961</v>
      </c>
      <c r="CH119" s="496" t="n">
        <v>796.3272</v>
      </c>
      <c r="CI119" s="496" t="n">
        <v>574.2162</v>
      </c>
      <c r="CJ119" s="496" t="n">
        <v>714.6162</v>
      </c>
      <c r="CK119" s="496" t="n">
        <v>596.1884</v>
      </c>
      <c r="CL119" s="496" t="n">
        <v>696.4577</v>
      </c>
      <c r="CM119" s="496" t="n">
        <v>585.0991</v>
      </c>
      <c r="CN119" s="496" t="n">
        <v>699.6775</v>
      </c>
      <c r="CO119" s="496" t="s">
        <v>469</v>
      </c>
      <c r="CP119" s="496" t="s">
        <v>469</v>
      </c>
      <c r="CQ119" s="496" t="n">
        <v>827.3242</v>
      </c>
      <c r="CR119" s="496" t="n">
        <v>932.6114</v>
      </c>
      <c r="CS119" s="496" t="n">
        <v>533.9423</v>
      </c>
      <c r="CT119" s="496" t="n">
        <v>631.4137</v>
      </c>
      <c r="CU119" s="496" t="n">
        <v>548.1095</v>
      </c>
      <c r="CV119" s="496" t="n">
        <v>620.2179</v>
      </c>
      <c r="CW119" s="496" t="n">
        <v>546.8118</v>
      </c>
      <c r="CX119" s="496" t="n">
        <v>620.2327</v>
      </c>
      <c r="CY119" s="496" t="s">
        <v>469</v>
      </c>
      <c r="CZ119" s="496" t="s">
        <v>469</v>
      </c>
      <c r="DA119" s="496" t="n">
        <v>827.3242</v>
      </c>
      <c r="DB119" s="496" t="n">
        <v>932.6116</v>
      </c>
      <c r="DC119" s="496" t="n">
        <v>548.1095</v>
      </c>
      <c r="DD119" s="496" t="s">
        <v>469</v>
      </c>
      <c r="DE119" s="496" t="n">
        <v>827.3242</v>
      </c>
      <c r="DF119" s="496" t="s">
        <v>469</v>
      </c>
    </row>
    <row r="120" customFormat="false" ht="15" hidden="false" customHeight="false" outlineLevel="0" collapsed="false">
      <c r="A120" s="496" t="s">
        <v>2021</v>
      </c>
      <c r="B120" s="496" t="n">
        <v>3.110242</v>
      </c>
      <c r="C120" s="496" t="n">
        <v>3.040154</v>
      </c>
      <c r="D120" s="496" t="n">
        <v>2.764942</v>
      </c>
      <c r="E120" s="496" t="n">
        <v>2.620059</v>
      </c>
      <c r="F120" s="496" t="n">
        <v>3.45096</v>
      </c>
      <c r="G120" s="496" t="n">
        <v>3.817421</v>
      </c>
      <c r="H120" s="496" t="n">
        <v>2.750735</v>
      </c>
      <c r="I120" s="496" t="n">
        <v>2.640268</v>
      </c>
      <c r="J120" s="496" t="n">
        <v>3.591162</v>
      </c>
      <c r="K120" s="496" t="n">
        <v>3.444949</v>
      </c>
      <c r="L120" s="496" t="n">
        <v>2.987813</v>
      </c>
      <c r="M120" s="496" t="n">
        <v>3.383115</v>
      </c>
      <c r="N120" s="496" t="s">
        <v>469</v>
      </c>
      <c r="O120" s="496" t="n">
        <v>2.601256</v>
      </c>
      <c r="P120" s="496" t="n">
        <v>3.943238</v>
      </c>
      <c r="Q120" s="496" t="n">
        <v>4.51747</v>
      </c>
      <c r="R120" s="496" t="n">
        <v>4.518374</v>
      </c>
      <c r="S120" s="496" t="n">
        <v>4.079934</v>
      </c>
      <c r="T120" s="496" t="n">
        <v>3.943282</v>
      </c>
      <c r="U120" s="496" t="n">
        <v>3.391048</v>
      </c>
      <c r="V120" s="496" t="n">
        <v>2.637953</v>
      </c>
      <c r="W120" s="496" t="n">
        <v>2.327819</v>
      </c>
      <c r="X120" s="496" t="n">
        <v>2.275945</v>
      </c>
      <c r="Y120" s="496" t="n">
        <v>2.125185</v>
      </c>
      <c r="Z120" s="496" t="n">
        <v>2.125019</v>
      </c>
      <c r="AA120" s="496" t="n">
        <v>2.602872</v>
      </c>
      <c r="AB120" s="496" t="n">
        <v>3.391048</v>
      </c>
      <c r="AC120" s="496" t="n">
        <v>2.779665</v>
      </c>
      <c r="AD120" s="496" t="n">
        <v>2.603314</v>
      </c>
      <c r="AE120" s="496" t="s">
        <v>469</v>
      </c>
      <c r="AF120" s="496" t="n">
        <v>3.389799</v>
      </c>
      <c r="AG120" s="496" t="s">
        <v>469</v>
      </c>
      <c r="AH120" s="496" t="n">
        <v>3.082804</v>
      </c>
      <c r="AI120" s="496" t="s">
        <v>469</v>
      </c>
      <c r="AJ120" s="496" t="n">
        <v>2.987829</v>
      </c>
      <c r="AK120" s="496" t="s">
        <v>469</v>
      </c>
      <c r="AL120" s="496" t="n">
        <v>3.048847</v>
      </c>
      <c r="AM120" s="496" t="s">
        <v>469</v>
      </c>
      <c r="AN120" s="496" t="s">
        <v>469</v>
      </c>
      <c r="AO120" s="496" t="n">
        <v>3.092931</v>
      </c>
      <c r="AP120" s="496" t="n">
        <v>5.084156</v>
      </c>
      <c r="AQ120" s="496" t="s">
        <v>469</v>
      </c>
      <c r="AR120" s="496" t="n">
        <v>2.764966</v>
      </c>
      <c r="AS120" s="496" t="s">
        <v>469</v>
      </c>
      <c r="AT120" s="496" t="n">
        <v>2.627583</v>
      </c>
      <c r="AU120" s="496" t="s">
        <v>469</v>
      </c>
      <c r="AV120" s="496" t="s">
        <v>469</v>
      </c>
      <c r="AW120" s="496" t="s">
        <v>469</v>
      </c>
      <c r="AX120" s="496" t="n">
        <v>3.083084</v>
      </c>
      <c r="AY120" s="496" t="n">
        <v>2.98528</v>
      </c>
      <c r="AZ120" s="496" t="n">
        <v>3.048834</v>
      </c>
      <c r="BA120" s="496" t="n">
        <v>2.774562</v>
      </c>
      <c r="BB120" s="496" t="n">
        <v>3.446391</v>
      </c>
      <c r="BC120" s="496" t="n">
        <v>3.135414</v>
      </c>
      <c r="BD120" s="496" t="n">
        <v>3.391048</v>
      </c>
      <c r="BE120" s="496" t="n">
        <v>2.721811</v>
      </c>
      <c r="BF120" s="496" t="n">
        <v>2.637953</v>
      </c>
      <c r="BG120" s="496" t="n">
        <v>2.637787</v>
      </c>
      <c r="BH120" s="496" t="n">
        <v>2.758882</v>
      </c>
      <c r="BI120" s="496" t="s">
        <v>469</v>
      </c>
      <c r="BJ120" s="496" t="s">
        <v>469</v>
      </c>
      <c r="BK120" s="496" t="s">
        <v>469</v>
      </c>
      <c r="BL120" s="496" t="n">
        <v>3.909282</v>
      </c>
      <c r="BM120" s="496" t="n">
        <v>2.6113</v>
      </c>
      <c r="BN120" s="496" t="n">
        <v>4.521319</v>
      </c>
      <c r="BO120" s="496" t="n">
        <v>4.38429</v>
      </c>
      <c r="BP120" s="496" t="s">
        <v>469</v>
      </c>
      <c r="BQ120" s="496" t="n">
        <v>4.521319</v>
      </c>
      <c r="BR120" s="496" t="n">
        <v>4.522223</v>
      </c>
      <c r="BS120" s="496" t="s">
        <v>469</v>
      </c>
      <c r="BT120" s="496" t="s">
        <v>469</v>
      </c>
      <c r="BU120" s="496" t="s">
        <v>469</v>
      </c>
      <c r="BV120" s="496" t="n">
        <v>2.608007</v>
      </c>
      <c r="BW120" s="496" t="s">
        <v>469</v>
      </c>
      <c r="BX120" s="496" t="n">
        <v>3.390029</v>
      </c>
      <c r="BY120" s="496" t="s">
        <v>469</v>
      </c>
      <c r="BZ120" s="496" t="n">
        <v>2.627574</v>
      </c>
      <c r="CA120" s="496" t="s">
        <v>469</v>
      </c>
      <c r="CB120" s="496" t="n">
        <v>2.990959</v>
      </c>
      <c r="CC120" s="496" t="n">
        <v>2.98527</v>
      </c>
      <c r="CD120" s="496" t="n">
        <v>2.774577</v>
      </c>
      <c r="CE120" s="496" t="n">
        <v>2.603314</v>
      </c>
      <c r="CF120" s="496" t="n">
        <v>2.262672</v>
      </c>
      <c r="CG120" s="496" t="n">
        <v>3.389799</v>
      </c>
      <c r="CH120" s="496" t="n">
        <v>3.390728</v>
      </c>
      <c r="CI120" s="496" t="n">
        <v>3.082804</v>
      </c>
      <c r="CJ120" s="496" t="n">
        <v>3.436893</v>
      </c>
      <c r="CK120" s="496" t="n">
        <v>2.987829</v>
      </c>
      <c r="CL120" s="496" t="n">
        <v>3.457119</v>
      </c>
      <c r="CM120" s="496" t="n">
        <v>3.048847</v>
      </c>
      <c r="CN120" s="496" t="n">
        <v>3.564063</v>
      </c>
      <c r="CO120" s="496" t="s">
        <v>469</v>
      </c>
      <c r="CP120" s="496" t="s">
        <v>469</v>
      </c>
      <c r="CQ120" s="496" t="n">
        <v>5.084156</v>
      </c>
      <c r="CR120" s="496" t="n">
        <v>4.274156</v>
      </c>
      <c r="CS120" s="496" t="n">
        <v>2.764966</v>
      </c>
      <c r="CT120" s="496" t="n">
        <v>2.33441</v>
      </c>
      <c r="CU120" s="496" t="n">
        <v>2.616925</v>
      </c>
      <c r="CV120" s="496" t="n">
        <v>2.271096</v>
      </c>
      <c r="CW120" s="496" t="n">
        <v>2.62751</v>
      </c>
      <c r="CX120" s="496" t="n">
        <v>2.271177</v>
      </c>
      <c r="CY120" s="496" t="s">
        <v>469</v>
      </c>
      <c r="CZ120" s="496" t="s">
        <v>469</v>
      </c>
      <c r="DA120" s="496" t="n">
        <v>5.084156</v>
      </c>
      <c r="DB120" s="496" t="n">
        <v>4.274155</v>
      </c>
      <c r="DC120" s="496" t="n">
        <v>2.616925</v>
      </c>
      <c r="DD120" s="496" t="s">
        <v>469</v>
      </c>
      <c r="DE120" s="496" t="n">
        <v>5.084156</v>
      </c>
      <c r="DF120" s="496" t="s">
        <v>469</v>
      </c>
    </row>
    <row r="121" customFormat="false" ht="15" hidden="false" customHeight="false" outlineLevel="0" collapsed="false">
      <c r="A121" s="496" t="s">
        <v>2028</v>
      </c>
      <c r="B121" s="496" t="n">
        <v>0.2413092</v>
      </c>
      <c r="C121" s="496" t="n">
        <v>0.2545641</v>
      </c>
      <c r="D121" s="496" t="n">
        <v>0.242965</v>
      </c>
      <c r="E121" s="496" t="n">
        <v>0.2531282</v>
      </c>
      <c r="F121" s="496" t="n">
        <v>0.5615787</v>
      </c>
      <c r="G121" s="496" t="n">
        <v>1.023122</v>
      </c>
      <c r="H121" s="496" t="n">
        <v>0.3310364</v>
      </c>
      <c r="I121" s="496" t="n">
        <v>0.2653409</v>
      </c>
      <c r="J121" s="496" t="n">
        <v>0.4689172</v>
      </c>
      <c r="K121" s="496" t="n">
        <v>0.5609145</v>
      </c>
      <c r="L121" s="496" t="n">
        <v>0.2784993</v>
      </c>
      <c r="M121" s="496" t="n">
        <v>0.6736584</v>
      </c>
      <c r="N121" s="496" t="s">
        <v>469</v>
      </c>
      <c r="O121" s="496" t="n">
        <v>0.2630536</v>
      </c>
      <c r="P121" s="496" t="n">
        <v>0.6855542</v>
      </c>
      <c r="Q121" s="496" t="n">
        <v>0.2621943</v>
      </c>
      <c r="R121" s="496" t="n">
        <v>0.2614266</v>
      </c>
      <c r="S121" s="496" t="n">
        <v>0.4951656</v>
      </c>
      <c r="T121" s="496" t="n">
        <v>0.6855566</v>
      </c>
      <c r="U121" s="496" t="n">
        <v>0.6560596</v>
      </c>
      <c r="V121" s="496" t="n">
        <v>0.2238666</v>
      </c>
      <c r="W121" s="496" t="n">
        <v>0.2900669</v>
      </c>
      <c r="X121" s="496" t="n">
        <v>0.3103754</v>
      </c>
      <c r="Y121" s="496" t="n">
        <v>0.3955416</v>
      </c>
      <c r="Z121" s="496" t="n">
        <v>0.3946047</v>
      </c>
      <c r="AA121" s="496" t="n">
        <v>0.2622115</v>
      </c>
      <c r="AB121" s="496" t="n">
        <v>0.6560596</v>
      </c>
      <c r="AC121" s="496" t="n">
        <v>0.2389928</v>
      </c>
      <c r="AD121" s="496" t="n">
        <v>0.2630536</v>
      </c>
      <c r="AE121" s="496" t="s">
        <v>469</v>
      </c>
      <c r="AF121" s="496" t="n">
        <v>0.6596813</v>
      </c>
      <c r="AG121" s="496" t="s">
        <v>469</v>
      </c>
      <c r="AH121" s="496" t="n">
        <v>0.2481414</v>
      </c>
      <c r="AI121" s="496" t="s">
        <v>469</v>
      </c>
      <c r="AJ121" s="496" t="n">
        <v>0.2784993</v>
      </c>
      <c r="AK121" s="496" t="s">
        <v>469</v>
      </c>
      <c r="AL121" s="496" t="n">
        <v>0.2544702</v>
      </c>
      <c r="AM121" s="496" t="s">
        <v>469</v>
      </c>
      <c r="AN121" s="496" t="s">
        <v>469</v>
      </c>
      <c r="AO121" s="496" t="n">
        <v>0.2151446</v>
      </c>
      <c r="AP121" s="496" t="n">
        <v>0.1797398</v>
      </c>
      <c r="AQ121" s="496" t="s">
        <v>469</v>
      </c>
      <c r="AR121" s="496" t="n">
        <v>0.242965</v>
      </c>
      <c r="AS121" s="496" t="s">
        <v>469</v>
      </c>
      <c r="AT121" s="496" t="n">
        <v>0.2543691</v>
      </c>
      <c r="AU121" s="496" t="s">
        <v>469</v>
      </c>
      <c r="AV121" s="496" t="s">
        <v>469</v>
      </c>
      <c r="AW121" s="496" t="s">
        <v>469</v>
      </c>
      <c r="AX121" s="496" t="n">
        <v>0.2479867</v>
      </c>
      <c r="AY121" s="496" t="n">
        <v>0.2778364</v>
      </c>
      <c r="AZ121" s="496" t="n">
        <v>0.2544668</v>
      </c>
      <c r="BA121" s="496" t="n">
        <v>0.3234673</v>
      </c>
      <c r="BB121" s="496" t="n">
        <v>0.5615931</v>
      </c>
      <c r="BC121" s="496" t="n">
        <v>0.2285753</v>
      </c>
      <c r="BD121" s="496" t="n">
        <v>0.6560596</v>
      </c>
      <c r="BE121" s="496" t="n">
        <v>0.2372487</v>
      </c>
      <c r="BF121" s="496" t="n">
        <v>0.2238666</v>
      </c>
      <c r="BG121" s="496" t="n">
        <v>0.2237495</v>
      </c>
      <c r="BH121" s="496" t="n">
        <v>0.242965</v>
      </c>
      <c r="BI121" s="496" t="s">
        <v>469</v>
      </c>
      <c r="BJ121" s="496" t="s">
        <v>469</v>
      </c>
      <c r="BK121" s="496" t="s">
        <v>469</v>
      </c>
      <c r="BL121" s="496" t="n">
        <v>0.6942436</v>
      </c>
      <c r="BM121" s="496" t="n">
        <v>0.2558641</v>
      </c>
      <c r="BN121" s="496" t="n">
        <v>0.261173</v>
      </c>
      <c r="BO121" s="496" t="n">
        <v>0.3277187</v>
      </c>
      <c r="BP121" s="496" t="s">
        <v>469</v>
      </c>
      <c r="BQ121" s="496" t="n">
        <v>0.261173</v>
      </c>
      <c r="BR121" s="496" t="n">
        <v>0.2609379</v>
      </c>
      <c r="BS121" s="496" t="s">
        <v>469</v>
      </c>
      <c r="BT121" s="496" t="s">
        <v>469</v>
      </c>
      <c r="BU121" s="496" t="s">
        <v>469</v>
      </c>
      <c r="BV121" s="496" t="n">
        <v>0.2629402</v>
      </c>
      <c r="BW121" s="496" t="s">
        <v>469</v>
      </c>
      <c r="BX121" s="496" t="n">
        <v>0.6596754</v>
      </c>
      <c r="BY121" s="496" t="s">
        <v>469</v>
      </c>
      <c r="BZ121" s="496" t="n">
        <v>0.25437</v>
      </c>
      <c r="CA121" s="496" t="s">
        <v>469</v>
      </c>
      <c r="CB121" s="496" t="n">
        <v>0.2784345</v>
      </c>
      <c r="CC121" s="496" t="n">
        <v>0.2778427</v>
      </c>
      <c r="CD121" s="496" t="n">
        <v>0.3234673</v>
      </c>
      <c r="CE121" s="496" t="n">
        <v>0.2630536</v>
      </c>
      <c r="CF121" s="496" t="n">
        <v>0.3951897</v>
      </c>
      <c r="CG121" s="496" t="n">
        <v>0.6596813</v>
      </c>
      <c r="CH121" s="496" t="n">
        <v>0.6592482</v>
      </c>
      <c r="CI121" s="496" t="n">
        <v>0.2481414</v>
      </c>
      <c r="CJ121" s="496" t="n">
        <v>0.4868134</v>
      </c>
      <c r="CK121" s="496" t="n">
        <v>0.2784993</v>
      </c>
      <c r="CL121" s="496" t="n">
        <v>0.4760845</v>
      </c>
      <c r="CM121" s="496" t="n">
        <v>0.2544702</v>
      </c>
      <c r="CN121" s="496" t="n">
        <v>0.455691</v>
      </c>
      <c r="CO121" s="496" t="s">
        <v>469</v>
      </c>
      <c r="CP121" s="496" t="s">
        <v>469</v>
      </c>
      <c r="CQ121" s="496" t="n">
        <v>0.1797398</v>
      </c>
      <c r="CR121" s="496" t="n">
        <v>0.3531431</v>
      </c>
      <c r="CS121" s="496" t="n">
        <v>0.242965</v>
      </c>
      <c r="CT121" s="496" t="n">
        <v>0.431119</v>
      </c>
      <c r="CU121" s="496" t="n">
        <v>0.2558641</v>
      </c>
      <c r="CV121" s="496" t="n">
        <v>0.4011719</v>
      </c>
      <c r="CW121" s="496" t="n">
        <v>0.2543841</v>
      </c>
      <c r="CX121" s="496" t="n">
        <v>0.4011908</v>
      </c>
      <c r="CY121" s="496" t="s">
        <v>469</v>
      </c>
      <c r="CZ121" s="496" t="s">
        <v>469</v>
      </c>
      <c r="DA121" s="496" t="n">
        <v>0.1797398</v>
      </c>
      <c r="DB121" s="496" t="n">
        <v>0.3531435</v>
      </c>
      <c r="DC121" s="496" t="n">
        <v>0.2558641</v>
      </c>
      <c r="DD121" s="496" t="s">
        <v>469</v>
      </c>
      <c r="DE121" s="496" t="n">
        <v>0.1797398</v>
      </c>
      <c r="DF121" s="496" t="s">
        <v>469</v>
      </c>
    </row>
    <row r="122" customFormat="false" ht="15" hidden="false" customHeight="false" outlineLevel="0" collapsed="false">
      <c r="A122" s="496" t="s">
        <v>2029</v>
      </c>
      <c r="B122" s="496" t="n">
        <v>0.1366396</v>
      </c>
      <c r="C122" s="496" t="n">
        <v>0.1489653</v>
      </c>
      <c r="D122" s="496" t="n">
        <v>0.1297293</v>
      </c>
      <c r="E122" s="496" t="n">
        <v>0.1381309</v>
      </c>
      <c r="F122" s="496" t="n">
        <v>0.4331099</v>
      </c>
      <c r="G122" s="496" t="n">
        <v>1.021406</v>
      </c>
      <c r="H122" s="496" t="n">
        <v>0.1980907</v>
      </c>
      <c r="I122" s="496" t="n">
        <v>0.1471751</v>
      </c>
      <c r="J122" s="496" t="n">
        <v>0.3495188</v>
      </c>
      <c r="K122" s="496" t="n">
        <v>0.4322474</v>
      </c>
      <c r="L122" s="496" t="n">
        <v>0.1660381</v>
      </c>
      <c r="M122" s="496" t="n">
        <v>0.5384978</v>
      </c>
      <c r="N122" s="496" t="s">
        <v>469</v>
      </c>
      <c r="O122" s="496" t="n">
        <v>0.1456571</v>
      </c>
      <c r="P122" s="496" t="n">
        <v>0.6711119</v>
      </c>
      <c r="Q122" s="496" t="n">
        <v>0.2359907</v>
      </c>
      <c r="R122" s="496" t="n">
        <v>0.2351986</v>
      </c>
      <c r="S122" s="496" t="n">
        <v>0.4749525</v>
      </c>
      <c r="T122" s="496" t="n">
        <v>0.671101</v>
      </c>
      <c r="U122" s="496" t="n">
        <v>0.5221034</v>
      </c>
      <c r="V122" s="496" t="n">
        <v>0.1334317</v>
      </c>
      <c r="W122" s="496" t="n">
        <v>0.1938735</v>
      </c>
      <c r="X122" s="496" t="n">
        <v>0.211411</v>
      </c>
      <c r="Y122" s="496" t="n">
        <v>0.2838123</v>
      </c>
      <c r="Z122" s="496" t="n">
        <v>0.2830205</v>
      </c>
      <c r="AA122" s="496" t="n">
        <v>0.1449767</v>
      </c>
      <c r="AB122" s="496" t="n">
        <v>0.5221034</v>
      </c>
      <c r="AC122" s="496" t="n">
        <v>0.1266095</v>
      </c>
      <c r="AD122" s="496" t="n">
        <v>0.1456571</v>
      </c>
      <c r="AE122" s="496" t="s">
        <v>469</v>
      </c>
      <c r="AF122" s="496" t="n">
        <v>0.5253676</v>
      </c>
      <c r="AG122" s="496" t="s">
        <v>469</v>
      </c>
      <c r="AH122" s="496" t="n">
        <v>0.1424868</v>
      </c>
      <c r="AI122" s="496" t="s">
        <v>469</v>
      </c>
      <c r="AJ122" s="496" t="n">
        <v>0.1660381</v>
      </c>
      <c r="AK122" s="496" t="s">
        <v>469</v>
      </c>
      <c r="AL122" s="496" t="n">
        <v>0.1488903</v>
      </c>
      <c r="AM122" s="496" t="s">
        <v>469</v>
      </c>
      <c r="AN122" s="496" t="s">
        <v>469</v>
      </c>
      <c r="AO122" s="496" t="n">
        <v>0.1072988</v>
      </c>
      <c r="AP122" s="496" t="n">
        <v>0.1487031</v>
      </c>
      <c r="AQ122" s="496" t="s">
        <v>469</v>
      </c>
      <c r="AR122" s="496" t="n">
        <v>0.1297293</v>
      </c>
      <c r="AS122" s="496" t="s">
        <v>469</v>
      </c>
      <c r="AT122" s="496" t="n">
        <v>0.1390886</v>
      </c>
      <c r="AU122" s="496" t="s">
        <v>469</v>
      </c>
      <c r="AV122" s="496" t="s">
        <v>469</v>
      </c>
      <c r="AW122" s="496" t="s">
        <v>469</v>
      </c>
      <c r="AX122" s="496" t="n">
        <v>0.1423205</v>
      </c>
      <c r="AY122" s="496" t="n">
        <v>0.1655067</v>
      </c>
      <c r="AZ122" s="496" t="n">
        <v>0.1488876</v>
      </c>
      <c r="BA122" s="496" t="n">
        <v>0.1919848</v>
      </c>
      <c r="BB122" s="496" t="n">
        <v>0.4331236</v>
      </c>
      <c r="BC122" s="496" t="n">
        <v>0.1282128</v>
      </c>
      <c r="BD122" s="496" t="n">
        <v>0.5221034</v>
      </c>
      <c r="BE122" s="496" t="n">
        <v>0.1318774</v>
      </c>
      <c r="BF122" s="496" t="n">
        <v>0.1334317</v>
      </c>
      <c r="BG122" s="496" t="n">
        <v>0.1333658</v>
      </c>
      <c r="BH122" s="496" t="n">
        <v>0.1297293</v>
      </c>
      <c r="BI122" s="496" t="s">
        <v>469</v>
      </c>
      <c r="BJ122" s="496" t="s">
        <v>469</v>
      </c>
      <c r="BK122" s="496" t="s">
        <v>469</v>
      </c>
      <c r="BL122" s="496" t="n">
        <v>0.6609803</v>
      </c>
      <c r="BM122" s="496" t="n">
        <v>0.1402415</v>
      </c>
      <c r="BN122" s="496" t="n">
        <v>0.2349369</v>
      </c>
      <c r="BO122" s="496" t="n">
        <v>0.292988</v>
      </c>
      <c r="BP122" s="496" t="s">
        <v>469</v>
      </c>
      <c r="BQ122" s="496" t="n">
        <v>0.2349369</v>
      </c>
      <c r="BR122" s="496" t="n">
        <v>0.234698</v>
      </c>
      <c r="BS122" s="496" t="s">
        <v>469</v>
      </c>
      <c r="BT122" s="496" t="s">
        <v>469</v>
      </c>
      <c r="BU122" s="496" t="s">
        <v>469</v>
      </c>
      <c r="BV122" s="496" t="n">
        <v>0.1455656</v>
      </c>
      <c r="BW122" s="496" t="s">
        <v>469</v>
      </c>
      <c r="BX122" s="496" t="n">
        <v>0.5253623</v>
      </c>
      <c r="BY122" s="496" t="s">
        <v>469</v>
      </c>
      <c r="BZ122" s="496" t="n">
        <v>0.1390893</v>
      </c>
      <c r="CA122" s="496" t="s">
        <v>469</v>
      </c>
      <c r="CB122" s="496" t="n">
        <v>0.1659861</v>
      </c>
      <c r="CC122" s="496" t="n">
        <v>0.1655118</v>
      </c>
      <c r="CD122" s="496" t="n">
        <v>0.1919848</v>
      </c>
      <c r="CE122" s="496" t="n">
        <v>0.1456571</v>
      </c>
      <c r="CF122" s="496" t="n">
        <v>0.2472551</v>
      </c>
      <c r="CG122" s="496" t="n">
        <v>0.5253676</v>
      </c>
      <c r="CH122" s="496" t="n">
        <v>0.5249773</v>
      </c>
      <c r="CI122" s="496" t="n">
        <v>0.1424868</v>
      </c>
      <c r="CJ122" s="496" t="n">
        <v>0.3478848</v>
      </c>
      <c r="CK122" s="496" t="n">
        <v>0.1660381</v>
      </c>
      <c r="CL122" s="496" t="n">
        <v>0.3315727</v>
      </c>
      <c r="CM122" s="496" t="n">
        <v>0.1488903</v>
      </c>
      <c r="CN122" s="496" t="n">
        <v>0.3188367</v>
      </c>
      <c r="CO122" s="496" t="s">
        <v>469</v>
      </c>
      <c r="CP122" s="496" t="s">
        <v>469</v>
      </c>
      <c r="CQ122" s="496" t="n">
        <v>0.1487031</v>
      </c>
      <c r="CR122" s="496" t="n">
        <v>0.3293453</v>
      </c>
      <c r="CS122" s="496" t="n">
        <v>0.1297293</v>
      </c>
      <c r="CT122" s="496" t="n">
        <v>0.2722145</v>
      </c>
      <c r="CU122" s="496" t="n">
        <v>0.1402415</v>
      </c>
      <c r="CV122" s="496" t="n">
        <v>0.248814</v>
      </c>
      <c r="CW122" s="496" t="n">
        <v>0.1391003</v>
      </c>
      <c r="CX122" s="496" t="n">
        <v>0.2488316</v>
      </c>
      <c r="CY122" s="496" t="s">
        <v>469</v>
      </c>
      <c r="CZ122" s="496" t="s">
        <v>469</v>
      </c>
      <c r="DA122" s="496" t="n">
        <v>0.1487031</v>
      </c>
      <c r="DB122" s="496" t="n">
        <v>0.3293457</v>
      </c>
      <c r="DC122" s="496" t="n">
        <v>0.1402415</v>
      </c>
      <c r="DD122" s="496" t="s">
        <v>469</v>
      </c>
      <c r="DE122" s="496" t="n">
        <v>0.1487031</v>
      </c>
      <c r="DF122" s="496" t="s">
        <v>469</v>
      </c>
    </row>
    <row r="123" customFormat="false" ht="15" hidden="false" customHeight="false" outlineLevel="0" collapsed="false">
      <c r="A123" s="496" t="s">
        <v>2030</v>
      </c>
      <c r="B123" s="496" t="n">
        <v>0.091901</v>
      </c>
      <c r="C123" s="496" t="n">
        <v>0.0970016</v>
      </c>
      <c r="D123" s="496" t="n">
        <v>0.0911145</v>
      </c>
      <c r="E123" s="496" t="n">
        <v>0.0951357</v>
      </c>
      <c r="F123" s="496" t="n">
        <v>0.1828832</v>
      </c>
      <c r="G123" s="496" t="n">
        <v>0.5991149</v>
      </c>
      <c r="H123" s="496" t="n">
        <v>0.1040016</v>
      </c>
      <c r="I123" s="496" t="n">
        <v>0.0967148</v>
      </c>
      <c r="J123" s="496" t="n">
        <v>0.1757091</v>
      </c>
      <c r="K123" s="496" t="n">
        <v>0.1821482</v>
      </c>
      <c r="L123" s="496" t="n">
        <v>0.1004852</v>
      </c>
      <c r="M123" s="496" t="n">
        <v>0.200009</v>
      </c>
      <c r="N123" s="496" t="s">
        <v>469</v>
      </c>
      <c r="O123" s="496" t="n">
        <v>0.0964092</v>
      </c>
      <c r="P123" s="496" t="n">
        <v>0.6259364</v>
      </c>
      <c r="Q123" s="496" t="n">
        <v>0.682262</v>
      </c>
      <c r="R123" s="496" t="n">
        <v>0.6823592</v>
      </c>
      <c r="S123" s="496" t="n">
        <v>0.6473546</v>
      </c>
      <c r="T123" s="496" t="n">
        <v>0.6257321</v>
      </c>
      <c r="U123" s="496" t="n">
        <v>0.1980085</v>
      </c>
      <c r="V123" s="496" t="n">
        <v>0.0913908</v>
      </c>
      <c r="W123" s="496" t="n">
        <v>0.1087543</v>
      </c>
      <c r="X123" s="496" t="n">
        <v>0.1122116</v>
      </c>
      <c r="Y123" s="496" t="n">
        <v>0.1226705</v>
      </c>
      <c r="Z123" s="496" t="n">
        <v>0.1225798</v>
      </c>
      <c r="AA123" s="496" t="n">
        <v>0.0961802</v>
      </c>
      <c r="AB123" s="496" t="n">
        <v>0.1980085</v>
      </c>
      <c r="AC123" s="496" t="n">
        <v>0.0900413</v>
      </c>
      <c r="AD123" s="496" t="n">
        <v>0.0964092</v>
      </c>
      <c r="AE123" s="496" t="s">
        <v>469</v>
      </c>
      <c r="AF123" s="496" t="n">
        <v>0.1981465</v>
      </c>
      <c r="AG123" s="496" t="s">
        <v>469</v>
      </c>
      <c r="AH123" s="496" t="n">
        <v>0.0936734</v>
      </c>
      <c r="AI123" s="496" t="s">
        <v>469</v>
      </c>
      <c r="AJ123" s="496" t="n">
        <v>0.1004852</v>
      </c>
      <c r="AK123" s="496" t="s">
        <v>469</v>
      </c>
      <c r="AL123" s="496" t="n">
        <v>0.09698</v>
      </c>
      <c r="AM123" s="496" t="s">
        <v>469</v>
      </c>
      <c r="AN123" s="496" t="s">
        <v>469</v>
      </c>
      <c r="AO123" s="496" t="n">
        <v>0.0821428</v>
      </c>
      <c r="AP123" s="496" t="n">
        <v>0.6769143</v>
      </c>
      <c r="AQ123" s="496" t="s">
        <v>469</v>
      </c>
      <c r="AR123" s="496" t="n">
        <v>0.0911145</v>
      </c>
      <c r="AS123" s="496" t="s">
        <v>469</v>
      </c>
      <c r="AT123" s="496" t="n">
        <v>0.0954442</v>
      </c>
      <c r="AU123" s="496" t="s">
        <v>469</v>
      </c>
      <c r="AV123" s="496" t="s">
        <v>469</v>
      </c>
      <c r="AW123" s="496" t="s">
        <v>469</v>
      </c>
      <c r="AX123" s="496" t="n">
        <v>0.0936278</v>
      </c>
      <c r="AY123" s="496" t="n">
        <v>0.1003461</v>
      </c>
      <c r="AZ123" s="496" t="n">
        <v>0.0969792</v>
      </c>
      <c r="BA123" s="496" t="n">
        <v>0.102605</v>
      </c>
      <c r="BB123" s="496" t="n">
        <v>0.1828856</v>
      </c>
      <c r="BC123" s="496" t="n">
        <v>0.0905917</v>
      </c>
      <c r="BD123" s="496" t="n">
        <v>0.1980085</v>
      </c>
      <c r="BE123" s="496" t="n">
        <v>0.0918471</v>
      </c>
      <c r="BF123" s="496" t="n">
        <v>0.0913908</v>
      </c>
      <c r="BG123" s="496" t="n">
        <v>0.091381</v>
      </c>
      <c r="BH123" s="496" t="n">
        <v>0.0911145</v>
      </c>
      <c r="BI123" s="496" t="s">
        <v>469</v>
      </c>
      <c r="BJ123" s="496" t="s">
        <v>469</v>
      </c>
      <c r="BK123" s="496" t="s">
        <v>469</v>
      </c>
      <c r="BL123" s="496" t="n">
        <v>0.42884</v>
      </c>
      <c r="BM123" s="496" t="n">
        <v>0.0958126</v>
      </c>
      <c r="BN123" s="496" t="n">
        <v>0.6823893</v>
      </c>
      <c r="BO123" s="496" t="n">
        <v>0.4083357</v>
      </c>
      <c r="BP123" s="496" t="s">
        <v>469</v>
      </c>
      <c r="BQ123" s="496" t="n">
        <v>0.6823893</v>
      </c>
      <c r="BR123" s="496" t="n">
        <v>0.6826299</v>
      </c>
      <c r="BS123" s="496" t="s">
        <v>469</v>
      </c>
      <c r="BT123" s="496" t="s">
        <v>469</v>
      </c>
      <c r="BU123" s="496" t="s">
        <v>469</v>
      </c>
      <c r="BV123" s="496" t="n">
        <v>0.0963784</v>
      </c>
      <c r="BW123" s="496" t="s">
        <v>469</v>
      </c>
      <c r="BX123" s="496" t="n">
        <v>0.1981463</v>
      </c>
      <c r="BY123" s="496" t="s">
        <v>469</v>
      </c>
      <c r="BZ123" s="496" t="n">
        <v>0.0954444</v>
      </c>
      <c r="CA123" s="496" t="s">
        <v>469</v>
      </c>
      <c r="CB123" s="496" t="n">
        <v>0.1004716</v>
      </c>
      <c r="CC123" s="496" t="n">
        <v>0.1003474</v>
      </c>
      <c r="CD123" s="496" t="n">
        <v>0.102605</v>
      </c>
      <c r="CE123" s="496" t="n">
        <v>0.0964092</v>
      </c>
      <c r="CF123" s="496" t="n">
        <v>0.1201286</v>
      </c>
      <c r="CG123" s="496" t="n">
        <v>0.1981465</v>
      </c>
      <c r="CH123" s="496" t="n">
        <v>0.1981301</v>
      </c>
      <c r="CI123" s="496" t="n">
        <v>0.0936734</v>
      </c>
      <c r="CJ123" s="496" t="n">
        <v>0.127678</v>
      </c>
      <c r="CK123" s="496" t="n">
        <v>0.1004852</v>
      </c>
      <c r="CL123" s="496" t="n">
        <v>0.1262969</v>
      </c>
      <c r="CM123" s="496" t="n">
        <v>0.09698</v>
      </c>
      <c r="CN123" s="496" t="n">
        <v>0.1260405</v>
      </c>
      <c r="CO123" s="496" t="s">
        <v>469</v>
      </c>
      <c r="CP123" s="496" t="s">
        <v>469</v>
      </c>
      <c r="CQ123" s="496" t="n">
        <v>0.6769143</v>
      </c>
      <c r="CR123" s="496" t="n">
        <v>0.6685272</v>
      </c>
      <c r="CS123" s="496" t="n">
        <v>0.0911145</v>
      </c>
      <c r="CT123" s="496" t="n">
        <v>0.1201867</v>
      </c>
      <c r="CU123" s="496" t="n">
        <v>0.0958126</v>
      </c>
      <c r="CV123" s="496" t="n">
        <v>0.1190932</v>
      </c>
      <c r="CW123" s="496" t="n">
        <v>0.0954479</v>
      </c>
      <c r="CX123" s="496" t="n">
        <v>0.119099</v>
      </c>
      <c r="CY123" s="496" t="s">
        <v>469</v>
      </c>
      <c r="CZ123" s="496" t="s">
        <v>469</v>
      </c>
      <c r="DA123" s="496" t="n">
        <v>0.6769143</v>
      </c>
      <c r="DB123" s="496" t="n">
        <v>0.6685271</v>
      </c>
      <c r="DC123" s="496" t="n">
        <v>0.0958126</v>
      </c>
      <c r="DD123" s="496" t="s">
        <v>469</v>
      </c>
      <c r="DE123" s="496" t="n">
        <v>0.6769143</v>
      </c>
      <c r="DF123" s="496" t="s">
        <v>469</v>
      </c>
    </row>
    <row r="124" customFormat="false" ht="15" hidden="false" customHeight="false" outlineLevel="0" collapsed="false">
      <c r="A124" s="496" t="s">
        <v>2035</v>
      </c>
      <c r="B124" s="496" t="n">
        <v>8.534503</v>
      </c>
      <c r="C124" s="496" t="n">
        <v>9.753631</v>
      </c>
      <c r="D124" s="496" t="n">
        <v>8.205314</v>
      </c>
      <c r="E124" s="496" t="n">
        <v>9.369178</v>
      </c>
      <c r="F124" s="496" t="n">
        <v>20.69226</v>
      </c>
      <c r="G124" s="496" t="n">
        <v>73.82053</v>
      </c>
      <c r="H124" s="496" t="n">
        <v>12.71067</v>
      </c>
      <c r="I124" s="496" t="n">
        <v>9.835975</v>
      </c>
      <c r="J124" s="496" t="n">
        <v>18.95747</v>
      </c>
      <c r="K124" s="496" t="n">
        <v>20.6722</v>
      </c>
      <c r="L124" s="496" t="n">
        <v>10.9841</v>
      </c>
      <c r="M124" s="496" t="n">
        <v>22.3115</v>
      </c>
      <c r="N124" s="496" t="s">
        <v>469</v>
      </c>
      <c r="O124" s="496" t="n">
        <v>9.468027</v>
      </c>
      <c r="P124" s="496" t="n">
        <v>69.84439</v>
      </c>
      <c r="Q124" s="496" t="n">
        <v>54.96694</v>
      </c>
      <c r="R124" s="496" t="n">
        <v>54.89692</v>
      </c>
      <c r="S124" s="496" t="n">
        <v>65.96341</v>
      </c>
      <c r="T124" s="496" t="n">
        <v>69.84245</v>
      </c>
      <c r="U124" s="496" t="n">
        <v>22.10349</v>
      </c>
      <c r="V124" s="496" t="n">
        <v>7.065832</v>
      </c>
      <c r="W124" s="496" t="n">
        <v>12.63152</v>
      </c>
      <c r="X124" s="496" t="n">
        <v>13.80583</v>
      </c>
      <c r="Y124" s="496" t="n">
        <v>17.46964</v>
      </c>
      <c r="Z124" s="496" t="n">
        <v>17.43718</v>
      </c>
      <c r="AA124" s="496" t="n">
        <v>9.398452</v>
      </c>
      <c r="AB124" s="496" t="n">
        <v>22.10349</v>
      </c>
      <c r="AC124" s="496" t="n">
        <v>7.897998</v>
      </c>
      <c r="AD124" s="496" t="n">
        <v>9.468027</v>
      </c>
      <c r="AE124" s="496" t="s">
        <v>469</v>
      </c>
      <c r="AF124" s="496" t="n">
        <v>22.14203</v>
      </c>
      <c r="AG124" s="496" t="s">
        <v>469</v>
      </c>
      <c r="AH124" s="496" t="n">
        <v>9.042418</v>
      </c>
      <c r="AI124" s="496" t="s">
        <v>469</v>
      </c>
      <c r="AJ124" s="496" t="n">
        <v>10.9841</v>
      </c>
      <c r="AK124" s="496" t="s">
        <v>469</v>
      </c>
      <c r="AL124" s="496" t="n">
        <v>9.747287</v>
      </c>
      <c r="AM124" s="496" t="s">
        <v>469</v>
      </c>
      <c r="AN124" s="496" t="s">
        <v>469</v>
      </c>
      <c r="AO124" s="496" t="n">
        <v>6.033173</v>
      </c>
      <c r="AP124" s="496" t="n">
        <v>42.04276</v>
      </c>
      <c r="AQ124" s="496" t="s">
        <v>469</v>
      </c>
      <c r="AR124" s="496" t="n">
        <v>8.205313</v>
      </c>
      <c r="AS124" s="496" t="s">
        <v>469</v>
      </c>
      <c r="AT124" s="496" t="n">
        <v>9.461985</v>
      </c>
      <c r="AU124" s="496" t="s">
        <v>469</v>
      </c>
      <c r="AV124" s="496" t="s">
        <v>469</v>
      </c>
      <c r="AW124" s="496" t="s">
        <v>469</v>
      </c>
      <c r="AX124" s="496" t="n">
        <v>9.028529</v>
      </c>
      <c r="AY124" s="496" t="n">
        <v>10.94338</v>
      </c>
      <c r="AZ124" s="496" t="n">
        <v>9.747062</v>
      </c>
      <c r="BA124" s="496" t="n">
        <v>12.32782</v>
      </c>
      <c r="BB124" s="496" t="n">
        <v>20.69428</v>
      </c>
      <c r="BC124" s="496" t="n">
        <v>7.915735</v>
      </c>
      <c r="BD124" s="496" t="n">
        <v>22.10349</v>
      </c>
      <c r="BE124" s="496" t="n">
        <v>8.311114</v>
      </c>
      <c r="BF124" s="496" t="n">
        <v>7.065832</v>
      </c>
      <c r="BG124" s="496" t="n">
        <v>7.056877</v>
      </c>
      <c r="BH124" s="496" t="n">
        <v>8.205314</v>
      </c>
      <c r="BI124" s="496" t="s">
        <v>469</v>
      </c>
      <c r="BJ124" s="496" t="s">
        <v>469</v>
      </c>
      <c r="BK124" s="496" t="s">
        <v>469</v>
      </c>
      <c r="BL124" s="496" t="n">
        <v>67.17373</v>
      </c>
      <c r="BM124" s="496" t="n">
        <v>9.572965</v>
      </c>
      <c r="BN124" s="496" t="n">
        <v>54.87368</v>
      </c>
      <c r="BO124" s="496" t="n">
        <v>56.72636</v>
      </c>
      <c r="BP124" s="496" t="s">
        <v>469</v>
      </c>
      <c r="BQ124" s="496" t="n">
        <v>54.87368</v>
      </c>
      <c r="BR124" s="496" t="n">
        <v>54.85338</v>
      </c>
      <c r="BS124" s="496" t="s">
        <v>469</v>
      </c>
      <c r="BT124" s="496" t="s">
        <v>469</v>
      </c>
      <c r="BU124" s="496" t="s">
        <v>469</v>
      </c>
      <c r="BV124" s="496" t="n">
        <v>9.458684</v>
      </c>
      <c r="BW124" s="496" t="s">
        <v>469</v>
      </c>
      <c r="BX124" s="496" t="n">
        <v>22.14196</v>
      </c>
      <c r="BY124" s="496" t="s">
        <v>469</v>
      </c>
      <c r="BZ124" s="496" t="n">
        <v>9.462053</v>
      </c>
      <c r="CA124" s="496" t="s">
        <v>469</v>
      </c>
      <c r="CB124" s="496" t="n">
        <v>10.98013</v>
      </c>
      <c r="CC124" s="496" t="n">
        <v>10.94377</v>
      </c>
      <c r="CD124" s="496" t="n">
        <v>12.32782</v>
      </c>
      <c r="CE124" s="496" t="n">
        <v>9.468027</v>
      </c>
      <c r="CF124" s="496" t="n">
        <v>16.75293</v>
      </c>
      <c r="CG124" s="496" t="n">
        <v>22.14203</v>
      </c>
      <c r="CH124" s="496" t="n">
        <v>22.13744</v>
      </c>
      <c r="CI124" s="496" t="n">
        <v>9.042419</v>
      </c>
      <c r="CJ124" s="496" t="n">
        <v>19.12227</v>
      </c>
      <c r="CK124" s="496" t="n">
        <v>10.9841</v>
      </c>
      <c r="CL124" s="496" t="n">
        <v>18.7616</v>
      </c>
      <c r="CM124" s="496" t="n">
        <v>9.747287</v>
      </c>
      <c r="CN124" s="496" t="n">
        <v>18.67913</v>
      </c>
      <c r="CO124" s="496" t="s">
        <v>469</v>
      </c>
      <c r="CP124" s="496" t="s">
        <v>469</v>
      </c>
      <c r="CQ124" s="496" t="n">
        <v>42.04276</v>
      </c>
      <c r="CR124" s="496" t="n">
        <v>60.93162</v>
      </c>
      <c r="CS124" s="496" t="n">
        <v>8.205314</v>
      </c>
      <c r="CT124" s="496" t="n">
        <v>17.04326</v>
      </c>
      <c r="CU124" s="496" t="n">
        <v>9.572965</v>
      </c>
      <c r="CV124" s="496" t="n">
        <v>16.99763</v>
      </c>
      <c r="CW124" s="496" t="n">
        <v>9.463108</v>
      </c>
      <c r="CX124" s="496" t="n">
        <v>17.00291</v>
      </c>
      <c r="CY124" s="496" t="s">
        <v>469</v>
      </c>
      <c r="CZ124" s="496" t="s">
        <v>469</v>
      </c>
      <c r="DA124" s="496" t="n">
        <v>42.04276</v>
      </c>
      <c r="DB124" s="496" t="n">
        <v>60.93164</v>
      </c>
      <c r="DC124" s="496" t="n">
        <v>9.572965</v>
      </c>
      <c r="DD124" s="496" t="s">
        <v>469</v>
      </c>
      <c r="DE124" s="496" t="n">
        <v>42.04276</v>
      </c>
      <c r="DF124" s="496" t="s">
        <v>469</v>
      </c>
    </row>
    <row r="125" customFormat="false" ht="15" hidden="false" customHeight="false" outlineLevel="0" collapsed="false">
      <c r="A125" s="496" t="s">
        <v>2016</v>
      </c>
      <c r="B125" s="496" t="n">
        <v>62.29257</v>
      </c>
      <c r="C125" s="496" t="n">
        <v>65.08494</v>
      </c>
      <c r="D125" s="496" t="n">
        <v>56.36253</v>
      </c>
      <c r="E125" s="496" t="n">
        <v>57.42372</v>
      </c>
      <c r="F125" s="496" t="n">
        <v>32.72581</v>
      </c>
      <c r="G125" s="496" t="n">
        <v>18.01528</v>
      </c>
      <c r="H125" s="496" t="n">
        <v>51.00973</v>
      </c>
      <c r="I125" s="496" t="n">
        <v>56.36253</v>
      </c>
      <c r="J125" s="496" t="n">
        <v>32.74268</v>
      </c>
      <c r="K125" s="496" t="n">
        <v>32.76828</v>
      </c>
      <c r="L125" s="496" t="n">
        <v>61.90329</v>
      </c>
      <c r="M125" s="496" t="n">
        <v>32.01723</v>
      </c>
      <c r="N125" s="496" t="s">
        <v>469</v>
      </c>
      <c r="O125" s="496" t="n">
        <v>57.21502</v>
      </c>
      <c r="P125" s="496" t="n">
        <v>18.01528</v>
      </c>
      <c r="Q125" s="496" t="n">
        <v>18.01584</v>
      </c>
      <c r="R125" s="496" t="n">
        <v>18.01584</v>
      </c>
      <c r="S125" s="496" t="n">
        <v>18.01584</v>
      </c>
      <c r="T125" s="496" t="n">
        <v>18.01584</v>
      </c>
      <c r="U125" s="496" t="n">
        <v>32.0908</v>
      </c>
      <c r="V125" s="496" t="n">
        <v>87.91352</v>
      </c>
      <c r="W125" s="496" t="n">
        <v>87.91352</v>
      </c>
      <c r="X125" s="496" t="n">
        <v>87.91352</v>
      </c>
      <c r="Y125" s="496" t="n">
        <v>87.91352</v>
      </c>
      <c r="Z125" s="496" t="n">
        <v>87.91352</v>
      </c>
      <c r="AA125" s="496" t="n">
        <v>57.21502</v>
      </c>
      <c r="AB125" s="496" t="n">
        <v>32.0908</v>
      </c>
      <c r="AC125" s="496" t="n">
        <v>56.36253</v>
      </c>
      <c r="AD125" s="496" t="n">
        <v>57.21502</v>
      </c>
      <c r="AE125" s="496" t="s">
        <v>469</v>
      </c>
      <c r="AF125" s="496" t="n">
        <v>32.0908</v>
      </c>
      <c r="AG125" s="496" t="s">
        <v>469</v>
      </c>
      <c r="AH125" s="496" t="n">
        <v>62.48354</v>
      </c>
      <c r="AI125" s="496" t="s">
        <v>469</v>
      </c>
      <c r="AJ125" s="496" t="n">
        <v>61.90329</v>
      </c>
      <c r="AK125" s="496" t="s">
        <v>469</v>
      </c>
      <c r="AL125" s="496" t="n">
        <v>65.08494</v>
      </c>
      <c r="AM125" s="496" t="s">
        <v>469</v>
      </c>
      <c r="AN125" s="496" t="s">
        <v>469</v>
      </c>
      <c r="AO125" s="496" t="n">
        <v>55.18692</v>
      </c>
      <c r="AP125" s="496" t="n">
        <v>18.01528</v>
      </c>
      <c r="AQ125" s="496" t="s">
        <v>469</v>
      </c>
      <c r="AR125" s="496" t="n">
        <v>56.36253</v>
      </c>
      <c r="AS125" s="496" t="s">
        <v>469</v>
      </c>
      <c r="AT125" s="496" t="n">
        <v>57.42372</v>
      </c>
      <c r="AU125" s="496" t="s">
        <v>469</v>
      </c>
      <c r="AV125" s="496" t="s">
        <v>469</v>
      </c>
      <c r="AW125" s="496" t="s">
        <v>469</v>
      </c>
      <c r="AX125" s="496" t="n">
        <v>62.4574</v>
      </c>
      <c r="AY125" s="496" t="n">
        <v>61.90329</v>
      </c>
      <c r="AZ125" s="496" t="n">
        <v>65.08494</v>
      </c>
      <c r="BA125" s="496" t="n">
        <v>51.00973</v>
      </c>
      <c r="BB125" s="496" t="n">
        <v>32.7251</v>
      </c>
      <c r="BC125" s="496" t="n">
        <v>65.08494</v>
      </c>
      <c r="BD125" s="496" t="n">
        <v>32.0908</v>
      </c>
      <c r="BE125" s="496" t="n">
        <v>63.81659</v>
      </c>
      <c r="BF125" s="496" t="n">
        <v>87.91352</v>
      </c>
      <c r="BG125" s="496" t="n">
        <v>87.95165</v>
      </c>
      <c r="BH125" s="496" t="n">
        <v>56.36253</v>
      </c>
      <c r="BI125" s="496" t="s">
        <v>469</v>
      </c>
      <c r="BJ125" s="496" t="s">
        <v>469</v>
      </c>
      <c r="BK125" s="496" t="s">
        <v>469</v>
      </c>
      <c r="BL125" s="496" t="n">
        <v>18.86247</v>
      </c>
      <c r="BM125" s="496" t="n">
        <v>57.42372</v>
      </c>
      <c r="BN125" s="496" t="n">
        <v>18.01584</v>
      </c>
      <c r="BO125" s="496" t="n">
        <v>18.86247</v>
      </c>
      <c r="BP125" s="496" t="s">
        <v>469</v>
      </c>
      <c r="BQ125" s="496" t="n">
        <v>18.01584</v>
      </c>
      <c r="BR125" s="496" t="n">
        <v>18.0155</v>
      </c>
      <c r="BS125" s="496" t="s">
        <v>469</v>
      </c>
      <c r="BT125" s="496" t="s">
        <v>469</v>
      </c>
      <c r="BU125" s="496" t="s">
        <v>469</v>
      </c>
      <c r="BV125" s="496" t="n">
        <v>57.21502</v>
      </c>
      <c r="BW125" s="496" t="s">
        <v>469</v>
      </c>
      <c r="BX125" s="496" t="n">
        <v>32.0908</v>
      </c>
      <c r="BY125" s="496" t="s">
        <v>469</v>
      </c>
      <c r="BZ125" s="496" t="n">
        <v>57.42372</v>
      </c>
      <c r="CA125" s="496" t="s">
        <v>469</v>
      </c>
      <c r="CB125" s="496" t="n">
        <v>61.90329</v>
      </c>
      <c r="CC125" s="496" t="n">
        <v>61.90329</v>
      </c>
      <c r="CD125" s="496" t="n">
        <v>51.00973</v>
      </c>
      <c r="CE125" s="496" t="n">
        <v>57.21502</v>
      </c>
      <c r="CF125" s="496" t="n">
        <v>57.27136</v>
      </c>
      <c r="CG125" s="496" t="n">
        <v>32.0908</v>
      </c>
      <c r="CH125" s="496" t="n">
        <v>32.0908</v>
      </c>
      <c r="CI125" s="496" t="n">
        <v>62.48354</v>
      </c>
      <c r="CJ125" s="496" t="n">
        <v>65.94885</v>
      </c>
      <c r="CK125" s="496" t="n">
        <v>61.90329</v>
      </c>
      <c r="CL125" s="496" t="n">
        <v>64.44711</v>
      </c>
      <c r="CM125" s="496" t="n">
        <v>65.08494</v>
      </c>
      <c r="CN125" s="496" t="n">
        <v>70.43483</v>
      </c>
      <c r="CO125" s="496" t="s">
        <v>469</v>
      </c>
      <c r="CP125" s="496" t="s">
        <v>469</v>
      </c>
      <c r="CQ125" s="496" t="n">
        <v>18.01528</v>
      </c>
      <c r="CR125" s="496" t="n">
        <v>18.01528</v>
      </c>
      <c r="CS125" s="496" t="n">
        <v>56.36253</v>
      </c>
      <c r="CT125" s="496" t="n">
        <v>55.39228</v>
      </c>
      <c r="CU125" s="496" t="n">
        <v>57.42372</v>
      </c>
      <c r="CV125" s="496" t="n">
        <v>57.34817</v>
      </c>
      <c r="CW125" s="496" t="n">
        <v>57.42372</v>
      </c>
      <c r="CX125" s="496" t="n">
        <v>57.34539</v>
      </c>
      <c r="CY125" s="496" t="s">
        <v>469</v>
      </c>
      <c r="CZ125" s="496" t="s">
        <v>469</v>
      </c>
      <c r="DA125" s="496" t="n">
        <v>18.01528</v>
      </c>
      <c r="DB125" s="496" t="n">
        <v>18.01528</v>
      </c>
      <c r="DC125" s="496" t="n">
        <v>57.42372</v>
      </c>
      <c r="DD125" s="496" t="s">
        <v>469</v>
      </c>
      <c r="DE125" s="496" t="n">
        <v>18.01528</v>
      </c>
      <c r="DF125" s="496" t="s">
        <v>469</v>
      </c>
    </row>
    <row r="126" customFormat="false" ht="15" hidden="false" customHeight="false" outlineLevel="0" collapsed="false">
      <c r="A126" s="496" t="s">
        <v>2022</v>
      </c>
      <c r="B126" s="496" t="n">
        <v>1</v>
      </c>
      <c r="C126" s="496" t="n">
        <v>1</v>
      </c>
      <c r="D126" s="496" t="n">
        <v>1</v>
      </c>
      <c r="E126" s="496" t="n">
        <v>1</v>
      </c>
      <c r="F126" s="496" t="n">
        <v>1</v>
      </c>
      <c r="G126" s="496" t="n">
        <v>1</v>
      </c>
      <c r="H126" s="496" t="n">
        <v>1</v>
      </c>
      <c r="I126" s="496" t="n">
        <v>1</v>
      </c>
      <c r="J126" s="496" t="n">
        <v>1</v>
      </c>
      <c r="K126" s="496" t="n">
        <v>1</v>
      </c>
      <c r="L126" s="496" t="n">
        <v>1</v>
      </c>
      <c r="M126" s="496" t="n">
        <v>1</v>
      </c>
      <c r="N126" s="496" t="s">
        <v>469</v>
      </c>
      <c r="O126" s="496" t="n">
        <v>1</v>
      </c>
      <c r="P126" s="496" t="n">
        <v>1</v>
      </c>
      <c r="Q126" s="496" t="n">
        <v>1</v>
      </c>
      <c r="R126" s="496" t="n">
        <v>1</v>
      </c>
      <c r="S126" s="496" t="n">
        <v>1</v>
      </c>
      <c r="T126" s="496" t="n">
        <v>1</v>
      </c>
      <c r="U126" s="496" t="n">
        <v>1</v>
      </c>
      <c r="V126" s="496" t="n">
        <v>1</v>
      </c>
      <c r="W126" s="496" t="n">
        <v>1</v>
      </c>
      <c r="X126" s="496" t="n">
        <v>1</v>
      </c>
      <c r="Y126" s="496" t="n">
        <v>1</v>
      </c>
      <c r="Z126" s="496" t="n">
        <v>1</v>
      </c>
      <c r="AA126" s="496" t="n">
        <v>1</v>
      </c>
      <c r="AB126" s="496" t="n">
        <v>1</v>
      </c>
      <c r="AC126" s="496" t="n">
        <v>1</v>
      </c>
      <c r="AD126" s="496" t="n">
        <v>1</v>
      </c>
      <c r="AE126" s="496" t="s">
        <v>469</v>
      </c>
      <c r="AF126" s="496" t="n">
        <v>1</v>
      </c>
      <c r="AG126" s="496" t="s">
        <v>469</v>
      </c>
      <c r="AH126" s="496" t="n">
        <v>1</v>
      </c>
      <c r="AI126" s="496" t="s">
        <v>469</v>
      </c>
      <c r="AJ126" s="496" t="n">
        <v>1</v>
      </c>
      <c r="AK126" s="496" t="s">
        <v>469</v>
      </c>
      <c r="AL126" s="496" t="n">
        <v>1</v>
      </c>
      <c r="AM126" s="496" t="s">
        <v>469</v>
      </c>
      <c r="AN126" s="496" t="s">
        <v>469</v>
      </c>
      <c r="AO126" s="496" t="n">
        <v>1</v>
      </c>
      <c r="AP126" s="496" t="n">
        <v>1</v>
      </c>
      <c r="AQ126" s="496" t="s">
        <v>469</v>
      </c>
      <c r="AR126" s="496" t="n">
        <v>1</v>
      </c>
      <c r="AS126" s="496" t="s">
        <v>469</v>
      </c>
      <c r="AT126" s="496" t="n">
        <v>1</v>
      </c>
      <c r="AU126" s="496" t="s">
        <v>469</v>
      </c>
      <c r="AV126" s="496" t="s">
        <v>469</v>
      </c>
      <c r="AW126" s="496" t="s">
        <v>469</v>
      </c>
      <c r="AX126" s="496" t="n">
        <v>1</v>
      </c>
      <c r="AY126" s="496" t="n">
        <v>1</v>
      </c>
      <c r="AZ126" s="496" t="n">
        <v>1</v>
      </c>
      <c r="BA126" s="496" t="n">
        <v>1</v>
      </c>
      <c r="BB126" s="496" t="n">
        <v>1</v>
      </c>
      <c r="BC126" s="496" t="n">
        <v>1</v>
      </c>
      <c r="BD126" s="496" t="n">
        <v>1</v>
      </c>
      <c r="BE126" s="496" t="n">
        <v>1</v>
      </c>
      <c r="BF126" s="496" t="n">
        <v>1</v>
      </c>
      <c r="BG126" s="496" t="n">
        <v>1</v>
      </c>
      <c r="BH126" s="496" t="n">
        <v>1</v>
      </c>
      <c r="BI126" s="496" t="s">
        <v>469</v>
      </c>
      <c r="BJ126" s="496" t="s">
        <v>469</v>
      </c>
      <c r="BK126" s="496" t="s">
        <v>469</v>
      </c>
      <c r="BL126" s="496" t="n">
        <v>1</v>
      </c>
      <c r="BM126" s="496" t="n">
        <v>1</v>
      </c>
      <c r="BN126" s="496" t="n">
        <v>1</v>
      </c>
      <c r="BO126" s="496" t="n">
        <v>1</v>
      </c>
      <c r="BP126" s="496" t="s">
        <v>469</v>
      </c>
      <c r="BQ126" s="496" t="n">
        <v>1</v>
      </c>
      <c r="BR126" s="496" t="n">
        <v>1</v>
      </c>
      <c r="BS126" s="496" t="s">
        <v>469</v>
      </c>
      <c r="BT126" s="496" t="s">
        <v>469</v>
      </c>
      <c r="BU126" s="496" t="s">
        <v>469</v>
      </c>
      <c r="BV126" s="496" t="n">
        <v>1</v>
      </c>
      <c r="BW126" s="496" t="s">
        <v>469</v>
      </c>
      <c r="BX126" s="496" t="n">
        <v>1</v>
      </c>
      <c r="BY126" s="496" t="s">
        <v>469</v>
      </c>
      <c r="BZ126" s="496" t="n">
        <v>1</v>
      </c>
      <c r="CA126" s="496" t="s">
        <v>469</v>
      </c>
      <c r="CB126" s="496" t="n">
        <v>1</v>
      </c>
      <c r="CC126" s="496" t="n">
        <v>1</v>
      </c>
      <c r="CD126" s="496" t="n">
        <v>1</v>
      </c>
      <c r="CE126" s="496" t="n">
        <v>1</v>
      </c>
      <c r="CF126" s="496" t="n">
        <v>1</v>
      </c>
      <c r="CG126" s="496" t="n">
        <v>1</v>
      </c>
      <c r="CH126" s="496" t="n">
        <v>1</v>
      </c>
      <c r="CI126" s="496" t="n">
        <v>1</v>
      </c>
      <c r="CJ126" s="496" t="n">
        <v>1</v>
      </c>
      <c r="CK126" s="496" t="n">
        <v>1</v>
      </c>
      <c r="CL126" s="496" t="n">
        <v>1</v>
      </c>
      <c r="CM126" s="496" t="n">
        <v>1</v>
      </c>
      <c r="CN126" s="496" t="n">
        <v>1</v>
      </c>
      <c r="CO126" s="496" t="s">
        <v>469</v>
      </c>
      <c r="CP126" s="496" t="s">
        <v>469</v>
      </c>
      <c r="CQ126" s="496" t="n">
        <v>1</v>
      </c>
      <c r="CR126" s="496" t="n">
        <v>1</v>
      </c>
      <c r="CS126" s="496" t="n">
        <v>1</v>
      </c>
      <c r="CT126" s="496" t="n">
        <v>1</v>
      </c>
      <c r="CU126" s="496" t="n">
        <v>1</v>
      </c>
      <c r="CV126" s="496" t="n">
        <v>1</v>
      </c>
      <c r="CW126" s="496" t="n">
        <v>1</v>
      </c>
      <c r="CX126" s="496" t="n">
        <v>1</v>
      </c>
      <c r="CY126" s="496" t="s">
        <v>469</v>
      </c>
      <c r="CZ126" s="496" t="s">
        <v>469</v>
      </c>
      <c r="DA126" s="496" t="n">
        <v>1</v>
      </c>
      <c r="DB126" s="496" t="n">
        <v>1</v>
      </c>
      <c r="DC126" s="496" t="n">
        <v>1</v>
      </c>
      <c r="DD126" s="496" t="s">
        <v>469</v>
      </c>
      <c r="DE126" s="496" t="n">
        <v>1</v>
      </c>
      <c r="DF126" s="496" t="s">
        <v>469</v>
      </c>
    </row>
    <row r="127" customFormat="false" ht="15" hidden="false" customHeight="false" outlineLevel="0" collapsed="false">
      <c r="A127" s="496" t="s">
        <v>2023</v>
      </c>
      <c r="B127" s="496" t="n">
        <v>0.2719568</v>
      </c>
      <c r="C127" s="496" t="n">
        <v>0.2747104</v>
      </c>
      <c r="D127" s="496" t="n">
        <v>0.2757219</v>
      </c>
      <c r="E127" s="496" t="n">
        <v>0.2781476</v>
      </c>
      <c r="F127" s="496" t="n">
        <v>0.2254514</v>
      </c>
      <c r="G127" s="496" t="n">
        <v>0.229</v>
      </c>
      <c r="H127" s="496" t="n">
        <v>0.2641805</v>
      </c>
      <c r="I127" s="496" t="n">
        <v>0.2757219</v>
      </c>
      <c r="J127" s="496" t="n">
        <v>0.2254914</v>
      </c>
      <c r="K127" s="496" t="n">
        <v>0.2255436</v>
      </c>
      <c r="L127" s="496" t="n">
        <v>0.2723292</v>
      </c>
      <c r="M127" s="496" t="n">
        <v>0.2240089</v>
      </c>
      <c r="N127" s="496" t="s">
        <v>469</v>
      </c>
      <c r="O127" s="496" t="n">
        <v>0.2773073</v>
      </c>
      <c r="P127" s="496" t="n">
        <v>0.229</v>
      </c>
      <c r="Q127" s="496" t="n">
        <v>0.2289998</v>
      </c>
      <c r="R127" s="496" t="n">
        <v>0.2289998</v>
      </c>
      <c r="S127" s="496" t="n">
        <v>0.2289998</v>
      </c>
      <c r="T127" s="496" t="n">
        <v>0.2289998</v>
      </c>
      <c r="U127" s="496" t="n">
        <v>0.2241588</v>
      </c>
      <c r="V127" s="496" t="n">
        <v>0.2729419</v>
      </c>
      <c r="W127" s="496" t="n">
        <v>0.2729419</v>
      </c>
      <c r="X127" s="496" t="n">
        <v>0.2729419</v>
      </c>
      <c r="Y127" s="496" t="n">
        <v>0.2729419</v>
      </c>
      <c r="Z127" s="496" t="n">
        <v>0.2729419</v>
      </c>
      <c r="AA127" s="496" t="n">
        <v>0.2773073</v>
      </c>
      <c r="AB127" s="496" t="n">
        <v>0.2241588</v>
      </c>
      <c r="AC127" s="496" t="n">
        <v>0.2757219</v>
      </c>
      <c r="AD127" s="496" t="n">
        <v>0.2773073</v>
      </c>
      <c r="AE127" s="496" t="s">
        <v>469</v>
      </c>
      <c r="AF127" s="496" t="n">
        <v>0.2241588</v>
      </c>
      <c r="AG127" s="496" t="s">
        <v>469</v>
      </c>
      <c r="AH127" s="496" t="n">
        <v>0.2717588</v>
      </c>
      <c r="AI127" s="496" t="s">
        <v>469</v>
      </c>
      <c r="AJ127" s="496" t="n">
        <v>0.2723292</v>
      </c>
      <c r="AK127" s="496" t="s">
        <v>469</v>
      </c>
      <c r="AL127" s="496" t="n">
        <v>0.2747104</v>
      </c>
      <c r="AM127" s="496" t="s">
        <v>469</v>
      </c>
      <c r="AN127" s="496" t="s">
        <v>469</v>
      </c>
      <c r="AO127" s="496" t="n">
        <v>0.2729269</v>
      </c>
      <c r="AP127" s="496" t="n">
        <v>0.229</v>
      </c>
      <c r="AQ127" s="496" t="s">
        <v>469</v>
      </c>
      <c r="AR127" s="496" t="n">
        <v>0.2757219</v>
      </c>
      <c r="AS127" s="496" t="s">
        <v>469</v>
      </c>
      <c r="AT127" s="496" t="n">
        <v>0.2781476</v>
      </c>
      <c r="AU127" s="496" t="s">
        <v>469</v>
      </c>
      <c r="AV127" s="496" t="s">
        <v>469</v>
      </c>
      <c r="AW127" s="496" t="s">
        <v>469</v>
      </c>
      <c r="AX127" s="496" t="n">
        <v>0.2717837</v>
      </c>
      <c r="AY127" s="496" t="n">
        <v>0.2723292</v>
      </c>
      <c r="AZ127" s="496" t="n">
        <v>0.2747104</v>
      </c>
      <c r="BA127" s="496" t="n">
        <v>0.2641805</v>
      </c>
      <c r="BB127" s="496" t="n">
        <v>0.2254512</v>
      </c>
      <c r="BC127" s="496" t="n">
        <v>0.2747104</v>
      </c>
      <c r="BD127" s="496" t="n">
        <v>0.2241588</v>
      </c>
      <c r="BE127" s="496" t="n">
        <v>0.2745452</v>
      </c>
      <c r="BF127" s="496" t="n">
        <v>0.2729419</v>
      </c>
      <c r="BG127" s="496" t="n">
        <v>0.2729505</v>
      </c>
      <c r="BH127" s="496" t="n">
        <v>0.2757219</v>
      </c>
      <c r="BI127" s="496" t="s">
        <v>469</v>
      </c>
      <c r="BJ127" s="496" t="s">
        <v>469</v>
      </c>
      <c r="BK127" s="496" t="s">
        <v>469</v>
      </c>
      <c r="BL127" s="496" t="n">
        <v>0.2288417</v>
      </c>
      <c r="BM127" s="496" t="n">
        <v>0.2781476</v>
      </c>
      <c r="BN127" s="496" t="n">
        <v>0.2289998</v>
      </c>
      <c r="BO127" s="496" t="n">
        <v>0.2288417</v>
      </c>
      <c r="BP127" s="496" t="s">
        <v>469</v>
      </c>
      <c r="BQ127" s="496" t="n">
        <v>0.2289998</v>
      </c>
      <c r="BR127" s="496" t="n">
        <v>0.2289999</v>
      </c>
      <c r="BS127" s="496" t="s">
        <v>469</v>
      </c>
      <c r="BT127" s="496" t="s">
        <v>469</v>
      </c>
      <c r="BU127" s="496" t="s">
        <v>469</v>
      </c>
      <c r="BV127" s="496" t="n">
        <v>0.2773073</v>
      </c>
      <c r="BW127" s="496" t="s">
        <v>469</v>
      </c>
      <c r="BX127" s="496" t="n">
        <v>0.2241588</v>
      </c>
      <c r="BY127" s="496" t="s">
        <v>469</v>
      </c>
      <c r="BZ127" s="496" t="n">
        <v>0.2781476</v>
      </c>
      <c r="CA127" s="496" t="s">
        <v>469</v>
      </c>
      <c r="CB127" s="496" t="n">
        <v>0.2723292</v>
      </c>
      <c r="CC127" s="496" t="n">
        <v>0.2723292</v>
      </c>
      <c r="CD127" s="496" t="n">
        <v>0.2641805</v>
      </c>
      <c r="CE127" s="496" t="n">
        <v>0.2773073</v>
      </c>
      <c r="CF127" s="496" t="n">
        <v>0.2771046</v>
      </c>
      <c r="CG127" s="496" t="n">
        <v>0.2241588</v>
      </c>
      <c r="CH127" s="496" t="n">
        <v>0.2241588</v>
      </c>
      <c r="CI127" s="496" t="n">
        <v>0.2717588</v>
      </c>
      <c r="CJ127" s="496" t="n">
        <v>0.2659704</v>
      </c>
      <c r="CK127" s="496" t="n">
        <v>0.2723292</v>
      </c>
      <c r="CL127" s="496" t="n">
        <v>0.2687658</v>
      </c>
      <c r="CM127" s="496" t="n">
        <v>0.2747104</v>
      </c>
      <c r="CN127" s="496" t="n">
        <v>0.2719841</v>
      </c>
      <c r="CO127" s="496" t="s">
        <v>469</v>
      </c>
      <c r="CP127" s="496" t="s">
        <v>469</v>
      </c>
      <c r="CQ127" s="496" t="n">
        <v>0.229</v>
      </c>
      <c r="CR127" s="496" t="n">
        <v>0.229</v>
      </c>
      <c r="CS127" s="496" t="n">
        <v>0.2757219</v>
      </c>
      <c r="CT127" s="496" t="n">
        <v>0.2734231</v>
      </c>
      <c r="CU127" s="496" t="n">
        <v>0.2781476</v>
      </c>
      <c r="CV127" s="496" t="n">
        <v>0.2777311</v>
      </c>
      <c r="CW127" s="496" t="n">
        <v>0.2781476</v>
      </c>
      <c r="CX127" s="496" t="n">
        <v>0.2777227</v>
      </c>
      <c r="CY127" s="496" t="s">
        <v>469</v>
      </c>
      <c r="CZ127" s="496" t="s">
        <v>469</v>
      </c>
      <c r="DA127" s="496" t="n">
        <v>0.229</v>
      </c>
      <c r="DB127" s="496" t="n">
        <v>0.229</v>
      </c>
      <c r="DC127" s="496" t="n">
        <v>0.2781476</v>
      </c>
      <c r="DD127" s="496" t="s">
        <v>469</v>
      </c>
      <c r="DE127" s="496" t="n">
        <v>0.229</v>
      </c>
      <c r="DF127" s="496" t="s">
        <v>469</v>
      </c>
    </row>
    <row r="128" customFormat="false" ht="15" hidden="false" customHeight="false" outlineLevel="0" collapsed="false">
      <c r="A128" s="496" t="s">
        <v>2024</v>
      </c>
      <c r="B128" s="496" t="n">
        <v>0.7728239</v>
      </c>
      <c r="C128" s="496" t="n">
        <v>0.5593772</v>
      </c>
      <c r="D128" s="496" t="n">
        <v>0.6596129</v>
      </c>
      <c r="E128" s="496" t="n">
        <v>0.4912102</v>
      </c>
      <c r="F128" s="496" t="n">
        <v>0.131325</v>
      </c>
      <c r="G128" s="1099" t="n">
        <v>0.00234</v>
      </c>
      <c r="H128" s="496" t="n">
        <v>0.3563681</v>
      </c>
      <c r="I128" s="496" t="n">
        <v>0.4489272</v>
      </c>
      <c r="J128" s="496" t="n">
        <v>0.1413242</v>
      </c>
      <c r="K128" s="496" t="n">
        <v>0.074867</v>
      </c>
      <c r="L128" s="496" t="n">
        <v>0.4417363</v>
      </c>
      <c r="M128" s="496" t="n">
        <v>0.0168209</v>
      </c>
      <c r="N128" s="496" t="s">
        <v>469</v>
      </c>
      <c r="O128" s="496" t="n">
        <v>0.4670733</v>
      </c>
      <c r="P128" s="1099" t="n">
        <v>0.00739</v>
      </c>
      <c r="Q128" s="496" t="n">
        <v>0.1779774</v>
      </c>
      <c r="R128" s="496" t="n">
        <v>0.1800343</v>
      </c>
      <c r="S128" s="496" t="n">
        <v>0.0198537</v>
      </c>
      <c r="T128" s="1099" t="n">
        <v>0.00739</v>
      </c>
      <c r="U128" s="496" t="n">
        <v>0.021727</v>
      </c>
      <c r="V128" s="496" t="n">
        <v>0.8008532</v>
      </c>
      <c r="W128" s="496" t="n">
        <v>0.2319832</v>
      </c>
      <c r="X128" s="496" t="n">
        <v>0.1722763</v>
      </c>
      <c r="Y128" s="496" t="n">
        <v>0.0605808</v>
      </c>
      <c r="Z128" s="496" t="n">
        <v>0.0611986</v>
      </c>
      <c r="AA128" s="496" t="n">
        <v>0.4748218</v>
      </c>
      <c r="AB128" s="496" t="n">
        <v>0.021727</v>
      </c>
      <c r="AC128" s="496" t="n">
        <v>0.707481</v>
      </c>
      <c r="AD128" s="496" t="n">
        <v>0.4670733</v>
      </c>
      <c r="AE128" s="496" t="s">
        <v>469</v>
      </c>
      <c r="AF128" s="496" t="n">
        <v>0.0212291</v>
      </c>
      <c r="AG128" s="496" t="s">
        <v>469</v>
      </c>
      <c r="AH128" s="496" t="n">
        <v>0.7</v>
      </c>
      <c r="AI128" s="496" t="s">
        <v>469</v>
      </c>
      <c r="AJ128" s="496" t="n">
        <v>0.4417363</v>
      </c>
      <c r="AK128" s="496" t="s">
        <v>469</v>
      </c>
      <c r="AL128" s="496" t="n">
        <v>0.5601484</v>
      </c>
      <c r="AM128" s="496" t="s">
        <v>469</v>
      </c>
      <c r="AN128" s="496" t="s">
        <v>469</v>
      </c>
      <c r="AO128" s="496" t="n">
        <v>1.17799</v>
      </c>
      <c r="AP128" s="496" t="n">
        <v>1</v>
      </c>
      <c r="AQ128" s="496" t="s">
        <v>469</v>
      </c>
      <c r="AR128" s="496" t="n">
        <v>0.6596129</v>
      </c>
      <c r="AS128" s="496" t="s">
        <v>469</v>
      </c>
      <c r="AT128" s="496" t="n">
        <v>0.4805133</v>
      </c>
      <c r="AU128" s="496" t="s">
        <v>469</v>
      </c>
      <c r="AV128" s="496" t="s">
        <v>469</v>
      </c>
      <c r="AW128" s="496" t="s">
        <v>469</v>
      </c>
      <c r="AX128" s="496" t="n">
        <v>0.701325</v>
      </c>
      <c r="AY128" s="496" t="n">
        <v>0.4459675</v>
      </c>
      <c r="AZ128" s="496" t="n">
        <v>0.5601757</v>
      </c>
      <c r="BA128" s="496" t="n">
        <v>0.3938586</v>
      </c>
      <c r="BB128" s="496" t="n">
        <v>0.0727641</v>
      </c>
      <c r="BC128" s="496" t="n">
        <v>0.8201878</v>
      </c>
      <c r="BD128" s="496" t="n">
        <v>0.021727</v>
      </c>
      <c r="BE128" s="496" t="n">
        <v>0.7699286</v>
      </c>
      <c r="BF128" s="496" t="n">
        <v>0.8008532</v>
      </c>
      <c r="BG128" s="496" t="n">
        <v>0.801325</v>
      </c>
      <c r="BH128" s="496" t="n">
        <v>0.7224544</v>
      </c>
      <c r="BI128" s="496" t="s">
        <v>469</v>
      </c>
      <c r="BJ128" s="496" t="s">
        <v>469</v>
      </c>
      <c r="BK128" s="496" t="s">
        <v>469</v>
      </c>
      <c r="BL128" s="496" t="n">
        <v>0.4792164</v>
      </c>
      <c r="BM128" s="496" t="n">
        <v>0.4832807</v>
      </c>
      <c r="BN128" s="496" t="n">
        <v>0.1807214</v>
      </c>
      <c r="BO128" s="496" t="n">
        <v>0.1147548</v>
      </c>
      <c r="BP128" s="496" t="s">
        <v>469</v>
      </c>
      <c r="BQ128" s="496" t="n">
        <v>0.1807214</v>
      </c>
      <c r="BR128" s="496" t="n">
        <v>0.181325</v>
      </c>
      <c r="BS128" s="496" t="s">
        <v>469</v>
      </c>
      <c r="BT128" s="496" t="s">
        <v>469</v>
      </c>
      <c r="BU128" s="496" t="s">
        <v>469</v>
      </c>
      <c r="BV128" s="496" t="n">
        <v>0.4681076</v>
      </c>
      <c r="BW128" s="496" t="s">
        <v>469</v>
      </c>
      <c r="BX128" s="496" t="n">
        <v>0.0212299</v>
      </c>
      <c r="BY128" s="496" t="s">
        <v>469</v>
      </c>
      <c r="BZ128" s="496" t="n">
        <v>0.4805075</v>
      </c>
      <c r="CA128" s="496" t="s">
        <v>469</v>
      </c>
      <c r="CB128" s="496" t="n">
        <v>0.4421478</v>
      </c>
      <c r="CC128" s="496" t="n">
        <v>0.4459272</v>
      </c>
      <c r="CD128" s="496" t="n">
        <v>0.3938586</v>
      </c>
      <c r="CE128" s="496" t="n">
        <v>0.4670733</v>
      </c>
      <c r="CF128" s="496" t="n">
        <v>0.0599997</v>
      </c>
      <c r="CG128" s="496" t="n">
        <v>0.0212291</v>
      </c>
      <c r="CH128" s="496" t="n">
        <v>0.0212879</v>
      </c>
      <c r="CI128" s="496" t="n">
        <v>0.7</v>
      </c>
      <c r="CJ128" s="496" t="n">
        <v>0.0599998</v>
      </c>
      <c r="CK128" s="496" t="n">
        <v>0.4417363</v>
      </c>
      <c r="CL128" s="496" t="n">
        <v>0.0600004</v>
      </c>
      <c r="CM128" s="496" t="n">
        <v>0.5601484</v>
      </c>
      <c r="CN128" s="496" t="n">
        <v>0.0600002</v>
      </c>
      <c r="CO128" s="496" t="s">
        <v>469</v>
      </c>
      <c r="CP128" s="496" t="s">
        <v>469</v>
      </c>
      <c r="CQ128" s="496" t="n">
        <v>1</v>
      </c>
      <c r="CR128" s="496" t="n">
        <v>0.0599999</v>
      </c>
      <c r="CS128" s="496" t="n">
        <v>0.6596129</v>
      </c>
      <c r="CT128" s="496" t="n">
        <v>0.0600004</v>
      </c>
      <c r="CU128" s="496" t="n">
        <v>0.4679784</v>
      </c>
      <c r="CV128" s="496" t="n">
        <v>0.0600006</v>
      </c>
      <c r="CW128" s="496" t="n">
        <v>0.4803851</v>
      </c>
      <c r="CX128" s="496" t="n">
        <v>0.0600007</v>
      </c>
      <c r="CY128" s="496" t="s">
        <v>469</v>
      </c>
      <c r="CZ128" s="496" t="s">
        <v>469</v>
      </c>
      <c r="DA128" s="496" t="n">
        <v>1</v>
      </c>
      <c r="DB128" s="496" t="n">
        <v>0.0599997</v>
      </c>
      <c r="DC128" s="496" t="n">
        <v>0.4679784</v>
      </c>
      <c r="DD128" s="496" t="s">
        <v>469</v>
      </c>
      <c r="DE128" s="496" t="n">
        <v>1</v>
      </c>
      <c r="DF128" s="496" t="s">
        <v>469</v>
      </c>
    </row>
    <row r="129" customFormat="false" ht="15" hidden="false" customHeight="false" outlineLevel="0" collapsed="false">
      <c r="A129" s="496" t="s">
        <v>2031</v>
      </c>
      <c r="B129" s="496" t="n">
        <v>0.0293739</v>
      </c>
      <c r="C129" s="496" t="n">
        <v>0.0547192</v>
      </c>
      <c r="D129" s="496" t="n">
        <v>0.0282948</v>
      </c>
      <c r="E129" s="496" t="n">
        <v>0.0595551</v>
      </c>
      <c r="F129" s="1099" t="n">
        <v>0.00214</v>
      </c>
      <c r="G129" s="1099" t="n">
        <v>0.00371</v>
      </c>
      <c r="H129" s="496" t="n">
        <v>0.0381325</v>
      </c>
      <c r="I129" s="496" t="n">
        <v>0.0488372</v>
      </c>
      <c r="J129" s="1099" t="n">
        <v>0.00224</v>
      </c>
      <c r="K129" s="1099" t="n">
        <v>0.00214</v>
      </c>
      <c r="L129" s="496" t="n">
        <v>0.027103</v>
      </c>
      <c r="M129" s="1099" t="n">
        <v>0.00487</v>
      </c>
      <c r="N129" s="496" t="s">
        <v>469</v>
      </c>
      <c r="O129" s="496" t="n">
        <v>0.0377547</v>
      </c>
      <c r="P129" s="1099" t="n">
        <v>0.00814</v>
      </c>
      <c r="Q129" s="1099" t="n">
        <v>0.00112</v>
      </c>
      <c r="R129" s="1099" t="n">
        <v>0.00711</v>
      </c>
      <c r="S129" s="1099" t="n">
        <v>0.00781</v>
      </c>
      <c r="T129" s="1099" t="n">
        <v>0.00814</v>
      </c>
      <c r="U129" s="496" t="n">
        <v>0.0190821</v>
      </c>
      <c r="V129" s="496" t="n">
        <v>0.034793</v>
      </c>
      <c r="W129" s="496" t="n">
        <v>0.0356524</v>
      </c>
      <c r="X129" s="496" t="n">
        <v>0.0360531</v>
      </c>
      <c r="Y129" s="496" t="n">
        <v>0.037709</v>
      </c>
      <c r="Z129" s="496" t="n">
        <v>0.0565064</v>
      </c>
      <c r="AA129" s="496" t="n">
        <v>0.0456702</v>
      </c>
      <c r="AB129" s="496" t="n">
        <v>0.0190821</v>
      </c>
      <c r="AC129" s="496" t="n">
        <v>0.0495288</v>
      </c>
      <c r="AD129" s="496" t="n">
        <v>0.0314049</v>
      </c>
      <c r="AE129" s="496" t="s">
        <v>469</v>
      </c>
      <c r="AF129" s="1099" t="n">
        <v>0.00487</v>
      </c>
      <c r="AG129" s="496" t="s">
        <v>469</v>
      </c>
      <c r="AH129" s="496" t="n">
        <v>0.0266125</v>
      </c>
      <c r="AI129" s="496" t="s">
        <v>469</v>
      </c>
      <c r="AJ129" s="496" t="n">
        <v>0.0270518</v>
      </c>
      <c r="AK129" s="496" t="s">
        <v>469</v>
      </c>
      <c r="AL129" s="496" t="n">
        <v>0.0320685</v>
      </c>
      <c r="AM129" s="496" t="s">
        <v>469</v>
      </c>
      <c r="AN129" s="496" t="s">
        <v>469</v>
      </c>
      <c r="AO129" s="496" t="n">
        <v>0.0440171</v>
      </c>
      <c r="AP129" s="1099" t="n">
        <v>0.00578</v>
      </c>
      <c r="AQ129" s="496" t="s">
        <v>469</v>
      </c>
      <c r="AR129" s="496" t="n">
        <v>0.0282435</v>
      </c>
      <c r="AS129" s="496" t="s">
        <v>469</v>
      </c>
      <c r="AT129" s="496" t="n">
        <v>0.0197522</v>
      </c>
      <c r="AU129" s="496" t="s">
        <v>469</v>
      </c>
      <c r="AV129" s="496" t="s">
        <v>469</v>
      </c>
      <c r="AW129" s="496" t="s">
        <v>469</v>
      </c>
      <c r="AX129" s="496" t="n">
        <v>0.026666</v>
      </c>
      <c r="AY129" s="496" t="n">
        <v>0.0386326</v>
      </c>
      <c r="AZ129" s="496" t="n">
        <v>0.0321216</v>
      </c>
      <c r="BA129" s="496" t="n">
        <v>0.0380044</v>
      </c>
      <c r="BB129" s="1099" t="n">
        <v>0.00654</v>
      </c>
      <c r="BC129" s="496" t="n">
        <v>0.0318468</v>
      </c>
      <c r="BD129" s="496" t="n">
        <v>0.0190821</v>
      </c>
      <c r="BE129" s="496" t="n">
        <v>0.0309141</v>
      </c>
      <c r="BF129" s="496" t="n">
        <v>0.034793</v>
      </c>
      <c r="BG129" s="496" t="n">
        <v>0.0347945</v>
      </c>
      <c r="BH129" s="496" t="n">
        <v>0.0282948</v>
      </c>
      <c r="BI129" s="496" t="s">
        <v>469</v>
      </c>
      <c r="BJ129" s="496" t="s">
        <v>469</v>
      </c>
      <c r="BK129" s="496" t="s">
        <v>469</v>
      </c>
      <c r="BL129" s="1099" t="n">
        <v>0.00611</v>
      </c>
      <c r="BM129" s="496" t="n">
        <v>0.0302475</v>
      </c>
      <c r="BN129" s="1099" t="n">
        <v>0.00112</v>
      </c>
      <c r="BO129" s="1099" t="n">
        <v>0.00552</v>
      </c>
      <c r="BP129" s="496" t="s">
        <v>469</v>
      </c>
      <c r="BQ129" s="1099" t="n">
        <v>0.00112</v>
      </c>
      <c r="BR129" s="1099" t="n">
        <v>0.00112</v>
      </c>
      <c r="BS129" s="496" t="s">
        <v>469</v>
      </c>
      <c r="BT129" s="496" t="s">
        <v>469</v>
      </c>
      <c r="BU129" s="496" t="s">
        <v>469</v>
      </c>
      <c r="BV129" s="496" t="n">
        <v>0.018704</v>
      </c>
      <c r="BW129" s="496" t="s">
        <v>469</v>
      </c>
      <c r="BX129" s="1099" t="n">
        <v>0.00325</v>
      </c>
      <c r="BY129" s="496" t="s">
        <v>469</v>
      </c>
      <c r="BZ129" s="496" t="n">
        <v>0.0197653</v>
      </c>
      <c r="CA129" s="496" t="s">
        <v>469</v>
      </c>
      <c r="CB129" s="496" t="n">
        <v>0.0174411</v>
      </c>
      <c r="CC129" s="496" t="n">
        <v>0.0386327</v>
      </c>
      <c r="CD129" s="496" t="n">
        <v>0.0379607</v>
      </c>
      <c r="CE129" s="496" t="n">
        <v>0.0314049</v>
      </c>
      <c r="CF129" s="1099" t="n">
        <v>0.00261</v>
      </c>
      <c r="CG129" s="1099" t="n">
        <v>0.00487</v>
      </c>
      <c r="CH129" s="1099" t="n">
        <v>0.00097</v>
      </c>
      <c r="CI129" s="496" t="n">
        <v>0.0266125</v>
      </c>
      <c r="CJ129" s="1099" t="n">
        <v>0.00241</v>
      </c>
      <c r="CK129" s="496" t="n">
        <v>0.0270518</v>
      </c>
      <c r="CL129" s="1099" t="n">
        <v>0.00248</v>
      </c>
      <c r="CM129" s="496" t="n">
        <v>0.0320685</v>
      </c>
      <c r="CN129" s="1099" t="n">
        <v>0.00266</v>
      </c>
      <c r="CO129" s="496" t="s">
        <v>469</v>
      </c>
      <c r="CP129" s="496" t="s">
        <v>469</v>
      </c>
      <c r="CQ129" s="1099" t="n">
        <v>0.00578</v>
      </c>
      <c r="CR129" s="1099" t="n">
        <v>0.000388</v>
      </c>
      <c r="CS129" s="496" t="n">
        <v>0.0282435</v>
      </c>
      <c r="CT129" s="1099" t="n">
        <v>0.00248</v>
      </c>
      <c r="CU129" s="496" t="n">
        <v>0.0302475</v>
      </c>
      <c r="CV129" s="1099" t="n">
        <v>0.00263</v>
      </c>
      <c r="CW129" s="496" t="n">
        <v>0.0197523</v>
      </c>
      <c r="CX129" s="1099" t="n">
        <v>0.00263</v>
      </c>
      <c r="CY129" s="496" t="s">
        <v>469</v>
      </c>
      <c r="CZ129" s="496" t="s">
        <v>469</v>
      </c>
      <c r="DA129" s="1099" t="n">
        <v>0.00578</v>
      </c>
      <c r="DB129" s="1099" t="n">
        <v>0.000388</v>
      </c>
      <c r="DC129" s="496" t="n">
        <v>0.0302475</v>
      </c>
      <c r="DD129" s="496" t="s">
        <v>469</v>
      </c>
      <c r="DE129" s="1099" t="n">
        <v>0.00578</v>
      </c>
      <c r="DF129" s="496" t="s">
        <v>469</v>
      </c>
    </row>
    <row r="130" customFormat="false" ht="15" hidden="false" customHeight="false" outlineLevel="0" collapsed="false">
      <c r="A130" s="496" t="s">
        <v>2025</v>
      </c>
      <c r="B130" s="496" t="n">
        <v>75.00451</v>
      </c>
      <c r="C130" s="496" t="n">
        <v>105.3068</v>
      </c>
      <c r="D130" s="496" t="n">
        <v>59.27834</v>
      </c>
      <c r="E130" s="496" t="n">
        <v>89.84629</v>
      </c>
      <c r="F130" s="496" t="n">
        <v>40</v>
      </c>
      <c r="G130" s="496" t="n">
        <v>152.0164</v>
      </c>
      <c r="H130" s="496" t="n">
        <v>84.19268</v>
      </c>
      <c r="I130" s="496" t="n">
        <v>83.4801</v>
      </c>
      <c r="J130" s="496" t="n">
        <v>60.00017</v>
      </c>
      <c r="K130" s="496" t="n">
        <v>56.75059</v>
      </c>
      <c r="L130" s="496" t="n">
        <v>69.34663</v>
      </c>
      <c r="M130" s="496" t="n">
        <v>95.03804</v>
      </c>
      <c r="N130" s="496" t="s">
        <v>469</v>
      </c>
      <c r="O130" s="496" t="n">
        <v>68.96946</v>
      </c>
      <c r="P130" s="496" t="n">
        <v>186.1944</v>
      </c>
      <c r="Q130" s="496" t="n">
        <v>117.1906</v>
      </c>
      <c r="R130" s="496" t="n">
        <v>186.1857</v>
      </c>
      <c r="S130" s="496" t="n">
        <v>186.1857</v>
      </c>
      <c r="T130" s="496" t="n">
        <v>186.1857</v>
      </c>
      <c r="U130" s="496" t="n">
        <v>142.6698</v>
      </c>
      <c r="V130" s="496" t="n">
        <v>135.4581</v>
      </c>
      <c r="W130" s="496" t="n">
        <v>135.823</v>
      </c>
      <c r="X130" s="496" t="n">
        <v>135.823</v>
      </c>
      <c r="Y130" s="496" t="n">
        <v>135.823</v>
      </c>
      <c r="Z130" s="496" t="n">
        <v>157.3518</v>
      </c>
      <c r="AA130" s="496" t="n">
        <v>77.69643</v>
      </c>
      <c r="AB130" s="496" t="n">
        <v>142.6698</v>
      </c>
      <c r="AC130" s="496" t="n">
        <v>84.62718</v>
      </c>
      <c r="AD130" s="496" t="n">
        <v>60.95113</v>
      </c>
      <c r="AE130" s="496" t="s">
        <v>469</v>
      </c>
      <c r="AF130" s="496" t="n">
        <v>93.84966</v>
      </c>
      <c r="AG130" s="496" t="s">
        <v>469</v>
      </c>
      <c r="AH130" s="496" t="n">
        <v>71.1</v>
      </c>
      <c r="AI130" s="496" t="s">
        <v>469</v>
      </c>
      <c r="AJ130" s="496" t="n">
        <v>69.26201</v>
      </c>
      <c r="AK130" s="496" t="s">
        <v>469</v>
      </c>
      <c r="AL130" s="496" t="n">
        <v>76.79286</v>
      </c>
      <c r="AM130" s="496" t="s">
        <v>469</v>
      </c>
      <c r="AN130" s="496" t="s">
        <v>469</v>
      </c>
      <c r="AO130" s="496" t="n">
        <v>83.02906</v>
      </c>
      <c r="AP130" s="496" t="n">
        <v>179.9768</v>
      </c>
      <c r="AQ130" s="496" t="s">
        <v>469</v>
      </c>
      <c r="AR130" s="496" t="n">
        <v>59.20217</v>
      </c>
      <c r="AS130" s="496" t="s">
        <v>469</v>
      </c>
      <c r="AT130" s="496" t="n">
        <v>41.64136</v>
      </c>
      <c r="AU130" s="496" t="s">
        <v>469</v>
      </c>
      <c r="AV130" s="496" t="s">
        <v>469</v>
      </c>
      <c r="AW130" s="496" t="s">
        <v>469</v>
      </c>
      <c r="AX130" s="496" t="n">
        <v>71.10292</v>
      </c>
      <c r="AY130" s="496" t="n">
        <v>86.12362</v>
      </c>
      <c r="AZ130" s="496" t="n">
        <v>76.87269</v>
      </c>
      <c r="BA130" s="496" t="n">
        <v>84.19268</v>
      </c>
      <c r="BB130" s="496" t="n">
        <v>94.46965</v>
      </c>
      <c r="BC130" s="496" t="n">
        <v>76.87269</v>
      </c>
      <c r="BD130" s="496" t="n">
        <v>142.6698</v>
      </c>
      <c r="BE130" s="496" t="n">
        <v>70.75102</v>
      </c>
      <c r="BF130" s="496" t="n">
        <v>135.4581</v>
      </c>
      <c r="BG130" s="496" t="n">
        <v>135.5753</v>
      </c>
      <c r="BH130" s="496" t="n">
        <v>55.48421</v>
      </c>
      <c r="BI130" s="496" t="s">
        <v>469</v>
      </c>
      <c r="BJ130" s="496" t="s">
        <v>469</v>
      </c>
      <c r="BK130" s="496" t="s">
        <v>469</v>
      </c>
      <c r="BL130" s="496" t="n">
        <v>70.93488</v>
      </c>
      <c r="BM130" s="496" t="n">
        <v>56.9866</v>
      </c>
      <c r="BN130" s="496" t="n">
        <v>117.1906</v>
      </c>
      <c r="BO130" s="496" t="n">
        <v>161.6988</v>
      </c>
      <c r="BP130" s="496" t="s">
        <v>469</v>
      </c>
      <c r="BQ130" s="496" t="n">
        <v>117.1906</v>
      </c>
      <c r="BR130" s="496" t="n">
        <v>117.1953</v>
      </c>
      <c r="BS130" s="496" t="s">
        <v>469</v>
      </c>
      <c r="BT130" s="496" t="s">
        <v>469</v>
      </c>
      <c r="BU130" s="496" t="s">
        <v>469</v>
      </c>
      <c r="BV130" s="496" t="n">
        <v>40.33666</v>
      </c>
      <c r="BW130" s="496" t="s">
        <v>469</v>
      </c>
      <c r="BX130" s="496" t="n">
        <v>81.66715</v>
      </c>
      <c r="BY130" s="496" t="s">
        <v>469</v>
      </c>
      <c r="BZ130" s="496" t="n">
        <v>41.6663</v>
      </c>
      <c r="CA130" s="496" t="s">
        <v>469</v>
      </c>
      <c r="CB130" s="496" t="n">
        <v>50.84274</v>
      </c>
      <c r="CC130" s="496" t="n">
        <v>86.12362</v>
      </c>
      <c r="CD130" s="496" t="n">
        <v>84.13938</v>
      </c>
      <c r="CE130" s="496" t="n">
        <v>60.95113</v>
      </c>
      <c r="CF130" s="496" t="n">
        <v>-19.68863</v>
      </c>
      <c r="CG130" s="496" t="n">
        <v>93.84965</v>
      </c>
      <c r="CH130" s="496" t="n">
        <v>49.71389</v>
      </c>
      <c r="CI130" s="496" t="n">
        <v>71.1</v>
      </c>
      <c r="CJ130" s="496" t="n">
        <v>3.309379</v>
      </c>
      <c r="CK130" s="496" t="n">
        <v>69.26201</v>
      </c>
      <c r="CL130" s="496" t="n">
        <v>-3.648829</v>
      </c>
      <c r="CM130" s="496" t="n">
        <v>76.79286</v>
      </c>
      <c r="CN130" s="496" t="n">
        <v>0.3992376</v>
      </c>
      <c r="CO130" s="496" t="s">
        <v>469</v>
      </c>
      <c r="CP130" s="496" t="s">
        <v>469</v>
      </c>
      <c r="CQ130" s="496" t="n">
        <v>179.9768</v>
      </c>
      <c r="CR130" s="496" t="n">
        <v>85.95582</v>
      </c>
      <c r="CS130" s="496" t="n">
        <v>59.20217</v>
      </c>
      <c r="CT130" s="496" t="n">
        <v>-17.84375</v>
      </c>
      <c r="CU130" s="496" t="n">
        <v>58.58405</v>
      </c>
      <c r="CV130" s="496" t="n">
        <v>-19.85452</v>
      </c>
      <c r="CW130" s="496" t="n">
        <v>41.64136</v>
      </c>
      <c r="CX130" s="496" t="n">
        <v>-19.84475</v>
      </c>
      <c r="CY130" s="496" t="s">
        <v>469</v>
      </c>
      <c r="CZ130" s="496" t="s">
        <v>469</v>
      </c>
      <c r="DA130" s="496" t="n">
        <v>179.9768</v>
      </c>
      <c r="DB130" s="496" t="n">
        <v>85.95582</v>
      </c>
      <c r="DC130" s="496" t="n">
        <v>58.58405</v>
      </c>
      <c r="DD130" s="496" t="s">
        <v>469</v>
      </c>
      <c r="DE130" s="496" t="n">
        <v>179.9768</v>
      </c>
      <c r="DF130" s="496" t="s">
        <v>469</v>
      </c>
    </row>
    <row r="131" customFormat="false" ht="15" hidden="false" customHeight="false" outlineLevel="0" collapsed="false">
      <c r="A131" s="496" t="s">
        <v>2026</v>
      </c>
      <c r="B131" s="1099" t="n">
        <v>-215000000</v>
      </c>
      <c r="C131" s="1099" t="n">
        <v>-241000000</v>
      </c>
      <c r="D131" s="1099" t="n">
        <v>-242000000</v>
      </c>
      <c r="E131" s="1099" t="n">
        <v>-113000000</v>
      </c>
      <c r="F131" s="1099" t="n">
        <v>-11300000</v>
      </c>
      <c r="G131" s="1099" t="n">
        <v>-1270000</v>
      </c>
      <c r="H131" s="1099" t="n">
        <v>-233000000</v>
      </c>
      <c r="I131" s="1099" t="n">
        <v>-123000000</v>
      </c>
      <c r="J131" s="1099" t="n">
        <v>-91200000</v>
      </c>
      <c r="K131" s="1099" t="n">
        <v>-92300000</v>
      </c>
      <c r="L131" s="1099" t="n">
        <v>-241000000</v>
      </c>
      <c r="M131" s="1099" t="n">
        <v>-99800000</v>
      </c>
      <c r="N131" s="496" t="s">
        <v>469</v>
      </c>
      <c r="O131" s="1099" t="n">
        <v>-128000000</v>
      </c>
      <c r="P131" s="1099" t="n">
        <v>-237000000</v>
      </c>
      <c r="Q131" s="1099" t="n">
        <v>-232000000</v>
      </c>
      <c r="R131" s="1099" t="n">
        <v>-232000000</v>
      </c>
      <c r="S131" s="1099" t="n">
        <v>-236000000</v>
      </c>
      <c r="T131" s="1099" t="n">
        <v>-237000000</v>
      </c>
      <c r="U131" s="1099" t="n">
        <v>-105000000</v>
      </c>
      <c r="V131" s="1099" t="n">
        <v>-122000000</v>
      </c>
      <c r="W131" s="1099" t="n">
        <v>-127000000</v>
      </c>
      <c r="X131" s="1099" t="n">
        <v>-128000000</v>
      </c>
      <c r="Y131" s="1099" t="n">
        <v>-130000000</v>
      </c>
      <c r="Z131" s="1099" t="n">
        <v>-130000000</v>
      </c>
      <c r="AA131" s="1099" t="n">
        <v>-128000000</v>
      </c>
      <c r="AB131" s="1099" t="n">
        <v>-111000000</v>
      </c>
      <c r="AC131" s="1099" t="n">
        <v>-121000000</v>
      </c>
      <c r="AD131" s="496" t="n">
        <v>-1666.513</v>
      </c>
      <c r="AE131" s="496" t="s">
        <v>469</v>
      </c>
      <c r="AF131" s="496" t="n">
        <v>-7432.916</v>
      </c>
      <c r="AG131" s="496" t="s">
        <v>469</v>
      </c>
      <c r="AH131" s="496" t="n">
        <v>-2286.698</v>
      </c>
      <c r="AI131" s="496" t="s">
        <v>469</v>
      </c>
      <c r="AJ131" s="496" t="n">
        <v>-2656.366</v>
      </c>
      <c r="AK131" s="496" t="s">
        <v>469</v>
      </c>
      <c r="AL131" s="496" t="n">
        <v>-2655.127</v>
      </c>
      <c r="AM131" s="496" t="s">
        <v>469</v>
      </c>
      <c r="AN131" s="496" t="s">
        <v>469</v>
      </c>
      <c r="AO131" s="496" t="n">
        <v>-240.732</v>
      </c>
      <c r="AP131" s="496" t="n">
        <v>-15172.03</v>
      </c>
      <c r="AQ131" s="496" t="s">
        <v>469</v>
      </c>
      <c r="AR131" s="496" t="n">
        <v>-2223.357</v>
      </c>
      <c r="AS131" s="496" t="s">
        <v>469</v>
      </c>
      <c r="AT131" s="496" t="n">
        <v>-2136.457</v>
      </c>
      <c r="AU131" s="496" t="s">
        <v>469</v>
      </c>
      <c r="AV131" s="496" t="s">
        <v>469</v>
      </c>
      <c r="AW131" s="496" t="s">
        <v>469</v>
      </c>
      <c r="AX131" s="1099" t="n">
        <v>-209000000</v>
      </c>
      <c r="AY131" s="1099" t="n">
        <v>-241000000</v>
      </c>
      <c r="AZ131" s="1099" t="n">
        <v>-241000000</v>
      </c>
      <c r="BA131" s="1099" t="n">
        <v>-232000000</v>
      </c>
      <c r="BB131" s="1099" t="n">
        <v>-11300000</v>
      </c>
      <c r="BC131" s="1099" t="n">
        <v>-236000000</v>
      </c>
      <c r="BD131" s="1099" t="n">
        <v>-6220000</v>
      </c>
      <c r="BE131" s="1099" t="n">
        <v>-124000000</v>
      </c>
      <c r="BF131" s="1099" t="n">
        <v>-1870000000</v>
      </c>
      <c r="BG131" s="1099" t="n">
        <v>-1400000000</v>
      </c>
      <c r="BH131" s="1099" t="n">
        <v>-121000000</v>
      </c>
      <c r="BI131" s="496" t="s">
        <v>469</v>
      </c>
      <c r="BJ131" s="496" t="s">
        <v>469</v>
      </c>
      <c r="BK131" s="496" t="s">
        <v>469</v>
      </c>
      <c r="BL131" s="1099" t="n">
        <v>-247000000</v>
      </c>
      <c r="BM131" s="1099" t="n">
        <v>-113000000</v>
      </c>
      <c r="BN131" s="1099" t="n">
        <v>-231000000</v>
      </c>
      <c r="BO131" s="1099" t="n">
        <v>-244000000</v>
      </c>
      <c r="BP131" s="496" t="s">
        <v>469</v>
      </c>
      <c r="BQ131" s="1099" t="n">
        <v>-452000000</v>
      </c>
      <c r="BR131" s="1099" t="n">
        <v>-339000000</v>
      </c>
      <c r="BS131" s="496" t="s">
        <v>469</v>
      </c>
      <c r="BT131" s="496" t="s">
        <v>469</v>
      </c>
      <c r="BU131" s="496" t="s">
        <v>469</v>
      </c>
      <c r="BV131" s="1099" t="n">
        <v>-128000000</v>
      </c>
      <c r="BW131" s="496" t="s">
        <v>469</v>
      </c>
      <c r="BX131" s="1099" t="n">
        <v>-111000000</v>
      </c>
      <c r="BY131" s="496" t="s">
        <v>469</v>
      </c>
      <c r="BZ131" s="1099" t="n">
        <v>-113000000</v>
      </c>
      <c r="CA131" s="496" t="s">
        <v>469</v>
      </c>
      <c r="CB131" s="1099" t="n">
        <v>-241000000</v>
      </c>
      <c r="CC131" s="1099" t="n">
        <v>-241000000</v>
      </c>
      <c r="CD131" s="1099" t="n">
        <v>-232000000</v>
      </c>
      <c r="CE131" s="1099" t="n">
        <v>-128000000</v>
      </c>
      <c r="CF131" s="1099" t="n">
        <v>-87800000</v>
      </c>
      <c r="CG131" s="1099" t="n">
        <v>-111000000</v>
      </c>
      <c r="CH131" s="1099" t="n">
        <v>-111000000</v>
      </c>
      <c r="CI131" s="1099" t="n">
        <v>-208000000</v>
      </c>
      <c r="CJ131" s="1099" t="n">
        <v>-119000000</v>
      </c>
      <c r="CK131" s="1099" t="n">
        <v>-241000000</v>
      </c>
      <c r="CL131" s="1099" t="n">
        <v>-170000000</v>
      </c>
      <c r="CM131" s="1099" t="n">
        <v>-241000000</v>
      </c>
      <c r="CN131" s="1099" t="n">
        <v>-154000000</v>
      </c>
      <c r="CO131" s="496" t="s">
        <v>469</v>
      </c>
      <c r="CP131" s="496" t="s">
        <v>469</v>
      </c>
      <c r="CQ131" s="1099" t="n">
        <v>-248000000</v>
      </c>
      <c r="CR131" s="1099" t="n">
        <v>-206000000</v>
      </c>
      <c r="CS131" s="1099" t="n">
        <v>-242000000</v>
      </c>
      <c r="CT131" s="1099" t="n">
        <v>-145000000</v>
      </c>
      <c r="CU131" s="1099" t="n">
        <v>-113000000</v>
      </c>
      <c r="CV131" s="1099" t="n">
        <v>-76100000</v>
      </c>
      <c r="CW131" s="1099" t="n">
        <v>-113000000</v>
      </c>
      <c r="CX131" s="1099" t="n">
        <v>-75300000</v>
      </c>
      <c r="CY131" s="496" t="s">
        <v>469</v>
      </c>
      <c r="CZ131" s="496" t="s">
        <v>469</v>
      </c>
      <c r="DA131" s="1099" t="n">
        <v>-80200000</v>
      </c>
      <c r="DB131" s="1099" t="n">
        <v>-66800000</v>
      </c>
      <c r="DC131" s="496" t="n">
        <v>-2138.933</v>
      </c>
      <c r="DD131" s="496" t="s">
        <v>469</v>
      </c>
      <c r="DE131" s="496" t="n">
        <v>-15172.03</v>
      </c>
      <c r="DF131" s="496" t="s">
        <v>469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P22" activeCellId="0" sqref="1:1048576"/>
    </sheetView>
  </sheetViews>
  <sheetFormatPr defaultColWidth="9.00390625" defaultRowHeight="14.25" zeroHeight="false" outlineLevelRow="0" outlineLevelCol="0"/>
  <cols>
    <col collapsed="false" customWidth="true" hidden="false" outlineLevel="0" max="2" min="2" style="0" width="4.37"/>
    <col collapsed="false" customWidth="true" hidden="false" outlineLevel="0" max="3" min="3" style="0" width="24"/>
    <col collapsed="false" customWidth="true" hidden="false" outlineLevel="0" max="4" min="4" style="0" width="7.5"/>
    <col collapsed="false" customWidth="true" hidden="false" outlineLevel="0" max="5" min="5" style="0" width="8"/>
    <col collapsed="false" customWidth="true" hidden="false" outlineLevel="0" max="6" min="6" style="0" width="7.5"/>
    <col collapsed="false" customWidth="true" hidden="false" outlineLevel="0" max="7" min="7" style="0" width="6"/>
    <col collapsed="false" customWidth="true" hidden="false" outlineLevel="0" max="8" min="8" style="0" width="7.88"/>
    <col collapsed="false" customWidth="true" hidden="false" outlineLevel="0" max="9" min="9" style="0" width="7.12"/>
    <col collapsed="false" customWidth="true" hidden="false" outlineLevel="0" max="10" min="10" style="0" width="9.37"/>
    <col collapsed="false" customWidth="true" hidden="false" outlineLevel="0" max="11" min="11" style="0" width="7.25"/>
    <col collapsed="false" customWidth="true" hidden="false" outlineLevel="0" max="12" min="12" style="0" width="7"/>
    <col collapsed="false" customWidth="true" hidden="false" outlineLevel="0" max="13" min="13" style="0" width="8"/>
    <col collapsed="false" customWidth="true" hidden="false" outlineLevel="0" max="14" min="14" style="0" width="8.38"/>
    <col collapsed="false" customWidth="true" hidden="false" outlineLevel="0" max="17" min="17" style="0" width="14.13"/>
  </cols>
  <sheetData>
    <row r="1" customFormat="false" ht="15" hidden="false" customHeight="false" outlineLevel="0" collapsed="false"/>
    <row r="2" customFormat="false" ht="15" hidden="false" customHeight="true" outlineLevel="0" collapsed="false">
      <c r="B2" s="1039" t="s">
        <v>1383</v>
      </c>
      <c r="C2" s="1039" t="s">
        <v>1745</v>
      </c>
      <c r="D2" s="1039" t="s">
        <v>2036</v>
      </c>
      <c r="E2" s="1039"/>
      <c r="F2" s="1039"/>
      <c r="G2" s="1039"/>
      <c r="H2" s="1039" t="s">
        <v>2037</v>
      </c>
      <c r="I2" s="1039"/>
      <c r="J2" s="1039"/>
      <c r="K2" s="1039"/>
      <c r="L2" s="1039"/>
      <c r="M2" s="1039"/>
      <c r="N2" s="1039" t="s">
        <v>277</v>
      </c>
    </row>
    <row r="3" customFormat="false" ht="15" hidden="false" customHeight="true" outlineLevel="0" collapsed="false">
      <c r="B3" s="1039"/>
      <c r="C3" s="1039"/>
      <c r="D3" s="1039" t="s">
        <v>2038</v>
      </c>
      <c r="E3" s="1039" t="s">
        <v>1584</v>
      </c>
      <c r="F3" s="1039" t="s">
        <v>1583</v>
      </c>
      <c r="G3" s="1039" t="s">
        <v>677</v>
      </c>
      <c r="H3" s="1039" t="s">
        <v>2039</v>
      </c>
      <c r="I3" s="1039"/>
      <c r="J3" s="1039" t="s">
        <v>2040</v>
      </c>
      <c r="K3" s="1039" t="s">
        <v>2041</v>
      </c>
      <c r="L3" s="1039" t="s">
        <v>2042</v>
      </c>
      <c r="M3" s="1039" t="s">
        <v>1580</v>
      </c>
      <c r="N3" s="1039"/>
    </row>
    <row r="4" customFormat="false" ht="15" hidden="false" customHeight="false" outlineLevel="0" collapsed="false">
      <c r="A4" s="1108"/>
      <c r="B4" s="1039"/>
      <c r="C4" s="1039"/>
      <c r="D4" s="1039"/>
      <c r="E4" s="1039"/>
      <c r="F4" s="1039"/>
      <c r="G4" s="1039"/>
      <c r="H4" s="1039" t="s">
        <v>1516</v>
      </c>
      <c r="I4" s="1039" t="s">
        <v>1582</v>
      </c>
      <c r="J4" s="1039"/>
      <c r="K4" s="1039"/>
      <c r="L4" s="1039"/>
      <c r="M4" s="1039"/>
      <c r="N4" s="1039"/>
    </row>
    <row r="5" customFormat="false" ht="19.5" hidden="false" customHeight="true" outlineLevel="0" collapsed="false">
      <c r="A5" s="1108"/>
      <c r="B5" s="1039"/>
      <c r="C5" s="1109" t="s">
        <v>2043</v>
      </c>
      <c r="D5" s="1110"/>
      <c r="E5" s="1110"/>
      <c r="F5" s="1110" t="n">
        <f aca="false">'机泵选型(基础设计)'!B4/1000</f>
        <v>309.524</v>
      </c>
      <c r="G5" s="1110"/>
      <c r="H5" s="1110"/>
      <c r="I5" s="1110"/>
      <c r="J5" s="1110" t="n">
        <f aca="false">F5</f>
        <v>309.524</v>
      </c>
      <c r="K5" s="1110"/>
      <c r="L5" s="1110"/>
      <c r="M5" s="1110"/>
      <c r="N5" s="1051" t="s">
        <v>2044</v>
      </c>
    </row>
    <row r="6" customFormat="false" ht="19.5" hidden="false" customHeight="true" outlineLevel="0" collapsed="false">
      <c r="A6" s="1108"/>
      <c r="B6" s="1039"/>
      <c r="C6" s="1109" t="s">
        <v>2045</v>
      </c>
      <c r="D6" s="1110"/>
      <c r="E6" s="1110"/>
      <c r="F6" s="1110" t="n">
        <f aca="false">'机泵选型(基础设计)'!V4/1000</f>
        <v>0</v>
      </c>
      <c r="G6" s="1110"/>
      <c r="H6" s="1110"/>
      <c r="I6" s="1110"/>
      <c r="J6" s="1110"/>
      <c r="K6" s="1110" t="n">
        <f aca="false">F6</f>
        <v>0</v>
      </c>
      <c r="L6" s="1110"/>
      <c r="M6" s="1110"/>
      <c r="N6" s="1051" t="s">
        <v>2044</v>
      </c>
    </row>
    <row r="7" customFormat="false" ht="19.5" hidden="false" customHeight="true" outlineLevel="0" collapsed="false">
      <c r="A7" s="1108"/>
      <c r="B7" s="1039"/>
      <c r="C7" s="1109" t="s">
        <v>2046</v>
      </c>
      <c r="D7" s="1110"/>
      <c r="E7" s="1110"/>
      <c r="F7" s="1111" t="n">
        <f aca="false">'机泵选型(基础设计)'!AI4/1000-F5</f>
        <v>-309.524</v>
      </c>
      <c r="G7" s="1111"/>
      <c r="H7" s="1111"/>
      <c r="I7" s="1111"/>
      <c r="J7" s="1111"/>
      <c r="K7" s="1111" t="n">
        <f aca="false">F7</f>
        <v>-309.524</v>
      </c>
      <c r="L7" s="1110"/>
      <c r="M7" s="1110"/>
      <c r="N7" s="1051" t="s">
        <v>2044</v>
      </c>
    </row>
    <row r="8" customFormat="false" ht="19.5" hidden="false" customHeight="true" outlineLevel="0" collapsed="false">
      <c r="A8" s="1108"/>
      <c r="B8" s="1039"/>
      <c r="C8" s="1109" t="s">
        <v>642</v>
      </c>
      <c r="D8" s="1110"/>
      <c r="E8" s="1110"/>
      <c r="F8" s="1110"/>
      <c r="G8" s="1110"/>
      <c r="H8" s="1110"/>
      <c r="I8" s="1110"/>
      <c r="J8" s="1110"/>
      <c r="K8" s="1110" t="n">
        <f aca="false">汽耗!I6</f>
        <v>0.17375</v>
      </c>
      <c r="L8" s="1110"/>
      <c r="M8" s="1110"/>
      <c r="N8" s="1051" t="s">
        <v>2044</v>
      </c>
    </row>
    <row r="9" customFormat="false" ht="19.5" hidden="false" customHeight="true" outlineLevel="0" collapsed="false">
      <c r="A9" s="1108"/>
      <c r="B9" s="1039"/>
      <c r="C9" s="1109" t="s">
        <v>2047</v>
      </c>
      <c r="D9" s="1110"/>
      <c r="E9" s="1110"/>
      <c r="F9" s="1110" t="n">
        <f aca="false">-汽耗!I7-汽耗!I8</f>
        <v>-1.35824</v>
      </c>
      <c r="G9" s="1110"/>
      <c r="H9" s="1110"/>
      <c r="I9" s="1110"/>
      <c r="J9" s="1110"/>
      <c r="K9" s="1110"/>
      <c r="L9" s="1110"/>
      <c r="M9" s="1110"/>
      <c r="N9" s="1051" t="s">
        <v>2044</v>
      </c>
    </row>
    <row r="10" customFormat="false" ht="19.5" hidden="false" customHeight="true" outlineLevel="0" collapsed="false">
      <c r="A10" s="1108"/>
      <c r="B10" s="1039"/>
      <c r="C10" s="1109" t="s">
        <v>2048</v>
      </c>
      <c r="D10" s="1110"/>
      <c r="E10" s="1110"/>
      <c r="F10" s="1110"/>
      <c r="G10" s="1110"/>
      <c r="H10" s="1110"/>
      <c r="I10" s="1110"/>
      <c r="J10" s="1110"/>
      <c r="K10" s="1110" t="n">
        <f aca="false">汽耗!I9</f>
        <v>-1.04259</v>
      </c>
      <c r="L10" s="1110"/>
      <c r="M10" s="1110"/>
      <c r="N10" s="1051" t="s">
        <v>2044</v>
      </c>
    </row>
    <row r="11" customFormat="false" ht="19.5" hidden="false" customHeight="true" outlineLevel="0" collapsed="false">
      <c r="A11" s="1108"/>
      <c r="B11" s="1039"/>
      <c r="C11" s="1109" t="s">
        <v>2049</v>
      </c>
      <c r="D11" s="1110"/>
      <c r="E11" s="1110"/>
      <c r="F11" s="1110"/>
      <c r="G11" s="1110"/>
      <c r="H11" s="1110"/>
      <c r="I11" s="1110"/>
      <c r="J11" s="1110"/>
      <c r="K11" s="1110"/>
      <c r="L11" s="1110"/>
      <c r="M11" s="1110" t="n">
        <f aca="false">汽耗!I11</f>
        <v>0</v>
      </c>
      <c r="N11" s="1051" t="s">
        <v>2044</v>
      </c>
    </row>
    <row r="12" customFormat="false" ht="19.5" hidden="false" customHeight="true" outlineLevel="0" collapsed="false">
      <c r="A12" s="1112"/>
      <c r="B12" s="1113"/>
      <c r="C12" s="1114" t="s">
        <v>2050</v>
      </c>
      <c r="D12" s="1110"/>
      <c r="E12" s="1110"/>
      <c r="F12" s="1110"/>
      <c r="G12" s="1110" t="n">
        <f aca="false">-汽耗!I12</f>
        <v>-4.70953</v>
      </c>
      <c r="H12" s="1110"/>
      <c r="I12" s="1110"/>
      <c r="J12" s="1110"/>
      <c r="K12" s="1110"/>
      <c r="L12" s="1110"/>
      <c r="M12" s="1110"/>
      <c r="N12" s="1051" t="s">
        <v>2044</v>
      </c>
    </row>
    <row r="13" customFormat="false" ht="19.5" hidden="false" customHeight="true" outlineLevel="0" collapsed="false">
      <c r="A13" s="1112"/>
      <c r="B13" s="1113"/>
      <c r="C13" s="1114" t="s">
        <v>2051</v>
      </c>
      <c r="D13" s="1110"/>
      <c r="E13" s="1110"/>
      <c r="F13" s="1110"/>
      <c r="G13" s="1110" t="n">
        <f aca="false">-汽耗!I13</f>
        <v>-2.16593</v>
      </c>
      <c r="H13" s="1110"/>
      <c r="I13" s="1110"/>
      <c r="J13" s="1110"/>
      <c r="K13" s="1110"/>
      <c r="L13" s="1110"/>
      <c r="M13" s="1110"/>
      <c r="N13" s="1051" t="s">
        <v>2044</v>
      </c>
    </row>
    <row r="14" customFormat="false" ht="19.5" hidden="false" customHeight="true" outlineLevel="0" collapsed="false">
      <c r="A14" s="1112"/>
      <c r="B14" s="1113"/>
      <c r="C14" s="1114" t="s">
        <v>2052</v>
      </c>
      <c r="D14" s="1110"/>
      <c r="E14" s="1110"/>
      <c r="F14" s="1110"/>
      <c r="G14" s="1110" t="n">
        <f aca="false">-汽耗!I14</f>
        <v>-2.16499</v>
      </c>
      <c r="H14" s="1110"/>
      <c r="I14" s="1110"/>
      <c r="J14" s="1110"/>
      <c r="K14" s="1110"/>
      <c r="L14" s="1110"/>
      <c r="M14" s="1110"/>
      <c r="N14" s="1051" t="s">
        <v>2044</v>
      </c>
    </row>
    <row r="15" customFormat="false" ht="19.5" hidden="false" customHeight="true" outlineLevel="0" collapsed="false">
      <c r="A15" s="1112"/>
      <c r="B15" s="1113"/>
      <c r="C15" s="1114" t="s">
        <v>2053</v>
      </c>
      <c r="D15" s="1110"/>
      <c r="E15" s="1110"/>
      <c r="F15" s="1110"/>
      <c r="G15" s="1110" t="n">
        <f aca="false">-汽耗!I15</f>
        <v>-2.16499</v>
      </c>
      <c r="H15" s="1110"/>
      <c r="I15" s="1110"/>
      <c r="J15" s="1110"/>
      <c r="K15" s="1110"/>
      <c r="L15" s="1110"/>
      <c r="M15" s="1110"/>
      <c r="N15" s="1051" t="s">
        <v>2044</v>
      </c>
    </row>
    <row r="16" customFormat="false" ht="19.5" hidden="false" customHeight="true" outlineLevel="0" collapsed="false">
      <c r="A16" s="1108"/>
      <c r="B16" s="1039"/>
      <c r="C16" s="1109" t="s">
        <v>2054</v>
      </c>
      <c r="D16" s="1110"/>
      <c r="E16" s="1115" t="n">
        <v>118.39</v>
      </c>
      <c r="F16" s="1110"/>
      <c r="G16" s="1110"/>
      <c r="H16" s="1110" t="n">
        <f aca="false">E16</f>
        <v>118.39</v>
      </c>
      <c r="I16" s="1110"/>
      <c r="J16" s="1110"/>
      <c r="K16" s="1110"/>
      <c r="L16" s="1110"/>
      <c r="M16" s="1110"/>
      <c r="N16" s="1051" t="s">
        <v>2044</v>
      </c>
      <c r="Q16" s="27" t="n">
        <f aca="false">1105*3600/4.2/8</f>
        <v>118392.857142857</v>
      </c>
    </row>
    <row r="17" customFormat="false" ht="19.5" hidden="false" customHeight="true" outlineLevel="0" collapsed="false">
      <c r="B17" s="1039"/>
      <c r="C17" s="1109" t="s">
        <v>2055</v>
      </c>
      <c r="D17" s="1110"/>
      <c r="E17" s="1115" t="n">
        <v>129.11</v>
      </c>
      <c r="F17" s="1110"/>
      <c r="G17" s="1110"/>
      <c r="H17" s="1110" t="n">
        <f aca="false">E17</f>
        <v>129.11</v>
      </c>
      <c r="I17" s="1110"/>
      <c r="J17" s="1110"/>
      <c r="K17" s="1110"/>
      <c r="L17" s="1110"/>
      <c r="M17" s="1110"/>
      <c r="N17" s="1051" t="s">
        <v>2044</v>
      </c>
      <c r="Q17" s="27" t="n">
        <f aca="false">1205*3600/4.2/8</f>
        <v>129107.142857143</v>
      </c>
    </row>
    <row r="18" customFormat="false" ht="19.5" hidden="false" customHeight="true" outlineLevel="0" collapsed="false">
      <c r="B18" s="1039"/>
      <c r="C18" s="1051" t="s">
        <v>2056</v>
      </c>
      <c r="D18" s="1110"/>
      <c r="E18" s="1110" t="n">
        <f aca="false">'[4]1 - Output Summary'!$P$13*3.6</f>
        <v>12.15108</v>
      </c>
      <c r="F18" s="1110"/>
      <c r="G18" s="1110"/>
      <c r="H18" s="1110" t="n">
        <f aca="false">E18</f>
        <v>12.15108</v>
      </c>
      <c r="I18" s="1110"/>
      <c r="J18" s="1110"/>
      <c r="K18" s="1110"/>
      <c r="L18" s="1110"/>
      <c r="M18" s="1110"/>
      <c r="N18" s="1051" t="s">
        <v>2044</v>
      </c>
      <c r="Q18" s="0" t="n">
        <f aca="false">'[4]1 - Output Summary'!$P$13*3.6</f>
        <v>12.15108</v>
      </c>
    </row>
    <row r="19" customFormat="false" ht="19.5" hidden="false" customHeight="true" outlineLevel="0" collapsed="false">
      <c r="B19" s="1039"/>
      <c r="C19" s="1051" t="s">
        <v>2057</v>
      </c>
      <c r="D19" s="1110"/>
      <c r="E19" s="1110" t="n">
        <f aca="false">'[5]1 - Output Summary'!$P$13*3.6</f>
        <v>17.02764</v>
      </c>
      <c r="F19" s="1110"/>
      <c r="G19" s="1110"/>
      <c r="H19" s="1110" t="n">
        <f aca="false">E19</f>
        <v>17.02764</v>
      </c>
      <c r="I19" s="1110"/>
      <c r="J19" s="1110"/>
      <c r="K19" s="1110"/>
      <c r="L19" s="1110"/>
      <c r="M19" s="1110"/>
      <c r="N19" s="1051" t="s">
        <v>2044</v>
      </c>
    </row>
    <row r="20" customFormat="false" ht="19.5" hidden="false" customHeight="true" outlineLevel="0" collapsed="false">
      <c r="B20" s="1039"/>
      <c r="C20" s="1051" t="s">
        <v>2058</v>
      </c>
      <c r="D20" s="1110"/>
      <c r="E20" s="1116" t="n">
        <f aca="false">'[6]1 - Output Summary'!$J$13*3.6</f>
        <v>49.26708</v>
      </c>
      <c r="F20" s="1110"/>
      <c r="G20" s="1110"/>
      <c r="H20" s="1110" t="n">
        <f aca="false">E20</f>
        <v>49.26708</v>
      </c>
      <c r="I20" s="1110"/>
      <c r="J20" s="1110"/>
      <c r="K20" s="1110"/>
      <c r="L20" s="1110"/>
      <c r="M20" s="1110"/>
      <c r="N20" s="1051" t="s">
        <v>2044</v>
      </c>
      <c r="Q20" s="1117"/>
    </row>
    <row r="21" customFormat="false" ht="19.5" hidden="false" customHeight="true" outlineLevel="0" collapsed="false">
      <c r="B21" s="1039"/>
      <c r="C21" s="1051" t="s">
        <v>2059</v>
      </c>
      <c r="D21" s="1110"/>
      <c r="E21" s="1110" t="n">
        <f aca="false">'[7]1 - Output Summary'!$P$13*3.6</f>
        <v>19.21176</v>
      </c>
      <c r="F21" s="1110"/>
      <c r="G21" s="1110"/>
      <c r="H21" s="1110" t="n">
        <f aca="false">E21</f>
        <v>19.21176</v>
      </c>
      <c r="I21" s="1110"/>
      <c r="J21" s="1110"/>
      <c r="K21" s="1110"/>
      <c r="L21" s="1110"/>
      <c r="M21" s="1110"/>
      <c r="N21" s="1051" t="s">
        <v>2044</v>
      </c>
      <c r="Q21" s="0" t="n">
        <f aca="false">284*3600/4.2/8</f>
        <v>30428.5714285714</v>
      </c>
    </row>
    <row r="22" customFormat="false" ht="19.5" hidden="false" customHeight="true" outlineLevel="0" collapsed="false">
      <c r="B22" s="1039"/>
      <c r="C22" s="1051" t="s">
        <v>2060</v>
      </c>
      <c r="D22" s="1110"/>
      <c r="E22" s="1110" t="n">
        <f aca="false">'[8]1 - Output Summary'!$P$13*3.6</f>
        <v>51.1722</v>
      </c>
      <c r="F22" s="1110"/>
      <c r="G22" s="1110"/>
      <c r="H22" s="1110" t="n">
        <f aca="false">E22</f>
        <v>51.1722</v>
      </c>
      <c r="I22" s="1110"/>
      <c r="J22" s="1110"/>
      <c r="K22" s="1110"/>
      <c r="L22" s="1110"/>
      <c r="M22" s="1110"/>
      <c r="N22" s="1051" t="s">
        <v>2044</v>
      </c>
    </row>
    <row r="23" customFormat="false" ht="19.5" hidden="false" customHeight="true" outlineLevel="0" collapsed="false">
      <c r="B23" s="1039"/>
      <c r="C23" s="1051" t="s">
        <v>2061</v>
      </c>
      <c r="D23" s="1110"/>
      <c r="E23" s="1110" t="n">
        <f aca="false">'[9]1 - Output Summary'!$P$13*3.6</f>
        <v>6.78096</v>
      </c>
      <c r="F23" s="1110"/>
      <c r="G23" s="1110"/>
      <c r="H23" s="1110" t="n">
        <f aca="false">E23</f>
        <v>6.78096</v>
      </c>
      <c r="I23" s="1110"/>
      <c r="J23" s="1110"/>
      <c r="K23" s="1110"/>
      <c r="L23" s="1110"/>
      <c r="M23" s="1110"/>
      <c r="N23" s="1051" t="s">
        <v>2044</v>
      </c>
    </row>
    <row r="24" customFormat="false" ht="19.5" hidden="false" customHeight="true" outlineLevel="0" collapsed="false">
      <c r="B24" s="1039"/>
      <c r="C24" s="1051" t="s">
        <v>2062</v>
      </c>
      <c r="D24" s="1110"/>
      <c r="E24" s="1110" t="n">
        <f aca="false">'[10]1 - Output Summary'!$P$13*3.6</f>
        <v>8.3268</v>
      </c>
      <c r="F24" s="1110"/>
      <c r="G24" s="1110"/>
      <c r="H24" s="1110" t="n">
        <f aca="false">E24</f>
        <v>8.3268</v>
      </c>
      <c r="I24" s="1110"/>
      <c r="J24" s="1110"/>
      <c r="K24" s="1110"/>
      <c r="L24" s="1110"/>
      <c r="M24" s="1110"/>
      <c r="N24" s="1051" t="s">
        <v>2044</v>
      </c>
    </row>
    <row r="25" customFormat="false" ht="19.5" hidden="false" customHeight="true" outlineLevel="0" collapsed="false">
      <c r="B25" s="1039"/>
      <c r="C25" s="1051" t="s">
        <v>2063</v>
      </c>
      <c r="D25" s="1110"/>
      <c r="E25" s="1110" t="n">
        <f aca="false">'[11]1 - Output Summary'!$P$13*3.6</f>
        <v>9.85068</v>
      </c>
      <c r="F25" s="1110"/>
      <c r="G25" s="1110"/>
      <c r="H25" s="1110" t="n">
        <f aca="false">E25</f>
        <v>9.85068</v>
      </c>
      <c r="I25" s="1110"/>
      <c r="J25" s="1110"/>
      <c r="K25" s="1110"/>
      <c r="L25" s="1110"/>
      <c r="M25" s="1110"/>
      <c r="N25" s="1051" t="s">
        <v>2044</v>
      </c>
    </row>
    <row r="26" customFormat="false" ht="19.5" hidden="false" customHeight="true" outlineLevel="0" collapsed="false">
      <c r="B26" s="1039"/>
      <c r="C26" s="1051" t="s">
        <v>2064</v>
      </c>
      <c r="D26" s="1110"/>
      <c r="E26" s="1110" t="n">
        <f aca="false">'[12]1 - Output Summary'!$P$13*3.6</f>
        <v>4.64004</v>
      </c>
      <c r="F26" s="1110"/>
      <c r="G26" s="1110"/>
      <c r="H26" s="1110" t="n">
        <f aca="false">E26</f>
        <v>4.64004</v>
      </c>
      <c r="I26" s="1110"/>
      <c r="J26" s="1110"/>
      <c r="K26" s="1110"/>
      <c r="L26" s="1110"/>
      <c r="M26" s="1110"/>
      <c r="N26" s="1051" t="s">
        <v>2044</v>
      </c>
    </row>
    <row r="27" customFormat="false" ht="19.5" hidden="false" customHeight="true" outlineLevel="0" collapsed="false">
      <c r="B27" s="1039"/>
      <c r="C27" s="1118" t="s">
        <v>2065</v>
      </c>
      <c r="D27" s="1110"/>
      <c r="E27" s="1110" t="n">
        <f aca="false">'[13]1 - Output Summary'!$P$13*3.6</f>
        <v>22.66776</v>
      </c>
      <c r="F27" s="1110"/>
      <c r="G27" s="1110"/>
      <c r="H27" s="1110" t="n">
        <f aca="false">E27</f>
        <v>22.66776</v>
      </c>
      <c r="I27" s="1110"/>
      <c r="J27" s="1110"/>
      <c r="K27" s="1110"/>
      <c r="L27" s="1110"/>
      <c r="M27" s="1110"/>
      <c r="N27" s="1051" t="s">
        <v>2044</v>
      </c>
    </row>
    <row r="28" customFormat="false" ht="19.5" hidden="false" customHeight="true" outlineLevel="0" collapsed="false">
      <c r="B28" s="1039"/>
      <c r="C28" s="1118" t="s">
        <v>2066</v>
      </c>
      <c r="D28" s="1110"/>
      <c r="E28" s="1110" t="n">
        <f aca="false">'[14]1 - Output Summary'!$P$13*3.6</f>
        <v>74.47824</v>
      </c>
      <c r="F28" s="1110"/>
      <c r="G28" s="1110"/>
      <c r="H28" s="1110" t="n">
        <f aca="false">E28</f>
        <v>74.47824</v>
      </c>
      <c r="I28" s="1110"/>
      <c r="J28" s="1110"/>
      <c r="K28" s="1110"/>
      <c r="L28" s="1110"/>
      <c r="M28" s="1110"/>
      <c r="N28" s="1051"/>
    </row>
    <row r="29" s="1038" customFormat="true" ht="19.5" hidden="false" customHeight="true" outlineLevel="0" collapsed="false">
      <c r="B29" s="1041"/>
      <c r="C29" s="1067" t="s">
        <v>2067</v>
      </c>
      <c r="D29" s="1110"/>
      <c r="E29" s="1110" t="n">
        <f aca="false">35*0.7</f>
        <v>24.5</v>
      </c>
      <c r="F29" s="1110"/>
      <c r="G29" s="1110"/>
      <c r="H29" s="1110" t="n">
        <f aca="false">E29-J29</f>
        <v>18.8</v>
      </c>
      <c r="I29" s="1110"/>
      <c r="J29" s="1119" t="n">
        <f aca="false">38*0.15</f>
        <v>5.7</v>
      </c>
      <c r="K29" s="1110"/>
      <c r="L29" s="1110"/>
      <c r="M29" s="1110"/>
      <c r="N29" s="1067" t="s">
        <v>2044</v>
      </c>
    </row>
    <row r="30" s="277" customFormat="true" ht="19.5" hidden="false" customHeight="true" outlineLevel="0" collapsed="false">
      <c r="B30" s="1120"/>
      <c r="C30" s="1121" t="s">
        <v>2068</v>
      </c>
      <c r="D30" s="1122"/>
      <c r="E30" s="1123" t="n">
        <v>1</v>
      </c>
      <c r="F30" s="1124"/>
      <c r="G30" s="1122"/>
      <c r="H30" s="1064" t="n">
        <v>1</v>
      </c>
      <c r="I30" s="1122"/>
      <c r="J30" s="1125"/>
      <c r="K30" s="1122"/>
      <c r="L30" s="1122"/>
      <c r="M30" s="1122"/>
      <c r="N30" s="1121" t="s">
        <v>2069</v>
      </c>
    </row>
    <row r="31" s="277" customFormat="true" ht="19.5" hidden="false" customHeight="true" outlineLevel="0" collapsed="false">
      <c r="B31" s="1120"/>
      <c r="C31" s="1121" t="s">
        <v>2070</v>
      </c>
      <c r="D31" s="1122" t="n">
        <v>2</v>
      </c>
      <c r="E31" s="1123"/>
      <c r="F31" s="1124"/>
      <c r="G31" s="1122"/>
      <c r="H31" s="1064"/>
      <c r="I31" s="1122"/>
      <c r="J31" s="1125" t="n">
        <f aca="false">D31</f>
        <v>2</v>
      </c>
      <c r="K31" s="1122"/>
      <c r="L31" s="1122"/>
      <c r="M31" s="1122"/>
      <c r="N31" s="1121" t="s">
        <v>2069</v>
      </c>
    </row>
    <row r="32" s="277" customFormat="true" ht="19.5" hidden="false" customHeight="true" outlineLevel="0" collapsed="false">
      <c r="B32" s="1120"/>
      <c r="C32" s="1121" t="s">
        <v>2071</v>
      </c>
      <c r="D32" s="1122" t="n">
        <v>1</v>
      </c>
      <c r="E32" s="1123"/>
      <c r="F32" s="1124"/>
      <c r="G32" s="1122"/>
      <c r="H32" s="1064"/>
      <c r="I32" s="1122"/>
      <c r="J32" s="1125" t="n">
        <f aca="false">D32</f>
        <v>1</v>
      </c>
      <c r="K32" s="1122"/>
      <c r="L32" s="1122"/>
      <c r="M32" s="1122"/>
      <c r="N32" s="1121" t="s">
        <v>2069</v>
      </c>
    </row>
    <row r="33" s="277" customFormat="true" ht="19.5" hidden="false" customHeight="true" outlineLevel="0" collapsed="false">
      <c r="B33" s="1120"/>
      <c r="C33" s="1121" t="s">
        <v>2072</v>
      </c>
      <c r="D33" s="1126" t="n">
        <v>37</v>
      </c>
      <c r="E33" s="1123"/>
      <c r="F33" s="1124"/>
      <c r="G33" s="1122"/>
      <c r="H33" s="1064"/>
      <c r="I33" s="1122"/>
      <c r="J33" s="1125" t="n">
        <f aca="false">D33</f>
        <v>37</v>
      </c>
      <c r="K33" s="1122"/>
      <c r="L33" s="1122"/>
      <c r="M33" s="1122"/>
      <c r="N33" s="1121" t="s">
        <v>2069</v>
      </c>
    </row>
    <row r="34" customFormat="false" ht="15" hidden="false" customHeight="false" outlineLevel="0" collapsed="false">
      <c r="B34" s="1039"/>
      <c r="C34" s="1051" t="s">
        <v>171</v>
      </c>
      <c r="D34" s="1079" t="str">
        <f aca="false">CONCATENATE(0,"/",ROUND(SUM(D33:D33),2))</f>
        <v>0/37</v>
      </c>
      <c r="E34" s="1078" t="n">
        <f aca="false">SUM(E5:E33)</f>
        <v>548.57424</v>
      </c>
      <c r="F34" s="1078" t="n">
        <f aca="false">SUM(F5:F33)</f>
        <v>-1.35824</v>
      </c>
      <c r="G34" s="1077" t="n">
        <f aca="false">SUM(G5:G33)</f>
        <v>-11.20544</v>
      </c>
      <c r="H34" s="1077" t="n">
        <f aca="false">SUM(H5:H33)</f>
        <v>542.87424</v>
      </c>
      <c r="I34" s="1077"/>
      <c r="J34" s="1077" t="str">
        <f aca="false">CONCATENATE(J9+J29,"/",ROUND(SUM(J5:J33),2))</f>
        <v>5.7/355.22</v>
      </c>
      <c r="K34" s="1077" t="n">
        <f aca="false">SUM(K5:K33)</f>
        <v>-310.39284</v>
      </c>
      <c r="L34" s="1127" t="n">
        <f aca="false">SUM(L5:L33)</f>
        <v>0</v>
      </c>
      <c r="M34" s="1127" t="n">
        <f aca="false">SUM(M5:M33)</f>
        <v>0</v>
      </c>
      <c r="N34" s="1051" t="s">
        <v>2073</v>
      </c>
    </row>
    <row r="35" customFormat="false" ht="15" hidden="false" customHeight="false" outlineLevel="0" collapsed="false"/>
    <row r="36" customFormat="false" ht="15" hidden="false" customHeight="false" outlineLevel="0" collapsed="false">
      <c r="K36" s="0" t="n">
        <f aca="false">27.66-26.75</f>
        <v>0.91</v>
      </c>
    </row>
  </sheetData>
  <mergeCells count="14">
    <mergeCell ref="B2:B4"/>
    <mergeCell ref="C2:C4"/>
    <mergeCell ref="D2:G2"/>
    <mergeCell ref="H2:L2"/>
    <mergeCell ref="N2:N4"/>
    <mergeCell ref="D3:D4"/>
    <mergeCell ref="E3:E4"/>
    <mergeCell ref="F3:F4"/>
    <mergeCell ref="G3:G4"/>
    <mergeCell ref="H3:I3"/>
    <mergeCell ref="J3:J4"/>
    <mergeCell ref="K3:K4"/>
    <mergeCell ref="L3:L4"/>
    <mergeCell ref="M3:M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01" r:id="rId4" name="Button 3">
              <controlPr defaultSize="0" print="false" autoFill="0" autoPict="0" macro="模块3.返回主页">
                <anchor moveWithCells="true" sizeWithCells="false">
                  <from>
                    <xdr:col>14</xdr:col>
                    <xdr:colOff>525960</xdr:colOff>
                    <xdr:row>0</xdr:row>
                    <xdr:rowOff>23040</xdr:rowOff>
                  </from>
                  <to>
                    <xdr:col>15</xdr:col>
                    <xdr:colOff>533520</xdr:colOff>
                    <xdr:row>1</xdr:row>
                    <xdr:rowOff>-60840</xdr:rowOff>
                  </to>
                </anchor>
              </controlPr>
            </control>
          </mc:Choice>
        </mc:AlternateContent>
      </controls>
    </mc:Choice>
  </mc:AlternateContent>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K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R21" activeCellId="0" sqref="1:1048576"/>
    </sheetView>
  </sheetViews>
  <sheetFormatPr defaultColWidth="9.00390625" defaultRowHeight="14.25" zeroHeight="false" outlineLevelRow="0" outlineLevelCol="0"/>
  <cols>
    <col collapsed="false" customWidth="true" hidden="false" outlineLevel="0" max="2" min="2" style="0" width="4.5"/>
    <col collapsed="false" customWidth="true" hidden="false" outlineLevel="0" max="3" min="3" style="0" width="17.38"/>
    <col collapsed="false" customWidth="true" hidden="false" outlineLevel="0" max="4" min="4" style="0" width="4.75"/>
    <col collapsed="false" customWidth="true" hidden="false" outlineLevel="0" max="5" min="5" style="0" width="7.12"/>
    <col collapsed="false" customWidth="true" hidden="false" outlineLevel="0" max="6" min="6" style="0" width="4.88"/>
    <col collapsed="false" customWidth="true" hidden="false" outlineLevel="0" max="7" min="7" style="0" width="6.25"/>
    <col collapsed="false" customWidth="true" hidden="false" outlineLevel="0" max="8" min="8" style="0" width="6.75"/>
    <col collapsed="false" customWidth="true" hidden="false" outlineLevel="0" max="9" min="9" style="0" width="8.75"/>
    <col collapsed="false" customWidth="true" hidden="false" outlineLevel="0" max="10" min="10" style="0" width="4.63"/>
    <col collapsed="false" customWidth="true" hidden="false" outlineLevel="0" max="11" min="11" style="0" width="8.38"/>
  </cols>
  <sheetData>
    <row r="1" customFormat="false" ht="15" hidden="false" customHeight="false" outlineLevel="0" collapsed="false"/>
    <row r="2" customFormat="false" ht="14.25" hidden="false" customHeight="true" outlineLevel="0" collapsed="false">
      <c r="B2" s="1039" t="s">
        <v>1383</v>
      </c>
      <c r="C2" s="1039" t="s">
        <v>1745</v>
      </c>
      <c r="D2" s="1039" t="s">
        <v>2074</v>
      </c>
      <c r="E2" s="1039"/>
      <c r="F2" s="1039"/>
      <c r="G2" s="1039"/>
      <c r="H2" s="1039"/>
      <c r="I2" s="1039"/>
      <c r="J2" s="1039"/>
      <c r="K2" s="1039" t="s">
        <v>277</v>
      </c>
    </row>
    <row r="3" customFormat="false" ht="14.25" hidden="false" customHeight="true" outlineLevel="0" collapsed="false">
      <c r="B3" s="1039"/>
      <c r="C3" s="1039"/>
      <c r="D3" s="1039" t="s">
        <v>2075</v>
      </c>
      <c r="E3" s="1039"/>
      <c r="F3" s="1039"/>
      <c r="G3" s="1039"/>
      <c r="H3" s="1039"/>
      <c r="I3" s="1039"/>
      <c r="J3" s="1039"/>
      <c r="K3" s="1039"/>
    </row>
    <row r="4" customFormat="false" ht="15" hidden="false" customHeight="false" outlineLevel="0" collapsed="false">
      <c r="B4" s="1039"/>
      <c r="C4" s="1039"/>
      <c r="D4" s="1040" t="n">
        <v>0.4</v>
      </c>
      <c r="E4" s="1040"/>
      <c r="F4" s="1040" t="n">
        <v>0.6</v>
      </c>
      <c r="G4" s="1040"/>
      <c r="H4" s="1040" t="n">
        <v>1</v>
      </c>
      <c r="I4" s="1040"/>
      <c r="J4" s="1040" t="n">
        <v>3.5</v>
      </c>
      <c r="K4" s="1039"/>
    </row>
    <row r="5" customFormat="false" ht="15" hidden="false" customHeight="false" outlineLevel="0" collapsed="false">
      <c r="B5" s="1039"/>
      <c r="C5" s="1039"/>
      <c r="D5" s="1039" t="s">
        <v>2076</v>
      </c>
      <c r="E5" s="1039" t="s">
        <v>1568</v>
      </c>
      <c r="F5" s="1039" t="s">
        <v>2076</v>
      </c>
      <c r="G5" s="1039" t="s">
        <v>1568</v>
      </c>
      <c r="H5" s="1039" t="s">
        <v>2076</v>
      </c>
      <c r="I5" s="1039" t="s">
        <v>1568</v>
      </c>
      <c r="J5" s="1039" t="s">
        <v>1568</v>
      </c>
      <c r="K5" s="1039"/>
    </row>
    <row r="6" customFormat="false" ht="27" hidden="false" customHeight="true" outlineLevel="0" collapsed="false">
      <c r="B6" s="1040" t="n">
        <f aca="false">ROW()-5</f>
        <v>1</v>
      </c>
      <c r="C6" s="1114" t="s">
        <v>2077</v>
      </c>
      <c r="D6" s="1128"/>
      <c r="E6" s="1128"/>
      <c r="F6" s="1128"/>
      <c r="G6" s="1128"/>
      <c r="H6" s="1110" t="n">
        <f aca="false">I6*1.2</f>
        <v>0.2085</v>
      </c>
      <c r="I6" s="1110" t="n">
        <f aca="false">物流参数!ET7/1000</f>
        <v>0.17375</v>
      </c>
      <c r="J6" s="1128"/>
      <c r="K6" s="1114" t="s">
        <v>2044</v>
      </c>
    </row>
    <row r="7" customFormat="false" ht="27" hidden="false" customHeight="true" outlineLevel="0" collapsed="false">
      <c r="B7" s="1040" t="n">
        <f aca="false">ROW()-5</f>
        <v>2</v>
      </c>
      <c r="C7" s="1114" t="s">
        <v>2078</v>
      </c>
      <c r="D7" s="1128"/>
      <c r="E7" s="1128"/>
      <c r="F7" s="1128"/>
      <c r="G7" s="1128"/>
      <c r="H7" s="1110" t="n">
        <f aca="false">I7*1.2</f>
        <v>0.2085</v>
      </c>
      <c r="I7" s="1110" t="n">
        <f aca="false">物流参数!EU7/1000</f>
        <v>0.17375</v>
      </c>
      <c r="J7" s="1128"/>
      <c r="K7" s="1114" t="s">
        <v>2044</v>
      </c>
    </row>
    <row r="8" customFormat="false" ht="27" hidden="false" customHeight="true" outlineLevel="0" collapsed="false">
      <c r="B8" s="1040" t="n">
        <f aca="false">ROW()-5</f>
        <v>3</v>
      </c>
      <c r="C8" s="1114" t="s">
        <v>2079</v>
      </c>
      <c r="D8" s="1128"/>
      <c r="E8" s="1128"/>
      <c r="F8" s="1128"/>
      <c r="G8" s="1128"/>
      <c r="H8" s="1110" t="n">
        <f aca="false">I8*1.2</f>
        <v>1.421388</v>
      </c>
      <c r="I8" s="1110" t="n">
        <f aca="false">物流参数!EV7/1000</f>
        <v>1.18449</v>
      </c>
      <c r="J8" s="1128"/>
      <c r="K8" s="1114"/>
    </row>
    <row r="9" customFormat="false" ht="27" hidden="false" customHeight="true" outlineLevel="0" collapsed="false">
      <c r="B9" s="1040" t="n">
        <f aca="false">ROW()-5</f>
        <v>4</v>
      </c>
      <c r="C9" s="1114" t="s">
        <v>2080</v>
      </c>
      <c r="D9" s="1128"/>
      <c r="E9" s="1128"/>
      <c r="F9" s="1128"/>
      <c r="G9" s="1128"/>
      <c r="H9" s="1110" t="n">
        <f aca="false">I9*1.2</f>
        <v>-1.251108</v>
      </c>
      <c r="I9" s="1110" t="n">
        <f aca="false">物流参数!EW7/1000</f>
        <v>-1.04259</v>
      </c>
      <c r="J9" s="1128"/>
      <c r="K9" s="1114"/>
    </row>
    <row r="10" customFormat="false" ht="27" hidden="false" customHeight="true" outlineLevel="0" collapsed="false">
      <c r="B10" s="1040" t="n">
        <f aca="false">ROW()-5</f>
        <v>5</v>
      </c>
      <c r="C10" s="1114" t="s">
        <v>2081</v>
      </c>
      <c r="D10" s="1128"/>
      <c r="E10" s="1128"/>
      <c r="F10" s="1128"/>
      <c r="G10" s="1128"/>
      <c r="H10" s="1110"/>
      <c r="I10" s="1110"/>
      <c r="J10" s="1128"/>
      <c r="K10" s="1114"/>
    </row>
    <row r="11" customFormat="false" ht="27" hidden="false" customHeight="true" outlineLevel="0" collapsed="false">
      <c r="B11" s="1040" t="n">
        <f aca="false">ROW()-5</f>
        <v>6</v>
      </c>
      <c r="C11" s="1114" t="s">
        <v>2082</v>
      </c>
      <c r="D11" s="1128"/>
      <c r="E11" s="1128"/>
      <c r="F11" s="1128"/>
      <c r="G11" s="1128"/>
      <c r="H11" s="1110"/>
      <c r="I11" s="1110"/>
      <c r="J11" s="1128"/>
      <c r="K11" s="1114"/>
    </row>
    <row r="12" customFormat="false" ht="27" hidden="false" customHeight="true" outlineLevel="0" collapsed="false">
      <c r="B12" s="1040" t="n">
        <f aca="false">ROW()-5</f>
        <v>7</v>
      </c>
      <c r="C12" s="1114" t="s">
        <v>2050</v>
      </c>
      <c r="D12" s="1128"/>
      <c r="E12" s="1128"/>
      <c r="F12" s="1128"/>
      <c r="G12" s="1128"/>
      <c r="H12" s="1110" t="n">
        <f aca="false">I12*1.2</f>
        <v>5.651436</v>
      </c>
      <c r="I12" s="1110" t="n">
        <f aca="false">-物流参数!CK7/1000</f>
        <v>4.70953</v>
      </c>
      <c r="J12" s="1128"/>
      <c r="K12" s="1114" t="s">
        <v>2083</v>
      </c>
    </row>
    <row r="13" customFormat="false" ht="27" hidden="false" customHeight="true" outlineLevel="0" collapsed="false">
      <c r="B13" s="1040" t="n">
        <v>8</v>
      </c>
      <c r="C13" s="1114" t="s">
        <v>2084</v>
      </c>
      <c r="D13" s="1128"/>
      <c r="E13" s="1128"/>
      <c r="F13" s="1128"/>
      <c r="G13" s="1110"/>
      <c r="H13" s="1110" t="n">
        <f aca="false">I13*1.2</f>
        <v>2.599116</v>
      </c>
      <c r="I13" s="1110" t="n">
        <f aca="false">-物流参数!CL7/1000</f>
        <v>2.16593</v>
      </c>
      <c r="J13" s="1128"/>
      <c r="K13" s="1114" t="s">
        <v>2083</v>
      </c>
    </row>
    <row r="14" customFormat="false" ht="27" hidden="false" customHeight="true" outlineLevel="0" collapsed="false">
      <c r="B14" s="1040" t="n">
        <f aca="false">ROW()-5</f>
        <v>9</v>
      </c>
      <c r="C14" s="1114" t="s">
        <v>2052</v>
      </c>
      <c r="D14" s="1128"/>
      <c r="E14" s="1128"/>
      <c r="F14" s="1128"/>
      <c r="G14" s="1110"/>
      <c r="H14" s="1110" t="n">
        <f aca="false">I14*1.2</f>
        <v>2.597988</v>
      </c>
      <c r="I14" s="1110" t="n">
        <f aca="false">-物流参数!CM7/1000</f>
        <v>2.16499</v>
      </c>
      <c r="J14" s="1128"/>
      <c r="K14" s="1114" t="s">
        <v>2083</v>
      </c>
    </row>
    <row r="15" customFormat="false" ht="27" hidden="false" customHeight="true" outlineLevel="0" collapsed="false">
      <c r="B15" s="1040" t="n">
        <f aca="false">ROW()-5</f>
        <v>10</v>
      </c>
      <c r="C15" s="1114" t="s">
        <v>2053</v>
      </c>
      <c r="D15" s="1128"/>
      <c r="E15" s="1128"/>
      <c r="F15" s="1128"/>
      <c r="G15" s="1110"/>
      <c r="H15" s="1110" t="n">
        <f aca="false">I15*1.2</f>
        <v>2.597988</v>
      </c>
      <c r="I15" s="1110" t="n">
        <f aca="false">-物流参数!CN7/1000</f>
        <v>2.16499</v>
      </c>
      <c r="J15" s="1128"/>
      <c r="K15" s="1114" t="s">
        <v>2083</v>
      </c>
    </row>
    <row r="16" s="277" customFormat="true" ht="27" hidden="false" customHeight="true" outlineLevel="0" collapsed="false">
      <c r="B16" s="1129" t="n">
        <f aca="false">ROW()-5</f>
        <v>11</v>
      </c>
      <c r="C16" s="1121" t="s">
        <v>2085</v>
      </c>
      <c r="D16" s="1129"/>
      <c r="E16" s="1129"/>
      <c r="F16" s="1129"/>
      <c r="G16" s="1129"/>
      <c r="H16" s="1122" t="n">
        <v>4</v>
      </c>
      <c r="I16" s="1130" t="n">
        <v>2</v>
      </c>
      <c r="J16" s="1129"/>
      <c r="K16" s="1121" t="s">
        <v>2069</v>
      </c>
    </row>
    <row r="17" s="243" customFormat="true" ht="27" hidden="false" customHeight="true" outlineLevel="0" collapsed="false">
      <c r="B17" s="1129" t="n">
        <f aca="false">ROW()-5</f>
        <v>12</v>
      </c>
      <c r="C17" s="1131" t="s">
        <v>2086</v>
      </c>
      <c r="D17" s="1132"/>
      <c r="E17" s="1132"/>
      <c r="F17" s="1132"/>
      <c r="G17" s="1132"/>
      <c r="H17" s="1122" t="n">
        <v>5</v>
      </c>
      <c r="I17" s="1133"/>
      <c r="J17" s="1132"/>
      <c r="K17" s="1131"/>
    </row>
    <row r="18" customFormat="false" ht="26.25" hidden="false" customHeight="true" outlineLevel="0" collapsed="false">
      <c r="B18" s="1040"/>
      <c r="C18" s="1051" t="s">
        <v>171</v>
      </c>
      <c r="D18" s="1040"/>
      <c r="E18" s="1040" t="n">
        <f aca="false">SUM(E6:E16)</f>
        <v>0</v>
      </c>
      <c r="F18" s="1040"/>
      <c r="G18" s="1040"/>
      <c r="H18" s="1079" t="str">
        <f aca="false">CONCATENATE(FIXED(SUM(H6:H7),3),"/",H16)</f>
        <v>0.417/4</v>
      </c>
      <c r="I18" s="1134" t="n">
        <f aca="false">SUM(I6:I17)</f>
        <v>13.69484</v>
      </c>
      <c r="J18" s="1040"/>
      <c r="K18" s="1051" t="s">
        <v>2073</v>
      </c>
    </row>
    <row r="20" customFormat="false" ht="14.25" hidden="false" customHeight="false" outlineLevel="0" collapsed="false">
      <c r="H20" s="1135"/>
    </row>
    <row r="21" customFormat="false" ht="14.25" hidden="false" customHeight="false" outlineLevel="0" collapsed="false">
      <c r="I21" s="1136"/>
    </row>
  </sheetData>
  <mergeCells count="8">
    <mergeCell ref="B2:B5"/>
    <mergeCell ref="C2:C5"/>
    <mergeCell ref="D2:J2"/>
    <mergeCell ref="K2:K5"/>
    <mergeCell ref="D3:J3"/>
    <mergeCell ref="D4:E4"/>
    <mergeCell ref="F4:G4"/>
    <mergeCell ref="H4:I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1001" r:id="rId3" name="Button 1">
              <controlPr defaultSize="0" print="false" autoFill="0" autoPict="0" macro="模块3.返回主页">
                <anchor moveWithCells="true" sizeWithCells="false">
                  <from>
                    <xdr:col>12</xdr:col>
                    <xdr:colOff>0</xdr:colOff>
                    <xdr:row>0</xdr:row>
                    <xdr:rowOff>30600</xdr:rowOff>
                  </from>
                  <to>
                    <xdr:col>13</xdr:col>
                    <xdr:colOff>7560</xdr:colOff>
                    <xdr:row>1</xdr:row>
                    <xdr:rowOff>-53280</xdr:rowOff>
                  </to>
                </anchor>
              </controlPr>
            </control>
          </mc:Choice>
        </mc:AlternateContent>
      </controls>
    </mc:Choice>
  </mc:AlternateContent>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P28" activeCellId="0" sqref="1:1048576"/>
    </sheetView>
  </sheetViews>
  <sheetFormatPr defaultColWidth="8.50390625" defaultRowHeight="14.25" zeroHeight="false" outlineLevelRow="0" outlineLevelCol="0"/>
  <cols>
    <col collapsed="false" customWidth="true" hidden="false" outlineLevel="0" max="2" min="2" style="0" width="7.88"/>
    <col collapsed="false" customWidth="true" hidden="false" outlineLevel="0" max="3" min="3" style="0" width="12.12"/>
    <col collapsed="false" customWidth="true" hidden="false" outlineLevel="0" max="4" min="4" style="0" width="9.5"/>
    <col collapsed="false" customWidth="true" hidden="false" outlineLevel="0" max="5" min="5" style="0" width="10.63"/>
    <col collapsed="false" customWidth="true" hidden="false" outlineLevel="0" max="9" min="6" style="0" width="13.88"/>
  </cols>
  <sheetData>
    <row r="1" customFormat="false" ht="15" hidden="false" customHeight="false" outlineLevel="0" collapsed="false"/>
    <row r="2" customFormat="false" ht="14.25" hidden="false" customHeight="true" outlineLevel="0" collapsed="false">
      <c r="B2" s="1039" t="s">
        <v>1383</v>
      </c>
      <c r="C2" s="1137" t="s">
        <v>1745</v>
      </c>
      <c r="D2" s="1137" t="s">
        <v>2087</v>
      </c>
      <c r="E2" s="1137"/>
      <c r="F2" s="1137" t="s">
        <v>2088</v>
      </c>
      <c r="G2" s="1137"/>
      <c r="H2" s="1137" t="s">
        <v>2089</v>
      </c>
      <c r="I2" s="1137" t="s">
        <v>2090</v>
      </c>
      <c r="J2" s="1137" t="s">
        <v>277</v>
      </c>
    </row>
    <row r="3" customFormat="false" ht="14.25" hidden="false" customHeight="true" outlineLevel="0" collapsed="false">
      <c r="B3" s="1039"/>
      <c r="C3" s="1137"/>
      <c r="D3" s="1137" t="s">
        <v>2091</v>
      </c>
      <c r="E3" s="1137"/>
      <c r="F3" s="1137" t="s">
        <v>2092</v>
      </c>
      <c r="G3" s="1137"/>
      <c r="H3" s="1137"/>
      <c r="I3" s="1137"/>
      <c r="J3" s="1137"/>
    </row>
    <row r="4" customFormat="false" ht="18" hidden="false" customHeight="true" outlineLevel="0" collapsed="false">
      <c r="B4" s="1039"/>
      <c r="C4" s="1137"/>
      <c r="D4" s="1137" t="s">
        <v>166</v>
      </c>
      <c r="E4" s="1137" t="s">
        <v>2093</v>
      </c>
      <c r="F4" s="1137" t="s">
        <v>2094</v>
      </c>
      <c r="G4" s="1137" t="s">
        <v>2095</v>
      </c>
      <c r="H4" s="1137"/>
      <c r="I4" s="1137"/>
      <c r="J4" s="1137"/>
    </row>
    <row r="5" customFormat="false" ht="24" hidden="false" customHeight="true" outlineLevel="0" collapsed="false">
      <c r="B5" s="1039" t="n">
        <v>1</v>
      </c>
      <c r="C5" s="1137" t="s">
        <v>2096</v>
      </c>
      <c r="D5" s="1137" t="n">
        <f aca="false">H5/11.63/I5*100</f>
        <v>1269.24880794184</v>
      </c>
      <c r="E5" s="1137" t="n">
        <f aca="false">D5*8</f>
        <v>10153.9904635347</v>
      </c>
      <c r="F5" s="1137"/>
      <c r="G5" s="1137"/>
      <c r="H5" s="1137" t="n">
        <f aca="false">12990+G28</f>
        <v>12990</v>
      </c>
      <c r="I5" s="1137" t="n">
        <v>88</v>
      </c>
      <c r="J5" s="1137"/>
    </row>
    <row r="6" customFormat="false" ht="22.5" hidden="false" customHeight="true" outlineLevel="0" collapsed="false">
      <c r="B6" s="1039" t="n">
        <v>2</v>
      </c>
      <c r="C6" s="1137" t="s">
        <v>2097</v>
      </c>
      <c r="D6" s="1137" t="n">
        <f aca="false">H6/11.63/I6*100</f>
        <v>750.522048888343</v>
      </c>
      <c r="E6" s="1137" t="n">
        <f aca="false">D6*8</f>
        <v>6004.17639110674</v>
      </c>
      <c r="F6" s="1137"/>
      <c r="G6" s="1137"/>
      <c r="H6" s="1137" t="n">
        <v>7332</v>
      </c>
      <c r="I6" s="1137" t="n">
        <v>84</v>
      </c>
      <c r="J6" s="1137"/>
    </row>
    <row r="7" customFormat="false" ht="24" hidden="false" customHeight="true" outlineLevel="0" collapsed="false">
      <c r="B7" s="1039" t="n">
        <v>3</v>
      </c>
      <c r="C7" s="1137" t="s">
        <v>2098</v>
      </c>
      <c r="D7" s="1137" t="n">
        <f aca="false">H7/11.63/I7*100</f>
        <v>313.327601031814</v>
      </c>
      <c r="E7" s="1137" t="n">
        <f aca="false">D7*8</f>
        <v>2506.62080825451</v>
      </c>
      <c r="F7" s="1137"/>
      <c r="G7" s="1137"/>
      <c r="H7" s="1137" t="n">
        <v>2733</v>
      </c>
      <c r="I7" s="1137" t="n">
        <v>75</v>
      </c>
      <c r="J7" s="1137"/>
    </row>
    <row r="8" customFormat="false" ht="25.5" hidden="false" customHeight="true" outlineLevel="0" collapsed="false">
      <c r="B8" s="1039" t="s">
        <v>171</v>
      </c>
      <c r="C8" s="1137"/>
      <c r="D8" s="1137" t="n">
        <f aca="false">SUM(D5:D7)</f>
        <v>2333.098457862</v>
      </c>
      <c r="E8" s="1137" t="n">
        <f aca="false">SUM(E5:E7)</f>
        <v>18664.787662896</v>
      </c>
      <c r="F8" s="1137"/>
      <c r="G8" s="1137"/>
      <c r="H8" s="1137"/>
      <c r="I8" s="1137"/>
      <c r="J8" s="1137"/>
    </row>
    <row r="9" customFormat="false" ht="15" hidden="false" customHeight="false" outlineLevel="0" collapsed="false"/>
    <row r="10" s="243" customFormat="true" ht="15" hidden="false" customHeight="false" outlineLevel="0" collapsed="false">
      <c r="A10" s="991" t="s">
        <v>2099</v>
      </c>
      <c r="B10" s="1138"/>
      <c r="C10" s="1138"/>
      <c r="D10" s="1139" t="s">
        <v>1568</v>
      </c>
      <c r="E10" s="1139" t="s">
        <v>2100</v>
      </c>
      <c r="F10" s="1138"/>
      <c r="G10" s="1139" t="s">
        <v>1568</v>
      </c>
      <c r="H10" s="1139" t="s">
        <v>2100</v>
      </c>
      <c r="I10" s="1139" t="s">
        <v>2101</v>
      </c>
      <c r="J10" s="1138"/>
    </row>
    <row r="11" s="243" customFormat="true" ht="15" hidden="false" customHeight="false" outlineLevel="0" collapsed="false">
      <c r="B11" s="1138"/>
      <c r="C11" s="1139" t="s">
        <v>2097</v>
      </c>
      <c r="D11" s="1140" t="n">
        <f aca="false">G11/11.63/I11*100</f>
        <v>945.216928942208</v>
      </c>
      <c r="E11" s="1140" t="n">
        <f aca="false">H11/11.63/I11*100</f>
        <v>945.216928942208</v>
      </c>
      <c r="F11" s="1138"/>
      <c r="G11" s="1141" t="n">
        <f aca="false">6910+H19</f>
        <v>9234.01322222222</v>
      </c>
      <c r="H11" s="1141" t="n">
        <f aca="false">G11</f>
        <v>9234.01322222222</v>
      </c>
      <c r="I11" s="1142" t="n">
        <v>84</v>
      </c>
      <c r="J11" s="1138"/>
    </row>
    <row r="12" s="243" customFormat="true" ht="15" hidden="false" customHeight="false" outlineLevel="0" collapsed="false">
      <c r="B12" s="1138"/>
      <c r="C12" s="1139" t="s">
        <v>2098</v>
      </c>
      <c r="D12" s="1140" t="n">
        <f aca="false">G12/11.63/I12*100</f>
        <v>542.521393768169</v>
      </c>
      <c r="E12" s="1140" t="n">
        <f aca="false">H12/11.63/I12*100</f>
        <v>542.521393768169</v>
      </c>
      <c r="F12" s="1138"/>
      <c r="G12" s="1141" t="n">
        <v>5300</v>
      </c>
      <c r="H12" s="1141" t="n">
        <f aca="false">G12</f>
        <v>5300</v>
      </c>
      <c r="I12" s="1142" t="n">
        <v>84</v>
      </c>
      <c r="J12" s="1138"/>
    </row>
    <row r="13" s="243" customFormat="true" ht="15" hidden="false" customHeight="false" outlineLevel="0" collapsed="false">
      <c r="B13" s="1143"/>
      <c r="C13" s="1144" t="s">
        <v>2102</v>
      </c>
      <c r="D13" s="1140" t="n">
        <f aca="false">G13/11.63/I13*100</f>
        <v>937.231298366294</v>
      </c>
      <c r="E13" s="1140" t="n">
        <f aca="false">H13/11.63/I13*100</f>
        <v>1519.44205598548</v>
      </c>
      <c r="F13" s="1138"/>
      <c r="G13" s="1141" t="n">
        <v>9810</v>
      </c>
      <c r="H13" s="1141" t="n">
        <f aca="false">G13+6094</f>
        <v>15904</v>
      </c>
      <c r="I13" s="1142" t="n">
        <v>90</v>
      </c>
      <c r="J13" s="1138"/>
    </row>
    <row r="14" s="243" customFormat="true" ht="15" hidden="false" customHeight="false" outlineLevel="0" collapsed="false">
      <c r="B14" s="1143"/>
      <c r="C14" s="1144"/>
      <c r="D14" s="1140" t="n">
        <f aca="false">SUM(D11:D13)</f>
        <v>2424.96962107667</v>
      </c>
      <c r="E14" s="1140" t="n">
        <f aca="false">SUM(E11:E13)</f>
        <v>3007.18037869586</v>
      </c>
      <c r="F14" s="1138"/>
      <c r="G14" s="1138"/>
      <c r="H14" s="1138"/>
      <c r="I14" s="1138"/>
      <c r="J14" s="1138"/>
    </row>
    <row r="15" customFormat="false" ht="15" hidden="false" customHeight="false" outlineLevel="0" collapsed="false">
      <c r="B15" s="1145"/>
      <c r="C15" s="1145"/>
    </row>
    <row r="16" customFormat="false" ht="15" hidden="false" customHeight="false" outlineLevel="0" collapsed="false">
      <c r="B16" s="1145"/>
      <c r="C16" s="1146"/>
      <c r="D16" s="1147"/>
    </row>
    <row r="17" customFormat="false" ht="15" hidden="false" customHeight="false" outlineLevel="0" collapsed="false">
      <c r="B17" s="1145"/>
      <c r="C17" s="1146" t="s">
        <v>2103</v>
      </c>
      <c r="D17" s="27" t="s">
        <v>2104</v>
      </c>
    </row>
    <row r="18" customFormat="false" ht="15" hidden="false" customHeight="false" outlineLevel="0" collapsed="false">
      <c r="A18" s="227" t="s">
        <v>2097</v>
      </c>
      <c r="B18" s="1148" t="n">
        <v>1</v>
      </c>
      <c r="C18" s="1149" t="s">
        <v>2105</v>
      </c>
      <c r="D18" s="226" t="s">
        <v>2106</v>
      </c>
      <c r="E18" s="226" t="s">
        <v>2107</v>
      </c>
      <c r="F18" s="226" t="s">
        <v>468</v>
      </c>
      <c r="G18" s="1113"/>
      <c r="H18" s="1113"/>
      <c r="I18" s="1113"/>
    </row>
    <row r="19" customFormat="false" ht="15" hidden="false" customHeight="false" outlineLevel="0" collapsed="false">
      <c r="A19" s="227"/>
      <c r="B19" s="226" t="s">
        <v>1568</v>
      </c>
      <c r="C19" s="1113" t="n">
        <v>2778.1</v>
      </c>
      <c r="D19" s="1113" t="n">
        <v>3263.9</v>
      </c>
      <c r="E19" s="1113" t="n">
        <f aca="false">D19-C19</f>
        <v>485.8</v>
      </c>
      <c r="F19" s="1150" t="n">
        <f aca="false">9691+1980+2464+3087</f>
        <v>17222</v>
      </c>
      <c r="G19" s="1150" t="n">
        <f aca="false">E19*F19</f>
        <v>8366447.6</v>
      </c>
      <c r="H19" s="1150" t="n">
        <f aca="false">G19/3600</f>
        <v>2324.01322222222</v>
      </c>
      <c r="I19" s="1113"/>
    </row>
    <row r="20" customFormat="false" ht="15" hidden="false" customHeight="false" outlineLevel="0" collapsed="false">
      <c r="E20" s="27"/>
      <c r="F20" s="275"/>
      <c r="G20" s="275"/>
      <c r="H20" s="275"/>
    </row>
    <row r="21" s="1156" customFormat="true" ht="15" hidden="false" customHeight="false" outlineLevel="0" collapsed="false">
      <c r="A21" s="1151" t="s">
        <v>2098</v>
      </c>
      <c r="B21" s="1152" t="n">
        <v>1</v>
      </c>
      <c r="C21" s="1153" t="s">
        <v>2105</v>
      </c>
      <c r="D21" s="1154" t="s">
        <v>2106</v>
      </c>
      <c r="E21" s="1154"/>
      <c r="F21" s="1155"/>
      <c r="G21" s="1155"/>
      <c r="H21" s="1155"/>
      <c r="I21" s="1154"/>
    </row>
    <row r="22" s="1156" customFormat="true" ht="15" hidden="false" customHeight="false" outlineLevel="0" collapsed="false">
      <c r="A22" s="1151"/>
      <c r="B22" s="1157" t="s">
        <v>1568</v>
      </c>
      <c r="C22" s="1154" t="n">
        <v>2778.1</v>
      </c>
      <c r="D22" s="1154" t="n">
        <v>3263.9</v>
      </c>
      <c r="E22" s="1154" t="n">
        <f aca="false">D22-C22</f>
        <v>485.8</v>
      </c>
      <c r="F22" s="1155" t="n">
        <f aca="false">-[15]汽耗!I14*1000</f>
        <v>175.9888</v>
      </c>
      <c r="G22" s="1155" t="n">
        <f aca="false">E22*F22</f>
        <v>85495.35904</v>
      </c>
      <c r="H22" s="1155" t="n">
        <f aca="false">G22/3600</f>
        <v>23.7487108444445</v>
      </c>
      <c r="I22" s="1154"/>
    </row>
    <row r="23" s="1156" customFormat="true" ht="15" hidden="false" customHeight="false" outlineLevel="0" collapsed="false">
      <c r="A23" s="1151"/>
      <c r="B23" s="1151"/>
      <c r="C23" s="1151"/>
      <c r="D23" s="1151"/>
      <c r="E23" s="1151"/>
      <c r="F23" s="1151"/>
      <c r="G23" s="1151"/>
      <c r="H23" s="1151"/>
      <c r="I23" s="1151"/>
    </row>
    <row r="24" s="1156" customFormat="true" ht="15" hidden="false" customHeight="false" outlineLevel="0" collapsed="false">
      <c r="A24" s="1151"/>
      <c r="B24" s="1158" t="n">
        <v>0.6</v>
      </c>
      <c r="C24" s="1154" t="s">
        <v>2108</v>
      </c>
      <c r="D24" s="1154" t="s">
        <v>2106</v>
      </c>
      <c r="E24" s="1154"/>
      <c r="F24" s="1154"/>
      <c r="G24" s="1154"/>
      <c r="H24" s="1154"/>
      <c r="I24" s="1154"/>
    </row>
    <row r="25" s="1156" customFormat="true" ht="15" hidden="false" customHeight="false" outlineLevel="0" collapsed="false">
      <c r="A25" s="1151"/>
      <c r="B25" s="1157" t="s">
        <v>2100</v>
      </c>
      <c r="C25" s="1154" t="n">
        <v>2756.8</v>
      </c>
      <c r="D25" s="1154" t="n">
        <v>3270.3</v>
      </c>
      <c r="E25" s="1154" t="n">
        <f aca="false">D25-C25</f>
        <v>513.5</v>
      </c>
      <c r="F25" s="1154" t="n">
        <v>1500</v>
      </c>
      <c r="G25" s="1154" t="n">
        <f aca="false">E25*F25</f>
        <v>770250</v>
      </c>
      <c r="H25" s="1155" t="n">
        <f aca="false">G25/3600</f>
        <v>213.958333333333</v>
      </c>
      <c r="I25" s="1154"/>
    </row>
    <row r="27" customFormat="false" ht="14.25" hidden="false" customHeight="false" outlineLevel="0" collapsed="false">
      <c r="H27" s="27"/>
    </row>
    <row r="28" customFormat="false" ht="14.25" hidden="false" customHeight="false" outlineLevel="0" collapsed="false">
      <c r="G28" s="275"/>
      <c r="H28" s="27"/>
    </row>
  </sheetData>
  <mergeCells count="10">
    <mergeCell ref="B2:B4"/>
    <mergeCell ref="C2:C4"/>
    <mergeCell ref="D2:E2"/>
    <mergeCell ref="F2:G2"/>
    <mergeCell ref="J2:J4"/>
    <mergeCell ref="D3:E3"/>
    <mergeCell ref="F3:G3"/>
    <mergeCell ref="A18:A19"/>
    <mergeCell ref="A21:A25"/>
    <mergeCell ref="B23:I2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O32" activeCellId="0" sqref="1:1048576"/>
    </sheetView>
  </sheetViews>
  <sheetFormatPr defaultColWidth="9.00390625" defaultRowHeight="14.25" zeroHeight="false" outlineLevelRow="0" outlineLevelCol="0"/>
  <cols>
    <col collapsed="false" customWidth="true" hidden="false" outlineLevel="0" max="2" min="2" style="0" width="13.25"/>
    <col collapsed="false" customWidth="true" hidden="false" outlineLevel="0" max="4" min="4" style="0" width="12.25"/>
    <col collapsed="false" customWidth="true" hidden="false" outlineLevel="0" max="7" min="7" style="0" width="11.63"/>
  </cols>
  <sheetData>
    <row r="1" customFormat="false" ht="15" hidden="false" customHeight="false" outlineLevel="0" collapsed="false"/>
    <row r="2" customFormat="false" ht="15" hidden="false" customHeight="false" outlineLevel="0" collapsed="false">
      <c r="A2" s="1159"/>
      <c r="B2" s="1159" t="s">
        <v>2109</v>
      </c>
      <c r="C2" s="1159"/>
      <c r="D2" s="1159"/>
      <c r="E2" s="1159"/>
    </row>
    <row r="3" customFormat="false" ht="15" hidden="false" customHeight="false" outlineLevel="0" collapsed="false">
      <c r="A3" s="1039" t="s">
        <v>1383</v>
      </c>
      <c r="B3" s="1039" t="s">
        <v>2110</v>
      </c>
      <c r="C3" s="1039" t="s">
        <v>2111</v>
      </c>
      <c r="D3" s="1039" t="s">
        <v>2112</v>
      </c>
      <c r="E3" s="1039" t="s">
        <v>2113</v>
      </c>
    </row>
    <row r="4" customFormat="false" ht="15" hidden="false" customHeight="false" outlineLevel="0" collapsed="false">
      <c r="A4" s="1040" t="n">
        <v>1</v>
      </c>
      <c r="B4" s="1051" t="s">
        <v>2038</v>
      </c>
      <c r="C4" s="1044" t="s">
        <v>412</v>
      </c>
      <c r="D4" s="1079" t="str">
        <f aca="false">水耗!D34</f>
        <v>0/37</v>
      </c>
      <c r="E4" s="1051" t="s">
        <v>2073</v>
      </c>
    </row>
    <row r="5" customFormat="false" ht="15" hidden="false" customHeight="false" outlineLevel="0" collapsed="false">
      <c r="A5" s="1040" t="n">
        <v>2</v>
      </c>
      <c r="B5" s="1051" t="s">
        <v>1584</v>
      </c>
      <c r="C5" s="1044" t="s">
        <v>412</v>
      </c>
      <c r="D5" s="1160" t="n">
        <f aca="false">水耗!E34</f>
        <v>548.57424</v>
      </c>
      <c r="E5" s="1051" t="s">
        <v>2044</v>
      </c>
    </row>
    <row r="6" customFormat="false" ht="15" hidden="false" customHeight="false" outlineLevel="0" collapsed="false">
      <c r="A6" s="1040" t="n">
        <v>3</v>
      </c>
      <c r="B6" s="1051" t="s">
        <v>677</v>
      </c>
      <c r="C6" s="1044" t="s">
        <v>412</v>
      </c>
      <c r="D6" s="1160" t="n">
        <f aca="false">水耗!G34</f>
        <v>-11.20544</v>
      </c>
      <c r="E6" s="1051" t="s">
        <v>2044</v>
      </c>
    </row>
    <row r="7" customFormat="false" ht="15" hidden="false" customHeight="false" outlineLevel="0" collapsed="false">
      <c r="A7" s="1040" t="n">
        <v>4</v>
      </c>
      <c r="B7" s="1051" t="s">
        <v>1583</v>
      </c>
      <c r="C7" s="1044" t="s">
        <v>412</v>
      </c>
      <c r="D7" s="1160" t="n">
        <f aca="false">水耗!F34</f>
        <v>-1.35824</v>
      </c>
      <c r="E7" s="1051" t="s">
        <v>2044</v>
      </c>
    </row>
    <row r="8" customFormat="false" ht="15" hidden="false" customHeight="false" outlineLevel="0" collapsed="false">
      <c r="A8" s="1040" t="n">
        <v>5</v>
      </c>
      <c r="B8" s="1051" t="s">
        <v>2040</v>
      </c>
      <c r="C8" s="1044" t="s">
        <v>412</v>
      </c>
      <c r="D8" s="1079" t="str">
        <f aca="false">水耗!J34</f>
        <v>5.7/355.22</v>
      </c>
      <c r="E8" s="1051" t="s">
        <v>2073</v>
      </c>
    </row>
    <row r="9" customFormat="false" ht="15" hidden="false" customHeight="false" outlineLevel="0" collapsed="false">
      <c r="A9" s="1040" t="n">
        <v>6</v>
      </c>
      <c r="B9" s="1051" t="s">
        <v>2041</v>
      </c>
      <c r="C9" s="1044" t="s">
        <v>412</v>
      </c>
      <c r="D9" s="1079" t="n">
        <f aca="false">水耗!K34</f>
        <v>-310.39284</v>
      </c>
      <c r="E9" s="1051" t="s">
        <v>2044</v>
      </c>
    </row>
    <row r="10" customFormat="false" ht="15" hidden="false" customHeight="false" outlineLevel="0" collapsed="false">
      <c r="A10" s="1040" t="n">
        <v>7</v>
      </c>
      <c r="B10" s="1051" t="s">
        <v>2042</v>
      </c>
      <c r="C10" s="1044" t="s">
        <v>412</v>
      </c>
      <c r="D10" s="1079" t="n">
        <f aca="false">水耗!L34</f>
        <v>0</v>
      </c>
      <c r="E10" s="1051" t="s">
        <v>2044</v>
      </c>
    </row>
    <row r="11" customFormat="false" ht="15" hidden="false" customHeight="false" outlineLevel="0" collapsed="false">
      <c r="A11" s="1040" t="n">
        <v>8</v>
      </c>
      <c r="B11" s="1051" t="s">
        <v>1580</v>
      </c>
      <c r="C11" s="1044" t="s">
        <v>412</v>
      </c>
      <c r="D11" s="1079" t="n">
        <f aca="false">水耗!M34</f>
        <v>0</v>
      </c>
      <c r="E11" s="1051" t="s">
        <v>2044</v>
      </c>
    </row>
    <row r="12" customFormat="false" ht="15" hidden="false" customHeight="false" outlineLevel="0" collapsed="false">
      <c r="A12" s="1040" t="n">
        <v>9</v>
      </c>
      <c r="B12" s="1051" t="s">
        <v>2114</v>
      </c>
      <c r="C12" s="1044" t="s">
        <v>2115</v>
      </c>
      <c r="D12" s="1078" t="e">
        <f aca="false">电耗!I56</f>
        <v>#REF!</v>
      </c>
      <c r="E12" s="1051" t="s">
        <v>2044</v>
      </c>
    </row>
    <row r="13" customFormat="false" ht="15" hidden="false" customHeight="false" outlineLevel="0" collapsed="false">
      <c r="A13" s="1040" t="n">
        <v>10</v>
      </c>
      <c r="B13" s="1051" t="s">
        <v>2116</v>
      </c>
      <c r="C13" s="1044" t="s">
        <v>412</v>
      </c>
      <c r="D13" s="1078" t="n">
        <f aca="false">汽耗!E18</f>
        <v>0</v>
      </c>
      <c r="E13" s="1051" t="s">
        <v>2044</v>
      </c>
    </row>
    <row r="14" customFormat="false" ht="15" hidden="false" customHeight="false" outlineLevel="0" collapsed="false">
      <c r="A14" s="1040" t="n">
        <v>11</v>
      </c>
      <c r="B14" s="1051" t="s">
        <v>2117</v>
      </c>
      <c r="C14" s="1044" t="s">
        <v>412</v>
      </c>
      <c r="D14" s="1078" t="n">
        <f aca="false">汽耗!I18</f>
        <v>13.69484</v>
      </c>
      <c r="E14" s="1051" t="s">
        <v>2118</v>
      </c>
    </row>
    <row r="15" customFormat="false" ht="15" hidden="false" customHeight="false" outlineLevel="0" collapsed="false">
      <c r="A15" s="1040" t="n">
        <v>12</v>
      </c>
      <c r="B15" s="1051" t="s">
        <v>707</v>
      </c>
      <c r="C15" s="1044" t="s">
        <v>2119</v>
      </c>
      <c r="D15" s="1161" t="n">
        <f aca="false">630/60</f>
        <v>10.5</v>
      </c>
      <c r="E15" s="1051" t="s">
        <v>2044</v>
      </c>
    </row>
    <row r="16" customFormat="false" ht="15" hidden="false" customHeight="false" outlineLevel="0" collapsed="false">
      <c r="A16" s="1040" t="n">
        <v>13</v>
      </c>
      <c r="B16" s="1051" t="s">
        <v>1281</v>
      </c>
      <c r="C16" s="1044" t="s">
        <v>2119</v>
      </c>
      <c r="D16" s="1162" t="s">
        <v>2120</v>
      </c>
      <c r="E16" s="1051" t="s">
        <v>2073</v>
      </c>
    </row>
    <row r="17" customFormat="false" ht="15" hidden="false" customHeight="false" outlineLevel="0" collapsed="false">
      <c r="D17" s="1163"/>
    </row>
    <row r="18" customFormat="false" ht="15" hidden="false" customHeight="false" outlineLevel="0" collapsed="false">
      <c r="A18" s="1164"/>
      <c r="B18" s="1108" t="s">
        <v>2121</v>
      </c>
      <c r="C18" s="1108"/>
      <c r="D18" s="1108"/>
      <c r="E18" s="1108"/>
      <c r="F18" s="1108"/>
      <c r="G18" s="1108"/>
    </row>
    <row r="19" customFormat="false" ht="14.25" hidden="false" customHeight="false" outlineLevel="0" collapsed="false">
      <c r="A19" s="1165" t="s">
        <v>1383</v>
      </c>
      <c r="B19" s="1165" t="s">
        <v>250</v>
      </c>
      <c r="C19" s="1166" t="s">
        <v>2122</v>
      </c>
      <c r="D19" s="1166"/>
      <c r="E19" s="1166" t="s">
        <v>2123</v>
      </c>
      <c r="F19" s="1166"/>
      <c r="G19" s="1165" t="s">
        <v>2124</v>
      </c>
    </row>
    <row r="20" customFormat="false" ht="14.25" hidden="false" customHeight="false" outlineLevel="0" collapsed="false">
      <c r="A20" s="1165"/>
      <c r="B20" s="1165"/>
      <c r="C20" s="1165" t="s">
        <v>275</v>
      </c>
      <c r="D20" s="1114" t="s">
        <v>274</v>
      </c>
      <c r="E20" s="1165" t="s">
        <v>275</v>
      </c>
      <c r="F20" s="1114" t="s">
        <v>274</v>
      </c>
      <c r="G20" s="1167" t="s">
        <v>2125</v>
      </c>
    </row>
    <row r="21" customFormat="false" ht="14.25" hidden="false" customHeight="false" outlineLevel="0" collapsed="false">
      <c r="A21" s="1167" t="n">
        <v>1</v>
      </c>
      <c r="B21" s="1168" t="s">
        <v>2038</v>
      </c>
      <c r="C21" s="1169" t="s">
        <v>412</v>
      </c>
      <c r="D21" s="1170"/>
      <c r="E21" s="1169" t="s">
        <v>2126</v>
      </c>
      <c r="F21" s="1171" t="n">
        <v>6.28</v>
      </c>
      <c r="G21" s="1172" t="n">
        <f aca="false">D21*F21/125</f>
        <v>0</v>
      </c>
    </row>
    <row r="22" customFormat="false" ht="14.25" hidden="false" customHeight="false" outlineLevel="0" collapsed="false">
      <c r="A22" s="1167" t="n">
        <v>2</v>
      </c>
      <c r="B22" s="1168" t="s">
        <v>1584</v>
      </c>
      <c r="C22" s="1169" t="s">
        <v>412</v>
      </c>
      <c r="D22" s="1170" t="n">
        <f aca="false">D5</f>
        <v>548.57424</v>
      </c>
      <c r="E22" s="1169" t="s">
        <v>2126</v>
      </c>
      <c r="F22" s="1171" t="n">
        <v>4.19</v>
      </c>
      <c r="G22" s="1172" t="n">
        <f aca="false">D22*F22/125</f>
        <v>18.3882085248</v>
      </c>
    </row>
    <row r="23" customFormat="false" ht="14.25" hidden="false" customHeight="false" outlineLevel="0" collapsed="false">
      <c r="A23" s="1167" t="n">
        <v>3</v>
      </c>
      <c r="B23" s="1051" t="s">
        <v>677</v>
      </c>
      <c r="C23" s="1044" t="s">
        <v>412</v>
      </c>
      <c r="D23" s="1160" t="n">
        <f aca="false">D6</f>
        <v>-11.20544</v>
      </c>
      <c r="E23" s="1169" t="s">
        <v>2126</v>
      </c>
      <c r="F23" s="1171" t="n">
        <v>385.19</v>
      </c>
      <c r="G23" s="1172" t="n">
        <f aca="false">D23*F23/125</f>
        <v>-34.5297874688</v>
      </c>
    </row>
    <row r="24" customFormat="false" ht="14.25" hidden="false" customHeight="false" outlineLevel="0" collapsed="false">
      <c r="A24" s="1167" t="n">
        <v>4</v>
      </c>
      <c r="B24" s="1051" t="s">
        <v>1583</v>
      </c>
      <c r="C24" s="1044" t="s">
        <v>412</v>
      </c>
      <c r="D24" s="1160" t="n">
        <f aca="false">D7</f>
        <v>-1.35824</v>
      </c>
      <c r="E24" s="1169" t="s">
        <v>2126</v>
      </c>
      <c r="F24" s="1171" t="n">
        <v>96.3</v>
      </c>
      <c r="G24" s="1172" t="n">
        <f aca="false">D24*F24/125</f>
        <v>-1.046388096</v>
      </c>
    </row>
    <row r="25" customFormat="false" ht="14.25" hidden="false" customHeight="false" outlineLevel="0" collapsed="false">
      <c r="A25" s="1167" t="n">
        <v>5</v>
      </c>
      <c r="B25" s="1051" t="s">
        <v>1580</v>
      </c>
      <c r="C25" s="1044" t="s">
        <v>412</v>
      </c>
      <c r="D25" s="1160" t="n">
        <f aca="false">-D11</f>
        <v>0</v>
      </c>
      <c r="E25" s="1169" t="s">
        <v>2126</v>
      </c>
      <c r="F25" s="1171" t="n">
        <v>320.29</v>
      </c>
      <c r="G25" s="1172" t="n">
        <f aca="false">D25*F25/125</f>
        <v>0</v>
      </c>
    </row>
    <row r="26" customFormat="false" ht="14.25" hidden="false" customHeight="false" outlineLevel="0" collapsed="false">
      <c r="A26" s="1167" t="n">
        <v>6</v>
      </c>
      <c r="B26" s="1051" t="s">
        <v>2114</v>
      </c>
      <c r="C26" s="1044" t="s">
        <v>2115</v>
      </c>
      <c r="D26" s="1078" t="e">
        <f aca="false">D12</f>
        <v>#REF!</v>
      </c>
      <c r="E26" s="1169" t="s">
        <v>2127</v>
      </c>
      <c r="F26" s="1171" t="n">
        <v>10.89</v>
      </c>
      <c r="G26" s="1172" t="e">
        <f aca="false">D26*F26/125</f>
        <v>#REF!</v>
      </c>
    </row>
    <row r="27" customFormat="false" ht="14.25" hidden="false" customHeight="false" outlineLevel="0" collapsed="false">
      <c r="A27" s="1167" t="n">
        <v>7</v>
      </c>
      <c r="B27" s="1051" t="s">
        <v>2116</v>
      </c>
      <c r="C27" s="1044" t="s">
        <v>412</v>
      </c>
      <c r="D27" s="1078" t="n">
        <f aca="false">D13</f>
        <v>0</v>
      </c>
      <c r="E27" s="1169" t="s">
        <v>2126</v>
      </c>
      <c r="F27" s="1171" t="n">
        <v>2763</v>
      </c>
      <c r="G27" s="1172" t="n">
        <f aca="false">D27*F27/125</f>
        <v>0</v>
      </c>
    </row>
    <row r="28" customFormat="false" ht="14.25" hidden="false" customHeight="false" outlineLevel="0" collapsed="false">
      <c r="A28" s="1167" t="n">
        <v>8</v>
      </c>
      <c r="B28" s="1051" t="s">
        <v>2117</v>
      </c>
      <c r="C28" s="1044" t="s">
        <v>412</v>
      </c>
      <c r="D28" s="1078" t="n">
        <f aca="false">D14</f>
        <v>13.69484</v>
      </c>
      <c r="E28" s="1169" t="s">
        <v>2126</v>
      </c>
      <c r="F28" s="1171" t="n">
        <v>3182</v>
      </c>
      <c r="G28" s="1172" t="n">
        <f aca="false">D28*F28/125</f>
        <v>348.61584704</v>
      </c>
    </row>
    <row r="29" customFormat="false" ht="14.25" hidden="false" customHeight="false" outlineLevel="0" collapsed="false">
      <c r="A29" s="1167" t="n">
        <v>9</v>
      </c>
      <c r="B29" s="1168" t="s">
        <v>2128</v>
      </c>
      <c r="C29" s="1169" t="s">
        <v>2129</v>
      </c>
      <c r="D29" s="1173" t="n">
        <f aca="false">D15*60</f>
        <v>630</v>
      </c>
      <c r="E29" s="1169" t="s">
        <v>2130</v>
      </c>
      <c r="F29" s="1171" t="n">
        <v>1.59</v>
      </c>
      <c r="G29" s="1172" t="n">
        <f aca="false">D29*F29/125</f>
        <v>8.0136</v>
      </c>
    </row>
    <row r="30" customFormat="false" ht="14.25" hidden="false" customHeight="false" outlineLevel="0" collapsed="false">
      <c r="A30" s="1167" t="n">
        <v>10</v>
      </c>
      <c r="B30" s="1168" t="s">
        <v>2131</v>
      </c>
      <c r="C30" s="1169" t="s">
        <v>2129</v>
      </c>
      <c r="D30" s="1174"/>
      <c r="E30" s="1169" t="s">
        <v>2130</v>
      </c>
      <c r="F30" s="1171" t="n">
        <v>1.17</v>
      </c>
      <c r="G30" s="1172" t="n">
        <f aca="false">D30*F30/125</f>
        <v>0</v>
      </c>
    </row>
    <row r="31" customFormat="false" ht="14.25" hidden="false" customHeight="false" outlineLevel="0" collapsed="false">
      <c r="A31" s="1167" t="n">
        <v>11</v>
      </c>
      <c r="B31" s="1168" t="s">
        <v>1281</v>
      </c>
      <c r="C31" s="1169" t="s">
        <v>2129</v>
      </c>
      <c r="D31" s="1175" t="n">
        <v>60</v>
      </c>
      <c r="E31" s="1169" t="s">
        <v>2130</v>
      </c>
      <c r="F31" s="1171" t="n">
        <v>0.15</v>
      </c>
      <c r="G31" s="1172" t="n">
        <f aca="false">D31*F31/125</f>
        <v>0.072</v>
      </c>
    </row>
    <row r="32" customFormat="false" ht="14.25" hidden="false" customHeight="false" outlineLevel="0" collapsed="false">
      <c r="A32" s="1167" t="n">
        <v>12</v>
      </c>
      <c r="B32" s="1168" t="s">
        <v>2087</v>
      </c>
      <c r="C32" s="1044" t="s">
        <v>412</v>
      </c>
      <c r="D32" s="1176" t="n">
        <f aca="false">燃料消耗!D14/1000</f>
        <v>2.42496962107667</v>
      </c>
      <c r="E32" s="1169" t="s">
        <v>2126</v>
      </c>
      <c r="F32" s="1171" t="n">
        <v>41868</v>
      </c>
      <c r="G32" s="1172" t="n">
        <f aca="false">D32*F32/125</f>
        <v>812.229024761905</v>
      </c>
    </row>
    <row r="33" customFormat="false" ht="14.25" hidden="false" customHeight="false" outlineLevel="0" collapsed="false">
      <c r="A33" s="1167" t="n">
        <v>13</v>
      </c>
      <c r="B33" s="1168" t="s">
        <v>171</v>
      </c>
      <c r="C33" s="1169"/>
      <c r="D33" s="1174"/>
      <c r="E33" s="1169"/>
      <c r="F33" s="1174"/>
      <c r="G33" s="1172" t="e">
        <f aca="false">SUM(G21:G32)</f>
        <v>#REF!</v>
      </c>
    </row>
    <row r="34" customFormat="false" ht="14.25" hidden="false" customHeight="false" outlineLevel="0" collapsed="false">
      <c r="A34" s="1167"/>
      <c r="B34" s="1168"/>
      <c r="C34" s="1169"/>
      <c r="D34" s="1174"/>
      <c r="E34" s="1177" t="s">
        <v>2132</v>
      </c>
      <c r="F34" s="1177"/>
      <c r="G34" s="1172" t="e">
        <f aca="false">G33/41.868</f>
        <v>#REF!</v>
      </c>
    </row>
  </sheetData>
  <mergeCells count="3">
    <mergeCell ref="A19:A20"/>
    <mergeCell ref="B19:B20"/>
    <mergeCell ref="E34:F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1001" r:id="rId3" name="Button 1">
              <controlPr defaultSize="0" print="false" autoFill="0" autoPict="0" macro="模块3.返回主页">
                <anchor moveWithCells="true" sizeWithCells="false">
                  <from>
                    <xdr:col>6</xdr:col>
                    <xdr:colOff>23040</xdr:colOff>
                    <xdr:row>0</xdr:row>
                    <xdr:rowOff>30600</xdr:rowOff>
                  </from>
                  <to>
                    <xdr:col>7</xdr:col>
                    <xdr:colOff>-306360</xdr:colOff>
                    <xdr:row>1</xdr:row>
                    <xdr:rowOff>-53280</xdr:rowOff>
                  </to>
                </anchor>
              </controlPr>
            </control>
          </mc:Choice>
        </mc:AlternateContent>
      </controls>
    </mc:Choice>
  </mc:AlternateContent>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2" activeCellId="0" sqref="1:1048576"/>
    </sheetView>
  </sheetViews>
  <sheetFormatPr defaultColWidth="8.50390625" defaultRowHeight="14.25" zeroHeight="false" outlineLevelRow="0" outlineLevelCol="0"/>
  <cols>
    <col collapsed="false" customWidth="true" hidden="false" outlineLevel="0" max="1" min="1" style="0" width="33.75"/>
    <col collapsed="false" customWidth="true" hidden="false" outlineLevel="0" max="2" min="2" style="0" width="13.63"/>
  </cols>
  <sheetData>
    <row r="1" customFormat="false" ht="15" hidden="false" customHeight="false" outlineLevel="0" collapsed="false"/>
    <row r="2" customFormat="false" ht="15" hidden="false" customHeight="false" outlineLevel="0" collapsed="false">
      <c r="A2" s="253" t="s">
        <v>512</v>
      </c>
      <c r="B2" s="206" t="s">
        <v>1955</v>
      </c>
    </row>
    <row r="3" customFormat="false" ht="15" hidden="false" customHeight="false" outlineLevel="0" collapsed="false">
      <c r="A3" s="253" t="s">
        <v>516</v>
      </c>
      <c r="B3" s="206" t="s">
        <v>2133</v>
      </c>
    </row>
    <row r="4" customFormat="false" ht="15" hidden="false" customHeight="false" outlineLevel="0" collapsed="false">
      <c r="A4" s="253" t="s">
        <v>2134</v>
      </c>
      <c r="B4" s="0" t="n">
        <v>3.6</v>
      </c>
    </row>
    <row r="5" customFormat="false" ht="15" hidden="false" customHeight="false" outlineLevel="0" collapsed="false">
      <c r="A5" s="253" t="s">
        <v>485</v>
      </c>
      <c r="B5" s="0" t="n">
        <v>1</v>
      </c>
    </row>
    <row r="6" customFormat="false" ht="15" hidden="false" customHeight="false" outlineLevel="0" collapsed="false">
      <c r="A6" s="261" t="s">
        <v>486</v>
      </c>
      <c r="B6" s="206" t="s">
        <v>1837</v>
      </c>
    </row>
    <row r="7" customFormat="false" ht="15" hidden="false" customHeight="false" outlineLevel="0" collapsed="false">
      <c r="A7" s="261" t="s">
        <v>489</v>
      </c>
      <c r="B7" s="1178" t="n">
        <f aca="false">物流参数!DQ4</f>
        <v>144.03</v>
      </c>
    </row>
    <row r="8" customFormat="false" ht="15" hidden="false" customHeight="false" outlineLevel="0" collapsed="false">
      <c r="A8" s="261" t="s">
        <v>490</v>
      </c>
      <c r="B8" s="1178" t="n">
        <f aca="false">物流参数!DQ5-0.101325</f>
        <v>234.288675</v>
      </c>
    </row>
    <row r="9" customFormat="false" ht="15" hidden="false" customHeight="false" outlineLevel="0" collapsed="false">
      <c r="A9" s="261" t="s">
        <v>491</v>
      </c>
      <c r="B9" s="1178" t="n">
        <f aca="false">物流参数!DQ7</f>
        <v>-1659.23</v>
      </c>
    </row>
    <row r="10" customFormat="false" ht="15" hidden="false" customHeight="false" outlineLevel="0" collapsed="false">
      <c r="A10" s="261" t="s">
        <v>492</v>
      </c>
      <c r="B10" s="1178" t="n">
        <f aca="false">物流参数!DQ10</f>
        <v>431.41</v>
      </c>
    </row>
    <row r="11" customFormat="false" ht="15" hidden="false" customHeight="false" outlineLevel="0" collapsed="false">
      <c r="A11" s="261" t="s">
        <v>493</v>
      </c>
      <c r="B11" s="1178" t="n">
        <f aca="false">B9/B10</f>
        <v>-3.84606290999281</v>
      </c>
    </row>
    <row r="12" customFormat="false" ht="15" hidden="false" customHeight="false" outlineLevel="0" collapsed="false">
      <c r="A12" s="253" t="s">
        <v>494</v>
      </c>
      <c r="B12" s="1178" t="n">
        <f aca="false">0.785*B4^2*B5/B11*60</f>
        <v>-158.711912489528</v>
      </c>
    </row>
    <row r="13" customFormat="false" ht="15" hidden="false" customHeight="false" outlineLevel="0" collapsed="false">
      <c r="A13" s="253" t="s">
        <v>650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75"/>
  <sheetViews>
    <sheetView showFormulas="false" showGridLines="true" showRowColHeaders="true" showZeros="true" rightToLeft="false" tabSelected="true" showOutlineSymbols="true" defaultGridColor="true" view="normal" topLeftCell="A94" colorId="64" zoomScale="100" zoomScaleNormal="100" zoomScalePageLayoutView="100" workbookViewId="0">
      <selection pane="topLeft" activeCell="G160" activeCellId="0" sqref="1:1048576"/>
    </sheetView>
  </sheetViews>
  <sheetFormatPr defaultColWidth="9.00390625" defaultRowHeight="14.25" zeroHeight="false" outlineLevelRow="0" outlineLevelCol="0"/>
  <cols>
    <col collapsed="false" customWidth="false" hidden="false" outlineLevel="0" max="1" min="1" style="376" width="9"/>
    <col collapsed="false" customWidth="true" hidden="false" outlineLevel="0" max="2" min="2" style="376" width="11.13"/>
    <col collapsed="false" customWidth="true" hidden="false" outlineLevel="0" max="3" min="3" style="376" width="14.38"/>
    <col collapsed="false" customWidth="true" hidden="false" outlineLevel="0" max="4" min="4" style="376" width="12.62"/>
    <col collapsed="false" customWidth="true" hidden="false" outlineLevel="0" max="5" min="5" style="376" width="10.25"/>
    <col collapsed="false" customWidth="true" hidden="false" outlineLevel="0" max="6" min="6" style="376" width="12.87"/>
    <col collapsed="false" customWidth="true" hidden="false" outlineLevel="0" max="7" min="7" style="376" width="18.62"/>
    <col collapsed="false" customWidth="true" hidden="false" outlineLevel="0" max="8" min="8" style="376" width="14.63"/>
    <col collapsed="false" customWidth="false" hidden="false" outlineLevel="0" max="9" min="9" style="376" width="9"/>
    <col collapsed="false" customWidth="true" hidden="false" outlineLevel="0" max="10" min="10" style="376" width="26"/>
    <col collapsed="false" customWidth="false" hidden="false" outlineLevel="0" max="257" min="11" style="376" width="9"/>
    <col collapsed="false" customWidth="true" hidden="false" outlineLevel="0" max="258" min="258" style="376" width="11.13"/>
    <col collapsed="false" customWidth="true" hidden="false" outlineLevel="0" max="259" min="259" style="376" width="14.38"/>
    <col collapsed="false" customWidth="true" hidden="false" outlineLevel="0" max="260" min="260" style="376" width="12.62"/>
    <col collapsed="false" customWidth="true" hidden="false" outlineLevel="0" max="261" min="261" style="376" width="10.25"/>
    <col collapsed="false" customWidth="true" hidden="false" outlineLevel="0" max="262" min="262" style="376" width="12.87"/>
    <col collapsed="false" customWidth="true" hidden="false" outlineLevel="0" max="263" min="263" style="376" width="18.62"/>
    <col collapsed="false" customWidth="true" hidden="false" outlineLevel="0" max="264" min="264" style="376" width="14.63"/>
    <col collapsed="false" customWidth="false" hidden="false" outlineLevel="0" max="513" min="265" style="376" width="9"/>
    <col collapsed="false" customWidth="true" hidden="false" outlineLevel="0" max="514" min="514" style="376" width="11.13"/>
    <col collapsed="false" customWidth="true" hidden="false" outlineLevel="0" max="515" min="515" style="376" width="14.38"/>
    <col collapsed="false" customWidth="true" hidden="false" outlineLevel="0" max="516" min="516" style="376" width="12.62"/>
    <col collapsed="false" customWidth="true" hidden="false" outlineLevel="0" max="517" min="517" style="376" width="10.25"/>
    <col collapsed="false" customWidth="true" hidden="false" outlineLevel="0" max="518" min="518" style="376" width="12.87"/>
    <col collapsed="false" customWidth="true" hidden="false" outlineLevel="0" max="519" min="519" style="376" width="18.62"/>
    <col collapsed="false" customWidth="true" hidden="false" outlineLevel="0" max="520" min="520" style="376" width="14.63"/>
    <col collapsed="false" customWidth="false" hidden="false" outlineLevel="0" max="769" min="521" style="376" width="9"/>
    <col collapsed="false" customWidth="true" hidden="false" outlineLevel="0" max="770" min="770" style="376" width="11.13"/>
    <col collapsed="false" customWidth="true" hidden="false" outlineLevel="0" max="771" min="771" style="376" width="14.38"/>
    <col collapsed="false" customWidth="true" hidden="false" outlineLevel="0" max="772" min="772" style="376" width="12.62"/>
    <col collapsed="false" customWidth="true" hidden="false" outlineLevel="0" max="773" min="773" style="376" width="10.25"/>
    <col collapsed="false" customWidth="true" hidden="false" outlineLevel="0" max="774" min="774" style="376" width="12.87"/>
    <col collapsed="false" customWidth="true" hidden="false" outlineLevel="0" max="775" min="775" style="376" width="18.62"/>
    <col collapsed="false" customWidth="true" hidden="false" outlineLevel="0" max="776" min="776" style="376" width="14.63"/>
    <col collapsed="false" customWidth="false" hidden="false" outlineLevel="0" max="1025" min="777" style="376" width="9"/>
    <col collapsed="false" customWidth="true" hidden="false" outlineLevel="0" max="1026" min="1026" style="376" width="11.13"/>
    <col collapsed="false" customWidth="true" hidden="false" outlineLevel="0" max="1027" min="1027" style="376" width="14.38"/>
    <col collapsed="false" customWidth="true" hidden="false" outlineLevel="0" max="1028" min="1028" style="376" width="12.62"/>
    <col collapsed="false" customWidth="true" hidden="false" outlineLevel="0" max="1029" min="1029" style="376" width="10.25"/>
    <col collapsed="false" customWidth="true" hidden="false" outlineLevel="0" max="1030" min="1030" style="376" width="12.87"/>
    <col collapsed="false" customWidth="true" hidden="false" outlineLevel="0" max="1031" min="1031" style="376" width="18.62"/>
    <col collapsed="false" customWidth="true" hidden="false" outlineLevel="0" max="1032" min="1032" style="376" width="14.63"/>
    <col collapsed="false" customWidth="false" hidden="false" outlineLevel="0" max="1281" min="1033" style="376" width="9"/>
    <col collapsed="false" customWidth="true" hidden="false" outlineLevel="0" max="1282" min="1282" style="376" width="11.13"/>
    <col collapsed="false" customWidth="true" hidden="false" outlineLevel="0" max="1283" min="1283" style="376" width="14.38"/>
    <col collapsed="false" customWidth="true" hidden="false" outlineLevel="0" max="1284" min="1284" style="376" width="12.62"/>
    <col collapsed="false" customWidth="true" hidden="false" outlineLevel="0" max="1285" min="1285" style="376" width="10.25"/>
    <col collapsed="false" customWidth="true" hidden="false" outlineLevel="0" max="1286" min="1286" style="376" width="12.87"/>
    <col collapsed="false" customWidth="true" hidden="false" outlineLevel="0" max="1287" min="1287" style="376" width="18.62"/>
    <col collapsed="false" customWidth="true" hidden="false" outlineLevel="0" max="1288" min="1288" style="376" width="14.63"/>
    <col collapsed="false" customWidth="false" hidden="false" outlineLevel="0" max="1537" min="1289" style="376" width="9"/>
    <col collapsed="false" customWidth="true" hidden="false" outlineLevel="0" max="1538" min="1538" style="376" width="11.13"/>
    <col collapsed="false" customWidth="true" hidden="false" outlineLevel="0" max="1539" min="1539" style="376" width="14.38"/>
    <col collapsed="false" customWidth="true" hidden="false" outlineLevel="0" max="1540" min="1540" style="376" width="12.62"/>
    <col collapsed="false" customWidth="true" hidden="false" outlineLevel="0" max="1541" min="1541" style="376" width="10.25"/>
    <col collapsed="false" customWidth="true" hidden="false" outlineLevel="0" max="1542" min="1542" style="376" width="12.87"/>
    <col collapsed="false" customWidth="true" hidden="false" outlineLevel="0" max="1543" min="1543" style="376" width="18.62"/>
    <col collapsed="false" customWidth="true" hidden="false" outlineLevel="0" max="1544" min="1544" style="376" width="14.63"/>
    <col collapsed="false" customWidth="false" hidden="false" outlineLevel="0" max="1793" min="1545" style="376" width="9"/>
    <col collapsed="false" customWidth="true" hidden="false" outlineLevel="0" max="1794" min="1794" style="376" width="11.13"/>
    <col collapsed="false" customWidth="true" hidden="false" outlineLevel="0" max="1795" min="1795" style="376" width="14.38"/>
    <col collapsed="false" customWidth="true" hidden="false" outlineLevel="0" max="1796" min="1796" style="376" width="12.62"/>
    <col collapsed="false" customWidth="true" hidden="false" outlineLevel="0" max="1797" min="1797" style="376" width="10.25"/>
    <col collapsed="false" customWidth="true" hidden="false" outlineLevel="0" max="1798" min="1798" style="376" width="12.87"/>
    <col collapsed="false" customWidth="true" hidden="false" outlineLevel="0" max="1799" min="1799" style="376" width="18.62"/>
    <col collapsed="false" customWidth="true" hidden="false" outlineLevel="0" max="1800" min="1800" style="376" width="14.63"/>
    <col collapsed="false" customWidth="false" hidden="false" outlineLevel="0" max="2049" min="1801" style="376" width="9"/>
    <col collapsed="false" customWidth="true" hidden="false" outlineLevel="0" max="2050" min="2050" style="376" width="11.13"/>
    <col collapsed="false" customWidth="true" hidden="false" outlineLevel="0" max="2051" min="2051" style="376" width="14.38"/>
    <col collapsed="false" customWidth="true" hidden="false" outlineLevel="0" max="2052" min="2052" style="376" width="12.62"/>
    <col collapsed="false" customWidth="true" hidden="false" outlineLevel="0" max="2053" min="2053" style="376" width="10.25"/>
    <col collapsed="false" customWidth="true" hidden="false" outlineLevel="0" max="2054" min="2054" style="376" width="12.87"/>
    <col collapsed="false" customWidth="true" hidden="false" outlineLevel="0" max="2055" min="2055" style="376" width="18.62"/>
    <col collapsed="false" customWidth="true" hidden="false" outlineLevel="0" max="2056" min="2056" style="376" width="14.63"/>
    <col collapsed="false" customWidth="false" hidden="false" outlineLevel="0" max="2305" min="2057" style="376" width="9"/>
    <col collapsed="false" customWidth="true" hidden="false" outlineLevel="0" max="2306" min="2306" style="376" width="11.13"/>
    <col collapsed="false" customWidth="true" hidden="false" outlineLevel="0" max="2307" min="2307" style="376" width="14.38"/>
    <col collapsed="false" customWidth="true" hidden="false" outlineLevel="0" max="2308" min="2308" style="376" width="12.62"/>
    <col collapsed="false" customWidth="true" hidden="false" outlineLevel="0" max="2309" min="2309" style="376" width="10.25"/>
    <col collapsed="false" customWidth="true" hidden="false" outlineLevel="0" max="2310" min="2310" style="376" width="12.87"/>
    <col collapsed="false" customWidth="true" hidden="false" outlineLevel="0" max="2311" min="2311" style="376" width="18.62"/>
    <col collapsed="false" customWidth="true" hidden="false" outlineLevel="0" max="2312" min="2312" style="376" width="14.63"/>
    <col collapsed="false" customWidth="false" hidden="false" outlineLevel="0" max="2561" min="2313" style="376" width="9"/>
    <col collapsed="false" customWidth="true" hidden="false" outlineLevel="0" max="2562" min="2562" style="376" width="11.13"/>
    <col collapsed="false" customWidth="true" hidden="false" outlineLevel="0" max="2563" min="2563" style="376" width="14.38"/>
    <col collapsed="false" customWidth="true" hidden="false" outlineLevel="0" max="2564" min="2564" style="376" width="12.62"/>
    <col collapsed="false" customWidth="true" hidden="false" outlineLevel="0" max="2565" min="2565" style="376" width="10.25"/>
    <col collapsed="false" customWidth="true" hidden="false" outlineLevel="0" max="2566" min="2566" style="376" width="12.87"/>
    <col collapsed="false" customWidth="true" hidden="false" outlineLevel="0" max="2567" min="2567" style="376" width="18.62"/>
    <col collapsed="false" customWidth="true" hidden="false" outlineLevel="0" max="2568" min="2568" style="376" width="14.63"/>
    <col collapsed="false" customWidth="false" hidden="false" outlineLevel="0" max="2817" min="2569" style="376" width="9"/>
    <col collapsed="false" customWidth="true" hidden="false" outlineLevel="0" max="2818" min="2818" style="376" width="11.13"/>
    <col collapsed="false" customWidth="true" hidden="false" outlineLevel="0" max="2819" min="2819" style="376" width="14.38"/>
    <col collapsed="false" customWidth="true" hidden="false" outlineLevel="0" max="2820" min="2820" style="376" width="12.62"/>
    <col collapsed="false" customWidth="true" hidden="false" outlineLevel="0" max="2821" min="2821" style="376" width="10.25"/>
    <col collapsed="false" customWidth="true" hidden="false" outlineLevel="0" max="2822" min="2822" style="376" width="12.87"/>
    <col collapsed="false" customWidth="true" hidden="false" outlineLevel="0" max="2823" min="2823" style="376" width="18.62"/>
    <col collapsed="false" customWidth="true" hidden="false" outlineLevel="0" max="2824" min="2824" style="376" width="14.63"/>
    <col collapsed="false" customWidth="false" hidden="false" outlineLevel="0" max="3073" min="2825" style="376" width="9"/>
    <col collapsed="false" customWidth="true" hidden="false" outlineLevel="0" max="3074" min="3074" style="376" width="11.13"/>
    <col collapsed="false" customWidth="true" hidden="false" outlineLevel="0" max="3075" min="3075" style="376" width="14.38"/>
    <col collapsed="false" customWidth="true" hidden="false" outlineLevel="0" max="3076" min="3076" style="376" width="12.62"/>
    <col collapsed="false" customWidth="true" hidden="false" outlineLevel="0" max="3077" min="3077" style="376" width="10.25"/>
    <col collapsed="false" customWidth="true" hidden="false" outlineLevel="0" max="3078" min="3078" style="376" width="12.87"/>
    <col collapsed="false" customWidth="true" hidden="false" outlineLevel="0" max="3079" min="3079" style="376" width="18.62"/>
    <col collapsed="false" customWidth="true" hidden="false" outlineLevel="0" max="3080" min="3080" style="376" width="14.63"/>
    <col collapsed="false" customWidth="false" hidden="false" outlineLevel="0" max="3329" min="3081" style="376" width="9"/>
    <col collapsed="false" customWidth="true" hidden="false" outlineLevel="0" max="3330" min="3330" style="376" width="11.13"/>
    <col collapsed="false" customWidth="true" hidden="false" outlineLevel="0" max="3331" min="3331" style="376" width="14.38"/>
    <col collapsed="false" customWidth="true" hidden="false" outlineLevel="0" max="3332" min="3332" style="376" width="12.62"/>
    <col collapsed="false" customWidth="true" hidden="false" outlineLevel="0" max="3333" min="3333" style="376" width="10.25"/>
    <col collapsed="false" customWidth="true" hidden="false" outlineLevel="0" max="3334" min="3334" style="376" width="12.87"/>
    <col collapsed="false" customWidth="true" hidden="false" outlineLevel="0" max="3335" min="3335" style="376" width="18.62"/>
    <col collapsed="false" customWidth="true" hidden="false" outlineLevel="0" max="3336" min="3336" style="376" width="14.63"/>
    <col collapsed="false" customWidth="false" hidden="false" outlineLevel="0" max="3585" min="3337" style="376" width="9"/>
    <col collapsed="false" customWidth="true" hidden="false" outlineLevel="0" max="3586" min="3586" style="376" width="11.13"/>
    <col collapsed="false" customWidth="true" hidden="false" outlineLevel="0" max="3587" min="3587" style="376" width="14.38"/>
    <col collapsed="false" customWidth="true" hidden="false" outlineLevel="0" max="3588" min="3588" style="376" width="12.62"/>
    <col collapsed="false" customWidth="true" hidden="false" outlineLevel="0" max="3589" min="3589" style="376" width="10.25"/>
    <col collapsed="false" customWidth="true" hidden="false" outlineLevel="0" max="3590" min="3590" style="376" width="12.87"/>
    <col collapsed="false" customWidth="true" hidden="false" outlineLevel="0" max="3591" min="3591" style="376" width="18.62"/>
    <col collapsed="false" customWidth="true" hidden="false" outlineLevel="0" max="3592" min="3592" style="376" width="14.63"/>
    <col collapsed="false" customWidth="false" hidden="false" outlineLevel="0" max="3841" min="3593" style="376" width="9"/>
    <col collapsed="false" customWidth="true" hidden="false" outlineLevel="0" max="3842" min="3842" style="376" width="11.13"/>
    <col collapsed="false" customWidth="true" hidden="false" outlineLevel="0" max="3843" min="3843" style="376" width="14.38"/>
    <col collapsed="false" customWidth="true" hidden="false" outlineLevel="0" max="3844" min="3844" style="376" width="12.62"/>
    <col collapsed="false" customWidth="true" hidden="false" outlineLevel="0" max="3845" min="3845" style="376" width="10.25"/>
    <col collapsed="false" customWidth="true" hidden="false" outlineLevel="0" max="3846" min="3846" style="376" width="12.87"/>
    <col collapsed="false" customWidth="true" hidden="false" outlineLevel="0" max="3847" min="3847" style="376" width="18.62"/>
    <col collapsed="false" customWidth="true" hidden="false" outlineLevel="0" max="3848" min="3848" style="376" width="14.63"/>
    <col collapsed="false" customWidth="false" hidden="false" outlineLevel="0" max="4097" min="3849" style="376" width="9"/>
    <col collapsed="false" customWidth="true" hidden="false" outlineLevel="0" max="4098" min="4098" style="376" width="11.13"/>
    <col collapsed="false" customWidth="true" hidden="false" outlineLevel="0" max="4099" min="4099" style="376" width="14.38"/>
    <col collapsed="false" customWidth="true" hidden="false" outlineLevel="0" max="4100" min="4100" style="376" width="12.62"/>
    <col collapsed="false" customWidth="true" hidden="false" outlineLevel="0" max="4101" min="4101" style="376" width="10.25"/>
    <col collapsed="false" customWidth="true" hidden="false" outlineLevel="0" max="4102" min="4102" style="376" width="12.87"/>
    <col collapsed="false" customWidth="true" hidden="false" outlineLevel="0" max="4103" min="4103" style="376" width="18.62"/>
    <col collapsed="false" customWidth="true" hidden="false" outlineLevel="0" max="4104" min="4104" style="376" width="14.63"/>
    <col collapsed="false" customWidth="false" hidden="false" outlineLevel="0" max="4353" min="4105" style="376" width="9"/>
    <col collapsed="false" customWidth="true" hidden="false" outlineLevel="0" max="4354" min="4354" style="376" width="11.13"/>
    <col collapsed="false" customWidth="true" hidden="false" outlineLevel="0" max="4355" min="4355" style="376" width="14.38"/>
    <col collapsed="false" customWidth="true" hidden="false" outlineLevel="0" max="4356" min="4356" style="376" width="12.62"/>
    <col collapsed="false" customWidth="true" hidden="false" outlineLevel="0" max="4357" min="4357" style="376" width="10.25"/>
    <col collapsed="false" customWidth="true" hidden="false" outlineLevel="0" max="4358" min="4358" style="376" width="12.87"/>
    <col collapsed="false" customWidth="true" hidden="false" outlineLevel="0" max="4359" min="4359" style="376" width="18.62"/>
    <col collapsed="false" customWidth="true" hidden="false" outlineLevel="0" max="4360" min="4360" style="376" width="14.63"/>
    <col collapsed="false" customWidth="false" hidden="false" outlineLevel="0" max="4609" min="4361" style="376" width="9"/>
    <col collapsed="false" customWidth="true" hidden="false" outlineLevel="0" max="4610" min="4610" style="376" width="11.13"/>
    <col collapsed="false" customWidth="true" hidden="false" outlineLevel="0" max="4611" min="4611" style="376" width="14.38"/>
    <col collapsed="false" customWidth="true" hidden="false" outlineLevel="0" max="4612" min="4612" style="376" width="12.62"/>
    <col collapsed="false" customWidth="true" hidden="false" outlineLevel="0" max="4613" min="4613" style="376" width="10.25"/>
    <col collapsed="false" customWidth="true" hidden="false" outlineLevel="0" max="4614" min="4614" style="376" width="12.87"/>
    <col collapsed="false" customWidth="true" hidden="false" outlineLevel="0" max="4615" min="4615" style="376" width="18.62"/>
    <col collapsed="false" customWidth="true" hidden="false" outlineLevel="0" max="4616" min="4616" style="376" width="14.63"/>
    <col collapsed="false" customWidth="false" hidden="false" outlineLevel="0" max="4865" min="4617" style="376" width="9"/>
    <col collapsed="false" customWidth="true" hidden="false" outlineLevel="0" max="4866" min="4866" style="376" width="11.13"/>
    <col collapsed="false" customWidth="true" hidden="false" outlineLevel="0" max="4867" min="4867" style="376" width="14.38"/>
    <col collapsed="false" customWidth="true" hidden="false" outlineLevel="0" max="4868" min="4868" style="376" width="12.62"/>
    <col collapsed="false" customWidth="true" hidden="false" outlineLevel="0" max="4869" min="4869" style="376" width="10.25"/>
    <col collapsed="false" customWidth="true" hidden="false" outlineLevel="0" max="4870" min="4870" style="376" width="12.87"/>
    <col collapsed="false" customWidth="true" hidden="false" outlineLevel="0" max="4871" min="4871" style="376" width="18.62"/>
    <col collapsed="false" customWidth="true" hidden="false" outlineLevel="0" max="4872" min="4872" style="376" width="14.63"/>
    <col collapsed="false" customWidth="false" hidden="false" outlineLevel="0" max="5121" min="4873" style="376" width="9"/>
    <col collapsed="false" customWidth="true" hidden="false" outlineLevel="0" max="5122" min="5122" style="376" width="11.13"/>
    <col collapsed="false" customWidth="true" hidden="false" outlineLevel="0" max="5123" min="5123" style="376" width="14.38"/>
    <col collapsed="false" customWidth="true" hidden="false" outlineLevel="0" max="5124" min="5124" style="376" width="12.62"/>
    <col collapsed="false" customWidth="true" hidden="false" outlineLevel="0" max="5125" min="5125" style="376" width="10.25"/>
    <col collapsed="false" customWidth="true" hidden="false" outlineLevel="0" max="5126" min="5126" style="376" width="12.87"/>
    <col collapsed="false" customWidth="true" hidden="false" outlineLevel="0" max="5127" min="5127" style="376" width="18.62"/>
    <col collapsed="false" customWidth="true" hidden="false" outlineLevel="0" max="5128" min="5128" style="376" width="14.63"/>
    <col collapsed="false" customWidth="false" hidden="false" outlineLevel="0" max="5377" min="5129" style="376" width="9"/>
    <col collapsed="false" customWidth="true" hidden="false" outlineLevel="0" max="5378" min="5378" style="376" width="11.13"/>
    <col collapsed="false" customWidth="true" hidden="false" outlineLevel="0" max="5379" min="5379" style="376" width="14.38"/>
    <col collapsed="false" customWidth="true" hidden="false" outlineLevel="0" max="5380" min="5380" style="376" width="12.62"/>
    <col collapsed="false" customWidth="true" hidden="false" outlineLevel="0" max="5381" min="5381" style="376" width="10.25"/>
    <col collapsed="false" customWidth="true" hidden="false" outlineLevel="0" max="5382" min="5382" style="376" width="12.87"/>
    <col collapsed="false" customWidth="true" hidden="false" outlineLevel="0" max="5383" min="5383" style="376" width="18.62"/>
    <col collapsed="false" customWidth="true" hidden="false" outlineLevel="0" max="5384" min="5384" style="376" width="14.63"/>
    <col collapsed="false" customWidth="false" hidden="false" outlineLevel="0" max="5633" min="5385" style="376" width="9"/>
    <col collapsed="false" customWidth="true" hidden="false" outlineLevel="0" max="5634" min="5634" style="376" width="11.13"/>
    <col collapsed="false" customWidth="true" hidden="false" outlineLevel="0" max="5635" min="5635" style="376" width="14.38"/>
    <col collapsed="false" customWidth="true" hidden="false" outlineLevel="0" max="5636" min="5636" style="376" width="12.62"/>
    <col collapsed="false" customWidth="true" hidden="false" outlineLevel="0" max="5637" min="5637" style="376" width="10.25"/>
    <col collapsed="false" customWidth="true" hidden="false" outlineLevel="0" max="5638" min="5638" style="376" width="12.87"/>
    <col collapsed="false" customWidth="true" hidden="false" outlineLevel="0" max="5639" min="5639" style="376" width="18.62"/>
    <col collapsed="false" customWidth="true" hidden="false" outlineLevel="0" max="5640" min="5640" style="376" width="14.63"/>
    <col collapsed="false" customWidth="false" hidden="false" outlineLevel="0" max="5889" min="5641" style="376" width="9"/>
    <col collapsed="false" customWidth="true" hidden="false" outlineLevel="0" max="5890" min="5890" style="376" width="11.13"/>
    <col collapsed="false" customWidth="true" hidden="false" outlineLevel="0" max="5891" min="5891" style="376" width="14.38"/>
    <col collapsed="false" customWidth="true" hidden="false" outlineLevel="0" max="5892" min="5892" style="376" width="12.62"/>
    <col collapsed="false" customWidth="true" hidden="false" outlineLevel="0" max="5893" min="5893" style="376" width="10.25"/>
    <col collapsed="false" customWidth="true" hidden="false" outlineLevel="0" max="5894" min="5894" style="376" width="12.87"/>
    <col collapsed="false" customWidth="true" hidden="false" outlineLevel="0" max="5895" min="5895" style="376" width="18.62"/>
    <col collapsed="false" customWidth="true" hidden="false" outlineLevel="0" max="5896" min="5896" style="376" width="14.63"/>
    <col collapsed="false" customWidth="false" hidden="false" outlineLevel="0" max="6145" min="5897" style="376" width="9"/>
    <col collapsed="false" customWidth="true" hidden="false" outlineLevel="0" max="6146" min="6146" style="376" width="11.13"/>
    <col collapsed="false" customWidth="true" hidden="false" outlineLevel="0" max="6147" min="6147" style="376" width="14.38"/>
    <col collapsed="false" customWidth="true" hidden="false" outlineLevel="0" max="6148" min="6148" style="376" width="12.62"/>
    <col collapsed="false" customWidth="true" hidden="false" outlineLevel="0" max="6149" min="6149" style="376" width="10.25"/>
    <col collapsed="false" customWidth="true" hidden="false" outlineLevel="0" max="6150" min="6150" style="376" width="12.87"/>
    <col collapsed="false" customWidth="true" hidden="false" outlineLevel="0" max="6151" min="6151" style="376" width="18.62"/>
    <col collapsed="false" customWidth="true" hidden="false" outlineLevel="0" max="6152" min="6152" style="376" width="14.63"/>
    <col collapsed="false" customWidth="false" hidden="false" outlineLevel="0" max="6401" min="6153" style="376" width="9"/>
    <col collapsed="false" customWidth="true" hidden="false" outlineLevel="0" max="6402" min="6402" style="376" width="11.13"/>
    <col collapsed="false" customWidth="true" hidden="false" outlineLevel="0" max="6403" min="6403" style="376" width="14.38"/>
    <col collapsed="false" customWidth="true" hidden="false" outlineLevel="0" max="6404" min="6404" style="376" width="12.62"/>
    <col collapsed="false" customWidth="true" hidden="false" outlineLevel="0" max="6405" min="6405" style="376" width="10.25"/>
    <col collapsed="false" customWidth="true" hidden="false" outlineLevel="0" max="6406" min="6406" style="376" width="12.87"/>
    <col collapsed="false" customWidth="true" hidden="false" outlineLevel="0" max="6407" min="6407" style="376" width="18.62"/>
    <col collapsed="false" customWidth="true" hidden="false" outlineLevel="0" max="6408" min="6408" style="376" width="14.63"/>
    <col collapsed="false" customWidth="false" hidden="false" outlineLevel="0" max="6657" min="6409" style="376" width="9"/>
    <col collapsed="false" customWidth="true" hidden="false" outlineLevel="0" max="6658" min="6658" style="376" width="11.13"/>
    <col collapsed="false" customWidth="true" hidden="false" outlineLevel="0" max="6659" min="6659" style="376" width="14.38"/>
    <col collapsed="false" customWidth="true" hidden="false" outlineLevel="0" max="6660" min="6660" style="376" width="12.62"/>
    <col collapsed="false" customWidth="true" hidden="false" outlineLevel="0" max="6661" min="6661" style="376" width="10.25"/>
    <col collapsed="false" customWidth="true" hidden="false" outlineLevel="0" max="6662" min="6662" style="376" width="12.87"/>
    <col collapsed="false" customWidth="true" hidden="false" outlineLevel="0" max="6663" min="6663" style="376" width="18.62"/>
    <col collapsed="false" customWidth="true" hidden="false" outlineLevel="0" max="6664" min="6664" style="376" width="14.63"/>
    <col collapsed="false" customWidth="false" hidden="false" outlineLevel="0" max="6913" min="6665" style="376" width="9"/>
    <col collapsed="false" customWidth="true" hidden="false" outlineLevel="0" max="6914" min="6914" style="376" width="11.13"/>
    <col collapsed="false" customWidth="true" hidden="false" outlineLevel="0" max="6915" min="6915" style="376" width="14.38"/>
    <col collapsed="false" customWidth="true" hidden="false" outlineLevel="0" max="6916" min="6916" style="376" width="12.62"/>
    <col collapsed="false" customWidth="true" hidden="false" outlineLevel="0" max="6917" min="6917" style="376" width="10.25"/>
    <col collapsed="false" customWidth="true" hidden="false" outlineLevel="0" max="6918" min="6918" style="376" width="12.87"/>
    <col collapsed="false" customWidth="true" hidden="false" outlineLevel="0" max="6919" min="6919" style="376" width="18.62"/>
    <col collapsed="false" customWidth="true" hidden="false" outlineLevel="0" max="6920" min="6920" style="376" width="14.63"/>
    <col collapsed="false" customWidth="false" hidden="false" outlineLevel="0" max="7169" min="6921" style="376" width="9"/>
    <col collapsed="false" customWidth="true" hidden="false" outlineLevel="0" max="7170" min="7170" style="376" width="11.13"/>
    <col collapsed="false" customWidth="true" hidden="false" outlineLevel="0" max="7171" min="7171" style="376" width="14.38"/>
    <col collapsed="false" customWidth="true" hidden="false" outlineLevel="0" max="7172" min="7172" style="376" width="12.62"/>
    <col collapsed="false" customWidth="true" hidden="false" outlineLevel="0" max="7173" min="7173" style="376" width="10.25"/>
    <col collapsed="false" customWidth="true" hidden="false" outlineLevel="0" max="7174" min="7174" style="376" width="12.87"/>
    <col collapsed="false" customWidth="true" hidden="false" outlineLevel="0" max="7175" min="7175" style="376" width="18.62"/>
    <col collapsed="false" customWidth="true" hidden="false" outlineLevel="0" max="7176" min="7176" style="376" width="14.63"/>
    <col collapsed="false" customWidth="false" hidden="false" outlineLevel="0" max="7425" min="7177" style="376" width="9"/>
    <col collapsed="false" customWidth="true" hidden="false" outlineLevel="0" max="7426" min="7426" style="376" width="11.13"/>
    <col collapsed="false" customWidth="true" hidden="false" outlineLevel="0" max="7427" min="7427" style="376" width="14.38"/>
    <col collapsed="false" customWidth="true" hidden="false" outlineLevel="0" max="7428" min="7428" style="376" width="12.62"/>
    <col collapsed="false" customWidth="true" hidden="false" outlineLevel="0" max="7429" min="7429" style="376" width="10.25"/>
    <col collapsed="false" customWidth="true" hidden="false" outlineLevel="0" max="7430" min="7430" style="376" width="12.87"/>
    <col collapsed="false" customWidth="true" hidden="false" outlineLevel="0" max="7431" min="7431" style="376" width="18.62"/>
    <col collapsed="false" customWidth="true" hidden="false" outlineLevel="0" max="7432" min="7432" style="376" width="14.63"/>
    <col collapsed="false" customWidth="false" hidden="false" outlineLevel="0" max="7681" min="7433" style="376" width="9"/>
    <col collapsed="false" customWidth="true" hidden="false" outlineLevel="0" max="7682" min="7682" style="376" width="11.13"/>
    <col collapsed="false" customWidth="true" hidden="false" outlineLevel="0" max="7683" min="7683" style="376" width="14.38"/>
    <col collapsed="false" customWidth="true" hidden="false" outlineLevel="0" max="7684" min="7684" style="376" width="12.62"/>
    <col collapsed="false" customWidth="true" hidden="false" outlineLevel="0" max="7685" min="7685" style="376" width="10.25"/>
    <col collapsed="false" customWidth="true" hidden="false" outlineLevel="0" max="7686" min="7686" style="376" width="12.87"/>
    <col collapsed="false" customWidth="true" hidden="false" outlineLevel="0" max="7687" min="7687" style="376" width="18.62"/>
    <col collapsed="false" customWidth="true" hidden="false" outlineLevel="0" max="7688" min="7688" style="376" width="14.63"/>
    <col collapsed="false" customWidth="false" hidden="false" outlineLevel="0" max="7937" min="7689" style="376" width="9"/>
    <col collapsed="false" customWidth="true" hidden="false" outlineLevel="0" max="7938" min="7938" style="376" width="11.13"/>
    <col collapsed="false" customWidth="true" hidden="false" outlineLevel="0" max="7939" min="7939" style="376" width="14.38"/>
    <col collapsed="false" customWidth="true" hidden="false" outlineLevel="0" max="7940" min="7940" style="376" width="12.62"/>
    <col collapsed="false" customWidth="true" hidden="false" outlineLevel="0" max="7941" min="7941" style="376" width="10.25"/>
    <col collapsed="false" customWidth="true" hidden="false" outlineLevel="0" max="7942" min="7942" style="376" width="12.87"/>
    <col collapsed="false" customWidth="true" hidden="false" outlineLevel="0" max="7943" min="7943" style="376" width="18.62"/>
    <col collapsed="false" customWidth="true" hidden="false" outlineLevel="0" max="7944" min="7944" style="376" width="14.63"/>
    <col collapsed="false" customWidth="false" hidden="false" outlineLevel="0" max="8193" min="7945" style="376" width="9"/>
    <col collapsed="false" customWidth="true" hidden="false" outlineLevel="0" max="8194" min="8194" style="376" width="11.13"/>
    <col collapsed="false" customWidth="true" hidden="false" outlineLevel="0" max="8195" min="8195" style="376" width="14.38"/>
    <col collapsed="false" customWidth="true" hidden="false" outlineLevel="0" max="8196" min="8196" style="376" width="12.62"/>
    <col collapsed="false" customWidth="true" hidden="false" outlineLevel="0" max="8197" min="8197" style="376" width="10.25"/>
    <col collapsed="false" customWidth="true" hidden="false" outlineLevel="0" max="8198" min="8198" style="376" width="12.87"/>
    <col collapsed="false" customWidth="true" hidden="false" outlineLevel="0" max="8199" min="8199" style="376" width="18.62"/>
    <col collapsed="false" customWidth="true" hidden="false" outlineLevel="0" max="8200" min="8200" style="376" width="14.63"/>
    <col collapsed="false" customWidth="false" hidden="false" outlineLevel="0" max="8449" min="8201" style="376" width="9"/>
    <col collapsed="false" customWidth="true" hidden="false" outlineLevel="0" max="8450" min="8450" style="376" width="11.13"/>
    <col collapsed="false" customWidth="true" hidden="false" outlineLevel="0" max="8451" min="8451" style="376" width="14.38"/>
    <col collapsed="false" customWidth="true" hidden="false" outlineLevel="0" max="8452" min="8452" style="376" width="12.62"/>
    <col collapsed="false" customWidth="true" hidden="false" outlineLevel="0" max="8453" min="8453" style="376" width="10.25"/>
    <col collapsed="false" customWidth="true" hidden="false" outlineLevel="0" max="8454" min="8454" style="376" width="12.87"/>
    <col collapsed="false" customWidth="true" hidden="false" outlineLevel="0" max="8455" min="8455" style="376" width="18.62"/>
    <col collapsed="false" customWidth="true" hidden="false" outlineLevel="0" max="8456" min="8456" style="376" width="14.63"/>
    <col collapsed="false" customWidth="false" hidden="false" outlineLevel="0" max="8705" min="8457" style="376" width="9"/>
    <col collapsed="false" customWidth="true" hidden="false" outlineLevel="0" max="8706" min="8706" style="376" width="11.13"/>
    <col collapsed="false" customWidth="true" hidden="false" outlineLevel="0" max="8707" min="8707" style="376" width="14.38"/>
    <col collapsed="false" customWidth="true" hidden="false" outlineLevel="0" max="8708" min="8708" style="376" width="12.62"/>
    <col collapsed="false" customWidth="true" hidden="false" outlineLevel="0" max="8709" min="8709" style="376" width="10.25"/>
    <col collapsed="false" customWidth="true" hidden="false" outlineLevel="0" max="8710" min="8710" style="376" width="12.87"/>
    <col collapsed="false" customWidth="true" hidden="false" outlineLevel="0" max="8711" min="8711" style="376" width="18.62"/>
    <col collapsed="false" customWidth="true" hidden="false" outlineLevel="0" max="8712" min="8712" style="376" width="14.63"/>
    <col collapsed="false" customWidth="false" hidden="false" outlineLevel="0" max="8961" min="8713" style="376" width="9"/>
    <col collapsed="false" customWidth="true" hidden="false" outlineLevel="0" max="8962" min="8962" style="376" width="11.13"/>
    <col collapsed="false" customWidth="true" hidden="false" outlineLevel="0" max="8963" min="8963" style="376" width="14.38"/>
    <col collapsed="false" customWidth="true" hidden="false" outlineLevel="0" max="8964" min="8964" style="376" width="12.62"/>
    <col collapsed="false" customWidth="true" hidden="false" outlineLevel="0" max="8965" min="8965" style="376" width="10.25"/>
    <col collapsed="false" customWidth="true" hidden="false" outlineLevel="0" max="8966" min="8966" style="376" width="12.87"/>
    <col collapsed="false" customWidth="true" hidden="false" outlineLevel="0" max="8967" min="8967" style="376" width="18.62"/>
    <col collapsed="false" customWidth="true" hidden="false" outlineLevel="0" max="8968" min="8968" style="376" width="14.63"/>
    <col collapsed="false" customWidth="false" hidden="false" outlineLevel="0" max="9217" min="8969" style="376" width="9"/>
    <col collapsed="false" customWidth="true" hidden="false" outlineLevel="0" max="9218" min="9218" style="376" width="11.13"/>
    <col collapsed="false" customWidth="true" hidden="false" outlineLevel="0" max="9219" min="9219" style="376" width="14.38"/>
    <col collapsed="false" customWidth="true" hidden="false" outlineLevel="0" max="9220" min="9220" style="376" width="12.62"/>
    <col collapsed="false" customWidth="true" hidden="false" outlineLevel="0" max="9221" min="9221" style="376" width="10.25"/>
    <col collapsed="false" customWidth="true" hidden="false" outlineLevel="0" max="9222" min="9222" style="376" width="12.87"/>
    <col collapsed="false" customWidth="true" hidden="false" outlineLevel="0" max="9223" min="9223" style="376" width="18.62"/>
    <col collapsed="false" customWidth="true" hidden="false" outlineLevel="0" max="9224" min="9224" style="376" width="14.63"/>
    <col collapsed="false" customWidth="false" hidden="false" outlineLevel="0" max="9473" min="9225" style="376" width="9"/>
    <col collapsed="false" customWidth="true" hidden="false" outlineLevel="0" max="9474" min="9474" style="376" width="11.13"/>
    <col collapsed="false" customWidth="true" hidden="false" outlineLevel="0" max="9475" min="9475" style="376" width="14.38"/>
    <col collapsed="false" customWidth="true" hidden="false" outlineLevel="0" max="9476" min="9476" style="376" width="12.62"/>
    <col collapsed="false" customWidth="true" hidden="false" outlineLevel="0" max="9477" min="9477" style="376" width="10.25"/>
    <col collapsed="false" customWidth="true" hidden="false" outlineLevel="0" max="9478" min="9478" style="376" width="12.87"/>
    <col collapsed="false" customWidth="true" hidden="false" outlineLevel="0" max="9479" min="9479" style="376" width="18.62"/>
    <col collapsed="false" customWidth="true" hidden="false" outlineLevel="0" max="9480" min="9480" style="376" width="14.63"/>
    <col collapsed="false" customWidth="false" hidden="false" outlineLevel="0" max="9729" min="9481" style="376" width="9"/>
    <col collapsed="false" customWidth="true" hidden="false" outlineLevel="0" max="9730" min="9730" style="376" width="11.13"/>
    <col collapsed="false" customWidth="true" hidden="false" outlineLevel="0" max="9731" min="9731" style="376" width="14.38"/>
    <col collapsed="false" customWidth="true" hidden="false" outlineLevel="0" max="9732" min="9732" style="376" width="12.62"/>
    <col collapsed="false" customWidth="true" hidden="false" outlineLevel="0" max="9733" min="9733" style="376" width="10.25"/>
    <col collapsed="false" customWidth="true" hidden="false" outlineLevel="0" max="9734" min="9734" style="376" width="12.87"/>
    <col collapsed="false" customWidth="true" hidden="false" outlineLevel="0" max="9735" min="9735" style="376" width="18.62"/>
    <col collapsed="false" customWidth="true" hidden="false" outlineLevel="0" max="9736" min="9736" style="376" width="14.63"/>
    <col collapsed="false" customWidth="false" hidden="false" outlineLevel="0" max="9985" min="9737" style="376" width="9"/>
    <col collapsed="false" customWidth="true" hidden="false" outlineLevel="0" max="9986" min="9986" style="376" width="11.13"/>
    <col collapsed="false" customWidth="true" hidden="false" outlineLevel="0" max="9987" min="9987" style="376" width="14.38"/>
    <col collapsed="false" customWidth="true" hidden="false" outlineLevel="0" max="9988" min="9988" style="376" width="12.62"/>
    <col collapsed="false" customWidth="true" hidden="false" outlineLevel="0" max="9989" min="9989" style="376" width="10.25"/>
    <col collapsed="false" customWidth="true" hidden="false" outlineLevel="0" max="9990" min="9990" style="376" width="12.87"/>
    <col collapsed="false" customWidth="true" hidden="false" outlineLevel="0" max="9991" min="9991" style="376" width="18.62"/>
    <col collapsed="false" customWidth="true" hidden="false" outlineLevel="0" max="9992" min="9992" style="376" width="14.63"/>
    <col collapsed="false" customWidth="false" hidden="false" outlineLevel="0" max="10241" min="9993" style="376" width="9"/>
    <col collapsed="false" customWidth="true" hidden="false" outlineLevel="0" max="10242" min="10242" style="376" width="11.13"/>
    <col collapsed="false" customWidth="true" hidden="false" outlineLevel="0" max="10243" min="10243" style="376" width="14.38"/>
    <col collapsed="false" customWidth="true" hidden="false" outlineLevel="0" max="10244" min="10244" style="376" width="12.62"/>
    <col collapsed="false" customWidth="true" hidden="false" outlineLevel="0" max="10245" min="10245" style="376" width="10.25"/>
    <col collapsed="false" customWidth="true" hidden="false" outlineLevel="0" max="10246" min="10246" style="376" width="12.87"/>
    <col collapsed="false" customWidth="true" hidden="false" outlineLevel="0" max="10247" min="10247" style="376" width="18.62"/>
    <col collapsed="false" customWidth="true" hidden="false" outlineLevel="0" max="10248" min="10248" style="376" width="14.63"/>
    <col collapsed="false" customWidth="false" hidden="false" outlineLevel="0" max="10497" min="10249" style="376" width="9"/>
    <col collapsed="false" customWidth="true" hidden="false" outlineLevel="0" max="10498" min="10498" style="376" width="11.13"/>
    <col collapsed="false" customWidth="true" hidden="false" outlineLevel="0" max="10499" min="10499" style="376" width="14.38"/>
    <col collapsed="false" customWidth="true" hidden="false" outlineLevel="0" max="10500" min="10500" style="376" width="12.62"/>
    <col collapsed="false" customWidth="true" hidden="false" outlineLevel="0" max="10501" min="10501" style="376" width="10.25"/>
    <col collapsed="false" customWidth="true" hidden="false" outlineLevel="0" max="10502" min="10502" style="376" width="12.87"/>
    <col collapsed="false" customWidth="true" hidden="false" outlineLevel="0" max="10503" min="10503" style="376" width="18.62"/>
    <col collapsed="false" customWidth="true" hidden="false" outlineLevel="0" max="10504" min="10504" style="376" width="14.63"/>
    <col collapsed="false" customWidth="false" hidden="false" outlineLevel="0" max="10753" min="10505" style="376" width="9"/>
    <col collapsed="false" customWidth="true" hidden="false" outlineLevel="0" max="10754" min="10754" style="376" width="11.13"/>
    <col collapsed="false" customWidth="true" hidden="false" outlineLevel="0" max="10755" min="10755" style="376" width="14.38"/>
    <col collapsed="false" customWidth="true" hidden="false" outlineLevel="0" max="10756" min="10756" style="376" width="12.62"/>
    <col collapsed="false" customWidth="true" hidden="false" outlineLevel="0" max="10757" min="10757" style="376" width="10.25"/>
    <col collapsed="false" customWidth="true" hidden="false" outlineLevel="0" max="10758" min="10758" style="376" width="12.87"/>
    <col collapsed="false" customWidth="true" hidden="false" outlineLevel="0" max="10759" min="10759" style="376" width="18.62"/>
    <col collapsed="false" customWidth="true" hidden="false" outlineLevel="0" max="10760" min="10760" style="376" width="14.63"/>
    <col collapsed="false" customWidth="false" hidden="false" outlineLevel="0" max="11009" min="10761" style="376" width="9"/>
    <col collapsed="false" customWidth="true" hidden="false" outlineLevel="0" max="11010" min="11010" style="376" width="11.13"/>
    <col collapsed="false" customWidth="true" hidden="false" outlineLevel="0" max="11011" min="11011" style="376" width="14.38"/>
    <col collapsed="false" customWidth="true" hidden="false" outlineLevel="0" max="11012" min="11012" style="376" width="12.62"/>
    <col collapsed="false" customWidth="true" hidden="false" outlineLevel="0" max="11013" min="11013" style="376" width="10.25"/>
    <col collapsed="false" customWidth="true" hidden="false" outlineLevel="0" max="11014" min="11014" style="376" width="12.87"/>
    <col collapsed="false" customWidth="true" hidden="false" outlineLevel="0" max="11015" min="11015" style="376" width="18.62"/>
    <col collapsed="false" customWidth="true" hidden="false" outlineLevel="0" max="11016" min="11016" style="376" width="14.63"/>
    <col collapsed="false" customWidth="false" hidden="false" outlineLevel="0" max="11265" min="11017" style="376" width="9"/>
    <col collapsed="false" customWidth="true" hidden="false" outlineLevel="0" max="11266" min="11266" style="376" width="11.13"/>
    <col collapsed="false" customWidth="true" hidden="false" outlineLevel="0" max="11267" min="11267" style="376" width="14.38"/>
    <col collapsed="false" customWidth="true" hidden="false" outlineLevel="0" max="11268" min="11268" style="376" width="12.62"/>
    <col collapsed="false" customWidth="true" hidden="false" outlineLevel="0" max="11269" min="11269" style="376" width="10.25"/>
    <col collapsed="false" customWidth="true" hidden="false" outlineLevel="0" max="11270" min="11270" style="376" width="12.87"/>
    <col collapsed="false" customWidth="true" hidden="false" outlineLevel="0" max="11271" min="11271" style="376" width="18.62"/>
    <col collapsed="false" customWidth="true" hidden="false" outlineLevel="0" max="11272" min="11272" style="376" width="14.63"/>
    <col collapsed="false" customWidth="false" hidden="false" outlineLevel="0" max="11521" min="11273" style="376" width="9"/>
    <col collapsed="false" customWidth="true" hidden="false" outlineLevel="0" max="11522" min="11522" style="376" width="11.13"/>
    <col collapsed="false" customWidth="true" hidden="false" outlineLevel="0" max="11523" min="11523" style="376" width="14.38"/>
    <col collapsed="false" customWidth="true" hidden="false" outlineLevel="0" max="11524" min="11524" style="376" width="12.62"/>
    <col collapsed="false" customWidth="true" hidden="false" outlineLevel="0" max="11525" min="11525" style="376" width="10.25"/>
    <col collapsed="false" customWidth="true" hidden="false" outlineLevel="0" max="11526" min="11526" style="376" width="12.87"/>
    <col collapsed="false" customWidth="true" hidden="false" outlineLevel="0" max="11527" min="11527" style="376" width="18.62"/>
    <col collapsed="false" customWidth="true" hidden="false" outlineLevel="0" max="11528" min="11528" style="376" width="14.63"/>
    <col collapsed="false" customWidth="false" hidden="false" outlineLevel="0" max="11777" min="11529" style="376" width="9"/>
    <col collapsed="false" customWidth="true" hidden="false" outlineLevel="0" max="11778" min="11778" style="376" width="11.13"/>
    <col collapsed="false" customWidth="true" hidden="false" outlineLevel="0" max="11779" min="11779" style="376" width="14.38"/>
    <col collapsed="false" customWidth="true" hidden="false" outlineLevel="0" max="11780" min="11780" style="376" width="12.62"/>
    <col collapsed="false" customWidth="true" hidden="false" outlineLevel="0" max="11781" min="11781" style="376" width="10.25"/>
    <col collapsed="false" customWidth="true" hidden="false" outlineLevel="0" max="11782" min="11782" style="376" width="12.87"/>
    <col collapsed="false" customWidth="true" hidden="false" outlineLevel="0" max="11783" min="11783" style="376" width="18.62"/>
    <col collapsed="false" customWidth="true" hidden="false" outlineLevel="0" max="11784" min="11784" style="376" width="14.63"/>
    <col collapsed="false" customWidth="false" hidden="false" outlineLevel="0" max="12033" min="11785" style="376" width="9"/>
    <col collapsed="false" customWidth="true" hidden="false" outlineLevel="0" max="12034" min="12034" style="376" width="11.13"/>
    <col collapsed="false" customWidth="true" hidden="false" outlineLevel="0" max="12035" min="12035" style="376" width="14.38"/>
    <col collapsed="false" customWidth="true" hidden="false" outlineLevel="0" max="12036" min="12036" style="376" width="12.62"/>
    <col collapsed="false" customWidth="true" hidden="false" outlineLevel="0" max="12037" min="12037" style="376" width="10.25"/>
    <col collapsed="false" customWidth="true" hidden="false" outlineLevel="0" max="12038" min="12038" style="376" width="12.87"/>
    <col collapsed="false" customWidth="true" hidden="false" outlineLevel="0" max="12039" min="12039" style="376" width="18.62"/>
    <col collapsed="false" customWidth="true" hidden="false" outlineLevel="0" max="12040" min="12040" style="376" width="14.63"/>
    <col collapsed="false" customWidth="false" hidden="false" outlineLevel="0" max="12289" min="12041" style="376" width="9"/>
    <col collapsed="false" customWidth="true" hidden="false" outlineLevel="0" max="12290" min="12290" style="376" width="11.13"/>
    <col collapsed="false" customWidth="true" hidden="false" outlineLevel="0" max="12291" min="12291" style="376" width="14.38"/>
    <col collapsed="false" customWidth="true" hidden="false" outlineLevel="0" max="12292" min="12292" style="376" width="12.62"/>
    <col collapsed="false" customWidth="true" hidden="false" outlineLevel="0" max="12293" min="12293" style="376" width="10.25"/>
    <col collapsed="false" customWidth="true" hidden="false" outlineLevel="0" max="12294" min="12294" style="376" width="12.87"/>
    <col collapsed="false" customWidth="true" hidden="false" outlineLevel="0" max="12295" min="12295" style="376" width="18.62"/>
    <col collapsed="false" customWidth="true" hidden="false" outlineLevel="0" max="12296" min="12296" style="376" width="14.63"/>
    <col collapsed="false" customWidth="false" hidden="false" outlineLevel="0" max="12545" min="12297" style="376" width="9"/>
    <col collapsed="false" customWidth="true" hidden="false" outlineLevel="0" max="12546" min="12546" style="376" width="11.13"/>
    <col collapsed="false" customWidth="true" hidden="false" outlineLevel="0" max="12547" min="12547" style="376" width="14.38"/>
    <col collapsed="false" customWidth="true" hidden="false" outlineLevel="0" max="12548" min="12548" style="376" width="12.62"/>
    <col collapsed="false" customWidth="true" hidden="false" outlineLevel="0" max="12549" min="12549" style="376" width="10.25"/>
    <col collapsed="false" customWidth="true" hidden="false" outlineLevel="0" max="12550" min="12550" style="376" width="12.87"/>
    <col collapsed="false" customWidth="true" hidden="false" outlineLevel="0" max="12551" min="12551" style="376" width="18.62"/>
    <col collapsed="false" customWidth="true" hidden="false" outlineLevel="0" max="12552" min="12552" style="376" width="14.63"/>
    <col collapsed="false" customWidth="false" hidden="false" outlineLevel="0" max="12801" min="12553" style="376" width="9"/>
    <col collapsed="false" customWidth="true" hidden="false" outlineLevel="0" max="12802" min="12802" style="376" width="11.13"/>
    <col collapsed="false" customWidth="true" hidden="false" outlineLevel="0" max="12803" min="12803" style="376" width="14.38"/>
    <col collapsed="false" customWidth="true" hidden="false" outlineLevel="0" max="12804" min="12804" style="376" width="12.62"/>
    <col collapsed="false" customWidth="true" hidden="false" outlineLevel="0" max="12805" min="12805" style="376" width="10.25"/>
    <col collapsed="false" customWidth="true" hidden="false" outlineLevel="0" max="12806" min="12806" style="376" width="12.87"/>
    <col collapsed="false" customWidth="true" hidden="false" outlineLevel="0" max="12807" min="12807" style="376" width="18.62"/>
    <col collapsed="false" customWidth="true" hidden="false" outlineLevel="0" max="12808" min="12808" style="376" width="14.63"/>
    <col collapsed="false" customWidth="false" hidden="false" outlineLevel="0" max="13057" min="12809" style="376" width="9"/>
    <col collapsed="false" customWidth="true" hidden="false" outlineLevel="0" max="13058" min="13058" style="376" width="11.13"/>
    <col collapsed="false" customWidth="true" hidden="false" outlineLevel="0" max="13059" min="13059" style="376" width="14.38"/>
    <col collapsed="false" customWidth="true" hidden="false" outlineLevel="0" max="13060" min="13060" style="376" width="12.62"/>
    <col collapsed="false" customWidth="true" hidden="false" outlineLevel="0" max="13061" min="13061" style="376" width="10.25"/>
    <col collapsed="false" customWidth="true" hidden="false" outlineLevel="0" max="13062" min="13062" style="376" width="12.87"/>
    <col collapsed="false" customWidth="true" hidden="false" outlineLevel="0" max="13063" min="13063" style="376" width="18.62"/>
    <col collapsed="false" customWidth="true" hidden="false" outlineLevel="0" max="13064" min="13064" style="376" width="14.63"/>
    <col collapsed="false" customWidth="false" hidden="false" outlineLevel="0" max="13313" min="13065" style="376" width="9"/>
    <col collapsed="false" customWidth="true" hidden="false" outlineLevel="0" max="13314" min="13314" style="376" width="11.13"/>
    <col collapsed="false" customWidth="true" hidden="false" outlineLevel="0" max="13315" min="13315" style="376" width="14.38"/>
    <col collapsed="false" customWidth="true" hidden="false" outlineLevel="0" max="13316" min="13316" style="376" width="12.62"/>
    <col collapsed="false" customWidth="true" hidden="false" outlineLevel="0" max="13317" min="13317" style="376" width="10.25"/>
    <col collapsed="false" customWidth="true" hidden="false" outlineLevel="0" max="13318" min="13318" style="376" width="12.87"/>
    <col collapsed="false" customWidth="true" hidden="false" outlineLevel="0" max="13319" min="13319" style="376" width="18.62"/>
    <col collapsed="false" customWidth="true" hidden="false" outlineLevel="0" max="13320" min="13320" style="376" width="14.63"/>
    <col collapsed="false" customWidth="false" hidden="false" outlineLevel="0" max="13569" min="13321" style="376" width="9"/>
    <col collapsed="false" customWidth="true" hidden="false" outlineLevel="0" max="13570" min="13570" style="376" width="11.13"/>
    <col collapsed="false" customWidth="true" hidden="false" outlineLevel="0" max="13571" min="13571" style="376" width="14.38"/>
    <col collapsed="false" customWidth="true" hidden="false" outlineLevel="0" max="13572" min="13572" style="376" width="12.62"/>
    <col collapsed="false" customWidth="true" hidden="false" outlineLevel="0" max="13573" min="13573" style="376" width="10.25"/>
    <col collapsed="false" customWidth="true" hidden="false" outlineLevel="0" max="13574" min="13574" style="376" width="12.87"/>
    <col collapsed="false" customWidth="true" hidden="false" outlineLevel="0" max="13575" min="13575" style="376" width="18.62"/>
    <col collapsed="false" customWidth="true" hidden="false" outlineLevel="0" max="13576" min="13576" style="376" width="14.63"/>
    <col collapsed="false" customWidth="false" hidden="false" outlineLevel="0" max="13825" min="13577" style="376" width="9"/>
    <col collapsed="false" customWidth="true" hidden="false" outlineLevel="0" max="13826" min="13826" style="376" width="11.13"/>
    <col collapsed="false" customWidth="true" hidden="false" outlineLevel="0" max="13827" min="13827" style="376" width="14.38"/>
    <col collapsed="false" customWidth="true" hidden="false" outlineLevel="0" max="13828" min="13828" style="376" width="12.62"/>
    <col collapsed="false" customWidth="true" hidden="false" outlineLevel="0" max="13829" min="13829" style="376" width="10.25"/>
    <col collapsed="false" customWidth="true" hidden="false" outlineLevel="0" max="13830" min="13830" style="376" width="12.87"/>
    <col collapsed="false" customWidth="true" hidden="false" outlineLevel="0" max="13831" min="13831" style="376" width="18.62"/>
    <col collapsed="false" customWidth="true" hidden="false" outlineLevel="0" max="13832" min="13832" style="376" width="14.63"/>
    <col collapsed="false" customWidth="false" hidden="false" outlineLevel="0" max="14081" min="13833" style="376" width="9"/>
    <col collapsed="false" customWidth="true" hidden="false" outlineLevel="0" max="14082" min="14082" style="376" width="11.13"/>
    <col collapsed="false" customWidth="true" hidden="false" outlineLevel="0" max="14083" min="14083" style="376" width="14.38"/>
    <col collapsed="false" customWidth="true" hidden="false" outlineLevel="0" max="14084" min="14084" style="376" width="12.62"/>
    <col collapsed="false" customWidth="true" hidden="false" outlineLevel="0" max="14085" min="14085" style="376" width="10.25"/>
    <col collapsed="false" customWidth="true" hidden="false" outlineLevel="0" max="14086" min="14086" style="376" width="12.87"/>
    <col collapsed="false" customWidth="true" hidden="false" outlineLevel="0" max="14087" min="14087" style="376" width="18.62"/>
    <col collapsed="false" customWidth="true" hidden="false" outlineLevel="0" max="14088" min="14088" style="376" width="14.63"/>
    <col collapsed="false" customWidth="false" hidden="false" outlineLevel="0" max="14337" min="14089" style="376" width="9"/>
    <col collapsed="false" customWidth="true" hidden="false" outlineLevel="0" max="14338" min="14338" style="376" width="11.13"/>
    <col collapsed="false" customWidth="true" hidden="false" outlineLevel="0" max="14339" min="14339" style="376" width="14.38"/>
    <col collapsed="false" customWidth="true" hidden="false" outlineLevel="0" max="14340" min="14340" style="376" width="12.62"/>
    <col collapsed="false" customWidth="true" hidden="false" outlineLevel="0" max="14341" min="14341" style="376" width="10.25"/>
    <col collapsed="false" customWidth="true" hidden="false" outlineLevel="0" max="14342" min="14342" style="376" width="12.87"/>
    <col collapsed="false" customWidth="true" hidden="false" outlineLevel="0" max="14343" min="14343" style="376" width="18.62"/>
    <col collapsed="false" customWidth="true" hidden="false" outlineLevel="0" max="14344" min="14344" style="376" width="14.63"/>
    <col collapsed="false" customWidth="false" hidden="false" outlineLevel="0" max="14593" min="14345" style="376" width="9"/>
    <col collapsed="false" customWidth="true" hidden="false" outlineLevel="0" max="14594" min="14594" style="376" width="11.13"/>
    <col collapsed="false" customWidth="true" hidden="false" outlineLevel="0" max="14595" min="14595" style="376" width="14.38"/>
    <col collapsed="false" customWidth="true" hidden="false" outlineLevel="0" max="14596" min="14596" style="376" width="12.62"/>
    <col collapsed="false" customWidth="true" hidden="false" outlineLevel="0" max="14597" min="14597" style="376" width="10.25"/>
    <col collapsed="false" customWidth="true" hidden="false" outlineLevel="0" max="14598" min="14598" style="376" width="12.87"/>
    <col collapsed="false" customWidth="true" hidden="false" outlineLevel="0" max="14599" min="14599" style="376" width="18.62"/>
    <col collapsed="false" customWidth="true" hidden="false" outlineLevel="0" max="14600" min="14600" style="376" width="14.63"/>
    <col collapsed="false" customWidth="false" hidden="false" outlineLevel="0" max="14849" min="14601" style="376" width="9"/>
    <col collapsed="false" customWidth="true" hidden="false" outlineLevel="0" max="14850" min="14850" style="376" width="11.13"/>
    <col collapsed="false" customWidth="true" hidden="false" outlineLevel="0" max="14851" min="14851" style="376" width="14.38"/>
    <col collapsed="false" customWidth="true" hidden="false" outlineLevel="0" max="14852" min="14852" style="376" width="12.62"/>
    <col collapsed="false" customWidth="true" hidden="false" outlineLevel="0" max="14853" min="14853" style="376" width="10.25"/>
    <col collapsed="false" customWidth="true" hidden="false" outlineLevel="0" max="14854" min="14854" style="376" width="12.87"/>
    <col collapsed="false" customWidth="true" hidden="false" outlineLevel="0" max="14855" min="14855" style="376" width="18.62"/>
    <col collapsed="false" customWidth="true" hidden="false" outlineLevel="0" max="14856" min="14856" style="376" width="14.63"/>
    <col collapsed="false" customWidth="false" hidden="false" outlineLevel="0" max="15105" min="14857" style="376" width="9"/>
    <col collapsed="false" customWidth="true" hidden="false" outlineLevel="0" max="15106" min="15106" style="376" width="11.13"/>
    <col collapsed="false" customWidth="true" hidden="false" outlineLevel="0" max="15107" min="15107" style="376" width="14.38"/>
    <col collapsed="false" customWidth="true" hidden="false" outlineLevel="0" max="15108" min="15108" style="376" width="12.62"/>
    <col collapsed="false" customWidth="true" hidden="false" outlineLevel="0" max="15109" min="15109" style="376" width="10.25"/>
    <col collapsed="false" customWidth="true" hidden="false" outlineLevel="0" max="15110" min="15110" style="376" width="12.87"/>
    <col collapsed="false" customWidth="true" hidden="false" outlineLevel="0" max="15111" min="15111" style="376" width="18.62"/>
    <col collapsed="false" customWidth="true" hidden="false" outlineLevel="0" max="15112" min="15112" style="376" width="14.63"/>
    <col collapsed="false" customWidth="false" hidden="false" outlineLevel="0" max="15361" min="15113" style="376" width="9"/>
    <col collapsed="false" customWidth="true" hidden="false" outlineLevel="0" max="15362" min="15362" style="376" width="11.13"/>
    <col collapsed="false" customWidth="true" hidden="false" outlineLevel="0" max="15363" min="15363" style="376" width="14.38"/>
    <col collapsed="false" customWidth="true" hidden="false" outlineLevel="0" max="15364" min="15364" style="376" width="12.62"/>
    <col collapsed="false" customWidth="true" hidden="false" outlineLevel="0" max="15365" min="15365" style="376" width="10.25"/>
    <col collapsed="false" customWidth="true" hidden="false" outlineLevel="0" max="15366" min="15366" style="376" width="12.87"/>
    <col collapsed="false" customWidth="true" hidden="false" outlineLevel="0" max="15367" min="15367" style="376" width="18.62"/>
    <col collapsed="false" customWidth="true" hidden="false" outlineLevel="0" max="15368" min="15368" style="376" width="14.63"/>
    <col collapsed="false" customWidth="false" hidden="false" outlineLevel="0" max="15617" min="15369" style="376" width="9"/>
    <col collapsed="false" customWidth="true" hidden="false" outlineLevel="0" max="15618" min="15618" style="376" width="11.13"/>
    <col collapsed="false" customWidth="true" hidden="false" outlineLevel="0" max="15619" min="15619" style="376" width="14.38"/>
    <col collapsed="false" customWidth="true" hidden="false" outlineLevel="0" max="15620" min="15620" style="376" width="12.62"/>
    <col collapsed="false" customWidth="true" hidden="false" outlineLevel="0" max="15621" min="15621" style="376" width="10.25"/>
    <col collapsed="false" customWidth="true" hidden="false" outlineLevel="0" max="15622" min="15622" style="376" width="12.87"/>
    <col collapsed="false" customWidth="true" hidden="false" outlineLevel="0" max="15623" min="15623" style="376" width="18.62"/>
    <col collapsed="false" customWidth="true" hidden="false" outlineLevel="0" max="15624" min="15624" style="376" width="14.63"/>
    <col collapsed="false" customWidth="false" hidden="false" outlineLevel="0" max="15873" min="15625" style="376" width="9"/>
    <col collapsed="false" customWidth="true" hidden="false" outlineLevel="0" max="15874" min="15874" style="376" width="11.13"/>
    <col collapsed="false" customWidth="true" hidden="false" outlineLevel="0" max="15875" min="15875" style="376" width="14.38"/>
    <col collapsed="false" customWidth="true" hidden="false" outlineLevel="0" max="15876" min="15876" style="376" width="12.62"/>
    <col collapsed="false" customWidth="true" hidden="false" outlineLevel="0" max="15877" min="15877" style="376" width="10.25"/>
    <col collapsed="false" customWidth="true" hidden="false" outlineLevel="0" max="15878" min="15878" style="376" width="12.87"/>
    <col collapsed="false" customWidth="true" hidden="false" outlineLevel="0" max="15879" min="15879" style="376" width="18.62"/>
    <col collapsed="false" customWidth="true" hidden="false" outlineLevel="0" max="15880" min="15880" style="376" width="14.63"/>
    <col collapsed="false" customWidth="false" hidden="false" outlineLevel="0" max="16129" min="15881" style="376" width="9"/>
    <col collapsed="false" customWidth="true" hidden="false" outlineLevel="0" max="16130" min="16130" style="376" width="11.13"/>
    <col collapsed="false" customWidth="true" hidden="false" outlineLevel="0" max="16131" min="16131" style="376" width="14.38"/>
    <col collapsed="false" customWidth="true" hidden="false" outlineLevel="0" max="16132" min="16132" style="376" width="12.62"/>
    <col collapsed="false" customWidth="true" hidden="false" outlineLevel="0" max="16133" min="16133" style="376" width="10.25"/>
    <col collapsed="false" customWidth="true" hidden="false" outlineLevel="0" max="16134" min="16134" style="376" width="12.87"/>
    <col collapsed="false" customWidth="true" hidden="false" outlineLevel="0" max="16135" min="16135" style="376" width="18.62"/>
    <col collapsed="false" customWidth="true" hidden="false" outlineLevel="0" max="16136" min="16136" style="376" width="14.63"/>
    <col collapsed="false" customWidth="false" hidden="false" outlineLevel="0" max="16384" min="16137" style="376" width="9"/>
  </cols>
  <sheetData>
    <row r="1" customFormat="false" ht="15" hidden="false" customHeight="false" outlineLevel="0" collapsed="false">
      <c r="A1" s="376" t="s">
        <v>2135</v>
      </c>
    </row>
    <row r="2" customFormat="false" ht="15" hidden="false" customHeight="false" outlineLevel="0" collapsed="false"/>
    <row r="3" customFormat="false" ht="15" hidden="false" customHeight="false" outlineLevel="0" collapsed="false">
      <c r="A3" s="378" t="s">
        <v>2136</v>
      </c>
    </row>
    <row r="4" customFormat="false" ht="15" hidden="false" customHeight="false" outlineLevel="0" collapsed="false">
      <c r="B4" s="1179" t="s">
        <v>2137</v>
      </c>
      <c r="C4" s="1179" t="s">
        <v>496</v>
      </c>
      <c r="D4" s="1179" t="s">
        <v>2138</v>
      </c>
      <c r="E4" s="1179" t="s">
        <v>2139</v>
      </c>
      <c r="F4" s="1179" t="s">
        <v>2140</v>
      </c>
      <c r="G4" s="1179" t="s">
        <v>2141</v>
      </c>
      <c r="H4" s="1180" t="s">
        <v>2142</v>
      </c>
      <c r="I4" s="1180" t="s">
        <v>2143</v>
      </c>
    </row>
    <row r="5" customFormat="false" ht="15" hidden="false" customHeight="false" outlineLevel="0" collapsed="false">
      <c r="B5" s="1181" t="n">
        <v>2400</v>
      </c>
      <c r="C5" s="1181" t="n">
        <v>20</v>
      </c>
      <c r="D5" s="1181" t="n">
        <v>600</v>
      </c>
      <c r="E5" s="1181" t="n">
        <v>0</v>
      </c>
      <c r="F5" s="1181" t="n">
        <v>1700</v>
      </c>
      <c r="G5" s="1181" t="n">
        <v>735.43</v>
      </c>
      <c r="H5" s="1182" t="n">
        <f aca="false">0.25*PI()*(B5/1000)^2</f>
        <v>4.5238934211693</v>
      </c>
      <c r="I5" s="1183" t="n">
        <v>1.551</v>
      </c>
    </row>
    <row r="6" customFormat="false" ht="15" hidden="false" customHeight="false" outlineLevel="0" collapsed="false">
      <c r="B6" s="1184" t="s">
        <v>2144</v>
      </c>
      <c r="C6" s="1184"/>
      <c r="D6" s="1184"/>
      <c r="E6" s="1184"/>
      <c r="F6" s="1184"/>
      <c r="G6" s="1179" t="s">
        <v>2145</v>
      </c>
    </row>
    <row r="7" customFormat="false" ht="15" hidden="false" customHeight="false" outlineLevel="0" collapsed="false">
      <c r="B7" s="1185" t="n">
        <f aca="false">I5/H5</f>
        <v>0.342846273243791</v>
      </c>
      <c r="C7" s="1185"/>
      <c r="D7" s="1185"/>
      <c r="E7" s="1185"/>
      <c r="F7" s="1185"/>
      <c r="G7" s="1181" t="n">
        <v>70</v>
      </c>
    </row>
    <row r="8" customFormat="false" ht="15" hidden="false" customHeight="false" outlineLevel="0" collapsed="false">
      <c r="B8" s="1184" t="s">
        <v>2146</v>
      </c>
      <c r="C8" s="1184"/>
      <c r="D8" s="1184"/>
      <c r="E8" s="1184"/>
      <c r="F8" s="1184"/>
      <c r="G8" s="1179" t="s">
        <v>2147</v>
      </c>
    </row>
    <row r="9" customFormat="false" ht="15" hidden="false" customHeight="false" outlineLevel="0" collapsed="false">
      <c r="B9" s="1185" t="n">
        <v>5200</v>
      </c>
      <c r="C9" s="1185"/>
      <c r="D9" s="1185"/>
      <c r="E9" s="1185"/>
      <c r="F9" s="1185"/>
      <c r="G9" s="1186" t="n">
        <v>2600</v>
      </c>
    </row>
    <row r="10" customFormat="false" ht="15" hidden="false" customHeight="false" outlineLevel="0" collapsed="false"/>
    <row r="11" customFormat="false" ht="15" hidden="false" customHeight="false" outlineLevel="0" collapsed="false">
      <c r="A11" s="1187" t="s">
        <v>2148</v>
      </c>
      <c r="B11" s="376" t="s">
        <v>2149</v>
      </c>
      <c r="E11" s="378" t="s">
        <v>2150</v>
      </c>
      <c r="G11" s="1188" t="n">
        <f aca="false">0.1309*(B5/1000)^3</f>
        <v>1.8095616</v>
      </c>
    </row>
    <row r="12" customFormat="false" ht="15" hidden="false" customHeight="false" outlineLevel="0" collapsed="false">
      <c r="A12" s="1187" t="s">
        <v>2151</v>
      </c>
      <c r="B12" s="376" t="s">
        <v>2152</v>
      </c>
      <c r="E12" s="378" t="s">
        <v>2153</v>
      </c>
      <c r="G12" s="376" t="n">
        <f aca="false">(B5/1000)^2*(G9/1000)</f>
        <v>14.976</v>
      </c>
    </row>
    <row r="13" customFormat="false" ht="15" hidden="false" customHeight="false" outlineLevel="0" collapsed="false">
      <c r="A13" s="1187" t="s">
        <v>2154</v>
      </c>
      <c r="B13" s="376" t="s">
        <v>2155</v>
      </c>
      <c r="E13" s="378" t="s">
        <v>2156</v>
      </c>
      <c r="G13" s="1188" t="n">
        <f aca="false">0.25*C5*(G7/1000)*PI()*(B5/1000)^2*(1-B7)</f>
        <v>4.16205078963702</v>
      </c>
    </row>
    <row r="14" customFormat="false" ht="15" hidden="false" customHeight="false" outlineLevel="0" collapsed="false">
      <c r="A14" s="1189" t="s">
        <v>2157</v>
      </c>
      <c r="B14" s="376" t="s">
        <v>2158</v>
      </c>
      <c r="E14" s="378" t="s">
        <v>2159</v>
      </c>
      <c r="G14" s="1188" t="n">
        <f aca="false">0.25*C5*0.5*(D5/1000)*PI()*(B5/1000)^2*B7</f>
        <v>9.306</v>
      </c>
    </row>
    <row r="15" customFormat="false" ht="15" hidden="false" customHeight="false" outlineLevel="0" collapsed="false">
      <c r="A15" s="1189" t="s">
        <v>2160</v>
      </c>
      <c r="B15" s="376" t="s">
        <v>2161</v>
      </c>
      <c r="C15" s="378" t="s">
        <v>2162</v>
      </c>
      <c r="E15" s="378" t="s">
        <v>2163</v>
      </c>
      <c r="G15" s="1188" t="n">
        <f aca="false">E5*0.25*PI()*(B5/1000)^2*(F5/1000)</f>
        <v>0</v>
      </c>
    </row>
    <row r="16" customFormat="false" ht="15" hidden="false" customHeight="false" outlineLevel="0" collapsed="false">
      <c r="B16" s="1190" t="s">
        <v>2164</v>
      </c>
    </row>
    <row r="17" customFormat="false" ht="15" hidden="false" customHeight="false" outlineLevel="0" collapsed="false">
      <c r="B17" s="1191" t="n">
        <f aca="false">(G11+G12+G13+G14+G15)*G5</f>
        <v>22249.4141597108</v>
      </c>
    </row>
    <row r="18" customFormat="false" ht="15" hidden="false" customHeight="false" outlineLevel="0" collapsed="false"/>
    <row r="19" customFormat="false" ht="15" hidden="false" customHeight="false" outlineLevel="0" collapsed="false"/>
    <row r="20" customFormat="false" ht="15" hidden="false" customHeight="false" outlineLevel="0" collapsed="false">
      <c r="A20" s="378" t="s">
        <v>2165</v>
      </c>
    </row>
    <row r="21" customFormat="false" ht="15" hidden="false" customHeight="false" outlineLevel="0" collapsed="false">
      <c r="B21" s="1179" t="s">
        <v>2137</v>
      </c>
      <c r="C21" s="1179" t="s">
        <v>496</v>
      </c>
      <c r="D21" s="1179" t="s">
        <v>2138</v>
      </c>
      <c r="E21" s="1179" t="s">
        <v>2139</v>
      </c>
      <c r="F21" s="1179" t="s">
        <v>2140</v>
      </c>
      <c r="G21" s="1179" t="s">
        <v>2141</v>
      </c>
      <c r="H21" s="1180" t="s">
        <v>2142</v>
      </c>
      <c r="I21" s="1180" t="s">
        <v>2143</v>
      </c>
    </row>
    <row r="22" customFormat="false" ht="15" hidden="false" customHeight="false" outlineLevel="0" collapsed="false">
      <c r="B22" s="1181" t="n">
        <v>3200</v>
      </c>
      <c r="C22" s="1181" t="n">
        <v>30</v>
      </c>
      <c r="D22" s="1181" t="n">
        <v>600</v>
      </c>
      <c r="E22" s="1181" t="n">
        <v>0</v>
      </c>
      <c r="F22" s="1181" t="n">
        <v>1700</v>
      </c>
      <c r="G22" s="1181" t="n">
        <v>705.9</v>
      </c>
      <c r="H22" s="1182" t="n">
        <f aca="false">0.25*PI()*(B22/1000)^2</f>
        <v>8.04247719318987</v>
      </c>
      <c r="I22" s="1183" t="n">
        <v>1.464</v>
      </c>
    </row>
    <row r="23" customFormat="false" ht="15" hidden="false" customHeight="false" outlineLevel="0" collapsed="false">
      <c r="B23" s="1184" t="s">
        <v>2144</v>
      </c>
      <c r="C23" s="1184"/>
      <c r="D23" s="1184"/>
      <c r="E23" s="1184"/>
      <c r="F23" s="1184"/>
      <c r="G23" s="1179" t="s">
        <v>2145</v>
      </c>
    </row>
    <row r="24" customFormat="false" ht="15" hidden="false" customHeight="false" outlineLevel="0" collapsed="false">
      <c r="B24" s="1185" t="n">
        <f aca="false">I22/H22</f>
        <v>0.182033466161355</v>
      </c>
      <c r="C24" s="1185"/>
      <c r="D24" s="1185"/>
      <c r="E24" s="1185"/>
      <c r="F24" s="1185"/>
      <c r="G24" s="1181" t="n">
        <v>70</v>
      </c>
    </row>
    <row r="25" customFormat="false" ht="15" hidden="false" customHeight="false" outlineLevel="0" collapsed="false">
      <c r="B25" s="1184" t="s">
        <v>2146</v>
      </c>
      <c r="C25" s="1184"/>
      <c r="D25" s="1184"/>
      <c r="E25" s="1184"/>
      <c r="F25" s="1184"/>
      <c r="G25" s="1179" t="s">
        <v>2147</v>
      </c>
    </row>
    <row r="26" customFormat="false" ht="15" hidden="false" customHeight="false" outlineLevel="0" collapsed="false">
      <c r="B26" s="1185" t="n">
        <v>1000</v>
      </c>
      <c r="C26" s="1185"/>
      <c r="D26" s="1185"/>
      <c r="E26" s="1185"/>
      <c r="F26" s="1185"/>
      <c r="G26" s="1186" t="n">
        <v>1050</v>
      </c>
    </row>
    <row r="27" customFormat="false" ht="15" hidden="false" customHeight="false" outlineLevel="0" collapsed="false"/>
    <row r="28" customFormat="false" ht="15" hidden="false" customHeight="false" outlineLevel="0" collapsed="false">
      <c r="A28" s="1187" t="s">
        <v>2148</v>
      </c>
      <c r="B28" s="376" t="s">
        <v>2149</v>
      </c>
      <c r="E28" s="378" t="s">
        <v>2150</v>
      </c>
      <c r="G28" s="1188" t="n">
        <f aca="false">0.1309*(B22/1000)^3</f>
        <v>4.2893312</v>
      </c>
    </row>
    <row r="29" customFormat="false" ht="15" hidden="false" customHeight="false" outlineLevel="0" collapsed="false">
      <c r="A29" s="1187" t="s">
        <v>2151</v>
      </c>
      <c r="B29" s="376" t="s">
        <v>2152</v>
      </c>
      <c r="E29" s="378" t="s">
        <v>2153</v>
      </c>
      <c r="G29" s="376" t="n">
        <f aca="false">(B22/1000)^2*(G26/1000)</f>
        <v>10.752</v>
      </c>
    </row>
    <row r="30" customFormat="false" ht="15" hidden="false" customHeight="false" outlineLevel="0" collapsed="false">
      <c r="A30" s="1187" t="s">
        <v>2154</v>
      </c>
      <c r="B30" s="376" t="s">
        <v>2155</v>
      </c>
      <c r="E30" s="378" t="s">
        <v>2156</v>
      </c>
      <c r="G30" s="1188" t="n">
        <f aca="false">0.25*C22*(G24/1000)*PI()*(B22/1000)^2*(1-B24)</f>
        <v>13.8148021056987</v>
      </c>
    </row>
    <row r="31" customFormat="false" ht="15" hidden="false" customHeight="false" outlineLevel="0" collapsed="false">
      <c r="A31" s="1189" t="s">
        <v>2157</v>
      </c>
      <c r="B31" s="376" t="s">
        <v>2158</v>
      </c>
      <c r="E31" s="378" t="s">
        <v>2159</v>
      </c>
      <c r="G31" s="1188" t="n">
        <f aca="false">0.25*C22*0.5*(D22/1000)*PI()*(B22/1000)^2*B24</f>
        <v>13.176</v>
      </c>
    </row>
    <row r="32" customFormat="false" ht="15" hidden="false" customHeight="false" outlineLevel="0" collapsed="false">
      <c r="A32" s="1189" t="s">
        <v>2160</v>
      </c>
      <c r="B32" s="376" t="s">
        <v>2161</v>
      </c>
      <c r="C32" s="378" t="s">
        <v>2162</v>
      </c>
      <c r="E32" s="378" t="s">
        <v>2163</v>
      </c>
      <c r="G32" s="1188" t="n">
        <f aca="false">E22*0.25*PI()*(B22/1000)^2*(F22/1000)</f>
        <v>0</v>
      </c>
    </row>
    <row r="33" customFormat="false" ht="15" hidden="false" customHeight="false" outlineLevel="0" collapsed="false">
      <c r="B33" s="1190" t="s">
        <v>2164</v>
      </c>
    </row>
    <row r="34" customFormat="false" ht="15" hidden="false" customHeight="false" outlineLevel="0" collapsed="false">
      <c r="B34" s="1191" t="n">
        <f aca="false">(G28+G29+G30+G31+G32)*G22</f>
        <v>29670.4829004927</v>
      </c>
    </row>
    <row r="35" customFormat="false" ht="15" hidden="false" customHeight="false" outlineLevel="0" collapsed="false"/>
    <row r="36" customFormat="false" ht="15" hidden="false" customHeight="false" outlineLevel="0" collapsed="false"/>
    <row r="37" customFormat="false" ht="15" hidden="false" customHeight="false" outlineLevel="0" collapsed="false">
      <c r="A37" s="378" t="s">
        <v>2166</v>
      </c>
    </row>
    <row r="38" customFormat="false" ht="15" hidden="false" customHeight="false" outlineLevel="0" collapsed="false">
      <c r="B38" s="1179" t="s">
        <v>2137</v>
      </c>
      <c r="C38" s="1179" t="s">
        <v>496</v>
      </c>
      <c r="D38" s="1179" t="s">
        <v>2138</v>
      </c>
      <c r="E38" s="1179" t="s">
        <v>2139</v>
      </c>
      <c r="F38" s="1179" t="s">
        <v>2140</v>
      </c>
      <c r="G38" s="1179" t="s">
        <v>2141</v>
      </c>
      <c r="H38" s="1180" t="s">
        <v>2142</v>
      </c>
      <c r="I38" s="1180" t="s">
        <v>2143</v>
      </c>
    </row>
    <row r="39" customFormat="false" ht="15" hidden="false" customHeight="false" outlineLevel="0" collapsed="false">
      <c r="B39" s="1181" t="n">
        <v>1400</v>
      </c>
      <c r="C39" s="1181" t="n">
        <v>6</v>
      </c>
      <c r="D39" s="1181" t="n">
        <v>600</v>
      </c>
      <c r="E39" s="1181" t="n">
        <v>0</v>
      </c>
      <c r="F39" s="1181" t="n">
        <v>1700</v>
      </c>
      <c r="G39" s="1181" t="n">
        <v>691.1</v>
      </c>
      <c r="H39" s="1182" t="n">
        <f aca="false">0.25*PI()*(B39/1000)^2</f>
        <v>1.539380400259</v>
      </c>
      <c r="I39" s="1183" t="n">
        <v>0.3892</v>
      </c>
    </row>
    <row r="40" customFormat="false" ht="15" hidden="false" customHeight="false" outlineLevel="0" collapsed="false">
      <c r="B40" s="1184" t="s">
        <v>2144</v>
      </c>
      <c r="C40" s="1184"/>
      <c r="D40" s="1184"/>
      <c r="E40" s="1184"/>
      <c r="F40" s="1184"/>
      <c r="G40" s="1179" t="s">
        <v>2145</v>
      </c>
    </row>
    <row r="41" customFormat="false" ht="15" hidden="false" customHeight="false" outlineLevel="0" collapsed="false">
      <c r="B41" s="1185" t="n">
        <f aca="false">I39/H39</f>
        <v>0.252828995311697</v>
      </c>
      <c r="C41" s="1185"/>
      <c r="D41" s="1185"/>
      <c r="E41" s="1185"/>
      <c r="F41" s="1185"/>
      <c r="G41" s="1181" t="n">
        <v>70</v>
      </c>
    </row>
    <row r="42" customFormat="false" ht="15" hidden="false" customHeight="false" outlineLevel="0" collapsed="false">
      <c r="B42" s="1184" t="s">
        <v>2146</v>
      </c>
      <c r="C42" s="1184"/>
      <c r="D42" s="1184"/>
      <c r="E42" s="1184"/>
      <c r="F42" s="1184"/>
      <c r="G42" s="1179" t="s">
        <v>2147</v>
      </c>
    </row>
    <row r="43" customFormat="false" ht="15" hidden="false" customHeight="false" outlineLevel="0" collapsed="false">
      <c r="B43" s="1185"/>
      <c r="C43" s="1185"/>
      <c r="D43" s="1185"/>
      <c r="E43" s="1185"/>
      <c r="F43" s="1185"/>
      <c r="G43" s="1186" t="n">
        <v>2600</v>
      </c>
    </row>
    <row r="44" customFormat="false" ht="15" hidden="false" customHeight="false" outlineLevel="0" collapsed="false"/>
    <row r="45" customFormat="false" ht="15" hidden="false" customHeight="false" outlineLevel="0" collapsed="false">
      <c r="A45" s="1187" t="s">
        <v>2148</v>
      </c>
      <c r="B45" s="376" t="s">
        <v>2149</v>
      </c>
      <c r="E45" s="378" t="s">
        <v>2150</v>
      </c>
      <c r="G45" s="1188" t="n">
        <f aca="false">0.1309*(B39/1000)^3</f>
        <v>0.3591896</v>
      </c>
    </row>
    <row r="46" customFormat="false" ht="15" hidden="false" customHeight="false" outlineLevel="0" collapsed="false">
      <c r="A46" s="1187" t="s">
        <v>2151</v>
      </c>
      <c r="B46" s="376" t="s">
        <v>2152</v>
      </c>
      <c r="E46" s="378" t="s">
        <v>2153</v>
      </c>
      <c r="G46" s="376" t="n">
        <f aca="false">(B39/1000)^2*(G43/1000)</f>
        <v>5.096</v>
      </c>
    </row>
    <row r="47" customFormat="false" ht="15" hidden="false" customHeight="false" outlineLevel="0" collapsed="false">
      <c r="A47" s="1187" t="s">
        <v>2154</v>
      </c>
      <c r="B47" s="376" t="s">
        <v>2155</v>
      </c>
      <c r="E47" s="378" t="s">
        <v>2156</v>
      </c>
      <c r="G47" s="1188" t="n">
        <f aca="false">0.25*C39*(G41/1000)*PI()*(B39/1000)^2*(1-B41)</f>
        <v>0.483075768108779</v>
      </c>
    </row>
    <row r="48" customFormat="false" ht="15" hidden="false" customHeight="false" outlineLevel="0" collapsed="false">
      <c r="A48" s="1189" t="s">
        <v>2157</v>
      </c>
      <c r="B48" s="376" t="s">
        <v>2158</v>
      </c>
      <c r="E48" s="378" t="s">
        <v>2159</v>
      </c>
      <c r="G48" s="1188" t="n">
        <f aca="false">0.25*C39*0.5*(D39/1000)*PI()*(B39/1000)^2*B41</f>
        <v>0.70056</v>
      </c>
    </row>
    <row r="49" customFormat="false" ht="15" hidden="false" customHeight="false" outlineLevel="0" collapsed="false">
      <c r="A49" s="1189" t="s">
        <v>2160</v>
      </c>
      <c r="B49" s="376" t="s">
        <v>2161</v>
      </c>
      <c r="C49" s="378" t="s">
        <v>2162</v>
      </c>
      <c r="E49" s="378" t="s">
        <v>2163</v>
      </c>
      <c r="G49" s="1188" t="n">
        <f aca="false">E39*0.25*PI()*(B39/1000)^2*(F39/1000)</f>
        <v>0</v>
      </c>
    </row>
    <row r="50" customFormat="false" ht="15" hidden="false" customHeight="false" outlineLevel="0" collapsed="false">
      <c r="B50" s="1190" t="s">
        <v>2164</v>
      </c>
    </row>
    <row r="51" customFormat="false" ht="15" hidden="false" customHeight="false" outlineLevel="0" collapsed="false">
      <c r="B51" s="1191" t="n">
        <f aca="false">(G45+G46+G47+G48+G49)*G39</f>
        <v>4588.09221189998</v>
      </c>
    </row>
    <row r="52" customFormat="false" ht="15" hidden="false" customHeight="false" outlineLevel="0" collapsed="false">
      <c r="B52" s="1191"/>
    </row>
    <row r="53" customFormat="false" ht="15" hidden="false" customHeight="false" outlineLevel="0" collapsed="false">
      <c r="A53" s="378" t="s">
        <v>2167</v>
      </c>
    </row>
    <row r="54" customFormat="false" ht="15" hidden="false" customHeight="false" outlineLevel="0" collapsed="false">
      <c r="B54" s="1179" t="s">
        <v>2137</v>
      </c>
      <c r="C54" s="1179" t="s">
        <v>496</v>
      </c>
      <c r="D54" s="1179" t="s">
        <v>2138</v>
      </c>
      <c r="E54" s="1179" t="s">
        <v>2139</v>
      </c>
      <c r="F54" s="1179" t="s">
        <v>2140</v>
      </c>
      <c r="G54" s="1179" t="s">
        <v>2141</v>
      </c>
      <c r="H54" s="1180" t="s">
        <v>2142</v>
      </c>
      <c r="I54" s="1180" t="s">
        <v>2143</v>
      </c>
    </row>
    <row r="55" customFormat="false" ht="15" hidden="false" customHeight="false" outlineLevel="0" collapsed="false">
      <c r="B55" s="1181" t="n">
        <v>1800</v>
      </c>
      <c r="C55" s="1181" t="n">
        <v>12</v>
      </c>
      <c r="D55" s="1181" t="n">
        <v>600</v>
      </c>
      <c r="E55" s="1181" t="n">
        <v>1</v>
      </c>
      <c r="F55" s="1181" t="n">
        <v>1700</v>
      </c>
      <c r="G55" s="1181" t="n">
        <v>1045</v>
      </c>
      <c r="H55" s="1182" t="n">
        <f aca="false">0.25*PI()*(B55/1000)^2</f>
        <v>2.54469004940773</v>
      </c>
      <c r="I55" s="1183" t="n">
        <v>0.4377</v>
      </c>
    </row>
    <row r="56" customFormat="false" ht="15" hidden="false" customHeight="false" outlineLevel="0" collapsed="false">
      <c r="B56" s="1184" t="s">
        <v>2144</v>
      </c>
      <c r="C56" s="1184"/>
      <c r="D56" s="1184"/>
      <c r="E56" s="1184"/>
      <c r="F56" s="1184"/>
      <c r="G56" s="1179" t="s">
        <v>2145</v>
      </c>
    </row>
    <row r="57" customFormat="false" ht="15" hidden="false" customHeight="false" outlineLevel="0" collapsed="false">
      <c r="B57" s="1185" t="n">
        <f aca="false">I55/H55</f>
        <v>0.172005231089685</v>
      </c>
      <c r="C57" s="1185"/>
      <c r="D57" s="1185"/>
      <c r="E57" s="1185"/>
      <c r="F57" s="1185"/>
      <c r="G57" s="1181" t="n">
        <v>80</v>
      </c>
    </row>
    <row r="58" customFormat="false" ht="15" hidden="false" customHeight="false" outlineLevel="0" collapsed="false">
      <c r="B58" s="1184" t="s">
        <v>2146</v>
      </c>
      <c r="C58" s="1184"/>
      <c r="D58" s="1184"/>
      <c r="E58" s="1184"/>
      <c r="F58" s="1184"/>
      <c r="G58" s="1179" t="s">
        <v>2147</v>
      </c>
    </row>
    <row r="59" customFormat="false" ht="15" hidden="false" customHeight="false" outlineLevel="0" collapsed="false">
      <c r="B59" s="1185" t="n">
        <v>4000</v>
      </c>
      <c r="C59" s="1185"/>
      <c r="D59" s="1185"/>
      <c r="E59" s="1185"/>
      <c r="F59" s="1185"/>
      <c r="G59" s="1186" t="n">
        <v>2000</v>
      </c>
    </row>
    <row r="60" customFormat="false" ht="15" hidden="false" customHeight="false" outlineLevel="0" collapsed="false"/>
    <row r="61" customFormat="false" ht="15" hidden="false" customHeight="false" outlineLevel="0" collapsed="false">
      <c r="A61" s="1187" t="s">
        <v>2148</v>
      </c>
      <c r="B61" s="376" t="s">
        <v>2149</v>
      </c>
      <c r="E61" s="378" t="s">
        <v>2150</v>
      </c>
      <c r="G61" s="1188" t="n">
        <f aca="false">0.1309*(B55/1000)^3</f>
        <v>0.7634088</v>
      </c>
    </row>
    <row r="62" customFormat="false" ht="15" hidden="false" customHeight="false" outlineLevel="0" collapsed="false">
      <c r="A62" s="1187" t="s">
        <v>2151</v>
      </c>
      <c r="B62" s="376" t="s">
        <v>2152</v>
      </c>
      <c r="E62" s="378" t="s">
        <v>2153</v>
      </c>
      <c r="G62" s="376" t="n">
        <f aca="false">(B55/1000)^2*(G59/1000)</f>
        <v>6.48</v>
      </c>
    </row>
    <row r="63" customFormat="false" ht="15" hidden="false" customHeight="false" outlineLevel="0" collapsed="false">
      <c r="A63" s="1187" t="s">
        <v>2154</v>
      </c>
      <c r="B63" s="376" t="s">
        <v>2155</v>
      </c>
      <c r="E63" s="378" t="s">
        <v>2156</v>
      </c>
      <c r="G63" s="1188" t="n">
        <f aca="false">0.25*C55*(G57/1000)*PI()*(B55/1000)^2*(1-B57)</f>
        <v>2.02271044743142</v>
      </c>
    </row>
    <row r="64" customFormat="false" ht="15" hidden="false" customHeight="false" outlineLevel="0" collapsed="false">
      <c r="A64" s="1189" t="s">
        <v>2157</v>
      </c>
      <c r="B64" s="376" t="s">
        <v>2158</v>
      </c>
      <c r="E64" s="378" t="s">
        <v>2159</v>
      </c>
      <c r="G64" s="1188" t="n">
        <f aca="false">0.25*C55*0.5*(D55/1000)*PI()*(B55/1000)^2*B57</f>
        <v>1.57572</v>
      </c>
    </row>
    <row r="65" customFormat="false" ht="15" hidden="false" customHeight="false" outlineLevel="0" collapsed="false">
      <c r="A65" s="1189" t="s">
        <v>2160</v>
      </c>
      <c r="B65" s="376" t="s">
        <v>2161</v>
      </c>
      <c r="C65" s="378" t="s">
        <v>2162</v>
      </c>
      <c r="E65" s="378" t="s">
        <v>2163</v>
      </c>
      <c r="G65" s="1188" t="n">
        <f aca="false">E55*0.25*PI()*(B55/1000)^2*(F55/1000)</f>
        <v>4.32597308399315</v>
      </c>
    </row>
    <row r="66" customFormat="false" ht="15" hidden="false" customHeight="false" outlineLevel="0" collapsed="false">
      <c r="B66" s="1190" t="s">
        <v>2164</v>
      </c>
    </row>
    <row r="67" customFormat="false" ht="15" hidden="false" customHeight="false" outlineLevel="0" collapsed="false">
      <c r="B67" s="1191" t="n">
        <f aca="false">(G61+G62+G63+G64+G65)*G55</f>
        <v>15850.3638863387</v>
      </c>
    </row>
    <row r="68" customFormat="false" ht="15" hidden="false" customHeight="false" outlineLevel="0" collapsed="false"/>
    <row r="69" customFormat="false" ht="15" hidden="false" customHeight="false" outlineLevel="0" collapsed="false">
      <c r="A69" s="376" t="s">
        <v>477</v>
      </c>
    </row>
    <row r="70" customFormat="false" ht="15" hidden="false" customHeight="false" outlineLevel="0" collapsed="false">
      <c r="B70" s="1179" t="s">
        <v>2137</v>
      </c>
      <c r="C70" s="1179" t="s">
        <v>496</v>
      </c>
      <c r="D70" s="1179" t="s">
        <v>2138</v>
      </c>
      <c r="E70" s="1179" t="s">
        <v>2139</v>
      </c>
      <c r="F70" s="1179" t="s">
        <v>2140</v>
      </c>
      <c r="G70" s="1179" t="s">
        <v>2141</v>
      </c>
      <c r="H70" s="1180" t="s">
        <v>2142</v>
      </c>
      <c r="I70" s="1180" t="s">
        <v>2143</v>
      </c>
    </row>
    <row r="71" customFormat="false" ht="15" hidden="false" customHeight="false" outlineLevel="0" collapsed="false">
      <c r="B71" s="1181" t="n">
        <v>1000</v>
      </c>
      <c r="C71" s="1181" t="n">
        <v>40</v>
      </c>
      <c r="D71" s="1181" t="n">
        <v>600</v>
      </c>
      <c r="E71" s="1181" t="n">
        <v>2</v>
      </c>
      <c r="F71" s="1181" t="n">
        <v>1700</v>
      </c>
      <c r="G71" s="1181" t="n">
        <v>638.8</v>
      </c>
      <c r="H71" s="1182" t="n">
        <f aca="false">0.25*PI()*(B71/1000)^2</f>
        <v>0.785398163397448</v>
      </c>
      <c r="I71" s="1183" t="n">
        <v>0.1952</v>
      </c>
    </row>
    <row r="72" customFormat="false" ht="15" hidden="false" customHeight="false" outlineLevel="0" collapsed="false">
      <c r="B72" s="1184" t="s">
        <v>2144</v>
      </c>
      <c r="C72" s="1184"/>
      <c r="D72" s="1184"/>
      <c r="E72" s="1184"/>
      <c r="F72" s="1184"/>
      <c r="G72" s="1179" t="s">
        <v>2145</v>
      </c>
    </row>
    <row r="73" customFormat="false" ht="15" hidden="false" customHeight="false" outlineLevel="0" collapsed="false">
      <c r="B73" s="1185" t="n">
        <f aca="false">I71/H71</f>
        <v>0.248536359132304</v>
      </c>
      <c r="C73" s="1185"/>
      <c r="D73" s="1185"/>
      <c r="E73" s="1185"/>
      <c r="F73" s="1185"/>
      <c r="G73" s="1181" t="n">
        <v>80</v>
      </c>
    </row>
    <row r="74" customFormat="false" ht="15" hidden="false" customHeight="false" outlineLevel="0" collapsed="false">
      <c r="B74" s="1184" t="s">
        <v>2146</v>
      </c>
      <c r="C74" s="1184"/>
      <c r="D74" s="1184"/>
      <c r="E74" s="1184"/>
      <c r="F74" s="1184"/>
      <c r="G74" s="1179" t="s">
        <v>2147</v>
      </c>
    </row>
    <row r="75" customFormat="false" ht="15" hidden="false" customHeight="false" outlineLevel="0" collapsed="false">
      <c r="B75" s="1185" t="n">
        <v>3600</v>
      </c>
      <c r="C75" s="1185"/>
      <c r="D75" s="1185"/>
      <c r="E75" s="1185"/>
      <c r="F75" s="1185"/>
      <c r="G75" s="1186" t="n">
        <v>1900</v>
      </c>
    </row>
    <row r="76" customFormat="false" ht="15" hidden="false" customHeight="false" outlineLevel="0" collapsed="false"/>
    <row r="77" customFormat="false" ht="15" hidden="false" customHeight="false" outlineLevel="0" collapsed="false">
      <c r="A77" s="1187" t="s">
        <v>2148</v>
      </c>
      <c r="B77" s="376" t="s">
        <v>2149</v>
      </c>
      <c r="E77" s="378" t="s">
        <v>2150</v>
      </c>
      <c r="G77" s="1188" t="n">
        <f aca="false">0.1309*(B71/1000)^3</f>
        <v>0.1309</v>
      </c>
    </row>
    <row r="78" customFormat="false" ht="15" hidden="false" customHeight="false" outlineLevel="0" collapsed="false">
      <c r="A78" s="1187" t="s">
        <v>2151</v>
      </c>
      <c r="B78" s="376" t="s">
        <v>2152</v>
      </c>
      <c r="E78" s="378" t="s">
        <v>2153</v>
      </c>
      <c r="G78" s="376" t="n">
        <f aca="false">(B71/1000)^2*(G75/1000)</f>
        <v>1.9</v>
      </c>
    </row>
    <row r="79" customFormat="false" ht="15" hidden="false" customHeight="false" outlineLevel="0" collapsed="false">
      <c r="A79" s="1187" t="s">
        <v>2154</v>
      </c>
      <c r="B79" s="376" t="s">
        <v>2155</v>
      </c>
      <c r="E79" s="378" t="s">
        <v>2156</v>
      </c>
      <c r="G79" s="1188" t="n">
        <f aca="false">0.25*C71*(G73/1000)*PI()*(B71/1000)^2*(1-B73)</f>
        <v>1.88863412287183</v>
      </c>
    </row>
    <row r="80" customFormat="false" ht="15" hidden="false" customHeight="false" outlineLevel="0" collapsed="false">
      <c r="A80" s="1189" t="s">
        <v>2157</v>
      </c>
      <c r="B80" s="376" t="s">
        <v>2158</v>
      </c>
      <c r="E80" s="378" t="s">
        <v>2159</v>
      </c>
      <c r="G80" s="1188" t="n">
        <f aca="false">0.25*C71*0.5*(D71/1000)*PI()*(B71/1000)^2*B73</f>
        <v>2.3424</v>
      </c>
    </row>
    <row r="81" customFormat="false" ht="15" hidden="false" customHeight="false" outlineLevel="0" collapsed="false">
      <c r="A81" s="1189" t="s">
        <v>2160</v>
      </c>
      <c r="B81" s="376" t="s">
        <v>2161</v>
      </c>
      <c r="C81" s="378" t="s">
        <v>2162</v>
      </c>
      <c r="E81" s="378" t="s">
        <v>2163</v>
      </c>
      <c r="G81" s="1188" t="n">
        <f aca="false">E71*0.25*PI()*(B71/1000)^2*(F71/1000)</f>
        <v>2.67035375555132</v>
      </c>
    </row>
    <row r="82" customFormat="false" ht="15" hidden="false" customHeight="false" outlineLevel="0" collapsed="false">
      <c r="B82" s="1190" t="s">
        <v>2164</v>
      </c>
    </row>
    <row r="83" customFormat="false" ht="15" hidden="false" customHeight="false" outlineLevel="0" collapsed="false">
      <c r="B83" s="1191" t="n">
        <f aca="false">(G77+G78+G79+G80+G81)*G71</f>
        <v>5705.94549673671</v>
      </c>
    </row>
    <row r="84" customFormat="false" ht="15" hidden="false" customHeight="false" outlineLevel="0" collapsed="false"/>
    <row r="85" customFormat="false" ht="15" hidden="false" customHeight="false" outlineLevel="0" collapsed="false">
      <c r="A85" s="376" t="s">
        <v>2168</v>
      </c>
    </row>
    <row r="86" customFormat="false" ht="15" hidden="false" customHeight="false" outlineLevel="0" collapsed="false">
      <c r="B86" s="1179" t="s">
        <v>2137</v>
      </c>
      <c r="C86" s="1179" t="s">
        <v>496</v>
      </c>
      <c r="D86" s="1179" t="s">
        <v>2138</v>
      </c>
      <c r="E86" s="1179" t="s">
        <v>2139</v>
      </c>
      <c r="F86" s="1179" t="s">
        <v>2140</v>
      </c>
      <c r="G86" s="1179" t="s">
        <v>2141</v>
      </c>
      <c r="H86" s="1180" t="s">
        <v>2142</v>
      </c>
      <c r="I86" s="1180" t="s">
        <v>2143</v>
      </c>
    </row>
    <row r="87" customFormat="false" ht="15" hidden="false" customHeight="false" outlineLevel="0" collapsed="false">
      <c r="B87" s="1181" t="n">
        <v>1200</v>
      </c>
      <c r="C87" s="1181" t="n">
        <v>30</v>
      </c>
      <c r="D87" s="1181" t="n">
        <v>600</v>
      </c>
      <c r="E87" s="1181" t="n">
        <v>0</v>
      </c>
      <c r="F87" s="1181" t="n">
        <v>1700</v>
      </c>
      <c r="G87" s="1181" t="n">
        <v>547.7</v>
      </c>
      <c r="H87" s="1182" t="n">
        <f aca="false">0.25*PI()*(B87/1000)^2</f>
        <v>1.13097335529233</v>
      </c>
      <c r="I87" s="1183" t="n">
        <v>0.348</v>
      </c>
    </row>
    <row r="88" customFormat="false" ht="15" hidden="false" customHeight="false" outlineLevel="0" collapsed="false">
      <c r="B88" s="1184" t="s">
        <v>2144</v>
      </c>
      <c r="C88" s="1184"/>
      <c r="D88" s="1184"/>
      <c r="E88" s="1184"/>
      <c r="F88" s="1184"/>
      <c r="G88" s="1179" t="s">
        <v>2145</v>
      </c>
    </row>
    <row r="89" customFormat="false" ht="15" hidden="false" customHeight="false" outlineLevel="0" collapsed="false">
      <c r="B89" s="1185" t="n">
        <f aca="false">I87/H87</f>
        <v>0.307699556644331</v>
      </c>
      <c r="C89" s="1185"/>
      <c r="D89" s="1185"/>
      <c r="E89" s="1185"/>
      <c r="F89" s="1185"/>
      <c r="G89" s="1181" t="n">
        <v>80</v>
      </c>
    </row>
    <row r="90" customFormat="false" ht="15" hidden="false" customHeight="false" outlineLevel="0" collapsed="false">
      <c r="B90" s="1184" t="s">
        <v>2146</v>
      </c>
      <c r="C90" s="1184"/>
      <c r="D90" s="1184"/>
      <c r="E90" s="1184"/>
      <c r="F90" s="1184"/>
      <c r="G90" s="1179" t="s">
        <v>2147</v>
      </c>
    </row>
    <row r="91" customFormat="false" ht="15" hidden="false" customHeight="false" outlineLevel="0" collapsed="false">
      <c r="B91" s="1185" t="n">
        <v>3200</v>
      </c>
      <c r="C91" s="1185"/>
      <c r="D91" s="1185"/>
      <c r="E91" s="1185"/>
      <c r="F91" s="1185"/>
      <c r="G91" s="1186" t="n">
        <v>1600</v>
      </c>
    </row>
    <row r="92" customFormat="false" ht="15" hidden="false" customHeight="false" outlineLevel="0" collapsed="false"/>
    <row r="93" customFormat="false" ht="15" hidden="false" customHeight="false" outlineLevel="0" collapsed="false">
      <c r="A93" s="1187" t="s">
        <v>2148</v>
      </c>
      <c r="B93" s="376" t="s">
        <v>2149</v>
      </c>
      <c r="E93" s="378" t="s">
        <v>2150</v>
      </c>
      <c r="G93" s="1188" t="n">
        <f aca="false">0.1309*(B87/1000)^3</f>
        <v>0.2261952</v>
      </c>
    </row>
    <row r="94" customFormat="false" ht="15" hidden="false" customHeight="false" outlineLevel="0" collapsed="false">
      <c r="A94" s="1187" t="s">
        <v>2151</v>
      </c>
      <c r="B94" s="376" t="s">
        <v>2152</v>
      </c>
      <c r="E94" s="378" t="s">
        <v>2153</v>
      </c>
      <c r="G94" s="376" t="n">
        <f aca="false">(B87/1000)^2*(G91/1000)</f>
        <v>2.304</v>
      </c>
    </row>
    <row r="95" customFormat="false" ht="15" hidden="false" customHeight="false" outlineLevel="0" collapsed="false">
      <c r="A95" s="1187" t="s">
        <v>2154</v>
      </c>
      <c r="B95" s="376" t="s">
        <v>2155</v>
      </c>
      <c r="E95" s="378" t="s">
        <v>2156</v>
      </c>
      <c r="G95" s="1188" t="n">
        <f aca="false">0.25*C87*(G89/1000)*PI()*(B87/1000)^2*(1-B89)</f>
        <v>1.87913605270158</v>
      </c>
    </row>
    <row r="96" customFormat="false" ht="15" hidden="false" customHeight="false" outlineLevel="0" collapsed="false">
      <c r="A96" s="1189" t="s">
        <v>2157</v>
      </c>
      <c r="B96" s="376" t="s">
        <v>2158</v>
      </c>
      <c r="E96" s="378" t="s">
        <v>2159</v>
      </c>
      <c r="G96" s="1188" t="n">
        <f aca="false">0.25*C87*0.5*(D87/1000)*PI()*(B87/1000)^2*B89</f>
        <v>3.132</v>
      </c>
    </row>
    <row r="97" customFormat="false" ht="15" hidden="false" customHeight="false" outlineLevel="0" collapsed="false">
      <c r="A97" s="1189" t="s">
        <v>2160</v>
      </c>
      <c r="B97" s="376" t="s">
        <v>2161</v>
      </c>
      <c r="C97" s="378" t="s">
        <v>2162</v>
      </c>
      <c r="E97" s="378" t="s">
        <v>2163</v>
      </c>
      <c r="G97" s="1188" t="n">
        <f aca="false">E87*0.25*PI()*(B87/1000)^2*(F87/1000)</f>
        <v>0</v>
      </c>
    </row>
    <row r="98" customFormat="false" ht="15" hidden="false" customHeight="false" outlineLevel="0" collapsed="false">
      <c r="B98" s="1190" t="s">
        <v>2164</v>
      </c>
    </row>
    <row r="99" customFormat="false" ht="15" hidden="false" customHeight="false" outlineLevel="0" collapsed="false">
      <c r="B99" s="1191" t="n">
        <f aca="false">(G93+G94+G95+G96+G97)*G87</f>
        <v>4130.38712710466</v>
      </c>
    </row>
    <row r="100" customFormat="false" ht="15" hidden="false" customHeight="false" outlineLevel="0" collapsed="false"/>
    <row r="101" customFormat="false" ht="15" hidden="false" customHeight="false" outlineLevel="0" collapsed="false">
      <c r="A101" s="376" t="s">
        <v>2169</v>
      </c>
    </row>
    <row r="102" customFormat="false" ht="15" hidden="false" customHeight="false" outlineLevel="0" collapsed="false">
      <c r="B102" s="1179" t="s">
        <v>2137</v>
      </c>
      <c r="C102" s="1179" t="s">
        <v>496</v>
      </c>
      <c r="D102" s="1179" t="s">
        <v>2138</v>
      </c>
      <c r="E102" s="1179" t="s">
        <v>2139</v>
      </c>
      <c r="F102" s="1179" t="s">
        <v>2140</v>
      </c>
      <c r="G102" s="1179" t="s">
        <v>2141</v>
      </c>
      <c r="H102" s="1180" t="s">
        <v>2142</v>
      </c>
      <c r="I102" s="1180" t="s">
        <v>2143</v>
      </c>
    </row>
    <row r="103" customFormat="false" ht="15" hidden="false" customHeight="false" outlineLevel="0" collapsed="false">
      <c r="B103" s="1181" t="n">
        <v>1200</v>
      </c>
      <c r="C103" s="1181" t="n">
        <v>40</v>
      </c>
      <c r="D103" s="1181" t="n">
        <v>600</v>
      </c>
      <c r="E103" s="1181" t="n">
        <v>0</v>
      </c>
      <c r="F103" s="1181" t="n">
        <v>1700</v>
      </c>
      <c r="G103" s="1181" t="n">
        <v>528.5</v>
      </c>
      <c r="H103" s="1182" t="n">
        <f aca="false">0.25*PI()*(B103/1000)^2</f>
        <v>1.13097335529233</v>
      </c>
      <c r="I103" s="1183" t="n">
        <v>0.2632</v>
      </c>
    </row>
    <row r="104" customFormat="false" ht="15" hidden="false" customHeight="false" outlineLevel="0" collapsed="false">
      <c r="B104" s="1184" t="s">
        <v>2144</v>
      </c>
      <c r="C104" s="1184"/>
      <c r="D104" s="1184"/>
      <c r="E104" s="1184"/>
      <c r="F104" s="1184"/>
      <c r="G104" s="1179" t="s">
        <v>2145</v>
      </c>
    </row>
    <row r="105" customFormat="false" ht="15" hidden="false" customHeight="false" outlineLevel="0" collapsed="false">
      <c r="B105" s="1185" t="n">
        <f aca="false">I103/H103</f>
        <v>0.232719894565483</v>
      </c>
      <c r="C105" s="1185"/>
      <c r="D105" s="1185"/>
      <c r="E105" s="1185"/>
      <c r="F105" s="1185"/>
      <c r="G105" s="1181" t="n">
        <v>80</v>
      </c>
    </row>
    <row r="106" customFormat="false" ht="15" hidden="false" customHeight="false" outlineLevel="0" collapsed="false">
      <c r="B106" s="1184" t="s">
        <v>2146</v>
      </c>
      <c r="C106" s="1184"/>
      <c r="D106" s="1184"/>
      <c r="E106" s="1184"/>
      <c r="F106" s="1184"/>
      <c r="G106" s="1179" t="s">
        <v>2147</v>
      </c>
    </row>
    <row r="107" customFormat="false" ht="15" hidden="false" customHeight="false" outlineLevel="0" collapsed="false">
      <c r="B107" s="1185" t="n">
        <v>2800</v>
      </c>
      <c r="C107" s="1185"/>
      <c r="D107" s="1185"/>
      <c r="E107" s="1185"/>
      <c r="F107" s="1185"/>
      <c r="G107" s="1186" t="n">
        <v>1400</v>
      </c>
    </row>
    <row r="108" customFormat="false" ht="15" hidden="false" customHeight="false" outlineLevel="0" collapsed="false"/>
    <row r="109" customFormat="false" ht="15" hidden="false" customHeight="false" outlineLevel="0" collapsed="false">
      <c r="A109" s="1187" t="s">
        <v>2148</v>
      </c>
      <c r="B109" s="376" t="s">
        <v>2149</v>
      </c>
      <c r="E109" s="378" t="s">
        <v>2150</v>
      </c>
      <c r="G109" s="1188" t="n">
        <f aca="false">0.1309*(B103/1000)^3</f>
        <v>0.2261952</v>
      </c>
    </row>
    <row r="110" customFormat="false" ht="15" hidden="false" customHeight="false" outlineLevel="0" collapsed="false">
      <c r="A110" s="1187" t="s">
        <v>2151</v>
      </c>
      <c r="B110" s="376" t="s">
        <v>2152</v>
      </c>
      <c r="E110" s="378" t="s">
        <v>2153</v>
      </c>
      <c r="G110" s="376" t="n">
        <f aca="false">(B103/1000)^2*(G107/1000)</f>
        <v>2.016</v>
      </c>
    </row>
    <row r="111" customFormat="false" ht="15" hidden="false" customHeight="false" outlineLevel="0" collapsed="false">
      <c r="A111" s="1187" t="s">
        <v>2154</v>
      </c>
      <c r="B111" s="376" t="s">
        <v>2155</v>
      </c>
      <c r="E111" s="378" t="s">
        <v>2156</v>
      </c>
      <c r="G111" s="1188" t="n">
        <f aca="false">0.25*C103*(G105/1000)*PI()*(B103/1000)^2*(1-B105)</f>
        <v>2.77687473693544</v>
      </c>
    </row>
    <row r="112" customFormat="false" ht="15" hidden="false" customHeight="false" outlineLevel="0" collapsed="false">
      <c r="A112" s="1189" t="s">
        <v>2157</v>
      </c>
      <c r="B112" s="376" t="s">
        <v>2158</v>
      </c>
      <c r="E112" s="378" t="s">
        <v>2159</v>
      </c>
      <c r="G112" s="1188" t="n">
        <f aca="false">0.25*C103*0.5*(D103/1000)*PI()*(B103/1000)^2*B105</f>
        <v>3.1584</v>
      </c>
    </row>
    <row r="113" customFormat="false" ht="15" hidden="false" customHeight="false" outlineLevel="0" collapsed="false">
      <c r="A113" s="1189" t="s">
        <v>2160</v>
      </c>
      <c r="B113" s="376" t="s">
        <v>2161</v>
      </c>
      <c r="C113" s="378" t="s">
        <v>2162</v>
      </c>
      <c r="E113" s="378" t="s">
        <v>2163</v>
      </c>
      <c r="G113" s="1188" t="n">
        <f aca="false">E103*0.25*PI()*(B103/1000)^2*(F103/1000)</f>
        <v>0</v>
      </c>
    </row>
    <row r="114" customFormat="false" ht="15" hidden="false" customHeight="false" outlineLevel="0" collapsed="false">
      <c r="B114" s="1190" t="s">
        <v>2164</v>
      </c>
    </row>
    <row r="115" customFormat="false" ht="15" hidden="false" customHeight="false" outlineLevel="0" collapsed="false">
      <c r="B115" s="1191" t="n">
        <f aca="false">(G109+G110+G111+G112+G113)*G103</f>
        <v>4321.79286167038</v>
      </c>
    </row>
    <row r="116" customFormat="false" ht="15" hidden="false" customHeight="false" outlineLevel="0" collapsed="false"/>
    <row r="117" customFormat="false" ht="15" hidden="false" customHeight="false" outlineLevel="0" collapsed="false">
      <c r="A117" s="376" t="s">
        <v>2170</v>
      </c>
    </row>
    <row r="118" customFormat="false" ht="15" hidden="false" customHeight="false" outlineLevel="0" collapsed="false">
      <c r="B118" s="1179" t="s">
        <v>2137</v>
      </c>
      <c r="C118" s="1179" t="s">
        <v>496</v>
      </c>
      <c r="D118" s="1179" t="s">
        <v>2138</v>
      </c>
      <c r="E118" s="1179" t="s">
        <v>2139</v>
      </c>
      <c r="F118" s="1179" t="s">
        <v>2140</v>
      </c>
      <c r="G118" s="1179" t="s">
        <v>2141</v>
      </c>
      <c r="H118" s="1180" t="s">
        <v>2142</v>
      </c>
      <c r="I118" s="1180" t="s">
        <v>2143</v>
      </c>
    </row>
    <row r="119" customFormat="false" ht="15" hidden="false" customHeight="false" outlineLevel="0" collapsed="false">
      <c r="B119" s="1181" t="n">
        <v>1000</v>
      </c>
      <c r="C119" s="1181" t="n">
        <v>25</v>
      </c>
      <c r="D119" s="1181" t="n">
        <v>600</v>
      </c>
      <c r="E119" s="1181" t="n">
        <v>1</v>
      </c>
      <c r="F119" s="1181" t="n">
        <v>1700</v>
      </c>
      <c r="G119" s="1181" t="n">
        <v>1037</v>
      </c>
      <c r="H119" s="1182" t="n">
        <f aca="false">0.25*PI()*(B119/1000)^2</f>
        <v>0.785398163397448</v>
      </c>
      <c r="I119" s="1183" t="n">
        <v>0.2488</v>
      </c>
    </row>
    <row r="120" customFormat="false" ht="15" hidden="false" customHeight="false" outlineLevel="0" collapsed="false">
      <c r="B120" s="1184" t="s">
        <v>2144</v>
      </c>
      <c r="C120" s="1184"/>
      <c r="D120" s="1184"/>
      <c r="E120" s="1184"/>
      <c r="F120" s="1184"/>
      <c r="G120" s="1179" t="s">
        <v>2145</v>
      </c>
    </row>
    <row r="121" customFormat="false" ht="15" hidden="false" customHeight="false" outlineLevel="0" collapsed="false">
      <c r="B121" s="1185" t="n">
        <f aca="false">I119/H119</f>
        <v>0.316781998730109</v>
      </c>
      <c r="C121" s="1185"/>
      <c r="D121" s="1185"/>
      <c r="E121" s="1185"/>
      <c r="F121" s="1185"/>
      <c r="G121" s="1181" t="n">
        <v>80</v>
      </c>
    </row>
    <row r="122" customFormat="false" ht="15" hidden="false" customHeight="false" outlineLevel="0" collapsed="false">
      <c r="B122" s="1184" t="s">
        <v>2146</v>
      </c>
      <c r="C122" s="1184"/>
      <c r="D122" s="1184"/>
      <c r="E122" s="1184"/>
      <c r="F122" s="1184"/>
      <c r="G122" s="1179" t="s">
        <v>2147</v>
      </c>
    </row>
    <row r="123" customFormat="false" ht="15" hidden="false" customHeight="false" outlineLevel="0" collapsed="false">
      <c r="B123" s="1185" t="n">
        <v>3200</v>
      </c>
      <c r="C123" s="1185"/>
      <c r="D123" s="1185"/>
      <c r="E123" s="1185"/>
      <c r="F123" s="1185"/>
      <c r="G123" s="1186" t="n">
        <v>1600</v>
      </c>
    </row>
    <row r="124" customFormat="false" ht="15" hidden="false" customHeight="false" outlineLevel="0" collapsed="false"/>
    <row r="125" customFormat="false" ht="15" hidden="false" customHeight="false" outlineLevel="0" collapsed="false">
      <c r="A125" s="1187" t="s">
        <v>2148</v>
      </c>
      <c r="B125" s="376" t="s">
        <v>2149</v>
      </c>
      <c r="E125" s="378" t="s">
        <v>2150</v>
      </c>
      <c r="G125" s="1188" t="n">
        <f aca="false">0.1309*(B119/1000)^3</f>
        <v>0.1309</v>
      </c>
    </row>
    <row r="126" customFormat="false" ht="15" hidden="false" customHeight="false" outlineLevel="0" collapsed="false">
      <c r="A126" s="1187" t="s">
        <v>2151</v>
      </c>
      <c r="B126" s="376" t="s">
        <v>2152</v>
      </c>
      <c r="E126" s="378" t="s">
        <v>2153</v>
      </c>
      <c r="G126" s="376" t="n">
        <f aca="false">(B119/1000)^2*(G123/1000)</f>
        <v>1.6</v>
      </c>
    </row>
    <row r="127" customFormat="false" ht="15" hidden="false" customHeight="false" outlineLevel="0" collapsed="false">
      <c r="A127" s="1187" t="s">
        <v>2154</v>
      </c>
      <c r="B127" s="376" t="s">
        <v>2155</v>
      </c>
      <c r="E127" s="378" t="s">
        <v>2156</v>
      </c>
      <c r="G127" s="1188" t="n">
        <f aca="false">0.25*C119*(G121/1000)*PI()*(B119/1000)^2*(1-B121)</f>
        <v>1.0731963267949</v>
      </c>
    </row>
    <row r="128" customFormat="false" ht="15" hidden="false" customHeight="false" outlineLevel="0" collapsed="false">
      <c r="A128" s="1189" t="s">
        <v>2157</v>
      </c>
      <c r="B128" s="376" t="s">
        <v>2158</v>
      </c>
      <c r="E128" s="378" t="s">
        <v>2159</v>
      </c>
      <c r="G128" s="1188" t="n">
        <f aca="false">0.25*C119*0.5*(D119/1000)*PI()*(B119/1000)^2*B121</f>
        <v>1.866</v>
      </c>
    </row>
    <row r="129" customFormat="false" ht="15" hidden="false" customHeight="false" outlineLevel="0" collapsed="false">
      <c r="A129" s="1189" t="s">
        <v>2160</v>
      </c>
      <c r="B129" s="376" t="s">
        <v>2161</v>
      </c>
      <c r="C129" s="378" t="s">
        <v>2162</v>
      </c>
      <c r="E129" s="378" t="s">
        <v>2163</v>
      </c>
      <c r="G129" s="1188" t="n">
        <f aca="false">E119*0.25*PI()*(B119/1000)^2*(F119/1000)</f>
        <v>1.33517687777566</v>
      </c>
    </row>
    <row r="130" customFormat="false" ht="15" hidden="false" customHeight="false" outlineLevel="0" collapsed="false">
      <c r="B130" s="1190" t="s">
        <v>2164</v>
      </c>
    </row>
    <row r="131" customFormat="false" ht="15" hidden="false" customHeight="false" outlineLevel="0" collapsed="false">
      <c r="B131" s="1191" t="n">
        <f aca="false">(G125+G126+G127+G128+G129)*G119</f>
        <v>6227.46831313967</v>
      </c>
    </row>
    <row r="132" customFormat="false" ht="15" hidden="false" customHeight="false" outlineLevel="0" collapsed="false"/>
    <row r="133" customFormat="false" ht="15" hidden="false" customHeight="false" outlineLevel="0" collapsed="false">
      <c r="A133" s="376" t="s">
        <v>2171</v>
      </c>
    </row>
    <row r="134" customFormat="false" ht="15" hidden="false" customHeight="false" outlineLevel="0" collapsed="false">
      <c r="B134" s="1179" t="s">
        <v>2137</v>
      </c>
      <c r="C134" s="1179" t="s">
        <v>496</v>
      </c>
      <c r="D134" s="1179" t="s">
        <v>2138</v>
      </c>
      <c r="E134" s="1179" t="s">
        <v>2139</v>
      </c>
      <c r="F134" s="1179" t="s">
        <v>2140</v>
      </c>
      <c r="G134" s="1179" t="s">
        <v>2141</v>
      </c>
      <c r="H134" s="1180" t="s">
        <v>2142</v>
      </c>
      <c r="I134" s="1180"/>
    </row>
    <row r="135" customFormat="false" ht="15" hidden="false" customHeight="false" outlineLevel="0" collapsed="false">
      <c r="B135" s="1181" t="n">
        <v>1000</v>
      </c>
      <c r="C135" s="1181"/>
      <c r="D135" s="1181" t="n">
        <v>600</v>
      </c>
      <c r="E135" s="1181" t="n">
        <v>0</v>
      </c>
      <c r="F135" s="1181" t="n">
        <v>1700</v>
      </c>
      <c r="G135" s="1181" t="n">
        <v>1045</v>
      </c>
      <c r="H135" s="1182" t="n">
        <f aca="false">0.25*PI()*(B135/1000)^2</f>
        <v>0.785398163397448</v>
      </c>
    </row>
    <row r="136" customFormat="false" ht="15" hidden="false" customHeight="false" outlineLevel="0" collapsed="false">
      <c r="B136" s="1184" t="s">
        <v>2144</v>
      </c>
      <c r="C136" s="1184"/>
      <c r="D136" s="1184"/>
      <c r="E136" s="1184"/>
      <c r="F136" s="1184"/>
      <c r="G136" s="1179" t="s">
        <v>2145</v>
      </c>
    </row>
    <row r="137" customFormat="false" ht="15" hidden="false" customHeight="false" outlineLevel="0" collapsed="false">
      <c r="B137" s="1185" t="n">
        <v>0.2</v>
      </c>
      <c r="C137" s="1185"/>
      <c r="D137" s="1185"/>
      <c r="E137" s="1185"/>
      <c r="F137" s="1185"/>
      <c r="G137" s="1181" t="n">
        <v>70</v>
      </c>
    </row>
    <row r="138" customFormat="false" ht="15" hidden="false" customHeight="false" outlineLevel="0" collapsed="false">
      <c r="B138" s="1184" t="s">
        <v>2146</v>
      </c>
      <c r="C138" s="1184"/>
      <c r="D138" s="1184"/>
      <c r="E138" s="1184"/>
      <c r="F138" s="1184"/>
      <c r="G138" s="1179" t="s">
        <v>2147</v>
      </c>
    </row>
    <row r="139" customFormat="false" ht="15" hidden="false" customHeight="false" outlineLevel="0" collapsed="false">
      <c r="B139" s="1185" t="n">
        <v>3200</v>
      </c>
      <c r="C139" s="1185"/>
      <c r="D139" s="1185"/>
      <c r="E139" s="1185"/>
      <c r="F139" s="1185"/>
      <c r="G139" s="1186" t="n">
        <v>100</v>
      </c>
    </row>
    <row r="140" customFormat="false" ht="15" hidden="false" customHeight="false" outlineLevel="0" collapsed="false"/>
    <row r="141" customFormat="false" ht="15" hidden="false" customHeight="false" outlineLevel="0" collapsed="false">
      <c r="A141" s="1187" t="s">
        <v>2148</v>
      </c>
      <c r="B141" s="376" t="s">
        <v>2149</v>
      </c>
      <c r="E141" s="378" t="s">
        <v>2150</v>
      </c>
      <c r="G141" s="1188" t="n">
        <f aca="false">0.1309*(B135/1000)^3</f>
        <v>0.1309</v>
      </c>
    </row>
    <row r="142" customFormat="false" ht="15" hidden="false" customHeight="false" outlineLevel="0" collapsed="false">
      <c r="A142" s="1187" t="s">
        <v>2151</v>
      </c>
      <c r="B142" s="376" t="s">
        <v>2152</v>
      </c>
      <c r="E142" s="378" t="s">
        <v>2153</v>
      </c>
      <c r="G142" s="376" t="n">
        <f aca="false">(B135/1000)^2*(G139/1000)</f>
        <v>0.1</v>
      </c>
    </row>
    <row r="143" customFormat="false" ht="15" hidden="false" customHeight="false" outlineLevel="0" collapsed="false">
      <c r="A143" s="1187" t="s">
        <v>2154</v>
      </c>
      <c r="B143" s="376" t="s">
        <v>2155</v>
      </c>
      <c r="E143" s="378" t="s">
        <v>2156</v>
      </c>
      <c r="G143" s="1188" t="n">
        <f aca="false">0.25*C135*(G137/1000)*PI()*(B135/1000)^2*(1-B137)</f>
        <v>0</v>
      </c>
    </row>
    <row r="144" customFormat="false" ht="15" hidden="false" customHeight="false" outlineLevel="0" collapsed="false">
      <c r="A144" s="1189" t="s">
        <v>2157</v>
      </c>
      <c r="B144" s="376" t="s">
        <v>2158</v>
      </c>
      <c r="E144" s="378" t="s">
        <v>2159</v>
      </c>
      <c r="G144" s="1188" t="n">
        <f aca="false">0.25*C135*0.5*(D135/1000)*PI()*(B135/1000)^2*B137</f>
        <v>0</v>
      </c>
    </row>
    <row r="145" customFormat="false" ht="15" hidden="false" customHeight="false" outlineLevel="0" collapsed="false">
      <c r="A145" s="1189" t="s">
        <v>2160</v>
      </c>
      <c r="B145" s="376" t="s">
        <v>2161</v>
      </c>
      <c r="C145" s="378" t="s">
        <v>2162</v>
      </c>
      <c r="E145" s="378" t="s">
        <v>2163</v>
      </c>
      <c r="G145" s="1188" t="n">
        <f aca="false">E135*0.25*PI()*(B135/1000)^2*(F135/1000)</f>
        <v>0</v>
      </c>
    </row>
    <row r="146" customFormat="false" ht="15" hidden="false" customHeight="false" outlineLevel="0" collapsed="false">
      <c r="B146" s="1190" t="s">
        <v>2164</v>
      </c>
    </row>
    <row r="147" customFormat="false" ht="15" hidden="false" customHeight="false" outlineLevel="0" collapsed="false">
      <c r="B147" s="1191" t="n">
        <f aca="false">(G141+G142+G143+G144+G145)*G135</f>
        <v>241.2905</v>
      </c>
    </row>
    <row r="148" customFormat="false" ht="15" hidden="false" customHeight="false" outlineLevel="0" collapsed="false"/>
    <row r="149" customFormat="false" ht="15" hidden="false" customHeight="false" outlineLevel="0" collapsed="false">
      <c r="A149" s="376" t="s">
        <v>2172</v>
      </c>
    </row>
    <row r="150" customFormat="false" ht="15" hidden="false" customHeight="false" outlineLevel="0" collapsed="false">
      <c r="B150" s="1179" t="s">
        <v>2137</v>
      </c>
      <c r="C150" s="1179" t="s">
        <v>2173</v>
      </c>
      <c r="D150" s="1179" t="s">
        <v>1793</v>
      </c>
      <c r="E150" s="1179" t="s">
        <v>2139</v>
      </c>
      <c r="F150" s="1179" t="s">
        <v>2140</v>
      </c>
      <c r="G150" s="1179" t="s">
        <v>2141</v>
      </c>
      <c r="H150" s="1180" t="s">
        <v>2142</v>
      </c>
      <c r="J150" s="376" t="s">
        <v>2174</v>
      </c>
    </row>
    <row r="151" customFormat="false" ht="15" hidden="false" customHeight="false" outlineLevel="0" collapsed="false">
      <c r="B151" s="1181" t="n">
        <v>2600</v>
      </c>
      <c r="C151" s="1181" t="n">
        <v>2200</v>
      </c>
      <c r="D151" s="1192" t="n">
        <v>0.85</v>
      </c>
      <c r="E151" s="1181" t="n">
        <v>1</v>
      </c>
      <c r="F151" s="1181" t="n">
        <v>700</v>
      </c>
      <c r="G151" s="1181" t="n">
        <v>772</v>
      </c>
      <c r="H151" s="1182" t="n">
        <f aca="false">0.25*PI()*(B151/1000)^2</f>
        <v>5.30929158456675</v>
      </c>
      <c r="J151" s="1193" t="n">
        <v>0.3</v>
      </c>
    </row>
    <row r="152" customFormat="false" ht="15" hidden="false" customHeight="false" outlineLevel="0" collapsed="false">
      <c r="B152" s="1181" t="n">
        <v>4200</v>
      </c>
      <c r="C152" s="1181" t="n">
        <v>6600</v>
      </c>
      <c r="D152" s="1192" t="n">
        <v>0.85</v>
      </c>
      <c r="E152" s="1181" t="n">
        <v>1</v>
      </c>
      <c r="F152" s="1181" t="n">
        <f aca="false">700+400</f>
        <v>1100</v>
      </c>
      <c r="G152" s="1181" t="n">
        <v>772</v>
      </c>
      <c r="H152" s="1182" t="n">
        <f aca="false">0.25*PI()*(B152/1000)^2</f>
        <v>13.854423602331</v>
      </c>
      <c r="J152" s="1193" t="n">
        <v>0.3</v>
      </c>
    </row>
    <row r="153" customFormat="false" ht="15" hidden="false" customHeight="false" outlineLevel="0" collapsed="false">
      <c r="B153" s="1179" t="s">
        <v>2137</v>
      </c>
      <c r="C153" s="1179" t="s">
        <v>496</v>
      </c>
      <c r="D153" s="1179" t="s">
        <v>2138</v>
      </c>
      <c r="E153" s="1179" t="s">
        <v>2139</v>
      </c>
      <c r="F153" s="1179" t="s">
        <v>2140</v>
      </c>
      <c r="G153" s="1179" t="s">
        <v>2141</v>
      </c>
      <c r="H153" s="1180" t="s">
        <v>2142</v>
      </c>
      <c r="I153" s="1180"/>
    </row>
    <row r="154" customFormat="false" ht="15" hidden="false" customHeight="false" outlineLevel="0" collapsed="false">
      <c r="B154" s="1181" t="n">
        <v>2200</v>
      </c>
      <c r="C154" s="1181" t="n">
        <v>4</v>
      </c>
      <c r="D154" s="1181" t="n">
        <v>500</v>
      </c>
      <c r="E154" s="1181" t="n">
        <v>0</v>
      </c>
      <c r="F154" s="1181"/>
      <c r="G154" s="1181" t="n">
        <v>772</v>
      </c>
      <c r="H154" s="1182" t="n">
        <f aca="false">0.25*PI()*(B154/1000)^2</f>
        <v>3.80132711084365</v>
      </c>
    </row>
    <row r="155" customFormat="false" ht="15" hidden="false" customHeight="false" outlineLevel="0" collapsed="false">
      <c r="B155" s="1184" t="s">
        <v>2144</v>
      </c>
      <c r="C155" s="1184"/>
      <c r="D155" s="1184"/>
      <c r="E155" s="1184"/>
      <c r="F155" s="1184"/>
      <c r="G155" s="1179" t="s">
        <v>2145</v>
      </c>
    </row>
    <row r="156" customFormat="false" ht="15" hidden="false" customHeight="false" outlineLevel="0" collapsed="false">
      <c r="B156" s="1185" t="n">
        <v>0.2</v>
      </c>
      <c r="C156" s="1185"/>
      <c r="D156" s="1185"/>
      <c r="E156" s="1185"/>
      <c r="F156" s="1185"/>
      <c r="G156" s="1181" t="n">
        <v>80</v>
      </c>
    </row>
    <row r="157" customFormat="false" ht="15" hidden="false" customHeight="false" outlineLevel="0" collapsed="false">
      <c r="B157" s="1184" t="s">
        <v>2146</v>
      </c>
      <c r="C157" s="1184"/>
      <c r="D157" s="1184"/>
      <c r="E157" s="1184"/>
      <c r="F157" s="1184"/>
      <c r="G157" s="1179" t="s">
        <v>2147</v>
      </c>
    </row>
    <row r="158" customFormat="false" ht="15" hidden="false" customHeight="false" outlineLevel="0" collapsed="false">
      <c r="B158" s="1185"/>
      <c r="C158" s="1185"/>
      <c r="D158" s="1185"/>
      <c r="E158" s="1185"/>
      <c r="F158" s="1185"/>
      <c r="G158" s="1186" t="n">
        <v>1400</v>
      </c>
    </row>
    <row r="159" customFormat="false" ht="15" hidden="false" customHeight="false" outlineLevel="0" collapsed="false"/>
    <row r="160" customFormat="false" ht="15" hidden="false" customHeight="false" outlineLevel="0" collapsed="false">
      <c r="A160" s="1187" t="s">
        <v>2148</v>
      </c>
      <c r="B160" s="376" t="s">
        <v>2149</v>
      </c>
      <c r="E160" s="378" t="s">
        <v>2150</v>
      </c>
      <c r="G160" s="1188" t="n">
        <f aca="false">0.1309*(B154/1000)^3</f>
        <v>1.3938232</v>
      </c>
    </row>
    <row r="161" customFormat="false" ht="15" hidden="false" customHeight="false" outlineLevel="0" collapsed="false">
      <c r="A161" s="1187" t="s">
        <v>2151</v>
      </c>
      <c r="B161" s="376" t="s">
        <v>2152</v>
      </c>
      <c r="E161" s="378" t="s">
        <v>2153</v>
      </c>
      <c r="G161" s="376" t="n">
        <f aca="false">(B151/1000)^2*(G158/1000)</f>
        <v>9.464</v>
      </c>
    </row>
    <row r="162" customFormat="false" ht="15" hidden="false" customHeight="false" outlineLevel="0" collapsed="false">
      <c r="A162" s="1187" t="s">
        <v>2154</v>
      </c>
      <c r="B162" s="376" t="s">
        <v>2155</v>
      </c>
      <c r="E162" s="378" t="s">
        <v>2156</v>
      </c>
      <c r="G162" s="1188" t="n">
        <f aca="false">0.25*C154*(G156/1000)*PI()*(B154/1000)^2*(1-B156)</f>
        <v>0.973139740375975</v>
      </c>
    </row>
    <row r="163" customFormat="false" ht="15" hidden="false" customHeight="false" outlineLevel="0" collapsed="false">
      <c r="A163" s="1189" t="s">
        <v>2157</v>
      </c>
      <c r="B163" s="376" t="s">
        <v>2158</v>
      </c>
      <c r="E163" s="378" t="s">
        <v>2159</v>
      </c>
      <c r="G163" s="1188" t="n">
        <f aca="false">0.25*C154*0.5*(D154/1000)*PI()*(B154/1000)^2*B156</f>
        <v>0.76026542216873</v>
      </c>
    </row>
    <row r="164" customFormat="false" ht="15" hidden="false" customHeight="false" outlineLevel="0" collapsed="false">
      <c r="A164" s="1189" t="s">
        <v>2160</v>
      </c>
      <c r="B164" s="376" t="s">
        <v>2161</v>
      </c>
      <c r="C164" s="378" t="s">
        <v>2162</v>
      </c>
      <c r="E164" s="378" t="s">
        <v>2163</v>
      </c>
      <c r="G164" s="1188" t="n">
        <f aca="false">E151*0.25*PI()*(B151/1000)^2*(F151/1000)+E152*0.25*PI()*(B152/1000)^2*(F152/1000)</f>
        <v>18.9563700717608</v>
      </c>
    </row>
    <row r="165" customFormat="false" ht="15" hidden="false" customHeight="false" outlineLevel="0" collapsed="false">
      <c r="A165" s="1189" t="s">
        <v>2175</v>
      </c>
      <c r="B165" s="376" t="s">
        <v>2176</v>
      </c>
      <c r="C165" s="378" t="s">
        <v>2162</v>
      </c>
      <c r="G165" s="1194" t="n">
        <f aca="false">0.25*PI()*(B152/1000)^2*(C152/1000)*D152*J152+0.25*PI()*(B151/1000)^2*(C151/1000)*D151*J151</f>
        <v>26.295507501665</v>
      </c>
    </row>
    <row r="166" customFormat="false" ht="15" hidden="false" customHeight="false" outlineLevel="0" collapsed="false">
      <c r="B166" s="1190" t="s">
        <v>2164</v>
      </c>
    </row>
    <row r="167" customFormat="false" ht="15" hidden="false" customHeight="false" outlineLevel="0" collapsed="false">
      <c r="B167" s="1191" t="n">
        <f aca="false">(G160+G161+G162+G163+G164+G165)*G151</f>
        <v>44654.8777825692</v>
      </c>
    </row>
    <row r="168" customFormat="false" ht="15" hidden="false" customHeight="false" outlineLevel="0" collapsed="false"/>
    <row r="169" customFormat="false" ht="15" hidden="false" customHeight="false" outlineLevel="0" collapsed="false">
      <c r="A169" s="378" t="s">
        <v>2177</v>
      </c>
    </row>
    <row r="170" customFormat="false" ht="15" hidden="false" customHeight="false" outlineLevel="0" collapsed="false">
      <c r="B170" s="376" t="s">
        <v>2178</v>
      </c>
      <c r="C170" s="376" t="s">
        <v>2179</v>
      </c>
      <c r="D170" s="376" t="s">
        <v>2180</v>
      </c>
      <c r="E170" s="376" t="s">
        <v>2181</v>
      </c>
    </row>
    <row r="171" customFormat="false" ht="15" hidden="false" customHeight="false" outlineLevel="0" collapsed="false">
      <c r="B171" s="1195" t="n">
        <v>28100</v>
      </c>
      <c r="C171" s="1195" t="n">
        <v>800</v>
      </c>
      <c r="D171" s="1195" t="n">
        <v>0.5</v>
      </c>
      <c r="E171" s="1191" t="n">
        <f aca="false">B171/1000*C171*D171</f>
        <v>11240</v>
      </c>
    </row>
    <row r="172" customFormat="false" ht="15" hidden="false" customHeight="false" outlineLevel="0" collapsed="false">
      <c r="B172" s="376" t="n">
        <v>180000</v>
      </c>
      <c r="C172" s="1195" t="n">
        <v>800</v>
      </c>
      <c r="D172" s="1195" t="n">
        <v>0.9</v>
      </c>
      <c r="E172" s="1191" t="n">
        <f aca="false">B172/1000*C172*D172</f>
        <v>129600</v>
      </c>
    </row>
    <row r="173" customFormat="false" ht="15" hidden="false" customHeight="false" outlineLevel="0" collapsed="false">
      <c r="B173" s="376" t="n">
        <v>203000</v>
      </c>
      <c r="C173" s="1195" t="n">
        <v>800</v>
      </c>
      <c r="D173" s="1195" t="n">
        <v>0.9</v>
      </c>
      <c r="E173" s="1191" t="n">
        <f aca="false">B173/1000*C173*D173</f>
        <v>146160</v>
      </c>
    </row>
    <row r="174" customFormat="false" ht="15" hidden="false" customHeight="false" outlineLevel="0" collapsed="false">
      <c r="B174" s="376" t="n">
        <v>203000</v>
      </c>
      <c r="C174" s="1195" t="n">
        <v>800</v>
      </c>
      <c r="D174" s="1195" t="n">
        <v>0.9</v>
      </c>
      <c r="E174" s="1191" t="n">
        <f aca="false">B174/1000*C174*D174</f>
        <v>146160</v>
      </c>
    </row>
    <row r="175" customFormat="false" ht="15" hidden="false" customHeight="false" outlineLevel="0" collapsed="false">
      <c r="C175" s="1195"/>
      <c r="D175" s="1195"/>
      <c r="E175" s="1191"/>
    </row>
  </sheetData>
  <mergeCells count="40">
    <mergeCell ref="B6:F6"/>
    <mergeCell ref="B7:F7"/>
    <mergeCell ref="B8:F8"/>
    <mergeCell ref="B9:F9"/>
    <mergeCell ref="B23:F23"/>
    <mergeCell ref="B24:F24"/>
    <mergeCell ref="B25:F25"/>
    <mergeCell ref="B26:F26"/>
    <mergeCell ref="B40:F40"/>
    <mergeCell ref="B41:F41"/>
    <mergeCell ref="B42:F42"/>
    <mergeCell ref="B43:F43"/>
    <mergeCell ref="B56:F56"/>
    <mergeCell ref="B57:F57"/>
    <mergeCell ref="B58:F58"/>
    <mergeCell ref="B59:F59"/>
    <mergeCell ref="B72:F72"/>
    <mergeCell ref="B73:F73"/>
    <mergeCell ref="B74:F74"/>
    <mergeCell ref="B75:F75"/>
    <mergeCell ref="B88:F88"/>
    <mergeCell ref="B89:F89"/>
    <mergeCell ref="B90:F90"/>
    <mergeCell ref="B91:F91"/>
    <mergeCell ref="B104:F104"/>
    <mergeCell ref="B105:F105"/>
    <mergeCell ref="B106:F106"/>
    <mergeCell ref="B107:F107"/>
    <mergeCell ref="B120:F120"/>
    <mergeCell ref="B121:F121"/>
    <mergeCell ref="B122:F122"/>
    <mergeCell ref="B123:F123"/>
    <mergeCell ref="B136:F136"/>
    <mergeCell ref="B137:F137"/>
    <mergeCell ref="B138:F138"/>
    <mergeCell ref="B139:F139"/>
    <mergeCell ref="B155:F155"/>
    <mergeCell ref="B156:F156"/>
    <mergeCell ref="B157:F157"/>
    <mergeCell ref="B158:F15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I22" activeCellId="0" sqref="1:1048576"/>
    </sheetView>
  </sheetViews>
  <sheetFormatPr defaultColWidth="8.50390625" defaultRowHeight="14.25" zeroHeight="false" outlineLevelRow="0" outlineLevelCol="0"/>
  <cols>
    <col collapsed="false" customWidth="true" hidden="false" outlineLevel="0" max="1" min="1" style="0" width="14.38"/>
  </cols>
  <sheetData>
    <row r="1" customFormat="false" ht="15" hidden="false" customHeight="false" outlineLevel="0" collapsed="false">
      <c r="A1" s="27" t="s">
        <v>2182</v>
      </c>
    </row>
    <row r="2" customFormat="false" ht="15" hidden="false" customHeight="false" outlineLevel="0" collapsed="false">
      <c r="A2" s="27" t="s">
        <v>2183</v>
      </c>
      <c r="B2" s="281" t="n">
        <v>50</v>
      </c>
      <c r="C2" s="27" t="s">
        <v>2184</v>
      </c>
      <c r="D2" s="0" t="n">
        <v>50</v>
      </c>
    </row>
    <row r="3" customFormat="false" ht="15" hidden="false" customHeight="false" outlineLevel="0" collapsed="false">
      <c r="A3" s="27" t="s">
        <v>2185</v>
      </c>
      <c r="B3" s="281" t="n">
        <v>213.2</v>
      </c>
      <c r="C3" s="27" t="s">
        <v>2186</v>
      </c>
      <c r="D3" s="0" t="n">
        <v>213.2</v>
      </c>
    </row>
    <row r="4" customFormat="false" ht="15" hidden="false" customHeight="false" outlineLevel="0" collapsed="false">
      <c r="A4" s="27" t="s">
        <v>2187</v>
      </c>
      <c r="B4" s="281" t="n">
        <v>80</v>
      </c>
      <c r="C4" s="27" t="s">
        <v>2184</v>
      </c>
      <c r="D4" s="0" t="n">
        <v>80</v>
      </c>
    </row>
    <row r="5" customFormat="false" ht="15" hidden="false" customHeight="false" outlineLevel="0" collapsed="false">
      <c r="A5" s="27" t="s">
        <v>2188</v>
      </c>
      <c r="B5" s="281" t="n">
        <v>50.7</v>
      </c>
      <c r="C5" s="27" t="s">
        <v>2186</v>
      </c>
      <c r="D5" s="0" t="n">
        <v>50.7</v>
      </c>
    </row>
    <row r="6" customFormat="false" ht="15" hidden="false" customHeight="false" outlineLevel="0" collapsed="false">
      <c r="A6" s="27" t="s">
        <v>2189</v>
      </c>
      <c r="B6" s="1196" t="n">
        <f aca="false">(LN(LN(B5+0.6))-LN(LN(B3+0.6)))/(LN(B4+273)-LN(B2+273))</f>
        <v>-3.48259882587739</v>
      </c>
    </row>
    <row r="7" customFormat="false" ht="15" hidden="false" customHeight="false" outlineLevel="0" collapsed="false">
      <c r="A7" s="27" t="s">
        <v>2190</v>
      </c>
      <c r="B7" s="206" t="n">
        <f aca="false">LN(LN(B5+0.6))-B6*LN(B4+273)</f>
        <v>21.8011492150987</v>
      </c>
    </row>
    <row r="8" customFormat="false" ht="15" hidden="false" customHeight="false" outlineLevel="0" collapsed="false">
      <c r="A8" s="27" t="s">
        <v>2191</v>
      </c>
      <c r="B8" s="281" t="n">
        <v>60</v>
      </c>
      <c r="C8" s="27" t="s">
        <v>2184</v>
      </c>
    </row>
    <row r="9" customFormat="false" ht="15" hidden="false" customHeight="false" outlineLevel="0" collapsed="false">
      <c r="A9" s="27" t="s">
        <v>2192</v>
      </c>
      <c r="B9" s="206" t="n">
        <f aca="false">EXP(EXP($B$7+$B$6*LN(B8+273)))-0.6</f>
        <v>123.931337983001</v>
      </c>
      <c r="C9" s="27" t="s">
        <v>2186</v>
      </c>
    </row>
  </sheetData>
  <printOptions headings="false" gridLines="false" gridLinesSet="true" horizontalCentered="false" verticalCentered="false"/>
  <pageMargins left="0.7" right="0.7" top="0.75" bottom="0.75" header="0.511811023622047" footer="0.511811023622047"/>
  <pageSetup paperSize="76"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15" activeCellId="0" sqref="1:1048576"/>
    </sheetView>
  </sheetViews>
  <sheetFormatPr defaultColWidth="8.50390625" defaultRowHeight="14.25" zeroHeight="false" outlineLevelRow="0" outlineLevelCol="0"/>
  <cols>
    <col collapsed="false" customWidth="true" hidden="false" outlineLevel="0" max="1" min="1" style="0" width="21.75"/>
    <col collapsed="false" customWidth="true" hidden="false" outlineLevel="0" max="2" min="2" style="1197" width="22.12"/>
    <col collapsed="false" customWidth="true" hidden="false" outlineLevel="0" max="3" min="3" style="1197" width="4.25"/>
    <col collapsed="false" customWidth="true" hidden="false" outlineLevel="0" max="4" min="4" style="0" width="14.13"/>
    <col collapsed="false" customWidth="true" hidden="false" outlineLevel="0" max="5" min="5" style="225" width="17.25"/>
  </cols>
  <sheetData>
    <row r="1" customFormat="false" ht="15" hidden="false" customHeight="false" outlineLevel="0" collapsed="false">
      <c r="B1" s="1197" t="s">
        <v>1936</v>
      </c>
      <c r="E1" s="232" t="s">
        <v>2193</v>
      </c>
    </row>
    <row r="2" customFormat="false" ht="15" hidden="false" customHeight="false" outlineLevel="0" collapsed="false">
      <c r="B2" s="1197" t="s">
        <v>2194</v>
      </c>
      <c r="E2" s="232" t="s">
        <v>2195</v>
      </c>
    </row>
    <row r="3" customFormat="false" ht="15" hidden="false" customHeight="false" outlineLevel="0" collapsed="false">
      <c r="A3" s="27" t="s">
        <v>2196</v>
      </c>
      <c r="B3" s="1197" t="e">
        <f aca="false">物流参数!FN7/B8</f>
        <v>#DIV/0!</v>
      </c>
      <c r="D3" s="27" t="s">
        <v>2197</v>
      </c>
      <c r="E3" s="225" t="n">
        <f aca="false">物流参数!K7/物流参数!K10</f>
        <v>-2.99433665091652</v>
      </c>
    </row>
    <row r="4" customFormat="false" ht="15" hidden="false" customHeight="false" outlineLevel="0" collapsed="false">
      <c r="A4" s="27" t="s">
        <v>2198</v>
      </c>
      <c r="B4" s="1197" t="e">
        <f aca="false">物流参数!FN7*0.005/B8</f>
        <v>#DIV/0!</v>
      </c>
      <c r="D4" s="27" t="s">
        <v>1102</v>
      </c>
      <c r="E4" s="225" t="n">
        <f aca="false">物流参数!AU7/物流参数!AU10</f>
        <v>-34.578110383536</v>
      </c>
    </row>
    <row r="5" customFormat="false" ht="15" hidden="false" customHeight="false" outlineLevel="0" collapsed="false">
      <c r="A5" s="27" t="s">
        <v>2199</v>
      </c>
      <c r="B5" s="1197" t="e">
        <f aca="false">物流参数!FN7*0.3/B8</f>
        <v>#DIV/0!</v>
      </c>
    </row>
    <row r="6" customFormat="false" ht="15" hidden="false" customHeight="false" outlineLevel="0" collapsed="false">
      <c r="A6" s="27" t="s">
        <v>2200</v>
      </c>
      <c r="B6" s="1197" t="e">
        <f aca="false">SUM(B3:B5)</f>
        <v>#DIV/0!</v>
      </c>
      <c r="E6" s="1197"/>
    </row>
    <row r="7" customFormat="false" ht="15" hidden="false" customHeight="false" outlineLevel="0" collapsed="false">
      <c r="A7" s="27" t="s">
        <v>2201</v>
      </c>
      <c r="B7" s="1197" t="n">
        <f aca="false">物流参数!FN31</f>
        <v>0</v>
      </c>
      <c r="E7" s="1197"/>
    </row>
    <row r="8" customFormat="false" ht="15" hidden="false" customHeight="false" outlineLevel="0" collapsed="false">
      <c r="A8" s="27" t="s">
        <v>2202</v>
      </c>
      <c r="B8" s="1197" t="n">
        <f aca="false">物流参数!FN10</f>
        <v>0</v>
      </c>
      <c r="E8" s="1197"/>
    </row>
    <row r="9" customFormat="false" ht="15" hidden="false" customHeight="false" outlineLevel="0" collapsed="false">
      <c r="A9" s="27" t="s">
        <v>2203</v>
      </c>
      <c r="B9" s="1198" t="n">
        <v>200</v>
      </c>
      <c r="C9" s="1198"/>
      <c r="E9" s="1198"/>
    </row>
    <row r="10" customFormat="false" ht="15" hidden="false" customHeight="false" outlineLevel="0" collapsed="false">
      <c r="A10" s="27" t="s">
        <v>2204</v>
      </c>
      <c r="B10" s="1197" t="e">
        <f aca="false">B6/3600/(0.785*(B9/1000)^2)</f>
        <v>#DIV/0!</v>
      </c>
      <c r="E10" s="1197"/>
    </row>
    <row r="11" customFormat="false" ht="15" hidden="false" customHeight="false" outlineLevel="0" collapsed="false">
      <c r="A11" s="27" t="s">
        <v>2205</v>
      </c>
      <c r="B11" s="1197" t="n">
        <f aca="false">B9*10</f>
        <v>2000</v>
      </c>
      <c r="E11" s="1197"/>
    </row>
    <row r="12" customFormat="false" ht="15" hidden="false" customHeight="false" outlineLevel="0" collapsed="false">
      <c r="E12" s="1197"/>
    </row>
    <row r="13" customFormat="false" ht="15" hidden="false" customHeight="false" outlineLevel="0" collapsed="false">
      <c r="A13" s="27" t="s">
        <v>2206</v>
      </c>
      <c r="B13" s="1197" t="e">
        <f aca="false">B9*B8*B10/B7</f>
        <v>#DIV/0!</v>
      </c>
      <c r="E13" s="1197"/>
    </row>
    <row r="14" customFormat="false" ht="15" hidden="false" customHeight="false" outlineLevel="0" collapsed="false">
      <c r="A14" s="27" t="s">
        <v>2207</v>
      </c>
      <c r="B14" s="1197" t="n">
        <v>2.53</v>
      </c>
      <c r="E14" s="1197"/>
    </row>
    <row r="15" customFormat="false" ht="15" hidden="false" customHeight="false" outlineLevel="0" collapsed="false">
      <c r="A15" s="27" t="s">
        <v>2208</v>
      </c>
      <c r="B15" s="1197" t="e">
        <f aca="false">B14*B8/2*B10^2*B11/B9/1000</f>
        <v>#DIV/0!</v>
      </c>
      <c r="E15" s="119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ages>0</Pages>
  <Words>0</Words>
  <Characters>0</Characters>
  <CharactersWithSpaces>0</CharactersWithSpaces>
  <Paragraphs>0</Paragraphs>
  <Company>www.ftpdown.com</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2011-07-27T08:08:24Z</dcterms:created>
  <dc:creator>qiupeng</dc:creator>
  <dc:description/>
  <dc:language>zh-CN</dc:language>
  <cp:lastModifiedBy>秦士江</cp:lastModifiedBy>
  <cp:lastPrinted>2014-06-03T09:27:15Z</cp:lastPrinted>
  <dcterms:modified xsi:type="dcterms:W3CDTF">2014-08-01T03:24:40Z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2052-6.6.0.2671</vt:lpwstr>
  </property>
</Properties>
</file>