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260" windowHeight="8540" tabRatio="606" firstSheet="2" activeTab="4"/>
  </bookViews>
  <sheets>
    <sheet name="Premium Calculation" sheetId="1" r:id="rId1"/>
    <sheet name="Par-BI" sheetId="2" r:id="rId2"/>
    <sheet name="Product Data n Calcs" sheetId="3" r:id="rId3"/>
    <sheet name="GSV for SSV Cal" sheetId="4" r:id="rId4"/>
    <sheet name="GOdb Test Cases" sheetId="5" r:id="rId5"/>
    <sheet name="Godb Changes" sheetId="6" r:id="rId6"/>
  </sheets>
  <definedNames>
    <definedName name="_xlnm.Print_Area" localSheetId="1">'Par-BI'!$A$1:N62</definedName>
    <definedName name="Age">'Premium Calculation'!$C$6</definedName>
    <definedName name="Base_Ann_Prem_For_DB_Yr2">'Product Data n Calcs'!$U$7</definedName>
    <definedName name="Base_Prem">'Product Data n Calcs'!$S$4</definedName>
    <definedName name="Basic_Prem_Yr1_Annualized">'Premium Calculation'!$D$30</definedName>
    <definedName name="Basic_Prem_Yr2_Annualized">'Premium Calculation'!$D$37</definedName>
    <definedName name="Basic_Premium_1">'Premium Calculation'!$D$27</definedName>
    <definedName name="Basic_Premium_2">'Premium Calculation'!$D$34</definedName>
    <definedName name="BP_less_HSA" localSheetId="2">'Product Data n Calcs'!$J$14</definedName>
    <definedName name="Direct_Discount">'Product Data n Calcs'!$S$5</definedName>
    <definedName name="Direct_sale">'Premium Calculation'!$C$10</definedName>
    <definedName name="EM_PC">'Premium Calculation'!$C$16</definedName>
    <definedName name="EMR_Bands" localSheetId="2">'Product Data n Calcs'!$E$5:$L$9</definedName>
    <definedName name="EMR_Rate">'Product Data n Calcs'!$S$11</definedName>
    <definedName name="EMR_Rating">'Product Data n Calcs'!$S$10</definedName>
    <definedName name="Flat_Extra">'Premium Calculation'!$C$17</definedName>
    <definedName name="HSA_Rebates" localSheetId="2">'Product Data n Calcs'!$B$11:$C$17</definedName>
    <definedName name="MMR_Extra">'Premium Calculation'!$C$18</definedName>
    <definedName name="Modal_Basic_Prem_Yr1">'Product Data n Calcs'!$U$16</definedName>
    <definedName name="Modal_Basic_Prem_Yr2">'Product Data n Calcs'!$U$17</definedName>
    <definedName name="Net_EMR_Rate">'Product Data n Calcs'!$S$14</definedName>
    <definedName name="Net_EMR_rate_yr2">'Product Data n Calcs'!$S$15</definedName>
    <definedName name="Net_Prem_Rate">'Product Data n Calcs'!$S$13</definedName>
    <definedName name="PPT">'Premium Calculation'!$C$11</definedName>
    <definedName name="Prem_after_rebate">'Product Data n Calcs'!$S$7</definedName>
    <definedName name="Prem_Mode">'Premium Calculation'!$C$7</definedName>
    <definedName name="Prem_Modes" localSheetId="2">'Product Data n Calcs'!$B$20:$C$21</definedName>
    <definedName name="Prem_Rates" localSheetId="2">'Product Data n Calcs'!$B$4:$C$8</definedName>
    <definedName name="PT">'Premium Calculation'!$C$12</definedName>
    <definedName name="RATES">'Product Data n Calcs'!$B$3:$M$41</definedName>
    <definedName name="RATES_HEADINGS">'Product Data n Calcs'!$B$3:$M$3</definedName>
    <definedName name="SA">'Premium Calculation'!$C$5</definedName>
    <definedName name="SA_by_1000_n_Modal_Factor">'Product Data n Calcs'!$S$18</definedName>
    <definedName name="SA_Rebate">'Product Data n Calcs'!$S$6</definedName>
    <definedName name="ST_Indicator">'Premium Calculation'!$C$13</definedName>
    <definedName name="Staff_Case">'Premium Calculation'!$C$9</definedName>
    <definedName name="Staff_Disc_PC" localSheetId="2">'Product Data n Calcs'!$J$15</definedName>
    <definedName name="Staff_Discount">'Product Data n Calcs'!$S$8</definedName>
    <definedName name="STax_1">'Premium Calculation'!$C$23</definedName>
    <definedName name="Stax_2">'Premium Calculation'!$C$24</definedName>
    <definedName name="Stax_Oasis_Yr1">'Premium Calculation'!$D$28</definedName>
    <definedName name="Stax_Oasis_Yr2">'Premium Calculation'!$D$35</definedName>
    <definedName name="Termbonus1">'GSV for SSV Cal'!$J$3</definedName>
    <definedName name="Termial_bonus2">'GSV for SSV Cal'!$K$3</definedName>
    <definedName name="Tot_Flat_Extra">'Product Data n Calcs'!$S$9</definedName>
    <definedName name="Tot_MMR_Extra">'Product Data n Calcs'!$S$12</definedName>
    <definedName name="Tot_Prem_Rate_Oasis_Yr1">'Product Data n Calcs'!$T$16</definedName>
    <definedName name="Tot_Prem_Rate_Oasis_Yr2">'Product Data n Calcs'!$T$17</definedName>
    <definedName name="Tot_Prem_Rate_Yr1">'Product Data n Calcs'!$S$16</definedName>
    <definedName name="Tot_Prem_Rate_Yr2">'Product Data n Calcs'!$S$17</definedName>
  </definedNames>
  <calcPr calcId="144525"/>
</workbook>
</file>

<file path=xl/sharedStrings.xml><?xml version="1.0" encoding="utf-8"?>
<sst xmlns="http://schemas.openxmlformats.org/spreadsheetml/2006/main" count="199">
  <si>
    <t>Enter the details in Cells coloured Green</t>
  </si>
  <si>
    <t>Output is in cells coloured Pink</t>
  </si>
  <si>
    <t>Enter desired plan details</t>
  </si>
  <si>
    <t>Premium Input for Reverse Calculator</t>
  </si>
  <si>
    <t>Sum Assured</t>
  </si>
  <si>
    <t xml:space="preserve">Orig. Installment Premium (Rs.) </t>
  </si>
  <si>
    <t>Age Last Birthday as on Date of Commencement</t>
  </si>
  <si>
    <t xml:space="preserve">INCLUDING Service Tax </t>
  </si>
  <si>
    <t>Mode</t>
  </si>
  <si>
    <t>Monthly</t>
  </si>
  <si>
    <t>Output of reverse calculator</t>
  </si>
  <si>
    <t xml:space="preserve">EXCLUDING Service Tax </t>
  </si>
  <si>
    <t>Sex</t>
  </si>
  <si>
    <t>M</t>
  </si>
  <si>
    <t>SA Output for Reverse Calculator</t>
  </si>
  <si>
    <t xml:space="preserve">for Year 1: </t>
  </si>
  <si>
    <t>Staff Case</t>
  </si>
  <si>
    <t>No</t>
  </si>
  <si>
    <t>Online Case</t>
  </si>
  <si>
    <t>Yes</t>
  </si>
  <si>
    <t>PPT</t>
  </si>
  <si>
    <t>PT</t>
  </si>
  <si>
    <t>Note:</t>
  </si>
  <si>
    <t>Orig. Installment Premium "Including" Service Tax ( Cell F4)</t>
  </si>
  <si>
    <t>Reverse Calculator will not work for Staff Cases</t>
  </si>
  <si>
    <t>If the Service Tax depicted here is different from the actual, get the Reverse Calculator updated from Actuarial Team.</t>
  </si>
  <si>
    <t>Underwriting Extras</t>
  </si>
  <si>
    <t>Extra Mortality Rating</t>
  </si>
  <si>
    <t>Flat Extra</t>
  </si>
  <si>
    <t>MMR</t>
  </si>
  <si>
    <t>As per our understanding from underwriting team, MMR is no longer used and hence should always assume the value 0 here.</t>
  </si>
  <si>
    <t>Check for Premium basis Premium Calculator</t>
  </si>
  <si>
    <t xml:space="preserve">Year </t>
  </si>
  <si>
    <t>Service Tax and applicable Cess</t>
  </si>
  <si>
    <t>Year 1</t>
  </si>
  <si>
    <t>Other Years</t>
  </si>
  <si>
    <t>Ingenium</t>
  </si>
  <si>
    <t>Oasis</t>
  </si>
  <si>
    <t>Subsequent Year Modal Prem Calcs</t>
  </si>
  <si>
    <t>If Cell D33 is greater than 1 wrt rounding of values, please connect with the Pricing Team</t>
  </si>
  <si>
    <t>Benefit Illustration - Assured Nivesh Plan</t>
  </si>
  <si>
    <t>&lt;&lt;Page 1&gt;&gt;</t>
  </si>
  <si>
    <t>Thank you for interest in our Canara HSBC Oriental Bank of Commerce Life Insurance Assured Nivesh Plan. Based on the details provided by you, and reproduced below, the illustration customised to your</t>
  </si>
  <si>
    <t>requirements is appended. Please note that this illustration is indicative and the actual values may vary depending on performance of the Participating fund managed by the company.</t>
  </si>
  <si>
    <t>Personal details of life to be assured</t>
  </si>
  <si>
    <t>Plan Details</t>
  </si>
  <si>
    <t>Date of Birth:</t>
  </si>
  <si>
    <t xml:space="preserve">Proposal Number: </t>
  </si>
  <si>
    <t>NA</t>
  </si>
  <si>
    <t xml:space="preserve"> UIN: </t>
  </si>
  <si>
    <t xml:space="preserve">Age: </t>
  </si>
  <si>
    <t xml:space="preserve">Name of the plan: </t>
  </si>
  <si>
    <t>Canara HSBC Oriental Bank of  Commerce Life Insurance Assured Nivesh Plan</t>
  </si>
  <si>
    <t>Designation</t>
  </si>
  <si>
    <t>&lt;&lt;Designation&gt;&gt;</t>
  </si>
  <si>
    <t xml:space="preserve">Gender: </t>
  </si>
  <si>
    <t xml:space="preserve">Date of Illustration: </t>
  </si>
  <si>
    <t xml:space="preserve">Policy Term: </t>
  </si>
  <si>
    <t>years</t>
  </si>
  <si>
    <t xml:space="preserve">Base Sum Assured: </t>
  </si>
  <si>
    <t>Rs.</t>
  </si>
  <si>
    <t xml:space="preserve">Premium Payment Term: </t>
  </si>
  <si>
    <t>Death Benefit Sum Assured</t>
  </si>
  <si>
    <t>Premium Payment Frequency:</t>
  </si>
  <si>
    <t xml:space="preserve">Annualised Premium: </t>
  </si>
  <si>
    <t>Maturity Value @4% :</t>
  </si>
  <si>
    <t xml:space="preserve">Instalment Premium: </t>
  </si>
  <si>
    <t>Maturity Value @8% :</t>
  </si>
  <si>
    <t>Illustration with Standard Mortality rates</t>
  </si>
  <si>
    <t>&lt;&lt;Page 2&gt;&gt;</t>
  </si>
  <si>
    <t>Guaranteed Benefits</t>
  </si>
  <si>
    <t>Non Guaranteed Benefits</t>
  </si>
  <si>
    <t>Year</t>
  </si>
  <si>
    <t>Age at the beginning of the year</t>
  </si>
  <si>
    <t>Annualized Premium (`)</t>
  </si>
  <si>
    <t>Service Tax (`)</t>
  </si>
  <si>
    <t>Total Premium (`)</t>
  </si>
  <si>
    <t>Death Benefit (`)</t>
  </si>
  <si>
    <t>Maturity Benefit</t>
  </si>
  <si>
    <t>Surrender Value(`)</t>
  </si>
  <si>
    <t>Accumulated Bonus at an assumed investment return of 4% (`)</t>
  </si>
  <si>
    <t>Accumulated Bonus at an assumed investment return of 8% (`)</t>
  </si>
  <si>
    <t>Final Bonus at maturity</t>
  </si>
  <si>
    <t>Total Bonus</t>
  </si>
  <si>
    <t xml:space="preserve">A policy shall acquire lapse status if the policyholder fails to pay due premium within the grace period in the first three/two policy years for Policy Term 20/10 years as applicable. In such case, provided that at least one full year`s premium has been paid and the policy has not been revived: 
</t>
  </si>
  <si>
    <t xml:space="preserve">The above amount is payable on a) death of the life assured, b) request for termination of the policy by the policyholder or c) expiry of the revival period, whichever happens earliest. </t>
  </si>
  <si>
    <t>Notes:</t>
  </si>
  <si>
    <t>(1)  Maturity Benefit payable on survival of the Life Assured till the end  of the policy term is : Guaranteed Sum Assured at Maturity plus accrued annual bonuses (if any) plus final bonus (if any), Where, Guaranteed Sum Assured at Maturity is equal to Sum Assured. The Company has also illustrated above, returns projected at gross interest rates of 4% and 8%</t>
  </si>
  <si>
    <t>(2) The Death Benefit payable on death of Life Assured is:
 "Higher of (Sum Assured chosen or 10 times of Annualised Premium) + Annual Bonuses added till date of death + Interim Bonus (if any) along with Final Bonus (if any at date of death)
Please note that the death benefit will be at least 105% of (all premiums paid less extra premiums paid, if any)".</t>
  </si>
  <si>
    <t>On payment of death benefit, the policy will stand terminated.</t>
  </si>
  <si>
    <t>&lt;&lt;Page 3&gt;&gt;</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</si>
  <si>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</si>
  <si>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 xml:space="preserve">2. Annual bonuses and Final bonus (if any) are shown at an assumed investment rate of 4% or 8% every year in this illustration.There is no guarantee on the amount of  bonuses and these </t>
  </si>
  <si>
    <t xml:space="preserve">    will be declared at the sole discretion of the company.</t>
  </si>
  <si>
    <t xml:space="preserve">3. This is a traditional plan intended for long term savings and benefits. It is strongly advised that the policy should be continued throughout the defined policy </t>
  </si>
  <si>
    <t xml:space="preserve">    term to realise the full benefits. Early exit should not be opted for unless there is no other alternative available, as it will impact the policy value. If premiums are discontinued</t>
  </si>
  <si>
    <t xml:space="preserve">    after payment of at least 2 years’ premium the policy will acquire a Paid-up value that you will receive on death or maturity, whichever is earlier, provided you have not surrendered or revived the policy.</t>
  </si>
  <si>
    <t xml:space="preserve">4. Your policy will acquire a guaranteed surrender value (GSV)after payment of at least 2 years’ premium.However, the company may offer a special surrender value (SSV), and higher of {GSV or SSV} plus terminal/interim bonus (if any) will be paid on surrender. </t>
  </si>
  <si>
    <t xml:space="preserve">    The Illustration above only shows the guaranteed surrender value payable.</t>
  </si>
  <si>
    <t xml:space="preserve">5.  Premiums payable and benefits receivable under this plan are eligible for tax benefits as per the prevailing tax laws subject to amendments from time to time. </t>
  </si>
  <si>
    <t>6.  The above premium is for a healthy individual. Your application will be assessed as per board approved underwriting policy of the company. Basis underwriting, it may result in an extra premium to be paid, which shall be borne by you.</t>
  </si>
  <si>
    <t>7. The above illustration takes into account currently applicable service tax &amp; cess. However, the applicable taxes may change from time to time and total premium payable will change accordingly.</t>
  </si>
  <si>
    <t>8. The above illustration does not take into account rider Premium (if any).</t>
  </si>
  <si>
    <t>Risk Factors</t>
  </si>
  <si>
    <t xml:space="preserve">    There is no guarantee on the amount of bonuses and these will be declared at the sole discretion of the company. Hence, the bonuses in this plan may vary from time to time.</t>
  </si>
  <si>
    <t>Disclosures</t>
  </si>
  <si>
    <r>
      <rPr>
        <sz val="11"/>
        <color indexed="8"/>
        <rFont val="Arial"/>
        <family val="2"/>
        <charset val="134"/>
      </rPr>
      <t>1.&lt;&lt;</t>
    </r>
    <r>
      <rPr>
        <u/>
        <sz val="11"/>
        <color indexed="8"/>
        <rFont val="Arial"/>
        <family val="2"/>
        <charset val="134"/>
      </rPr>
      <t xml:space="preserve">Non Staff policies only&gt;&gt;: </t>
    </r>
    <r>
      <rPr>
        <sz val="11"/>
        <color indexed="8"/>
        <rFont val="Arial"/>
        <family val="2"/>
        <charset val="134"/>
      </rPr>
      <t>Corporate Agent will receive commission basis the premium payment term (PPT) of the policy from the company for this transaction:-</t>
    </r>
  </si>
  <si>
    <r>
      <rPr>
        <sz val="11"/>
        <color indexed="8"/>
        <rFont val="Symbol"/>
        <family val="1"/>
        <charset val="2"/>
      </rPr>
      <t>·</t>
    </r>
    <r>
      <rPr>
        <sz val="7"/>
        <color indexed="8"/>
        <rFont val="Times New Roman"/>
        <family val="1"/>
        <charset val="134"/>
      </rPr>
      <t>   </t>
    </r>
    <r>
      <rPr>
        <sz val="11"/>
        <color indexed="8"/>
        <rFont val="Arial"/>
        <family val="2"/>
        <charset val="134"/>
      </rPr>
      <t> &lt;&lt;  7</t>
    </r>
    <r>
      <rPr>
        <u/>
        <sz val="11"/>
        <color indexed="8"/>
        <rFont val="Arial"/>
        <family val="2"/>
        <charset val="134"/>
      </rPr>
      <t xml:space="preserve"> years PPT&gt;&gt; :</t>
    </r>
    <r>
      <rPr>
        <sz val="11"/>
        <color indexed="8"/>
        <rFont val="Arial"/>
        <family val="2"/>
        <charset val="134"/>
      </rPr>
      <t>- 21% commission on first year premium and 5% renewal commission thereafter.</t>
    </r>
  </si>
  <si>
    <r>
      <rPr>
        <sz val="11"/>
        <color indexed="8"/>
        <rFont val="Symbol"/>
        <family val="1"/>
        <charset val="2"/>
      </rPr>
      <t>·</t>
    </r>
    <r>
      <rPr>
        <sz val="7"/>
        <color indexed="8"/>
        <rFont val="Times New Roman"/>
        <family val="1"/>
        <charset val="134"/>
      </rPr>
      <t xml:space="preserve">     &lt;&lt; </t>
    </r>
    <r>
      <rPr>
        <u/>
        <sz val="11"/>
        <color indexed="8"/>
        <rFont val="Arial"/>
        <family val="2"/>
        <charset val="134"/>
      </rPr>
      <t>10 years PPT&gt;&gt; :</t>
    </r>
    <r>
      <rPr>
        <sz val="11"/>
        <color indexed="8"/>
        <rFont val="Arial"/>
        <family val="2"/>
        <charset val="134"/>
      </rPr>
      <t xml:space="preserve">- 30% commission on first year premium and 5% renewal commission thereafter. </t>
    </r>
  </si>
  <si>
    <t>IRDA regulations do not permit Corporate Agent or its employees to pay such commission, whether in part or whole, as an inducement to any person to take out or renew or continue an insurance policy of  any kind.</t>
  </si>
  <si>
    <r>
      <rPr>
        <sz val="11"/>
        <color indexed="8"/>
        <rFont val="Arial"/>
        <family val="2"/>
        <charset val="134"/>
      </rPr>
      <t>&lt;&lt;</t>
    </r>
    <r>
      <rPr>
        <u/>
        <sz val="11"/>
        <color indexed="8"/>
        <rFont val="Arial"/>
        <family val="2"/>
        <charset val="134"/>
      </rPr>
      <t xml:space="preserve"> Staff policies only&gt;&gt;: </t>
    </r>
    <r>
      <rPr>
        <sz val="11"/>
        <color indexed="8"/>
        <rFont val="Arial"/>
        <family val="2"/>
        <charset val="134"/>
      </rPr>
      <t>Corporate Agent will receive commission basis the premium payment term (PPT) of the policy from the company for this transaction:-</t>
    </r>
  </si>
  <si>
    <r>
      <rPr>
        <sz val="11"/>
        <color indexed="8"/>
        <rFont val="Symbol"/>
        <family val="1"/>
        <charset val="2"/>
      </rPr>
      <t>·</t>
    </r>
    <r>
      <rPr>
        <sz val="7"/>
        <color indexed="8"/>
        <rFont val="Times New Roman"/>
        <family val="1"/>
        <charset val="134"/>
      </rPr>
      <t>   &lt;&lt;</t>
    </r>
    <r>
      <rPr>
        <sz val="11"/>
        <color indexed="8"/>
        <rFont val="Arial"/>
        <family val="2"/>
        <charset val="134"/>
      </rPr>
      <t>   7</t>
    </r>
    <r>
      <rPr>
        <u/>
        <sz val="11"/>
        <color indexed="8"/>
        <rFont val="Arial"/>
        <family val="2"/>
        <charset val="134"/>
      </rPr>
      <t xml:space="preserve"> years PPT&gt;&gt; :</t>
    </r>
    <r>
      <rPr>
        <sz val="11"/>
        <color indexed="8"/>
        <rFont val="Arial"/>
        <family val="2"/>
        <charset val="134"/>
      </rPr>
      <t>- 10.5% commission on first year premium and 5% renewal commission thereafter.</t>
    </r>
  </si>
  <si>
    <r>
      <rPr>
        <sz val="11"/>
        <color indexed="8"/>
        <rFont val="Symbol"/>
        <family val="1"/>
        <charset val="2"/>
      </rPr>
      <t>·</t>
    </r>
    <r>
      <rPr>
        <sz val="7"/>
        <color indexed="8"/>
        <rFont val="Times New Roman"/>
        <family val="1"/>
        <charset val="134"/>
      </rPr>
      <t xml:space="preserve"> &lt;&lt;  </t>
    </r>
    <r>
      <rPr>
        <u/>
        <sz val="11"/>
        <color indexed="8"/>
        <rFont val="Arial"/>
        <family val="2"/>
        <charset val="134"/>
      </rPr>
      <t>10 years PPT&gt;&gt; :</t>
    </r>
    <r>
      <rPr>
        <sz val="11"/>
        <color indexed="8"/>
        <rFont val="Arial"/>
        <family val="2"/>
        <charset val="134"/>
      </rPr>
      <t xml:space="preserve">- 15% commission on first year premium and 5% renewal commission thereafter. </t>
    </r>
  </si>
  <si>
    <t>IRDA regulations do not permit Corporate Agent or its employees to pay such commission, whether in part or whole, as an inducement to any person to take out or renew or continue an insurance policy of  any kind</t>
  </si>
  <si>
    <t xml:space="preserve">    </t>
  </si>
  <si>
    <t>Declaration</t>
  </si>
  <si>
    <t>I……………..………..……………..(Name), have explained  the information with respect to the above to the proposer before entering into the contract.</t>
  </si>
  <si>
    <t xml:space="preserve">Marketing officials' Signature: </t>
  </si>
  <si>
    <t>Place:</t>
  </si>
  <si>
    <t>Date:</t>
  </si>
  <si>
    <t>I .............................................. (Name), having received the information with respect to the above, have understood the above statement before entering into the contract.</t>
  </si>
  <si>
    <t xml:space="preserve">Proposer's Signature: </t>
  </si>
  <si>
    <t>PARTICULARS</t>
  </si>
  <si>
    <t>Age (l.b.d.)</t>
  </si>
  <si>
    <r>
      <rPr>
        <b/>
        <sz val="10"/>
        <color indexed="8"/>
        <rFont val="Calibri"/>
        <family val="2"/>
        <charset val="134"/>
      </rPr>
      <t xml:space="preserve">Premium Rate per </t>
    </r>
    <r>
      <rPr>
        <b/>
        <sz val="10"/>
        <color indexed="8"/>
        <rFont val="Rupee Foradian"/>
        <family val="2"/>
        <charset val="134"/>
      </rPr>
      <t>`</t>
    </r>
    <r>
      <rPr>
        <b/>
        <sz val="10"/>
        <color indexed="8"/>
        <rFont val="Calibri"/>
        <family val="2"/>
        <charset val="134"/>
      </rPr>
      <t xml:space="preserve"> 1,000 SA</t>
    </r>
  </si>
  <si>
    <t>EMR Rates</t>
  </si>
  <si>
    <t>HSA Rebate</t>
  </si>
  <si>
    <t>Premium Calculation</t>
  </si>
  <si>
    <t>Policy Term 20 Mortality Extra of:</t>
  </si>
  <si>
    <t>Policy Term 15 Mortality Extra of:</t>
  </si>
  <si>
    <r>
      <rPr>
        <b/>
        <sz val="10"/>
        <rFont val="Calibri"/>
        <family val="2"/>
        <charset val="134"/>
      </rPr>
      <t xml:space="preserve">SA (in </t>
    </r>
    <r>
      <rPr>
        <b/>
        <sz val="10"/>
        <rFont val="Rupee Foradian"/>
        <family val="2"/>
        <charset val="134"/>
      </rPr>
      <t>`</t>
    </r>
    <r>
      <rPr>
        <b/>
        <sz val="10"/>
        <rFont val="Arial"/>
        <family val="2"/>
        <charset val="134"/>
      </rPr>
      <t>)</t>
    </r>
  </si>
  <si>
    <t>Rebate (per 1000 SA)</t>
  </si>
  <si>
    <t>Ingenium Logic</t>
  </si>
  <si>
    <t>Oasis Logic</t>
  </si>
  <si>
    <t>Age lbd</t>
  </si>
  <si>
    <t>PPT10PT20</t>
  </si>
  <si>
    <t>PPT7PT15</t>
  </si>
  <si>
    <t>Age last bday</t>
  </si>
  <si>
    <t>Calculation Reverse Calculator</t>
  </si>
  <si>
    <t>Base Premium Rate</t>
  </si>
  <si>
    <t>Direct Discount</t>
  </si>
  <si>
    <t>SA Rebate</t>
  </si>
  <si>
    <t>Annualized Prem For DB calcs</t>
  </si>
  <si>
    <t>BP Rate aft Direct Disc less SA Rebate</t>
  </si>
  <si>
    <t>Staff Discount</t>
  </si>
  <si>
    <t>EMR Rating</t>
  </si>
  <si>
    <t>EMR Rate</t>
  </si>
  <si>
    <t>Modal Loading</t>
  </si>
  <si>
    <t>Annual</t>
  </si>
  <si>
    <t>Basic Prem Rate (Yr1)</t>
  </si>
  <si>
    <t>Extra Prem Rate  (Yr1)</t>
  </si>
  <si>
    <t>Extra Prem Rate  (Yr2)</t>
  </si>
  <si>
    <t>Modal Basic Prem For GSV calcs</t>
  </si>
  <si>
    <t>Total Premium Rate_Yr1</t>
  </si>
  <si>
    <t>Modal Basic Prem Yr 1 excl. extra prem</t>
  </si>
  <si>
    <t>Total Premium Rate_Yr2</t>
  </si>
  <si>
    <t>Modal Basic Prem Yr2 excl. extra prem</t>
  </si>
  <si>
    <t>SA/1000 * Modal_Factor</t>
  </si>
  <si>
    <t>First Year Modal Prem Calcs</t>
  </si>
  <si>
    <t>Modal Premium (Basic Prem + Extra Prem, incl. Disc.)</t>
  </si>
  <si>
    <t>Total Modal Premium</t>
  </si>
  <si>
    <t>Annualized Premium excluding Service Tax</t>
  </si>
  <si>
    <t>Applicable Bonus %</t>
  </si>
  <si>
    <t>Terminal
Bonus</t>
  </si>
  <si>
    <t>Terminal Bonus</t>
  </si>
  <si>
    <t xml:space="preserve"> Year</t>
  </si>
  <si>
    <t>Month</t>
  </si>
  <si>
    <t>PREM %</t>
  </si>
  <si>
    <t>Total Premium Annual without considering monthly mode for calculation purposes</t>
  </si>
  <si>
    <t>Cumulative Premium</t>
  </si>
  <si>
    <t>GSV - without Bonus</t>
  </si>
  <si>
    <t>Investment return at 4.00%</t>
  </si>
  <si>
    <t>Investment return at 8.00%</t>
  </si>
  <si>
    <t>Early Exit Value - without Bonus</t>
  </si>
  <si>
    <t>GSV Factor -Prem</t>
  </si>
  <si>
    <t>YEARS</t>
  </si>
  <si>
    <t>RB %</t>
  </si>
  <si>
    <t>Months</t>
  </si>
  <si>
    <t>Premium value</t>
  </si>
  <si>
    <t>Policy Year</t>
  </si>
  <si>
    <t>Input</t>
  </si>
  <si>
    <t>Test1</t>
  </si>
  <si>
    <t>Test2</t>
  </si>
  <si>
    <t>Test3</t>
  </si>
  <si>
    <t>Test4</t>
  </si>
  <si>
    <t>Test5</t>
  </si>
  <si>
    <t>Org. Insta Premium Excluding S.Tax For yr 1</t>
  </si>
  <si>
    <t>Age</t>
  </si>
  <si>
    <t>F</t>
  </si>
  <si>
    <t>Online case</t>
  </si>
  <si>
    <t>Org. Insta Premium Including S.Tax</t>
  </si>
  <si>
    <t>EMR</t>
  </si>
  <si>
    <t>OUTPUT</t>
  </si>
  <si>
    <t>Sheets</t>
  </si>
  <si>
    <t>Old</t>
  </si>
  <si>
    <t>New</t>
  </si>
  <si>
    <t>Product Data n Calcs</t>
  </si>
  <si>
    <t>Age (l.b.d.),Premium Rate per ` 1,000 SA,PARTICULARS was in B3,C3,B2</t>
  </si>
  <si>
    <t xml:space="preserve">Moved to B2,C2,C1 </t>
  </si>
</sst>
</file>

<file path=xl/styles.xml><?xml version="1.0" encoding="utf-8"?>
<styleSheet xmlns="http://schemas.openxmlformats.org/spreadsheetml/2006/main">
  <numFmts count="13">
    <numFmt numFmtId="176" formatCode="0.000000%"/>
    <numFmt numFmtId="177" formatCode="0.000"/>
    <numFmt numFmtId="178" formatCode="0.0%"/>
    <numFmt numFmtId="179" formatCode="_(* #,##0.00_);_(* \(#,##0.00\);_(* &quot;-&quot;??_);_(@_)"/>
    <numFmt numFmtId="44" formatCode="_-&quot;£&quot;* #,##0.00_-;\-&quot;£&quot;* #,##0.00_-;_-&quot;£&quot;* &quot;-&quot;??_-;_-@_-"/>
    <numFmt numFmtId="42" formatCode="_-&quot;£&quot;* #,##0_-;\-&quot;£&quot;* #,##0_-;_-&quot;£&quot;* &quot;-&quot;_-;_-@_-"/>
    <numFmt numFmtId="180" formatCode="_ * #,##0_ ;_ * \-#,##0_ ;_ * &quot;-&quot;??_ ;_ @_ "/>
    <numFmt numFmtId="181" formatCode="_(* #,##0_);_(* \(#,##0\);_(* &quot;-&quot;??_);_(@_)"/>
    <numFmt numFmtId="182" formatCode="[$-409]d\-mmm\-yy;@"/>
    <numFmt numFmtId="183" formatCode="_(* #,##0.000_);_(* \(#,##0.000\);_(* &quot;-&quot;??_);_(@_)"/>
    <numFmt numFmtId="184" formatCode="0.000%"/>
    <numFmt numFmtId="41" formatCode="_-* #,##0_-;\-* #,##0_-;_-* &quot;-&quot;_-;_-@_-"/>
    <numFmt numFmtId="185" formatCode="dd\-mmm\-yy"/>
  </numFmts>
  <fonts count="44">
    <font>
      <sz val="11"/>
      <color indexed="8"/>
      <name val="Calibri"/>
      <family val="2"/>
      <charset val="134"/>
    </font>
    <font>
      <sz val="10"/>
      <name val="Arial"/>
      <family val="2"/>
      <charset val="134"/>
    </font>
    <font>
      <b/>
      <sz val="11"/>
      <color indexed="10"/>
      <name val="Calibri"/>
      <family val="2"/>
      <charset val="134"/>
    </font>
    <font>
      <b/>
      <sz val="11"/>
      <color indexed="8"/>
      <name val="Calibri"/>
      <family val="2"/>
      <charset val="134"/>
    </font>
    <font>
      <sz val="11"/>
      <color indexed="0"/>
      <name val="Helvetica"/>
      <family val="2"/>
      <charset val="134"/>
    </font>
    <font>
      <sz val="10"/>
      <color indexed="0"/>
      <name val="Helvetica"/>
      <family val="2"/>
      <charset val="134"/>
    </font>
    <font>
      <b/>
      <u/>
      <sz val="10"/>
      <color indexed="8"/>
      <name val="Helvetica"/>
      <family val="2"/>
      <charset val="134"/>
    </font>
    <font>
      <b/>
      <u/>
      <sz val="10"/>
      <color indexed="0"/>
      <name val="Helvetica"/>
      <family val="2"/>
      <charset val="134"/>
    </font>
    <font>
      <sz val="10"/>
      <color indexed="8"/>
      <name val="Helvetica"/>
      <family val="2"/>
      <charset val="134"/>
    </font>
    <font>
      <b/>
      <sz val="10"/>
      <color indexed="8"/>
      <name val="Calibri"/>
      <family val="2"/>
      <charset val="134"/>
    </font>
    <font>
      <u/>
      <sz val="10"/>
      <color indexed="8"/>
      <name val="Helvetica"/>
      <family val="2"/>
      <charset val="134"/>
    </font>
    <font>
      <u/>
      <sz val="10"/>
      <color indexed="0"/>
      <name val="Helvetica"/>
      <family val="2"/>
      <charset val="134"/>
    </font>
    <font>
      <sz val="10"/>
      <color indexed="8"/>
      <name val="Calibri"/>
      <family val="2"/>
      <charset val="134"/>
    </font>
    <font>
      <b/>
      <sz val="10"/>
      <name val="Calibri"/>
      <family val="2"/>
      <charset val="134"/>
    </font>
    <font>
      <sz val="10"/>
      <name val="Calibri"/>
      <family val="2"/>
      <charset val="134"/>
    </font>
    <font>
      <sz val="10"/>
      <color indexed="9"/>
      <name val="Calibri"/>
      <family val="2"/>
      <charset val="134"/>
    </font>
    <font>
      <b/>
      <u/>
      <sz val="10"/>
      <color indexed="8"/>
      <name val="Calibri"/>
      <family val="2"/>
      <charset val="134"/>
    </font>
    <font>
      <b/>
      <u/>
      <sz val="11"/>
      <color indexed="8"/>
      <name val="Calibri"/>
      <family val="2"/>
      <charset val="134"/>
    </font>
    <font>
      <b/>
      <sz val="11"/>
      <color indexed="9"/>
      <name val="Calibri"/>
      <family val="2"/>
      <charset val="134"/>
    </font>
    <font>
      <sz val="11"/>
      <color indexed="8"/>
      <name val="Arial"/>
      <family val="2"/>
      <charset val="134"/>
    </font>
    <font>
      <sz val="11"/>
      <name val="Calibri"/>
      <family val="2"/>
      <charset val="134"/>
    </font>
    <font>
      <b/>
      <u/>
      <sz val="11"/>
      <color indexed="10"/>
      <name val="Arial"/>
      <family val="2"/>
      <charset val="134"/>
    </font>
    <font>
      <sz val="6.5"/>
      <color indexed="8"/>
      <name val="Verdana"/>
      <family val="2"/>
      <charset val="134"/>
    </font>
    <font>
      <b/>
      <sz val="12"/>
      <color indexed="10"/>
      <name val="Calibri"/>
      <family val="2"/>
      <charset val="134"/>
    </font>
    <font>
      <sz val="11"/>
      <name val="Arial"/>
      <family val="2"/>
      <charset val="134"/>
    </font>
    <font>
      <b/>
      <sz val="12"/>
      <color indexed="8"/>
      <name val="Calibri"/>
      <family val="2"/>
      <charset val="134"/>
    </font>
    <font>
      <b/>
      <sz val="14"/>
      <color indexed="8"/>
      <name val="Arial"/>
      <family val="2"/>
      <charset val="134"/>
    </font>
    <font>
      <b/>
      <sz val="11"/>
      <color indexed="8"/>
      <name val="Arial"/>
      <family val="2"/>
      <charset val="134"/>
    </font>
    <font>
      <sz val="11"/>
      <color indexed="8"/>
      <name val="Symbol"/>
      <family val="1"/>
      <charset val="2"/>
    </font>
    <font>
      <b/>
      <sz val="8"/>
      <color indexed="8"/>
      <name val="Arial"/>
      <family val="2"/>
      <charset val="134"/>
    </font>
    <font>
      <sz val="10"/>
      <color indexed="10"/>
      <name val="Calibri"/>
      <family val="2"/>
      <charset val="134"/>
    </font>
    <font>
      <sz val="8"/>
      <color indexed="8"/>
      <name val="Calibri"/>
      <family val="2"/>
      <charset val="134"/>
    </font>
    <font>
      <b/>
      <sz val="10"/>
      <color indexed="10"/>
      <name val="Calibri"/>
      <family val="2"/>
      <charset val="134"/>
    </font>
    <font>
      <b/>
      <u/>
      <sz val="8"/>
      <color indexed="8"/>
      <name val="Calibri"/>
      <family val="2"/>
      <charset val="134"/>
    </font>
    <font>
      <u/>
      <sz val="10"/>
      <color indexed="8"/>
      <name val="Calibri"/>
      <family val="2"/>
      <charset val="134"/>
    </font>
    <font>
      <sz val="10"/>
      <color indexed="8"/>
      <name val="Arial"/>
      <family val="2"/>
      <charset val="134"/>
    </font>
    <font>
      <b/>
      <sz val="8"/>
      <color indexed="9"/>
      <name val="Arial"/>
      <family val="2"/>
      <charset val="134"/>
    </font>
    <font>
      <b/>
      <sz val="11"/>
      <name val="Arial"/>
      <family val="2"/>
      <charset val="134"/>
    </font>
    <font>
      <u/>
      <sz val="11"/>
      <color indexed="10"/>
      <name val="Calibri"/>
      <family val="2"/>
      <charset val="134"/>
    </font>
    <font>
      <b/>
      <sz val="10"/>
      <color indexed="8"/>
      <name val="Rupee Foradian"/>
      <family val="2"/>
      <charset val="134"/>
    </font>
    <font>
      <b/>
      <sz val="10"/>
      <name val="Rupee Foradian"/>
      <family val="2"/>
      <charset val="134"/>
    </font>
    <font>
      <b/>
      <sz val="10"/>
      <name val="Arial"/>
      <family val="2"/>
      <charset val="134"/>
    </font>
    <font>
      <u/>
      <sz val="11"/>
      <color indexed="8"/>
      <name val="Arial"/>
      <family val="2"/>
      <charset val="134"/>
    </font>
    <font>
      <sz val="7"/>
      <color indexed="8"/>
      <name val="Times New Roman"/>
      <family val="1"/>
      <charset val="134"/>
    </font>
  </fonts>
  <fills count="12">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22"/>
        <bgColor indexed="64"/>
      </patternFill>
    </fill>
    <fill>
      <patternFill patternType="solid">
        <fgColor indexed="29"/>
        <bgColor indexed="64"/>
      </patternFill>
    </fill>
    <fill>
      <patternFill patternType="solid">
        <fgColor indexed="57"/>
        <bgColor indexed="64"/>
      </patternFill>
    </fill>
    <fill>
      <patternFill patternType="solid">
        <fgColor indexed="23"/>
        <bgColor indexed="64"/>
      </patternFill>
    </fill>
    <fill>
      <patternFill patternType="solid">
        <fgColor indexed="11"/>
        <bgColor indexed="64"/>
      </patternFill>
    </fill>
    <fill>
      <patternFill patternType="solid">
        <fgColor indexed="43"/>
        <bgColor indexed="64"/>
      </patternFill>
    </fill>
  </fills>
  <borders count="28">
    <border>
      <left/>
      <right/>
      <top/>
      <bottom/>
      <diagonal/>
    </border>
    <border>
      <left/>
      <right/>
      <top/>
      <bottom style="thin">
        <color indexed="5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alignment vertical="center"/>
    </xf>
    <xf numFmtId="179" fontId="0" fillId="0" borderId="0" applyFont="0" applyFill="0" applyBorder="0" applyAlignment="0" applyProtection="0">
      <alignment vertical="center"/>
    </xf>
    <xf numFmtId="0" fontId="0" fillId="0" borderId="0">
      <alignment vertical="center"/>
    </xf>
    <xf numFmtId="181"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lignment vertical="center"/>
    </xf>
  </cellStyleXfs>
  <cellXfs count="227">
    <xf numFmtId="0" fontId="0" fillId="0" borderId="0" xfId="0" applyAlignment="1"/>
    <xf numFmtId="0" fontId="0" fillId="0" borderId="0" xfId="0" applyAlignment="1">
      <alignment wrapText="1"/>
    </xf>
    <xf numFmtId="0" fontId="0" fillId="0" borderId="0" xfId="0"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0" fillId="0" borderId="0" xfId="0" applyAlignment="1">
      <alignment horizontal="center" vertical="center" wrapText="1"/>
    </xf>
    <xf numFmtId="9" fontId="0" fillId="0" borderId="0" xfId="0" applyNumberFormat="1" applyAlignment="1">
      <alignment horizontal="center" vertical="center" wrapText="1"/>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1" xfId="0" applyFont="1" applyBorder="1" applyAlignment="1">
      <alignment vertical="center" wrapText="1"/>
    </xf>
    <xf numFmtId="0" fontId="7" fillId="0" borderId="0" xfId="0" applyFont="1">
      <alignment vertical="center"/>
    </xf>
    <xf numFmtId="4" fontId="8" fillId="0" borderId="1" xfId="0" applyNumberFormat="1" applyFont="1" applyBorder="1" applyAlignment="1">
      <alignment vertical="center" wrapText="1"/>
    </xf>
    <xf numFmtId="4" fontId="5" fillId="0" borderId="0" xfId="0" applyNumberFormat="1" applyFont="1">
      <alignment vertical="center"/>
    </xf>
    <xf numFmtId="9" fontId="9" fillId="2" borderId="2" xfId="6" applyFont="1" applyFill="1" applyBorder="1" applyAlignment="1">
      <alignment horizontal="left" vertical="center" wrapText="1"/>
    </xf>
    <xf numFmtId="0" fontId="3" fillId="0" borderId="0" xfId="0" applyFont="1" applyBorder="1" applyAlignment="1">
      <alignment horizontal="center" vertical="center" wrapText="1"/>
    </xf>
    <xf numFmtId="0" fontId="10" fillId="0" borderId="1" xfId="0" applyFont="1" applyBorder="1" applyAlignment="1">
      <alignment vertical="center" wrapText="1"/>
    </xf>
    <xf numFmtId="0" fontId="11" fillId="0" borderId="0" xfId="0" applyFont="1">
      <alignment vertical="center"/>
    </xf>
    <xf numFmtId="0" fontId="5" fillId="0" borderId="0" xfId="0" applyFont="1">
      <alignment vertical="center"/>
    </xf>
    <xf numFmtId="0" fontId="12" fillId="2" borderId="0" xfId="0" applyFont="1" applyFill="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vertical="center"/>
    </xf>
    <xf numFmtId="0" fontId="12" fillId="2" borderId="2" xfId="0" applyFont="1" applyFill="1" applyBorder="1" applyAlignment="1">
      <alignment horizontal="center" vertical="center"/>
    </xf>
    <xf numFmtId="0" fontId="12" fillId="0" borderId="2" xfId="0" applyFont="1" applyFill="1" applyBorder="1" applyAlignment="1">
      <alignment horizontal="center" vertical="center"/>
    </xf>
    <xf numFmtId="9" fontId="12" fillId="0" borderId="2" xfId="6" applyFont="1" applyFill="1" applyBorder="1" applyAlignment="1">
      <alignment horizontal="center" vertical="center"/>
    </xf>
    <xf numFmtId="1" fontId="12" fillId="0" borderId="2" xfId="0" applyNumberFormat="1" applyFont="1" applyFill="1" applyBorder="1" applyAlignment="1">
      <alignment horizontal="center" vertical="center"/>
    </xf>
    <xf numFmtId="179" fontId="12" fillId="2" borderId="0" xfId="1" applyFont="1" applyFill="1" applyAlignment="1">
      <alignment horizontal="center" vertical="center"/>
    </xf>
    <xf numFmtId="0" fontId="9" fillId="2" borderId="2" xfId="0" applyFont="1" applyFill="1" applyBorder="1" applyAlignment="1">
      <alignment horizontal="center" vertical="center"/>
    </xf>
    <xf numFmtId="9" fontId="9" fillId="2" borderId="2" xfId="0" applyNumberFormat="1" applyFont="1" applyFill="1" applyBorder="1" applyAlignment="1">
      <alignment horizontal="center" vertical="center"/>
    </xf>
    <xf numFmtId="10" fontId="12" fillId="0" borderId="2" xfId="6"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0" borderId="2" xfId="0" applyFont="1" applyBorder="1" applyAlignment="1">
      <alignment horizontal="center"/>
    </xf>
    <xf numFmtId="0" fontId="13" fillId="0" borderId="2" xfId="0" applyFont="1" applyFill="1" applyBorder="1" applyAlignment="1">
      <alignment horizontal="center" wrapText="1"/>
    </xf>
    <xf numFmtId="0" fontId="12" fillId="0" borderId="2" xfId="0" applyFont="1" applyFill="1" applyBorder="1" applyAlignment="1">
      <alignment horizontal="center" vertical="center" wrapText="1"/>
    </xf>
    <xf numFmtId="1" fontId="12" fillId="0" borderId="2" xfId="0" applyNumberFormat="1" applyFont="1" applyFill="1" applyBorder="1" applyAlignment="1">
      <alignment horizontal="center" vertical="center" wrapText="1"/>
    </xf>
    <xf numFmtId="0" fontId="12" fillId="0" borderId="2" xfId="0" applyFont="1" applyFill="1" applyBorder="1" applyAlignment="1">
      <alignment horizontal="center"/>
    </xf>
    <xf numFmtId="10" fontId="12" fillId="0" borderId="2" xfId="0" applyNumberFormat="1" applyFont="1" applyFill="1" applyBorder="1" applyAlignment="1">
      <alignment horizontal="center" vertical="center"/>
    </xf>
    <xf numFmtId="9" fontId="12" fillId="2" borderId="0" xfId="0" applyNumberFormat="1" applyFont="1" applyFill="1" applyAlignment="1">
      <alignment horizontal="center" vertical="center"/>
    </xf>
    <xf numFmtId="10" fontId="9" fillId="2" borderId="2" xfId="0" applyNumberFormat="1" applyFont="1" applyFill="1" applyBorder="1" applyAlignment="1">
      <alignment horizontal="center" vertical="center"/>
    </xf>
    <xf numFmtId="9" fontId="12" fillId="4" borderId="2" xfId="6" applyNumberFormat="1" applyFont="1" applyFill="1" applyBorder="1" applyAlignment="1">
      <alignment horizontal="center"/>
    </xf>
    <xf numFmtId="10" fontId="12" fillId="0" borderId="2" xfId="6" applyNumberFormat="1" applyFont="1" applyFill="1" applyBorder="1" applyAlignment="1">
      <alignment horizontal="center"/>
    </xf>
    <xf numFmtId="9" fontId="12" fillId="0" borderId="2" xfId="6" applyFont="1" applyFill="1" applyBorder="1" applyAlignment="1">
      <alignment horizontal="center"/>
    </xf>
    <xf numFmtId="9" fontId="12" fillId="5" borderId="2" xfId="6" applyFont="1" applyFill="1" applyBorder="1" applyAlignment="1">
      <alignment horizontal="center"/>
    </xf>
    <xf numFmtId="10" fontId="12" fillId="6" borderId="3" xfId="6" applyNumberFormat="1" applyFont="1" applyFill="1" applyBorder="1" applyAlignment="1">
      <alignment horizontal="center"/>
    </xf>
    <xf numFmtId="10" fontId="12" fillId="6" borderId="4" xfId="6" applyNumberFormat="1" applyFont="1" applyFill="1" applyBorder="1" applyAlignment="1">
      <alignment horizontal="center"/>
    </xf>
    <xf numFmtId="10" fontId="12" fillId="6" borderId="5" xfId="6" applyNumberFormat="1" applyFont="1" applyFill="1" applyBorder="1" applyAlignment="1">
      <alignment horizontal="center"/>
    </xf>
    <xf numFmtId="0" fontId="14" fillId="2" borderId="0" xfId="0" applyFont="1" applyFill="1" applyBorder="1" applyAlignment="1"/>
    <xf numFmtId="9" fontId="9" fillId="3" borderId="2" xfId="6" applyFont="1" applyFill="1" applyBorder="1" applyAlignment="1">
      <alignment horizontal="center" vertical="center" wrapText="1"/>
    </xf>
    <xf numFmtId="0" fontId="9" fillId="0" borderId="2" xfId="0" applyFont="1" applyBorder="1" applyAlignment="1">
      <alignment horizontal="center" vertical="center"/>
    </xf>
    <xf numFmtId="2" fontId="12" fillId="0" borderId="2" xfId="2" applyNumberFormat="1" applyFont="1" applyBorder="1" applyAlignment="1">
      <alignment horizontal="center" vertical="center"/>
    </xf>
    <xf numFmtId="2" fontId="12" fillId="0" borderId="2" xfId="2" applyNumberFormat="1" applyFont="1" applyFill="1" applyBorder="1" applyAlignment="1">
      <alignment horizontal="center" vertical="center"/>
    </xf>
    <xf numFmtId="9" fontId="13" fillId="3" borderId="2" xfId="6" applyFont="1" applyFill="1" applyBorder="1" applyAlignment="1">
      <alignment horizontal="center" vertical="center" wrapText="1"/>
    </xf>
    <xf numFmtId="9" fontId="14" fillId="2" borderId="0" xfId="0" applyNumberFormat="1" applyFont="1" applyFill="1" applyBorder="1" applyAlignment="1"/>
    <xf numFmtId="181" fontId="12" fillId="0" borderId="2" xfId="1" applyNumberFormat="1" applyFont="1" applyBorder="1" applyAlignment="1">
      <alignment horizontal="center" vertical="center"/>
    </xf>
    <xf numFmtId="1" fontId="12" fillId="0" borderId="2" xfId="1" applyNumberFormat="1" applyFont="1" applyBorder="1" applyAlignment="1">
      <alignment horizontal="center" vertical="center"/>
    </xf>
    <xf numFmtId="184" fontId="12" fillId="0" borderId="2" xfId="6" applyNumberFormat="1" applyFont="1" applyFill="1" applyBorder="1" applyAlignment="1">
      <alignment horizontal="center" vertical="center"/>
    </xf>
    <xf numFmtId="0" fontId="14" fillId="2" borderId="2" xfId="0" applyFont="1" applyFill="1" applyBorder="1" applyAlignment="1"/>
    <xf numFmtId="0" fontId="14" fillId="7" borderId="2" xfId="0" applyFont="1" applyFill="1" applyBorder="1" applyAlignment="1"/>
    <xf numFmtId="0" fontId="15" fillId="8" borderId="0" xfId="0" applyFont="1" applyFill="1" applyBorder="1" applyAlignment="1">
      <alignment horizontal="center" vertical="center"/>
    </xf>
    <xf numFmtId="9" fontId="12" fillId="3" borderId="2" xfId="6" applyFont="1" applyFill="1" applyBorder="1" applyAlignment="1">
      <alignment horizontal="left" vertical="center" wrapText="1"/>
    </xf>
    <xf numFmtId="2" fontId="12" fillId="7" borderId="2" xfId="2" applyNumberFormat="1" applyFont="1" applyFill="1" applyBorder="1" applyAlignment="1">
      <alignment horizontal="center" vertical="center"/>
    </xf>
    <xf numFmtId="2" fontId="12" fillId="5" borderId="6" xfId="2" applyNumberFormat="1" applyFont="1" applyFill="1" applyBorder="1" applyAlignment="1">
      <alignment horizontal="center" vertical="center"/>
    </xf>
    <xf numFmtId="0" fontId="14" fillId="2" borderId="0" xfId="0" applyFont="1" applyFill="1" applyBorder="1" applyAlignment="1">
      <alignment horizontal="right"/>
    </xf>
    <xf numFmtId="178" fontId="12" fillId="7" borderId="2" xfId="6" applyNumberFormat="1" applyFont="1" applyFill="1" applyBorder="1" applyAlignment="1">
      <alignment horizontal="center" vertical="center"/>
    </xf>
    <xf numFmtId="178" fontId="12" fillId="5" borderId="6" xfId="6" applyNumberFormat="1" applyFont="1" applyFill="1" applyBorder="1" applyAlignment="1">
      <alignment horizontal="center" vertical="center"/>
    </xf>
    <xf numFmtId="2" fontId="16" fillId="5" borderId="2" xfId="2" applyNumberFormat="1" applyFont="1" applyFill="1" applyBorder="1" applyAlignment="1">
      <alignment horizontal="center" vertical="center"/>
    </xf>
    <xf numFmtId="2" fontId="12" fillId="5" borderId="2" xfId="2" applyNumberFormat="1" applyFont="1" applyFill="1" applyBorder="1" applyAlignment="1">
      <alignment horizontal="center" vertical="center"/>
    </xf>
    <xf numFmtId="2" fontId="14" fillId="2" borderId="0" xfId="0" applyNumberFormat="1" applyFont="1" applyFill="1" applyBorder="1" applyAlignment="1"/>
    <xf numFmtId="183" fontId="14" fillId="2" borderId="0" xfId="1" applyNumberFormat="1" applyFont="1" applyFill="1" applyBorder="1" applyAlignment="1">
      <alignment horizontal="right"/>
    </xf>
    <xf numFmtId="2" fontId="12" fillId="5" borderId="7" xfId="2" applyNumberFormat="1" applyFont="1" applyFill="1" applyBorder="1" applyAlignment="1">
      <alignment horizontal="left" vertical="center"/>
    </xf>
    <xf numFmtId="2" fontId="12" fillId="5" borderId="8" xfId="2" applyNumberFormat="1" applyFont="1" applyFill="1" applyBorder="1" applyAlignment="1">
      <alignment horizontal="left" vertical="center"/>
    </xf>
    <xf numFmtId="179" fontId="14" fillId="2" borderId="0" xfId="1" applyFont="1" applyFill="1" applyBorder="1" applyAlignment="1"/>
    <xf numFmtId="9" fontId="9" fillId="3" borderId="2" xfId="6" applyFont="1" applyFill="1" applyBorder="1" applyAlignment="1">
      <alignment horizontal="left" vertical="center" wrapText="1"/>
    </xf>
    <xf numFmtId="179" fontId="12" fillId="7" borderId="2" xfId="1" applyNumberFormat="1" applyFont="1" applyFill="1" applyBorder="1" applyAlignment="1">
      <alignment horizontal="center" vertical="center"/>
    </xf>
    <xf numFmtId="0" fontId="12" fillId="0" borderId="0" xfId="0" applyFont="1" applyAlignment="1"/>
    <xf numFmtId="177" fontId="12" fillId="5" borderId="2" xfId="2" applyNumberFormat="1" applyFont="1" applyFill="1" applyBorder="1" applyAlignment="1">
      <alignment horizontal="center" vertical="center"/>
    </xf>
    <xf numFmtId="0" fontId="17" fillId="5" borderId="9" xfId="0" applyFont="1" applyFill="1" applyBorder="1" applyAlignment="1">
      <alignment horizontal="center"/>
    </xf>
    <xf numFmtId="0" fontId="14" fillId="2" borderId="10" xfId="0" applyFont="1" applyFill="1" applyBorder="1" applyAlignment="1">
      <alignment wrapText="1"/>
    </xf>
    <xf numFmtId="0" fontId="14" fillId="2" borderId="11" xfId="0" applyFont="1" applyFill="1" applyBorder="1" applyAlignment="1"/>
    <xf numFmtId="0" fontId="14" fillId="2" borderId="12" xfId="0" applyFont="1" applyFill="1" applyBorder="1" applyAlignment="1"/>
    <xf numFmtId="0" fontId="3" fillId="5" borderId="13" xfId="0" applyFont="1" applyFill="1" applyBorder="1" applyAlignment="1">
      <alignment horizontal="center" vertical="center"/>
    </xf>
    <xf numFmtId="9" fontId="3" fillId="5" borderId="14" xfId="6" applyFont="1" applyFill="1" applyBorder="1" applyAlignment="1">
      <alignment horizontal="center"/>
    </xf>
    <xf numFmtId="0" fontId="9" fillId="0" borderId="13" xfId="0" applyFont="1" applyBorder="1" applyAlignment="1">
      <alignment horizontal="center" vertical="center"/>
    </xf>
    <xf numFmtId="2" fontId="14" fillId="2" borderId="15" xfId="0" applyNumberFormat="1" applyFont="1" applyFill="1" applyBorder="1" applyAlignment="1"/>
    <xf numFmtId="2" fontId="14" fillId="2" borderId="5" xfId="0" applyNumberFormat="1" applyFont="1" applyFill="1" applyBorder="1" applyAlignment="1"/>
    <xf numFmtId="0" fontId="0" fillId="4" borderId="16" xfId="0" applyFill="1" applyBorder="1" applyAlignment="1">
      <alignment horizontal="center"/>
    </xf>
    <xf numFmtId="179" fontId="0" fillId="2" borderId="0" xfId="1" applyFont="1" applyFill="1" applyBorder="1" applyAlignment="1">
      <alignment horizontal="center"/>
    </xf>
    <xf numFmtId="0" fontId="9" fillId="0" borderId="16" xfId="0" applyFont="1" applyBorder="1" applyAlignment="1">
      <alignment horizontal="center" vertical="center"/>
    </xf>
    <xf numFmtId="2" fontId="14" fillId="2" borderId="6" xfId="0" applyNumberFormat="1" applyFont="1" applyFill="1" applyBorder="1" applyAlignment="1"/>
    <xf numFmtId="2" fontId="14" fillId="2" borderId="2" xfId="0" applyNumberFormat="1" applyFont="1" applyFill="1" applyBorder="1" applyAlignment="1"/>
    <xf numFmtId="0" fontId="9" fillId="0" borderId="17" xfId="0" applyFont="1" applyBorder="1" applyAlignment="1">
      <alignment horizontal="center" vertical="center"/>
    </xf>
    <xf numFmtId="0" fontId="0" fillId="4" borderId="18" xfId="0" applyFill="1" applyBorder="1" applyAlignment="1">
      <alignment horizontal="center"/>
    </xf>
    <xf numFmtId="179" fontId="0" fillId="2" borderId="19" xfId="1" applyFont="1" applyFill="1" applyBorder="1" applyAlignment="1">
      <alignment horizontal="center"/>
    </xf>
    <xf numFmtId="179" fontId="0" fillId="0" borderId="0" xfId="0" applyNumberFormat="1" applyAlignment="1"/>
    <xf numFmtId="0" fontId="17" fillId="5" borderId="20" xfId="0" applyFont="1" applyFill="1" applyBorder="1" applyAlignment="1">
      <alignment horizontal="center"/>
    </xf>
    <xf numFmtId="9" fontId="3" fillId="5" borderId="21" xfId="6" applyFont="1" applyFill="1" applyBorder="1" applyAlignment="1">
      <alignment horizontal="center"/>
    </xf>
    <xf numFmtId="0" fontId="17" fillId="5" borderId="22" xfId="0" applyFont="1" applyFill="1" applyBorder="1" applyAlignment="1">
      <alignment horizontal="center"/>
    </xf>
    <xf numFmtId="9" fontId="3" fillId="5" borderId="23" xfId="6" applyFont="1" applyFill="1" applyBorder="1" applyAlignment="1">
      <alignment horizontal="center"/>
    </xf>
    <xf numFmtId="179" fontId="0" fillId="2" borderId="24" xfId="1" applyFont="1" applyFill="1" applyBorder="1" applyAlignment="1">
      <alignment horizontal="center"/>
    </xf>
    <xf numFmtId="179" fontId="0" fillId="2" borderId="25" xfId="1" applyFont="1" applyFill="1" applyBorder="1" applyAlignment="1">
      <alignment horizontal="center"/>
    </xf>
    <xf numFmtId="0" fontId="18" fillId="9" borderId="2" xfId="0" applyFont="1" applyFill="1" applyBorder="1" applyAlignment="1">
      <alignment horizontal="center"/>
    </xf>
    <xf numFmtId="0" fontId="14" fillId="2" borderId="2" xfId="0" applyFont="1" applyFill="1" applyBorder="1" applyAlignment="1">
      <alignment vertical="center"/>
    </xf>
    <xf numFmtId="0" fontId="0" fillId="2" borderId="0" xfId="0" applyFill="1" applyAlignment="1"/>
    <xf numFmtId="0" fontId="19" fillId="2" borderId="0" xfId="0" applyFont="1" applyFill="1" applyAlignment="1"/>
    <xf numFmtId="0" fontId="0" fillId="0" borderId="0" xfId="0" applyFill="1" applyBorder="1" applyAlignment="1"/>
    <xf numFmtId="0" fontId="20" fillId="2" borderId="0" xfId="0" applyFont="1" applyFill="1" applyAlignment="1"/>
    <xf numFmtId="0" fontId="21" fillId="2" borderId="0" xfId="0" applyFont="1" applyFill="1" applyAlignment="1"/>
    <xf numFmtId="181" fontId="20" fillId="2" borderId="0" xfId="3" applyNumberFormat="1" applyFont="1" applyFill="1" applyBorder="1" applyAlignment="1"/>
    <xf numFmtId="0" fontId="19" fillId="4" borderId="0" xfId="0" applyFont="1" applyFill="1" applyAlignment="1">
      <alignment horizontal="left" vertical="center" wrapText="1"/>
    </xf>
    <xf numFmtId="0" fontId="19" fillId="4" borderId="0" xfId="0" applyFont="1" applyFill="1" applyAlignment="1">
      <alignment horizontal="left" vertical="center"/>
    </xf>
    <xf numFmtId="176" fontId="0" fillId="2" borderId="0" xfId="0" applyNumberFormat="1" applyFill="1" applyAlignment="1"/>
    <xf numFmtId="9" fontId="0" fillId="2" borderId="0" xfId="0" applyNumberFormat="1" applyFill="1" applyAlignment="1"/>
    <xf numFmtId="0" fontId="22" fillId="0" borderId="0" xfId="0" applyFont="1" applyFill="1" applyBorder="1" applyAlignment="1">
      <alignment horizontal="center"/>
    </xf>
    <xf numFmtId="176" fontId="0" fillId="0" borderId="0" xfId="0" applyNumberFormat="1" applyFill="1" applyBorder="1" applyAlignment="1"/>
    <xf numFmtId="9" fontId="0" fillId="0" borderId="0" xfId="0" applyNumberFormat="1" applyFill="1" applyBorder="1" applyAlignment="1"/>
    <xf numFmtId="181" fontId="0" fillId="2" borderId="0" xfId="0" applyNumberFormat="1" applyFill="1" applyAlignment="1"/>
    <xf numFmtId="180" fontId="0" fillId="2" borderId="0" xfId="6" applyNumberFormat="1" applyFont="1" applyFill="1" applyAlignment="1"/>
    <xf numFmtId="179" fontId="0" fillId="2" borderId="0" xfId="0" applyNumberFormat="1" applyFill="1" applyAlignment="1"/>
    <xf numFmtId="180" fontId="0" fillId="2" borderId="0" xfId="0" applyNumberFormat="1" applyFill="1" applyAlignment="1"/>
    <xf numFmtId="0" fontId="23" fillId="2" borderId="0" xfId="0" applyFont="1" applyFill="1" applyBorder="1" applyAlignment="1">
      <alignment horizontal="center" vertical="center"/>
    </xf>
    <xf numFmtId="180" fontId="24" fillId="2" borderId="0" xfId="3" applyNumberFormat="1" applyFont="1" applyFill="1" applyBorder="1" applyAlignment="1">
      <alignment horizontal="center" vertical="center"/>
    </xf>
    <xf numFmtId="0" fontId="19" fillId="0" borderId="0" xfId="0" applyFont="1" applyFill="1" applyAlignment="1">
      <alignment horizontal="left" vertical="center"/>
    </xf>
    <xf numFmtId="0" fontId="19" fillId="0" borderId="0" xfId="0" applyFont="1" applyFill="1" applyAlignment="1">
      <alignment horizontal="left" vertical="center" wrapText="1"/>
    </xf>
    <xf numFmtId="181" fontId="0" fillId="2" borderId="0" xfId="3" applyNumberFormat="1" applyFont="1" applyFill="1" applyBorder="1" applyAlignment="1"/>
    <xf numFmtId="0" fontId="19" fillId="2" borderId="0" xfId="0" applyFont="1" applyFill="1" applyAlignment="1">
      <alignment horizontal="left" wrapText="1"/>
    </xf>
    <xf numFmtId="0" fontId="25" fillId="2" borderId="0" xfId="0" applyFont="1" applyFill="1" applyBorder="1" applyAlignment="1">
      <alignment horizontal="center"/>
    </xf>
    <xf numFmtId="0" fontId="3" fillId="2" borderId="0" xfId="0" applyFont="1" applyFill="1" applyAlignment="1">
      <alignment horizontal="center"/>
    </xf>
    <xf numFmtId="0" fontId="26" fillId="2" borderId="0" xfId="0" applyFont="1" applyFill="1" applyAlignment="1"/>
    <xf numFmtId="0" fontId="27" fillId="2" borderId="0" xfId="0" applyNumberFormat="1" applyFont="1" applyFill="1" applyAlignment="1">
      <alignment horizontal="left" vertical="top" wrapText="1"/>
    </xf>
    <xf numFmtId="0" fontId="27" fillId="2" borderId="0" xfId="0" applyFont="1" applyFill="1" applyAlignment="1"/>
    <xf numFmtId="0" fontId="24" fillId="2" borderId="0" xfId="0" applyNumberFormat="1" applyFont="1" applyFill="1" applyAlignment="1"/>
    <xf numFmtId="0" fontId="26" fillId="0" borderId="0" xfId="0" applyFont="1" applyFill="1" applyAlignment="1"/>
    <xf numFmtId="0" fontId="19" fillId="0" borderId="0" xfId="0" applyFont="1" applyFill="1" applyAlignment="1"/>
    <xf numFmtId="0" fontId="26" fillId="2" borderId="0" xfId="0" applyFont="1" applyFill="1" applyBorder="1" applyAlignment="1"/>
    <xf numFmtId="0" fontId="19" fillId="2" borderId="0" xfId="3" applyNumberFormat="1" applyFont="1" applyFill="1" applyBorder="1" applyAlignment="1">
      <alignment vertical="top"/>
    </xf>
    <xf numFmtId="0" fontId="19" fillId="0" borderId="0" xfId="0" applyFont="1" applyFill="1" applyBorder="1" applyAlignment="1"/>
    <xf numFmtId="0" fontId="28" fillId="0" borderId="0" xfId="0" applyFont="1" applyFill="1" applyBorder="1" applyAlignment="1">
      <alignment horizontal="left" indent="2"/>
    </xf>
    <xf numFmtId="0" fontId="19" fillId="2" borderId="0" xfId="0" applyFont="1" applyFill="1" applyBorder="1" applyAlignment="1">
      <alignment vertical="top"/>
    </xf>
    <xf numFmtId="0" fontId="19" fillId="2" borderId="0" xfId="0" applyFont="1" applyFill="1" applyBorder="1" applyAlignment="1">
      <alignment vertical="top" wrapText="1"/>
    </xf>
    <xf numFmtId="0" fontId="19" fillId="2" borderId="0" xfId="0" applyFont="1" applyFill="1" applyBorder="1" applyAlignment="1"/>
    <xf numFmtId="3" fontId="29" fillId="2" borderId="0" xfId="0" applyNumberFormat="1" applyFont="1" applyFill="1" applyBorder="1" applyAlignment="1">
      <alignment horizontal="center" wrapText="1"/>
    </xf>
    <xf numFmtId="0" fontId="12" fillId="0" borderId="0" xfId="0" applyFont="1" applyAlignment="1">
      <alignment horizontal="center" vertical="center"/>
    </xf>
    <xf numFmtId="0" fontId="12" fillId="0" borderId="0" xfId="0" applyFont="1" applyAlignment="1">
      <alignment horizontal="right" vertical="center"/>
    </xf>
    <xf numFmtId="0" fontId="3" fillId="10" borderId="0" xfId="0" applyFont="1" applyFill="1" applyAlignment="1">
      <alignment vertical="center"/>
    </xf>
    <xf numFmtId="0" fontId="3" fillId="0" borderId="0" xfId="0" applyFont="1" applyFill="1" applyAlignment="1">
      <alignment vertical="center"/>
    </xf>
    <xf numFmtId="0" fontId="3" fillId="7" borderId="0" xfId="0" applyFont="1" applyFill="1" applyBorder="1" applyAlignment="1" applyProtection="1">
      <alignment horizontal="left" vertical="center"/>
    </xf>
    <xf numFmtId="0" fontId="12" fillId="0" borderId="0" xfId="0" applyFont="1" applyAlignment="1">
      <alignment horizontal="left" vertical="center"/>
    </xf>
    <xf numFmtId="0" fontId="9" fillId="11" borderId="2" xfId="0" applyFont="1" applyFill="1" applyBorder="1" applyAlignment="1">
      <alignment horizontal="center" vertical="center"/>
    </xf>
    <xf numFmtId="0" fontId="9" fillId="3" borderId="2" xfId="0" applyFont="1" applyFill="1" applyBorder="1" applyAlignment="1">
      <alignment horizontal="center"/>
    </xf>
    <xf numFmtId="0" fontId="9" fillId="0" borderId="2" xfId="0" applyFont="1" applyFill="1" applyBorder="1" applyAlignment="1">
      <alignment horizontal="left" vertical="center"/>
    </xf>
    <xf numFmtId="181" fontId="12" fillId="0" borderId="2" xfId="1" applyNumberFormat="1" applyFont="1" applyBorder="1" applyAlignment="1" applyProtection="1">
      <alignment horizontal="right" vertical="center"/>
    </xf>
    <xf numFmtId="0" fontId="12" fillId="0" borderId="2" xfId="0" applyFont="1" applyBorder="1" applyAlignment="1"/>
    <xf numFmtId="179" fontId="12" fillId="10" borderId="2" xfId="1" applyNumberFormat="1" applyFont="1" applyFill="1" applyBorder="1" applyAlignment="1" applyProtection="1">
      <protection locked="0"/>
    </xf>
    <xf numFmtId="0" fontId="12" fillId="10" borderId="2" xfId="0" applyFont="1" applyFill="1" applyBorder="1" applyAlignment="1" applyProtection="1">
      <alignment horizontal="right" vertical="center"/>
      <protection locked="0"/>
    </xf>
    <xf numFmtId="0" fontId="3" fillId="7" borderId="2" xfId="0" applyFont="1" applyFill="1" applyBorder="1" applyAlignment="1">
      <alignment horizontal="center" vertical="center"/>
    </xf>
    <xf numFmtId="0" fontId="12" fillId="0" borderId="2" xfId="0" applyFont="1" applyFill="1" applyBorder="1" applyAlignment="1"/>
    <xf numFmtId="181" fontId="3" fillId="7" borderId="2" xfId="0" applyNumberFormat="1" applyFont="1" applyFill="1" applyBorder="1" applyAlignment="1"/>
    <xf numFmtId="0" fontId="30" fillId="0" borderId="0" xfId="0" applyFont="1" applyAlignment="1">
      <alignment horizontal="center" vertical="center" wrapText="1"/>
    </xf>
    <xf numFmtId="0" fontId="12" fillId="0" borderId="2" xfId="0" applyFont="1" applyBorder="1" applyAlignment="1" applyProtection="1">
      <alignment horizontal="right" vertical="center"/>
    </xf>
    <xf numFmtId="179" fontId="31" fillId="0" borderId="0" xfId="1" applyNumberFormat="1" applyFont="1" applyFill="1" applyBorder="1" applyAlignment="1">
      <alignment horizontal="right" vertical="center"/>
    </xf>
    <xf numFmtId="0" fontId="32" fillId="0" borderId="0" xfId="0" applyFont="1" applyAlignment="1">
      <alignment horizontal="left" vertical="center"/>
    </xf>
    <xf numFmtId="0" fontId="12" fillId="7" borderId="2" xfId="0" applyFont="1" applyFill="1" applyBorder="1" applyAlignment="1" applyProtection="1">
      <alignment horizontal="right" vertical="center"/>
    </xf>
    <xf numFmtId="9" fontId="33" fillId="0" borderId="0" xfId="0" applyNumberFormat="1" applyFont="1" applyBorder="1" applyAlignment="1">
      <alignment horizontal="left" vertical="center"/>
    </xf>
    <xf numFmtId="0" fontId="30" fillId="0" borderId="0" xfId="0" applyFont="1" applyAlignment="1">
      <alignment vertical="center"/>
    </xf>
    <xf numFmtId="0" fontId="9" fillId="0" borderId="2" xfId="0" applyFont="1" applyFill="1" applyBorder="1" applyAlignment="1">
      <alignment horizontal="left" vertical="center" wrapText="1"/>
    </xf>
    <xf numFmtId="9" fontId="23" fillId="0" borderId="0" xfId="0" applyNumberFormat="1" applyFont="1" applyBorder="1" applyAlignment="1">
      <alignment horizontal="left" vertical="center"/>
    </xf>
    <xf numFmtId="0" fontId="9" fillId="11" borderId="26" xfId="0" applyFont="1" applyFill="1" applyBorder="1" applyAlignment="1">
      <alignment horizontal="center" vertical="center" wrapText="1"/>
    </xf>
    <xf numFmtId="0" fontId="9" fillId="11" borderId="6" xfId="0" applyFont="1" applyFill="1" applyBorder="1" applyAlignment="1">
      <alignment horizontal="center" vertical="center" wrapText="1"/>
    </xf>
    <xf numFmtId="0" fontId="12" fillId="0" borderId="0" xfId="0" applyFont="1" applyAlignment="1">
      <alignment vertical="center"/>
    </xf>
    <xf numFmtId="9" fontId="12" fillId="10" borderId="2" xfId="6" applyFont="1" applyFill="1" applyBorder="1" applyAlignment="1" applyProtection="1">
      <alignment horizontal="right" vertical="center"/>
      <protection locked="0"/>
    </xf>
    <xf numFmtId="2" fontId="12" fillId="10" borderId="2" xfId="0" applyNumberFormat="1" applyFont="1" applyFill="1" applyBorder="1" applyAlignment="1" applyProtection="1">
      <alignment horizontal="right" vertical="center"/>
      <protection locked="0"/>
    </xf>
    <xf numFmtId="2" fontId="12" fillId="2" borderId="2" xfId="0" applyNumberFormat="1" applyFont="1" applyFill="1" applyBorder="1" applyAlignment="1" applyProtection="1">
      <alignment horizontal="right" vertical="center"/>
    </xf>
    <xf numFmtId="0" fontId="32" fillId="0" borderId="0" xfId="0" applyFont="1" applyBorder="1" applyAlignment="1">
      <alignment horizontal="left" vertical="center" wrapText="1"/>
    </xf>
    <xf numFmtId="0" fontId="32" fillId="0" borderId="0" xfId="0" applyFont="1" applyAlignment="1">
      <alignment horizontal="left" vertical="center" wrapText="1"/>
    </xf>
    <xf numFmtId="0" fontId="15" fillId="0" borderId="0" xfId="0" applyFont="1" applyAlignment="1">
      <alignment horizontal="right" vertical="center"/>
    </xf>
    <xf numFmtId="9" fontId="12" fillId="0" borderId="2" xfId="0" applyNumberFormat="1" applyFont="1" applyBorder="1" applyAlignment="1">
      <alignment horizontal="left" vertical="center" wrapText="1"/>
    </xf>
    <xf numFmtId="181" fontId="12" fillId="0" borderId="2" xfId="1" applyNumberFormat="1" applyFont="1" applyBorder="1" applyAlignment="1">
      <alignment horizontal="right" vertical="center"/>
    </xf>
    <xf numFmtId="9" fontId="12" fillId="0" borderId="0" xfId="0" applyNumberFormat="1" applyFont="1" applyBorder="1" applyAlignment="1">
      <alignment horizontal="left" vertical="center" wrapText="1"/>
    </xf>
    <xf numFmtId="181" fontId="12" fillId="0" borderId="0" xfId="1" applyNumberFormat="1" applyFont="1" applyBorder="1" applyAlignment="1">
      <alignment horizontal="right" vertical="center"/>
    </xf>
    <xf numFmtId="0" fontId="9" fillId="11" borderId="2" xfId="0" applyFont="1" applyFill="1" applyBorder="1" applyAlignment="1">
      <alignment horizontal="center" vertical="center" wrapText="1"/>
    </xf>
    <xf numFmtId="0" fontId="9" fillId="11" borderId="6" xfId="0" applyFont="1" applyFill="1" applyBorder="1" applyAlignment="1">
      <alignment vertical="center" wrapText="1"/>
    </xf>
    <xf numFmtId="9" fontId="9" fillId="5" borderId="26" xfId="0" applyNumberFormat="1" applyFont="1" applyFill="1" applyBorder="1" applyAlignment="1">
      <alignment horizontal="center" vertical="center"/>
    </xf>
    <xf numFmtId="9" fontId="9" fillId="5" borderId="27" xfId="0" applyNumberFormat="1" applyFont="1" applyFill="1" applyBorder="1" applyAlignment="1">
      <alignment horizontal="center" vertical="center"/>
    </xf>
    <xf numFmtId="9" fontId="9" fillId="5" borderId="6" xfId="0" applyNumberFormat="1" applyFont="1" applyFill="1" applyBorder="1" applyAlignment="1">
      <alignment horizontal="center" vertical="center"/>
    </xf>
    <xf numFmtId="0" fontId="12" fillId="0" borderId="2" xfId="0" applyFont="1" applyBorder="1" applyAlignment="1">
      <alignment horizontal="left" vertical="center"/>
    </xf>
    <xf numFmtId="0" fontId="34" fillId="7" borderId="2" xfId="0" applyFont="1" applyFill="1" applyBorder="1" applyAlignment="1">
      <alignment horizontal="center" vertical="center"/>
    </xf>
    <xf numFmtId="0" fontId="34" fillId="5" borderId="2" xfId="0" applyFont="1" applyFill="1" applyBorder="1" applyAlignment="1">
      <alignment horizontal="center" vertical="center"/>
    </xf>
    <xf numFmtId="179" fontId="12" fillId="7" borderId="2" xfId="1" applyNumberFormat="1" applyFont="1" applyFill="1" applyBorder="1" applyAlignment="1">
      <alignment horizontal="right" vertical="center"/>
    </xf>
    <xf numFmtId="179" fontId="12" fillId="5" borderId="2" xfId="1" applyNumberFormat="1" applyFont="1" applyFill="1" applyBorder="1" applyAlignment="1">
      <alignment horizontal="right" vertical="center"/>
    </xf>
    <xf numFmtId="9" fontId="12" fillId="0" borderId="2" xfId="0" applyNumberFormat="1" applyFont="1" applyBorder="1" applyAlignment="1">
      <alignment horizontal="left" vertical="center"/>
    </xf>
    <xf numFmtId="183" fontId="12" fillId="7" borderId="2" xfId="1" applyNumberFormat="1" applyFont="1" applyFill="1" applyBorder="1" applyAlignment="1">
      <alignment horizontal="right" vertical="center"/>
    </xf>
    <xf numFmtId="179" fontId="12" fillId="4" borderId="0" xfId="0" applyNumberFormat="1" applyFont="1" applyFill="1" applyAlignment="1"/>
    <xf numFmtId="0" fontId="9" fillId="0" borderId="0" xfId="0" applyFont="1" applyAlignment="1" applyProtection="1">
      <alignment horizontal="left" vertical="center"/>
    </xf>
    <xf numFmtId="0" fontId="3" fillId="0" borderId="0" xfId="0" applyFont="1" applyFill="1" applyAlignment="1"/>
    <xf numFmtId="0" fontId="26" fillId="2" borderId="0" xfId="0" applyFont="1" applyFill="1" applyBorder="1" applyAlignment="1">
      <alignment horizontal="left" vertical="center"/>
    </xf>
    <xf numFmtId="0" fontId="35" fillId="2" borderId="0" xfId="0" applyFont="1" applyFill="1" applyBorder="1" applyAlignment="1">
      <alignment horizontal="left" vertical="center"/>
    </xf>
    <xf numFmtId="0" fontId="19" fillId="2" borderId="0" xfId="0" applyFont="1" applyFill="1" applyBorder="1" applyAlignment="1">
      <alignment horizontal="left" vertical="center"/>
    </xf>
    <xf numFmtId="185" fontId="19" fillId="2" borderId="0" xfId="0" applyNumberFormat="1" applyFont="1" applyFill="1" applyBorder="1" applyAlignment="1">
      <alignment horizontal="left" vertical="center"/>
    </xf>
    <xf numFmtId="0" fontId="19" fillId="2" borderId="0" xfId="0" applyNumberFormat="1" applyFont="1" applyFill="1" applyBorder="1" applyAlignment="1">
      <alignment horizontal="left" vertical="center"/>
    </xf>
    <xf numFmtId="0" fontId="19" fillId="2" borderId="0" xfId="0" applyFont="1" applyFill="1" applyBorder="1" applyAlignment="1">
      <alignment horizontal="right" vertical="center"/>
    </xf>
    <xf numFmtId="182" fontId="19" fillId="2" borderId="0" xfId="0" applyNumberFormat="1" applyFont="1" applyFill="1" applyBorder="1" applyAlignment="1">
      <alignment horizontal="right" vertical="center"/>
    </xf>
    <xf numFmtId="0" fontId="19" fillId="2" borderId="0" xfId="0" applyFont="1" applyFill="1" applyAlignment="1">
      <alignment horizontal="left" vertical="center"/>
    </xf>
    <xf numFmtId="181" fontId="19" fillId="2" borderId="0" xfId="3" applyNumberFormat="1" applyFont="1" applyFill="1" applyBorder="1" applyAlignment="1">
      <alignment horizontal="left" vertical="center"/>
    </xf>
    <xf numFmtId="181" fontId="19" fillId="2" borderId="0" xfId="0" applyNumberFormat="1" applyFont="1" applyFill="1" applyAlignment="1">
      <alignment horizontal="left" vertical="center"/>
    </xf>
    <xf numFmtId="0" fontId="19" fillId="2" borderId="0" xfId="0" applyFont="1" applyFill="1" applyBorder="1" applyAlignment="1">
      <alignment horizontal="left" vertical="top" wrapText="1"/>
    </xf>
    <xf numFmtId="0" fontId="19" fillId="2" borderId="0" xfId="0" applyFont="1" applyFill="1" applyBorder="1" applyAlignment="1">
      <alignment horizontal="left" vertical="center" wrapText="1"/>
    </xf>
    <xf numFmtId="0" fontId="19" fillId="2" borderId="0" xfId="0" applyFont="1" applyFill="1" applyAlignment="1">
      <alignment horizontal="right" vertical="center"/>
    </xf>
    <xf numFmtId="0" fontId="19" fillId="2" borderId="0" xfId="0" applyFont="1" applyFill="1" applyBorder="1" applyAlignment="1">
      <alignment vertical="center" wrapText="1"/>
    </xf>
    <xf numFmtId="0" fontId="19" fillId="2" borderId="0" xfId="0" applyFont="1" applyFill="1" applyBorder="1" applyAlignment="1">
      <alignment horizontal="right" vertical="center" wrapText="1"/>
    </xf>
    <xf numFmtId="1" fontId="0" fillId="2" borderId="0" xfId="0" applyNumberFormat="1" applyFill="1" applyAlignment="1"/>
    <xf numFmtId="0" fontId="36" fillId="2" borderId="0"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2" fillId="2" borderId="0" xfId="0" applyFont="1" applyFill="1" applyBorder="1" applyAlignment="1">
      <alignment horizontal="center"/>
    </xf>
    <xf numFmtId="0" fontId="37" fillId="3" borderId="2" xfId="0" applyFont="1" applyFill="1" applyBorder="1" applyAlignment="1">
      <alignment horizontal="center" vertical="center" wrapText="1"/>
    </xf>
    <xf numFmtId="181" fontId="22" fillId="2" borderId="0" xfId="0" applyNumberFormat="1" applyFont="1" applyFill="1" applyBorder="1" applyAlignment="1">
      <alignment horizontal="center"/>
    </xf>
    <xf numFmtId="181" fontId="19" fillId="0" borderId="2" xfId="1" applyNumberFormat="1" applyFont="1" applyFill="1" applyBorder="1" applyAlignment="1">
      <alignment horizontal="center" vertical="center"/>
    </xf>
    <xf numFmtId="181" fontId="19" fillId="3" borderId="2" xfId="1" applyNumberFormat="1" applyFont="1" applyFill="1" applyBorder="1" applyAlignment="1">
      <alignment horizontal="center" vertical="center"/>
    </xf>
    <xf numFmtId="0" fontId="19" fillId="0" borderId="0" xfId="0" applyFont="1" applyFill="1" applyBorder="1" applyAlignment="1">
      <alignment horizontal="center"/>
    </xf>
    <xf numFmtId="180" fontId="19" fillId="2" borderId="0" xfId="0" applyNumberFormat="1" applyFont="1" applyFill="1" applyBorder="1" applyAlignment="1">
      <alignment horizontal="center"/>
    </xf>
    <xf numFmtId="180" fontId="24" fillId="2" borderId="0" xfId="0" applyNumberFormat="1" applyFont="1" applyFill="1" applyBorder="1" applyAlignment="1">
      <alignment horizontal="center"/>
    </xf>
    <xf numFmtId="0" fontId="38" fillId="2" borderId="0" xfId="0" applyFont="1" applyFill="1" applyAlignment="1"/>
    <xf numFmtId="181" fontId="19" fillId="0" borderId="0" xfId="1" applyNumberFormat="1" applyFont="1" applyFill="1" applyBorder="1" applyAlignment="1">
      <alignment horizontal="right" vertical="center"/>
    </xf>
    <xf numFmtId="179" fontId="19" fillId="0" borderId="0" xfId="1" applyNumberFormat="1" applyFont="1" applyFill="1" applyBorder="1" applyAlignment="1">
      <alignment horizontal="right" vertical="center"/>
    </xf>
    <xf numFmtId="0" fontId="19" fillId="2" borderId="0" xfId="0" applyNumberFormat="1" applyFont="1" applyFill="1" applyAlignment="1"/>
    <xf numFmtId="181" fontId="24" fillId="0" borderId="2" xfId="1" applyNumberFormat="1" applyFont="1" applyFill="1" applyBorder="1" applyAlignment="1">
      <alignment horizontal="center" vertical="center"/>
    </xf>
    <xf numFmtId="181" fontId="24" fillId="3" borderId="2" xfId="1" applyNumberFormat="1" applyFont="1" applyFill="1" applyBorder="1" applyAlignment="1">
      <alignment horizontal="center" vertical="center"/>
    </xf>
    <xf numFmtId="9" fontId="23" fillId="0" borderId="0" xfId="0" applyNumberFormat="1" applyFont="1" applyBorder="1" applyAlignment="1" quotePrefix="1">
      <alignment horizontal="left" vertical="center"/>
    </xf>
  </cellXfs>
  <cellStyles count="9">
    <cellStyle name="Normal" xfId="0" builtinId="0"/>
    <cellStyle name="Comma" xfId="1" builtinId="3"/>
    <cellStyle name="Normal 2" xfId="2"/>
    <cellStyle name="Comma 2" xfId="3"/>
    <cellStyle name="Currency" xfId="4" builtinId="4"/>
    <cellStyle name="Comma[0]" xfId="5" builtinId="6"/>
    <cellStyle name="Percent" xfId="6" builtinId="5"/>
    <cellStyle name="Currency[0]" xfId="7" builtinId="7"/>
    <cellStyle name="Normal 3"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00"/>
  <sheetViews>
    <sheetView showGridLines="0" zoomScale="85" zoomScaleNormal="85" topLeftCell="A29" workbookViewId="0">
      <selection activeCell="E38" sqref="E38"/>
    </sheetView>
  </sheetViews>
  <sheetFormatPr defaultColWidth="9" defaultRowHeight="12.75"/>
  <cols>
    <col min="1" max="1" width="4.14166666666667" style="142" customWidth="1"/>
    <col min="2" max="2" width="40.425" style="143" customWidth="1"/>
    <col min="3" max="3" width="14.2833333333333" style="143" customWidth="1"/>
    <col min="4" max="4" width="12" style="143" customWidth="1"/>
    <col min="5" max="5" width="57.5666666666667" style="142" customWidth="1"/>
    <col min="6" max="6" width="11" style="142" customWidth="1"/>
    <col min="7" max="9" width="11.5" style="142"/>
    <col min="10" max="10" width="10.375" style="142"/>
    <col min="11" max="11" width="35.2833333333333" style="142" hidden="1" customWidth="1"/>
    <col min="12" max="16384" width="9.14166666666667" style="142"/>
  </cols>
  <sheetData>
    <row r="1" ht="15" spans="2:6">
      <c r="B1" s="144" t="s">
        <v>0</v>
      </c>
      <c r="C1" s="145"/>
      <c r="F1"/>
    </row>
    <row r="2" s="142" customFormat="1" ht="15" spans="2:6">
      <c r="B2" s="146" t="s">
        <v>1</v>
      </c>
      <c r="C2" s="145"/>
      <c r="D2" s="143"/>
      <c r="F2"/>
    </row>
    <row r="3" ht="14.25" spans="3:6">
      <c r="C3" s="143">
        <f>VLOOKUP("OK",'Product Data n Calcs'!BD5:BE18,2,0)</f>
        <v>33255421</v>
      </c>
      <c r="E3" s="147"/>
      <c r="F3"/>
    </row>
    <row r="4" spans="2:7">
      <c r="B4" s="148" t="s">
        <v>2</v>
      </c>
      <c r="C4" s="148"/>
      <c r="E4" s="149" t="s">
        <v>3</v>
      </c>
      <c r="F4" s="149"/>
      <c r="G4" s="147"/>
    </row>
    <row r="5" spans="2:11">
      <c r="B5" s="150" t="s">
        <v>4</v>
      </c>
      <c r="C5" s="151">
        <f>F8</f>
        <v>33255421</v>
      </c>
      <c r="E5" s="152" t="str">
        <f>IF(ST_Indicator="No",CONCATENATE(K5,K7,K8),CONCATENATE(K5,K6,K8))</f>
        <v>Orig. Installment Premium (Rs.) EXCLUDING Service Tax for Year 1: </v>
      </c>
      <c r="F5" s="153">
        <v>350000</v>
      </c>
      <c r="G5" s="147"/>
      <c r="K5" s="185" t="s">
        <v>5</v>
      </c>
    </row>
    <row r="6" spans="2:11">
      <c r="B6" s="150" t="s">
        <v>6</v>
      </c>
      <c r="C6" s="154">
        <v>22</v>
      </c>
      <c r="K6" s="185" t="s">
        <v>7</v>
      </c>
    </row>
    <row r="7" ht="15" spans="2:11">
      <c r="B7" s="150" t="s">
        <v>8</v>
      </c>
      <c r="C7" s="154" t="s">
        <v>9</v>
      </c>
      <c r="E7" s="155" t="s">
        <v>10</v>
      </c>
      <c r="F7" s="155"/>
      <c r="K7" s="185" t="s">
        <v>11</v>
      </c>
    </row>
    <row r="8" ht="15" spans="2:11">
      <c r="B8" s="150" t="s">
        <v>12</v>
      </c>
      <c r="C8" s="154" t="s">
        <v>13</v>
      </c>
      <c r="E8" s="156" t="s">
        <v>14</v>
      </c>
      <c r="F8" s="157">
        <f>IFERROR('Product Data n Calcs'!BD1,0)</f>
        <v>33255421</v>
      </c>
      <c r="G8" s="158" t="str">
        <f>IF(OR(AND(Prem_Mode="Monthly",F8&lt;500000),F8=0),"The calculated Sum Assured is less than the minimum allowed, Thus input a higher Premium","")</f>
        <v/>
      </c>
      <c r="H8" s="158"/>
      <c r="I8" s="158"/>
      <c r="K8" s="185" t="s">
        <v>15</v>
      </c>
    </row>
    <row r="9" spans="2:9">
      <c r="B9" s="150" t="s">
        <v>16</v>
      </c>
      <c r="C9" s="159" t="s">
        <v>17</v>
      </c>
      <c r="F9" s="160"/>
      <c r="G9" s="158"/>
      <c r="H9" s="158"/>
      <c r="I9" s="158"/>
    </row>
    <row r="10" spans="2:9">
      <c r="B10" s="150" t="s">
        <v>18</v>
      </c>
      <c r="C10" s="154" t="s">
        <v>19</v>
      </c>
      <c r="D10" s="161" t="str">
        <f>IF(AND(Staff_Case="Yes",Direct_sale="Yes"),"Both Staff and Direct cannot be Yes","")</f>
        <v/>
      </c>
      <c r="G10" s="158"/>
      <c r="H10" s="158"/>
      <c r="I10" s="158"/>
    </row>
    <row r="11" spans="2:9">
      <c r="B11" s="150" t="s">
        <v>20</v>
      </c>
      <c r="C11" s="154">
        <v>7</v>
      </c>
      <c r="G11" s="158"/>
      <c r="H11" s="158"/>
      <c r="I11" s="158"/>
    </row>
    <row r="12" spans="2:9">
      <c r="B12" s="150" t="s">
        <v>21</v>
      </c>
      <c r="C12" s="162">
        <f>(PPT=10)*20+(PPT=7)*15</f>
        <v>15</v>
      </c>
      <c r="E12" s="163" t="s">
        <v>22</v>
      </c>
      <c r="G12" s="164"/>
      <c r="H12" s="164"/>
      <c r="I12" s="164"/>
    </row>
    <row r="13" s="142" customFormat="1" ht="25.5" spans="2:9">
      <c r="B13" s="165" t="s">
        <v>23</v>
      </c>
      <c r="C13" s="154" t="s">
        <v>17</v>
      </c>
      <c r="D13" s="143"/>
      <c r="E13" s="166" t="s">
        <v>24</v>
      </c>
      <c r="G13" s="164"/>
      <c r="H13" s="164"/>
      <c r="I13" s="164"/>
    </row>
    <row r="14" ht="15.75" spans="5:5">
      <c r="E14" s="227" t="s">
        <v>25</v>
      </c>
    </row>
    <row r="15" ht="15" customHeight="1" spans="2:5">
      <c r="B15" s="167" t="s">
        <v>26</v>
      </c>
      <c r="C15" s="168"/>
      <c r="E15" s="169"/>
    </row>
    <row r="16" spans="2:5">
      <c r="B16" s="150" t="s">
        <v>27</v>
      </c>
      <c r="C16" s="170">
        <v>0</v>
      </c>
      <c r="E16" s="169"/>
    </row>
    <row r="17" spans="2:5">
      <c r="B17" s="150" t="s">
        <v>28</v>
      </c>
      <c r="C17" s="171">
        <v>0</v>
      </c>
      <c r="E17" s="169"/>
    </row>
    <row r="18" ht="23.25" customHeight="1" spans="2:5">
      <c r="B18" s="150" t="s">
        <v>29</v>
      </c>
      <c r="C18" s="172">
        <v>0</v>
      </c>
      <c r="D18" s="173" t="s">
        <v>30</v>
      </c>
      <c r="E18" s="174"/>
    </row>
    <row r="19" spans="1:5">
      <c r="A19" s="175"/>
      <c r="E19" s="169"/>
    </row>
    <row r="20" s="142" customFormat="1" spans="1:5">
      <c r="A20" s="175"/>
      <c r="B20" s="176" t="s">
        <v>31</v>
      </c>
      <c r="C20" s="177">
        <f>IF(ST_Indicator="No",'Product Data n Calcs'!S21,'Product Data n Calcs'!S23)</f>
        <v>350000</v>
      </c>
      <c r="D20" s="143"/>
      <c r="E20" s="169"/>
    </row>
    <row r="21" s="142" customFormat="1" spans="1:5">
      <c r="A21" s="175"/>
      <c r="B21" s="178"/>
      <c r="C21" s="179"/>
      <c r="D21" s="143"/>
      <c r="E21" s="169"/>
    </row>
    <row r="22" s="142" customFormat="1" ht="28.5" customHeight="1" spans="1:5">
      <c r="A22" s="175"/>
      <c r="B22" s="180" t="s">
        <v>32</v>
      </c>
      <c r="C22" s="181" t="s">
        <v>33</v>
      </c>
      <c r="D22" s="143"/>
      <c r="E22" s="169"/>
    </row>
    <row r="23" s="142" customFormat="1" spans="1:5">
      <c r="A23" s="175"/>
      <c r="B23" s="54" t="s">
        <v>34</v>
      </c>
      <c r="C23" s="56">
        <v>0.045</v>
      </c>
      <c r="D23" s="143"/>
      <c r="E23" s="169"/>
    </row>
    <row r="24" spans="1:5">
      <c r="A24" s="175"/>
      <c r="B24" s="54" t="s">
        <v>35</v>
      </c>
      <c r="C24" s="56">
        <v>0.0225</v>
      </c>
      <c r="D24" s="175"/>
      <c r="E24" s="169"/>
    </row>
    <row r="25" spans="1:5">
      <c r="A25" s="175"/>
      <c r="B25" s="182" t="str">
        <f>'Product Data n Calcs'!$R$20</f>
        <v>First Year Modal Prem Calcs</v>
      </c>
      <c r="C25" s="183"/>
      <c r="D25" s="184"/>
      <c r="E25" s="169"/>
    </row>
    <row r="26" spans="1:5">
      <c r="A26" s="175"/>
      <c r="B26" s="185"/>
      <c r="C26" s="186" t="s">
        <v>36</v>
      </c>
      <c r="D26" s="187" t="s">
        <v>37</v>
      </c>
      <c r="E26" s="169"/>
    </row>
    <row r="27" ht="25.5" spans="1:5">
      <c r="A27" s="175"/>
      <c r="B27" s="176" t="str">
        <f>'Product Data n Calcs'!R21</f>
        <v>Modal Premium (Basic Prem + Extra Prem, incl. Disc.)</v>
      </c>
      <c r="C27" s="188">
        <f>'Product Data n Calcs'!S21</f>
        <v>350000</v>
      </c>
      <c r="D27" s="189">
        <f>'Product Data n Calcs'!T21</f>
        <v>350000</v>
      </c>
      <c r="E27" s="169"/>
    </row>
    <row r="28" spans="1:5">
      <c r="A28" s="75"/>
      <c r="B28" s="190" t="str">
        <f>'Product Data n Calcs'!R22</f>
        <v>Service Tax and applicable Cess</v>
      </c>
      <c r="C28" s="188">
        <f>'Product Data n Calcs'!S22</f>
        <v>15750</v>
      </c>
      <c r="D28" s="189">
        <f>'Product Data n Calcs'!T22</f>
        <v>15750</v>
      </c>
      <c r="E28" s="169"/>
    </row>
    <row r="29" spans="1:5">
      <c r="A29" s="75"/>
      <c r="B29" s="190" t="str">
        <f>'Product Data n Calcs'!R23</f>
        <v>Total Modal Premium</v>
      </c>
      <c r="C29" s="191">
        <f>'Product Data n Calcs'!S23</f>
        <v>365750</v>
      </c>
      <c r="D29" s="189">
        <f>'Product Data n Calcs'!T23</f>
        <v>365750</v>
      </c>
      <c r="E29" s="169"/>
    </row>
    <row r="30" spans="1:5">
      <c r="A30" s="75"/>
      <c r="B30" s="190" t="str">
        <f>'Product Data n Calcs'!R24</f>
        <v>Annualized Premium excluding Service Tax</v>
      </c>
      <c r="C30" s="188">
        <f>'Product Data n Calcs'!S24</f>
        <v>4200000</v>
      </c>
      <c r="D30" s="189">
        <f>'Product Data n Calcs'!T24</f>
        <v>4200000</v>
      </c>
      <c r="E30" s="169"/>
    </row>
    <row r="31" spans="1:5">
      <c r="A31" s="75"/>
      <c r="B31" s="142"/>
      <c r="C31" s="142"/>
      <c r="D31" s="142"/>
      <c r="E31" s="169"/>
    </row>
    <row r="32" spans="1:5">
      <c r="A32" s="75"/>
      <c r="B32" s="182" t="s">
        <v>38</v>
      </c>
      <c r="C32" s="183"/>
      <c r="D32" s="184"/>
      <c r="E32" s="169"/>
    </row>
    <row r="33" spans="1:5">
      <c r="A33" s="75"/>
      <c r="B33" s="185"/>
      <c r="C33" s="186" t="s">
        <v>36</v>
      </c>
      <c r="D33" s="187" t="s">
        <v>37</v>
      </c>
      <c r="E33" s="169"/>
    </row>
    <row r="34" ht="25.5" spans="1:5">
      <c r="A34" s="75"/>
      <c r="B34" s="176" t="str">
        <f>'Product Data n Calcs'!R27</f>
        <v>Modal Premium (Basic Prem + Extra Prem, incl. Disc.)</v>
      </c>
      <c r="C34" s="188">
        <f>'Product Data n Calcs'!S27</f>
        <v>350000</v>
      </c>
      <c r="D34" s="189">
        <f>'Product Data n Calcs'!T27</f>
        <v>350000</v>
      </c>
      <c r="E34" s="169"/>
    </row>
    <row r="35" spans="1:5">
      <c r="A35" s="75"/>
      <c r="B35" s="190" t="str">
        <f>'Product Data n Calcs'!R28</f>
        <v>Service Tax and applicable Cess</v>
      </c>
      <c r="C35" s="188">
        <f>'Product Data n Calcs'!S28</f>
        <v>7875</v>
      </c>
      <c r="D35" s="189">
        <f>'Product Data n Calcs'!T28</f>
        <v>7875</v>
      </c>
      <c r="E35" s="169"/>
    </row>
    <row r="36" spans="1:5">
      <c r="A36" s="75"/>
      <c r="B36" s="190" t="str">
        <f>'Product Data n Calcs'!R29</f>
        <v>Total Modal Premium</v>
      </c>
      <c r="C36" s="188">
        <f>'Product Data n Calcs'!S29</f>
        <v>357875</v>
      </c>
      <c r="D36" s="189">
        <f>'Product Data n Calcs'!T29</f>
        <v>357875</v>
      </c>
      <c r="E36" s="169"/>
    </row>
    <row r="37" spans="1:5">
      <c r="A37" s="75"/>
      <c r="B37" s="190" t="str">
        <f>'Product Data n Calcs'!R30</f>
        <v>Annualized Premium excluding Service Tax</v>
      </c>
      <c r="C37" s="188">
        <f>'Product Data n Calcs'!S30</f>
        <v>4200000</v>
      </c>
      <c r="D37" s="189">
        <f>'Product Data n Calcs'!T30</f>
        <v>4200000</v>
      </c>
      <c r="E37" s="169"/>
    </row>
    <row r="38" spans="1:5">
      <c r="A38" s="75"/>
      <c r="B38" s="75"/>
      <c r="C38" s="75"/>
      <c r="E38" s="169"/>
    </row>
    <row r="39" spans="1:5">
      <c r="A39" s="75"/>
      <c r="B39" s="75"/>
      <c r="C39" s="192">
        <f>C20-F5</f>
        <v>0</v>
      </c>
      <c r="D39" s="193" t="s">
        <v>39</v>
      </c>
      <c r="E39" s="169"/>
    </row>
    <row r="40" spans="1:5">
      <c r="A40" s="75"/>
      <c r="B40" s="75"/>
      <c r="C40" s="75"/>
      <c r="E40" s="169"/>
    </row>
    <row r="41" ht="15" spans="1:11">
      <c r="A41" s="194" t="s">
        <v>40</v>
      </c>
      <c r="B41" s="103"/>
      <c r="C41" s="103"/>
      <c r="D41" s="103"/>
      <c r="E41" s="103"/>
      <c r="F41" s="127" t="s">
        <v>41</v>
      </c>
      <c r="G41" s="103"/>
      <c r="H41" s="103"/>
      <c r="I41" s="103"/>
      <c r="J41" s="103"/>
      <c r="K41" s="103"/>
    </row>
    <row r="42" ht="14.25" spans="1:11">
      <c r="A42" s="103"/>
      <c r="B42" s="103"/>
      <c r="C42" s="103"/>
      <c r="D42" s="103"/>
      <c r="E42" s="103"/>
      <c r="F42" s="103"/>
      <c r="G42" s="103"/>
      <c r="H42" s="103"/>
      <c r="I42" s="103"/>
      <c r="J42" s="103"/>
      <c r="K42" s="103"/>
    </row>
    <row r="43" ht="14.25" spans="1:11">
      <c r="A43" s="103"/>
      <c r="B43" s="103"/>
      <c r="C43" s="103"/>
      <c r="D43" s="103"/>
      <c r="E43" s="103"/>
      <c r="F43" s="103"/>
      <c r="G43" s="103"/>
      <c r="H43" s="103"/>
      <c r="I43" s="103"/>
      <c r="J43" s="103"/>
      <c r="K43" s="103"/>
    </row>
    <row r="44" ht="14.25" spans="1:11">
      <c r="A44" s="103"/>
      <c r="B44" s="103"/>
      <c r="C44" s="103"/>
      <c r="D44" s="103"/>
      <c r="E44" s="103"/>
      <c r="F44" s="103"/>
      <c r="G44" s="103"/>
      <c r="H44" s="103"/>
      <c r="I44" s="103"/>
      <c r="J44" s="103"/>
      <c r="K44" s="103"/>
    </row>
    <row r="45" ht="14.25" spans="1:11">
      <c r="A45" s="103"/>
      <c r="B45" s="103"/>
      <c r="C45" s="103"/>
      <c r="D45" s="103"/>
      <c r="E45" s="103"/>
      <c r="F45" s="103"/>
      <c r="G45" s="103"/>
      <c r="H45" s="103"/>
      <c r="I45" s="103"/>
      <c r="J45" s="103"/>
      <c r="K45" s="103"/>
    </row>
    <row r="46" ht="14.25" spans="1:11">
      <c r="A46" s="103"/>
      <c r="B46" s="103"/>
      <c r="C46" s="103"/>
      <c r="D46" s="103"/>
      <c r="E46" s="103"/>
      <c r="F46" s="103"/>
      <c r="G46" s="103"/>
      <c r="H46" s="103"/>
      <c r="I46" s="103"/>
      <c r="J46" s="103"/>
      <c r="K46" s="103"/>
    </row>
    <row r="47" ht="14.25" spans="1:11">
      <c r="A47" s="103"/>
      <c r="B47" s="103"/>
      <c r="C47" s="103"/>
      <c r="D47" s="103"/>
      <c r="E47" s="103"/>
      <c r="F47" s="103"/>
      <c r="G47" s="103"/>
      <c r="H47" s="103"/>
      <c r="I47" s="103"/>
      <c r="J47" s="103"/>
      <c r="K47" s="103"/>
    </row>
    <row r="48" ht="14.25" spans="1:11">
      <c r="A48" s="103"/>
      <c r="B48" s="103"/>
      <c r="C48" s="103"/>
      <c r="D48" s="103"/>
      <c r="E48" s="103"/>
      <c r="F48" s="103"/>
      <c r="G48" s="103"/>
      <c r="H48" s="103"/>
      <c r="I48" s="103"/>
      <c r="J48" s="103"/>
      <c r="K48" s="103"/>
    </row>
    <row r="49" ht="14.25" spans="1:11">
      <c r="A49" s="104" t="s">
        <v>42</v>
      </c>
      <c r="B49" s="104"/>
      <c r="C49" s="104"/>
      <c r="D49" s="104"/>
      <c r="E49" s="104"/>
      <c r="F49" s="104"/>
      <c r="G49" s="104"/>
      <c r="H49" s="104"/>
      <c r="I49" s="104"/>
      <c r="J49" s="104"/>
      <c r="K49" s="104"/>
    </row>
    <row r="50" ht="14.25" spans="1:11">
      <c r="A50" s="104" t="s">
        <v>43</v>
      </c>
      <c r="B50" s="104"/>
      <c r="C50" s="104"/>
      <c r="D50" s="104"/>
      <c r="E50" s="104"/>
      <c r="F50" s="104"/>
      <c r="G50" s="104"/>
      <c r="H50" s="104"/>
      <c r="I50" s="104"/>
      <c r="J50" s="104"/>
      <c r="K50" s="104"/>
    </row>
    <row r="51" ht="14.25" spans="1:11">
      <c r="A51" s="104"/>
      <c r="B51" s="104"/>
      <c r="C51" s="104"/>
      <c r="D51" s="104"/>
      <c r="E51" s="104"/>
      <c r="F51" s="104"/>
      <c r="G51" s="104"/>
      <c r="H51" s="104"/>
      <c r="I51" s="104"/>
      <c r="J51" s="104"/>
      <c r="K51" s="104"/>
    </row>
    <row r="52" ht="14.25" spans="1:11">
      <c r="A52" s="104"/>
      <c r="B52" s="104"/>
      <c r="C52" s="104"/>
      <c r="D52" s="104"/>
      <c r="E52" s="104"/>
      <c r="F52" s="104"/>
      <c r="G52" s="104"/>
      <c r="H52" s="104"/>
      <c r="I52" s="104"/>
      <c r="J52" s="104"/>
      <c r="K52" s="104"/>
    </row>
    <row r="53" ht="18" spans="1:11">
      <c r="A53" s="195" t="s">
        <v>44</v>
      </c>
      <c r="B53" s="196"/>
      <c r="C53" s="196"/>
      <c r="D53" s="196"/>
      <c r="E53" s="196"/>
      <c r="F53" s="195" t="s">
        <v>45</v>
      </c>
      <c r="G53" s="196"/>
      <c r="H53" s="196"/>
      <c r="I53" s="196"/>
      <c r="J53" s="196"/>
      <c r="K53" s="196"/>
    </row>
    <row r="54" ht="14.25" spans="1:11">
      <c r="A54" s="197" t="s">
        <v>46</v>
      </c>
      <c r="B54" s="197"/>
      <c r="C54" s="197"/>
      <c r="D54" s="198"/>
      <c r="E54" s="198"/>
      <c r="F54" s="197" t="s">
        <v>47</v>
      </c>
      <c r="G54" s="197"/>
      <c r="H54" s="197"/>
      <c r="I54" s="197" t="s">
        <v>48</v>
      </c>
      <c r="J54" s="197"/>
      <c r="K54" s="197" t="s">
        <v>49</v>
      </c>
    </row>
    <row r="55" ht="14.25" spans="1:11">
      <c r="A55" s="197"/>
      <c r="B55" s="197"/>
      <c r="C55" s="197"/>
      <c r="D55" s="199"/>
      <c r="E55" s="197"/>
      <c r="F55" s="197"/>
      <c r="G55" s="197"/>
      <c r="H55" s="197"/>
      <c r="I55" s="197"/>
      <c r="J55" s="197"/>
      <c r="K55" s="197"/>
    </row>
    <row r="56" ht="14.25" spans="1:11">
      <c r="A56" s="197" t="s">
        <v>50</v>
      </c>
      <c r="B56" s="197"/>
      <c r="C56" s="197"/>
      <c r="D56" s="200">
        <f>Age</f>
        <v>22</v>
      </c>
      <c r="E56" s="197"/>
      <c r="F56" s="197" t="s">
        <v>51</v>
      </c>
      <c r="G56" s="197"/>
      <c r="H56" s="197"/>
      <c r="I56" s="205" t="s">
        <v>52</v>
      </c>
      <c r="J56" s="205"/>
      <c r="K56" s="197"/>
    </row>
    <row r="57" ht="14.25" spans="1:11">
      <c r="A57" s="197" t="s">
        <v>53</v>
      </c>
      <c r="B57" s="197"/>
      <c r="C57" s="197"/>
      <c r="D57" s="200" t="s">
        <v>54</v>
      </c>
      <c r="E57" s="197"/>
      <c r="F57" s="197"/>
      <c r="G57" s="197"/>
      <c r="H57" s="197"/>
      <c r="I57" s="206"/>
      <c r="J57" s="206"/>
      <c r="K57" s="197"/>
    </row>
    <row r="58" ht="14.25" spans="1:11">
      <c r="A58" s="197" t="s">
        <v>55</v>
      </c>
      <c r="B58" s="197"/>
      <c r="C58" s="197"/>
      <c r="D58" s="200" t="str">
        <f>IF('Premium Calculation'!C8="M","Male","Female")</f>
        <v>Male</v>
      </c>
      <c r="E58" s="197"/>
      <c r="F58" s="197"/>
      <c r="G58" s="197"/>
      <c r="H58" s="197"/>
      <c r="I58" s="197"/>
      <c r="J58" s="197"/>
      <c r="K58" s="197"/>
    </row>
    <row r="59" ht="14.25" spans="1:11">
      <c r="A59" s="197"/>
      <c r="B59" s="197"/>
      <c r="C59" s="197"/>
      <c r="D59" s="197"/>
      <c r="E59" s="197"/>
      <c r="F59" s="197"/>
      <c r="G59" s="197"/>
      <c r="H59" s="197"/>
      <c r="I59" s="197"/>
      <c r="J59" s="197"/>
      <c r="K59" s="197"/>
    </row>
    <row r="60" ht="14.25" spans="1:11">
      <c r="A60" s="197" t="s">
        <v>56</v>
      </c>
      <c r="B60" s="197"/>
      <c r="C60" s="197"/>
      <c r="D60" s="201">
        <f ca="1">TODAY()</f>
        <v>42913</v>
      </c>
      <c r="E60" s="197"/>
      <c r="F60" s="197" t="s">
        <v>57</v>
      </c>
      <c r="G60" s="197"/>
      <c r="H60" s="197"/>
      <c r="I60" s="200">
        <f>PT</f>
        <v>15</v>
      </c>
      <c r="J60" s="197" t="s">
        <v>58</v>
      </c>
      <c r="K60" s="197"/>
    </row>
    <row r="61" ht="14.25" spans="1:11">
      <c r="A61" s="197"/>
      <c r="B61" s="202"/>
      <c r="C61" s="202"/>
      <c r="D61" s="197"/>
      <c r="E61" s="197"/>
      <c r="F61" s="197"/>
      <c r="G61" s="197"/>
      <c r="H61" s="197"/>
      <c r="I61" s="197"/>
      <c r="J61" s="197"/>
      <c r="K61" s="197"/>
    </row>
    <row r="62" ht="14.25" spans="1:11">
      <c r="A62" s="197" t="s">
        <v>59</v>
      </c>
      <c r="B62" s="197"/>
      <c r="C62" s="200" t="s">
        <v>60</v>
      </c>
      <c r="D62" s="203">
        <f>SA</f>
        <v>33255421</v>
      </c>
      <c r="E62" s="197"/>
      <c r="F62" s="197" t="s">
        <v>61</v>
      </c>
      <c r="G62" s="197"/>
      <c r="H62" s="197"/>
      <c r="I62" s="200">
        <f>PPT</f>
        <v>7</v>
      </c>
      <c r="J62" s="197" t="s">
        <v>58</v>
      </c>
      <c r="K62" s="197"/>
    </row>
    <row r="63" ht="14.25" spans="1:11">
      <c r="A63" s="197"/>
      <c r="B63" s="197"/>
      <c r="C63" s="197"/>
      <c r="D63" s="203"/>
      <c r="E63" s="197"/>
      <c r="F63" s="197"/>
      <c r="G63" s="197"/>
      <c r="H63" s="197"/>
      <c r="I63" s="197"/>
      <c r="J63" s="197"/>
      <c r="K63" s="197"/>
    </row>
    <row r="64" ht="14.25" spans="1:11">
      <c r="A64" s="197" t="s">
        <v>62</v>
      </c>
      <c r="B64" s="197"/>
      <c r="C64" s="197"/>
      <c r="D64" s="204">
        <f>MAX(Base_Ann_Prem_For_DB_Yr2*10,SA)</f>
        <v>42000000</v>
      </c>
      <c r="E64" s="197"/>
      <c r="F64" s="197" t="s">
        <v>63</v>
      </c>
      <c r="G64" s="197"/>
      <c r="H64" s="197"/>
      <c r="I64" s="207" t="str">
        <f>IF(Prem_Mode="Annual","Yearly","Monthly")</f>
        <v>Monthly</v>
      </c>
      <c r="J64" s="104"/>
      <c r="K64" s="104"/>
    </row>
    <row r="65" ht="14.25" spans="1:11">
      <c r="A65" s="197"/>
      <c r="B65" s="197"/>
      <c r="C65" s="197"/>
      <c r="D65" s="208"/>
      <c r="E65" s="197"/>
      <c r="F65" s="197"/>
      <c r="G65" s="197"/>
      <c r="H65" s="197"/>
      <c r="I65" s="197"/>
      <c r="J65" s="104"/>
      <c r="K65" s="104"/>
    </row>
    <row r="66" ht="14.25" spans="1:11">
      <c r="A66" s="202"/>
      <c r="B66" s="202"/>
      <c r="C66" s="200"/>
      <c r="D66" s="204"/>
      <c r="E66" s="197"/>
      <c r="F66" s="197" t="s">
        <v>64</v>
      </c>
      <c r="G66" s="200"/>
      <c r="H66" s="200"/>
      <c r="I66" s="222" t="str">
        <f>CONCATENATE("Rs. ",Basic_Prem_Yr2_Annualized)</f>
        <v>Rs. 4200000</v>
      </c>
      <c r="J66" s="104"/>
      <c r="K66" s="104"/>
    </row>
    <row r="67" ht="14.25" spans="1:11">
      <c r="A67" s="202"/>
      <c r="B67" s="202"/>
      <c r="C67" s="202"/>
      <c r="D67" s="202"/>
      <c r="E67" s="197"/>
      <c r="F67" s="197"/>
      <c r="G67" s="197"/>
      <c r="H67" s="197"/>
      <c r="I67" s="203"/>
      <c r="J67" s="104"/>
      <c r="K67" s="104"/>
    </row>
    <row r="68" ht="42.75" spans="1:11">
      <c r="A68" s="197" t="s">
        <v>65</v>
      </c>
      <c r="B68" s="197"/>
      <c r="C68" s="200"/>
      <c r="D68" s="209" t="str">
        <f>CONCATENATE("Rs. ",SA+J100)</f>
        <v>Rs. 40155920.8575</v>
      </c>
      <c r="E68" s="197"/>
      <c r="F68" s="197" t="s">
        <v>66</v>
      </c>
      <c r="G68" s="200"/>
      <c r="H68" s="200"/>
      <c r="I68" s="223" t="str">
        <f>CONCATENATE("Rs. ",ROUND(Basic_Premium_2+Stax_Oasis_Yr2,0))</f>
        <v>Rs. 357875</v>
      </c>
      <c r="J68" s="224"/>
      <c r="K68" s="104"/>
    </row>
    <row r="69" ht="14.25" spans="1:11">
      <c r="A69" s="197"/>
      <c r="B69" s="197"/>
      <c r="C69" s="104"/>
      <c r="D69" s="208"/>
      <c r="E69" s="197"/>
      <c r="F69" s="197"/>
      <c r="G69" s="197"/>
      <c r="H69" s="197"/>
      <c r="I69" s="203"/>
      <c r="J69" s="104"/>
      <c r="K69" s="104"/>
    </row>
    <row r="70" ht="28.5" spans="1:11">
      <c r="A70" s="197" t="s">
        <v>67</v>
      </c>
      <c r="B70" s="197"/>
      <c r="C70" s="200"/>
      <c r="D70" s="209" t="str">
        <f>CONCATENATE("Rs. ",K100+SA)</f>
        <v>Rs. 58862095.17</v>
      </c>
      <c r="E70" s="197"/>
      <c r="F70" s="197"/>
      <c r="G70" s="197"/>
      <c r="H70" s="197"/>
      <c r="I70" s="197"/>
      <c r="J70" s="197"/>
      <c r="K70" s="197"/>
    </row>
    <row r="71" ht="14.25" spans="1:11">
      <c r="A71" s="104" t="s">
        <v>68</v>
      </c>
      <c r="B71" s="104"/>
      <c r="C71" s="104"/>
      <c r="D71" s="104"/>
      <c r="E71" s="104"/>
      <c r="F71" s="104"/>
      <c r="G71" s="104"/>
      <c r="H71" s="104"/>
      <c r="I71" s="104"/>
      <c r="J71" s="104"/>
      <c r="K71" s="104"/>
    </row>
    <row r="72" ht="14.25" spans="1:11">
      <c r="A72" s="104"/>
      <c r="B72" s="104"/>
      <c r="C72" s="104"/>
      <c r="D72" s="104"/>
      <c r="E72" s="104"/>
      <c r="F72" s="104"/>
      <c r="G72" s="104"/>
      <c r="H72" s="104"/>
      <c r="I72" s="104"/>
      <c r="J72" s="104"/>
      <c r="K72" s="104"/>
    </row>
    <row r="73" ht="14.25" spans="1:11">
      <c r="A73" s="103"/>
      <c r="B73" s="103"/>
      <c r="C73" s="103"/>
      <c r="D73" s="103"/>
      <c r="E73" s="103"/>
      <c r="F73" s="103"/>
      <c r="G73" s="103"/>
      <c r="H73" s="103"/>
      <c r="I73" s="103"/>
      <c r="J73" s="103"/>
      <c r="K73" s="103"/>
    </row>
    <row r="74" ht="15" spans="1:11">
      <c r="A74" s="103"/>
      <c r="B74" s="103"/>
      <c r="C74" s="103"/>
      <c r="D74" s="103"/>
      <c r="E74" s="103"/>
      <c r="F74" s="127" t="s">
        <v>69</v>
      </c>
      <c r="G74" s="103"/>
      <c r="H74" s="103"/>
      <c r="I74" s="103"/>
      <c r="J74" s="103"/>
      <c r="K74" s="103"/>
    </row>
    <row r="75" ht="14.25" spans="1:11">
      <c r="A75" s="103"/>
      <c r="B75" s="103"/>
      <c r="C75" s="103"/>
      <c r="D75" s="210"/>
      <c r="E75" s="103"/>
      <c r="F75" s="103"/>
      <c r="G75" s="103"/>
      <c r="H75" s="103"/>
      <c r="I75" s="103"/>
      <c r="J75" s="103"/>
      <c r="K75" s="103"/>
    </row>
    <row r="76" ht="15" spans="1:11">
      <c r="A76" s="211"/>
      <c r="B76" s="104"/>
      <c r="C76" s="104"/>
      <c r="D76" s="104"/>
      <c r="E76" s="94"/>
      <c r="F76"/>
      <c r="G76" s="212" t="s">
        <v>70</v>
      </c>
      <c r="H76" s="212"/>
      <c r="I76" s="212"/>
      <c r="J76" s="212" t="s">
        <v>71</v>
      </c>
      <c r="K76" s="212"/>
    </row>
    <row r="77" ht="105" spans="1:11">
      <c r="A77" s="213"/>
      <c r="B77" s="214" t="s">
        <v>72</v>
      </c>
      <c r="C77" s="214" t="s">
        <v>73</v>
      </c>
      <c r="D77" s="214" t="s">
        <v>74</v>
      </c>
      <c r="E77" s="214" t="s">
        <v>75</v>
      </c>
      <c r="F77" s="214" t="s">
        <v>76</v>
      </c>
      <c r="G77" s="214" t="s">
        <v>77</v>
      </c>
      <c r="H77" s="214" t="s">
        <v>78</v>
      </c>
      <c r="I77" s="214" t="s">
        <v>79</v>
      </c>
      <c r="J77" s="214" t="s">
        <v>80</v>
      </c>
      <c r="K77" s="214" t="s">
        <v>81</v>
      </c>
    </row>
    <row r="78" spans="1:11">
      <c r="A78" s="113"/>
      <c r="B78" s="113"/>
      <c r="C78" s="113"/>
      <c r="D78" s="113"/>
      <c r="E78" s="113"/>
      <c r="F78" s="113"/>
      <c r="G78" s="113"/>
      <c r="H78" s="113"/>
      <c r="I78" s="113"/>
      <c r="J78" s="113"/>
      <c r="K78" s="113"/>
    </row>
    <row r="79" ht="14.25" spans="1:11">
      <c r="A79" s="215"/>
      <c r="B79" s="216">
        <v>1</v>
      </c>
      <c r="C79" s="216">
        <f>Age</f>
        <v>22</v>
      </c>
      <c r="D79" s="216">
        <f>(Basic_Prem_Yr1_Annualized*(B79=1)+Basic_Prem_Yr2_Annualized*(B79&gt;1))*(B79&lt;=PPT)</f>
        <v>4200000</v>
      </c>
      <c r="E79" s="216">
        <f>IF(B79=1,Stax_Oasis_Yr1,Stax_Oasis_Yr2)*IF(Prem_Mode="Monthly",12,1)*(D79&lt;&gt;0)</f>
        <v>189000</v>
      </c>
      <c r="F79" s="216">
        <f t="shared" ref="F79:F98" si="0">IF(B79&gt;15,0,D79+E79)</f>
        <v>4389000</v>
      </c>
      <c r="G79" s="216">
        <f>MAX(Base_Ann_Prem_For_DB_Yr2*10,SA)*(B79&lt;=PT)</f>
        <v>42000000</v>
      </c>
      <c r="H79" s="216">
        <f>SA*(B79=PT)</f>
        <v>0</v>
      </c>
      <c r="I79" s="225">
        <f>'GSV for SSV Cal'!G7</f>
        <v>0</v>
      </c>
      <c r="J79" s="216">
        <f>((VLOOKUP(B79,'GSV for SSV Cal'!$I$7:$K$26,2)*SA)+J78)*(B79&lt;=PT)</f>
        <v>83138.5525</v>
      </c>
      <c r="K79" s="216">
        <f>((VLOOKUP(B79,'GSV for SSV Cal'!$I$7:$K$26,3,FALSE)*SA)+'Premium Calculation'!K78)*(B79&lt;=PT)</f>
        <v>897896.367</v>
      </c>
    </row>
    <row r="80" ht="14.25" spans="1:11">
      <c r="A80" s="213"/>
      <c r="B80" s="217">
        <f>(B79+1)*(B79+1&lt;=PT)</f>
        <v>2</v>
      </c>
      <c r="C80" s="217">
        <f>(C79+1)*(B79&lt;PT)</f>
        <v>23</v>
      </c>
      <c r="D80" s="217">
        <f>(Basic_Prem_Yr1_Annualized*(B80=1)+Basic_Prem_Yr2_Annualized*(B80&gt;1))*(B80&lt;=PPT)</f>
        <v>4200000</v>
      </c>
      <c r="E80" s="217">
        <f>IF(B80=1,Stax_Oasis_Yr1,Stax_Oasis_Yr2)*IF(Prem_Mode="Monthly",12,1)*(D80&lt;&gt;0)</f>
        <v>94500</v>
      </c>
      <c r="F80" s="217">
        <f>IF(B80&gt;15,0,D80+E80)</f>
        <v>4294500</v>
      </c>
      <c r="G80" s="217">
        <f>MAX(Base_Ann_Prem_For_DB_Yr2*10,SA)*(B80&lt;=PT)</f>
        <v>42000000</v>
      </c>
      <c r="H80" s="217">
        <f>SA*(B80=PT)</f>
        <v>0</v>
      </c>
      <c r="I80" s="226">
        <f>'GSV for SSV Cal'!G8</f>
        <v>2520000</v>
      </c>
      <c r="J80" s="217">
        <f>((VLOOKUP(B80,'GSV for SSV Cal'!$I$7:$K$26,2)*SA)+J79)*(B80&lt;=PT)</f>
        <v>166277.105</v>
      </c>
      <c r="K80" s="217">
        <f>((VLOOKUP(B80,'GSV for SSV Cal'!$I$7:$K$26,3,FALSE)*SA)+'Premium Calculation'!K79)*(B80&lt;=PT)</f>
        <v>1795792.734</v>
      </c>
    </row>
    <row r="81" ht="14.25" spans="1:11">
      <c r="A81" s="213"/>
      <c r="B81" s="216">
        <f t="shared" ref="B81:B98" si="1">B80+1</f>
        <v>3</v>
      </c>
      <c r="C81" s="216">
        <f>(C80+1)*(B80&lt;PT)</f>
        <v>24</v>
      </c>
      <c r="D81" s="216">
        <f>(Basic_Prem_Yr1_Annualized*(B81=1)+Basic_Prem_Yr2_Annualized*(B81&gt;1))*(B81&lt;=PPT)</f>
        <v>4200000</v>
      </c>
      <c r="E81" s="216">
        <f>IF(B81=1,Stax_Oasis_Yr1,Stax_Oasis_Yr2)*IF(Prem_Mode="Monthly",12,1)*(D81&lt;&gt;0)</f>
        <v>94500</v>
      </c>
      <c r="F81" s="216">
        <f>IF(B81&gt;15,0,D81+E81)</f>
        <v>4294500</v>
      </c>
      <c r="G81" s="216">
        <f>MAX(Base_Ann_Prem_For_DB_Yr2*10,SA)*(B81&lt;=PT)</f>
        <v>42000000</v>
      </c>
      <c r="H81" s="216">
        <f>SA*(B81=PT)</f>
        <v>0</v>
      </c>
      <c r="I81" s="225">
        <f>'GSV for SSV Cal'!G9</f>
        <v>3780000</v>
      </c>
      <c r="J81" s="216">
        <f>((VLOOKUP(B81,'GSV for SSV Cal'!$I$7:$K$26,2)*SA)+J80)*(B81&lt;=PT)</f>
        <v>249415.6575</v>
      </c>
      <c r="K81" s="216">
        <f>((VLOOKUP(B81,'GSV for SSV Cal'!$I$7:$K$26,3,FALSE)*SA)+'Premium Calculation'!K80)*(B81&lt;=PT)</f>
        <v>2693689.101</v>
      </c>
    </row>
    <row r="82" ht="14.25" spans="1:11">
      <c r="A82" s="213"/>
      <c r="B82" s="217">
        <f>B81+1</f>
        <v>4</v>
      </c>
      <c r="C82" s="217">
        <f>(C81+1)*(B81&lt;PT)</f>
        <v>25</v>
      </c>
      <c r="D82" s="217">
        <f>(Basic_Prem_Yr1_Annualized*(B82=1)+Basic_Prem_Yr2_Annualized*(B82&gt;1))*(B82&lt;=PPT)</f>
        <v>4200000</v>
      </c>
      <c r="E82" s="217">
        <f>IF(B82=1,Stax_Oasis_Yr1,Stax_Oasis_Yr2)*IF(Prem_Mode="Monthly",12,1)*(D82&lt;&gt;0)</f>
        <v>94500</v>
      </c>
      <c r="F82" s="217">
        <f>IF(B82&gt;15,0,D82+E82)</f>
        <v>4294500</v>
      </c>
      <c r="G82" s="217">
        <f>MAX(Base_Ann_Prem_For_DB_Yr2*10,SA)*(B82&lt;=PT)</f>
        <v>42000000</v>
      </c>
      <c r="H82" s="217">
        <f>SA*(B82=PT)</f>
        <v>0</v>
      </c>
      <c r="I82" s="226">
        <f>'GSV for SSV Cal'!G10</f>
        <v>8400000</v>
      </c>
      <c r="J82" s="217">
        <f>((VLOOKUP(B82,'GSV for SSV Cal'!$I$7:$K$26,2)*SA)+J81)*(B82&lt;=PT)</f>
        <v>332554.21</v>
      </c>
      <c r="K82" s="217">
        <f>((VLOOKUP(B82,'GSV for SSV Cal'!$I$7:$K$26,3,FALSE)*SA)+'Premium Calculation'!K81)*(B82&lt;=PT)</f>
        <v>3591585.468</v>
      </c>
    </row>
    <row r="83" ht="14.25" spans="1:11">
      <c r="A83" s="213"/>
      <c r="B83" s="216">
        <f>B82+1</f>
        <v>5</v>
      </c>
      <c r="C83" s="216">
        <f>(C82+1)*(B82&lt;PT)</f>
        <v>26</v>
      </c>
      <c r="D83" s="216">
        <f>(Basic_Prem_Yr1_Annualized*(B83=1)+Basic_Prem_Yr2_Annualized*(B83&gt;1))*(B83&lt;=PPT)</f>
        <v>4200000</v>
      </c>
      <c r="E83" s="216">
        <f>IF(B83=1,Stax_Oasis_Yr1,Stax_Oasis_Yr2)*IF(Prem_Mode="Monthly",12,1)*(D83&lt;&gt;0)</f>
        <v>94500</v>
      </c>
      <c r="F83" s="216">
        <f>IF(B83&gt;15,0,D83+E83)</f>
        <v>4294500</v>
      </c>
      <c r="G83" s="216">
        <f>MAX(Base_Ann_Prem_For_DB_Yr2*10,SA)*(B83&lt;=PT)</f>
        <v>42000000</v>
      </c>
      <c r="H83" s="216">
        <f>SA*(B83=PT)</f>
        <v>0</v>
      </c>
      <c r="I83" s="225">
        <f>'GSV for SSV Cal'!G11</f>
        <v>10500000</v>
      </c>
      <c r="J83" s="216">
        <f>((VLOOKUP(B83,'GSV for SSV Cal'!$I$7:$K$26,2)*SA)+J82)*(B83&lt;=PT)</f>
        <v>415692.7625</v>
      </c>
      <c r="K83" s="216">
        <f>((VLOOKUP(B83,'GSV for SSV Cal'!$I$7:$K$26,3,FALSE)*SA)+'Premium Calculation'!K82)*(B83&lt;=PT)</f>
        <v>4489481.835</v>
      </c>
    </row>
    <row r="84" ht="14.25" spans="1:11">
      <c r="A84" s="213"/>
      <c r="B84" s="217">
        <f>B83+1</f>
        <v>6</v>
      </c>
      <c r="C84" s="217">
        <f>(C83+1)*(B83&lt;PT)</f>
        <v>27</v>
      </c>
      <c r="D84" s="217">
        <f>(Basic_Prem_Yr1_Annualized*(B84=1)+Basic_Prem_Yr2_Annualized*(B84&gt;1))*(B84&lt;=PPT)</f>
        <v>4200000</v>
      </c>
      <c r="E84" s="217">
        <f>IF(B84=1,Stax_Oasis_Yr1,Stax_Oasis_Yr2)*IF(Prem_Mode="Monthly",12,1)*(D84&lt;&gt;0)</f>
        <v>94500</v>
      </c>
      <c r="F84" s="217">
        <f>IF(B84&gt;15,0,D84+E84)</f>
        <v>4294500</v>
      </c>
      <c r="G84" s="217">
        <f>MAX(Base_Ann_Prem_For_DB_Yr2*10,SA)*(B84&lt;=PT)</f>
        <v>42000000</v>
      </c>
      <c r="H84" s="217">
        <f>SA*(B84=PT)</f>
        <v>0</v>
      </c>
      <c r="I84" s="226">
        <f>'GSV for SSV Cal'!G12</f>
        <v>12600000</v>
      </c>
      <c r="J84" s="217">
        <f>((VLOOKUP(B84,'GSV for SSV Cal'!$I$7:$K$26,2)*SA)+J83)*(B84&lt;=PT)</f>
        <v>498831.315</v>
      </c>
      <c r="K84" s="217">
        <f>((VLOOKUP(B84,'GSV for SSV Cal'!$I$7:$K$26,3,FALSE)*SA)+'Premium Calculation'!K83)*(B84&lt;=PT)</f>
        <v>5387378.202</v>
      </c>
    </row>
    <row r="85" ht="14.25" spans="1:11">
      <c r="A85" s="213"/>
      <c r="B85" s="216">
        <f>B84+1</f>
        <v>7</v>
      </c>
      <c r="C85" s="216">
        <f>(C84+1)*(B84&lt;PT)</f>
        <v>28</v>
      </c>
      <c r="D85" s="216">
        <f>(Basic_Prem_Yr1_Annualized*(B85=1)+Basic_Prem_Yr2_Annualized*(B85&gt;1))*(B85&lt;=PPT)</f>
        <v>4200000</v>
      </c>
      <c r="E85" s="216">
        <f>IF(B85=1,Stax_Oasis_Yr1,Stax_Oasis_Yr2)*IF(Prem_Mode="Monthly",12,1)*(D85&lt;&gt;0)</f>
        <v>94500</v>
      </c>
      <c r="F85" s="216">
        <f>IF(B85&gt;15,0,D85+E85)</f>
        <v>4294500</v>
      </c>
      <c r="G85" s="216">
        <f>MAX(Base_Ann_Prem_For_DB_Yr2*10,SA)*(B85&lt;=PT)</f>
        <v>42000000</v>
      </c>
      <c r="H85" s="216">
        <f>SA*(B85=PT)</f>
        <v>0</v>
      </c>
      <c r="I85" s="225">
        <f>'GSV for SSV Cal'!G13</f>
        <v>14700000</v>
      </c>
      <c r="J85" s="216">
        <f>((VLOOKUP(B85,'GSV for SSV Cal'!$I$7:$K$26,2)*SA)+J84)*(B85&lt;=PT)</f>
        <v>581969.8675</v>
      </c>
      <c r="K85" s="216">
        <f>((VLOOKUP(B85,'GSV for SSV Cal'!$I$7:$K$26,3,FALSE)*SA)+'Premium Calculation'!K84)*(B85&lt;=PT)</f>
        <v>6285274.569</v>
      </c>
    </row>
    <row r="86" ht="14.25" spans="1:11">
      <c r="A86" s="213"/>
      <c r="B86" s="217">
        <f>B85+1</f>
        <v>8</v>
      </c>
      <c r="C86" s="217">
        <f>(C85+1)*(B85&lt;PT)</f>
        <v>29</v>
      </c>
      <c r="D86" s="217">
        <f>(Basic_Prem_Yr1_Annualized*(B86=1)+Basic_Prem_Yr2_Annualized*(B86&gt;1))*(B86&lt;=PPT)</f>
        <v>0</v>
      </c>
      <c r="E86" s="217">
        <f>IF(B86=1,Stax_Oasis_Yr1,Stax_Oasis_Yr2)*IF(Prem_Mode="Monthly",12,1)*(D86&lt;&gt;0)</f>
        <v>0</v>
      </c>
      <c r="F86" s="217">
        <f>IF(B86&gt;15,0,D86+E86)</f>
        <v>0</v>
      </c>
      <c r="G86" s="217">
        <f>MAX(Base_Ann_Prem_For_DB_Yr2*10,SA)*(B86&lt;=PT)</f>
        <v>42000000</v>
      </c>
      <c r="H86" s="217">
        <f>SA*(B86=PT)</f>
        <v>0</v>
      </c>
      <c r="I86" s="226">
        <f>'GSV for SSV Cal'!G14</f>
        <v>15582000</v>
      </c>
      <c r="J86" s="217">
        <f>((VLOOKUP(B86,'GSV for SSV Cal'!$I$7:$K$26,2)*SA)+J85)*(B86&lt;=PT)</f>
        <v>665108.42</v>
      </c>
      <c r="K86" s="217">
        <f>((VLOOKUP(B86,'GSV for SSV Cal'!$I$7:$K$26,3,FALSE)*SA)+'Premium Calculation'!K85)*(B86&lt;=PT)</f>
        <v>7183170.936</v>
      </c>
    </row>
    <row r="87" ht="14.25" spans="1:11">
      <c r="A87" s="213"/>
      <c r="B87" s="216">
        <f>B86+1</f>
        <v>9</v>
      </c>
      <c r="C87" s="216">
        <f>(C86+1)*(B86&lt;PT)</f>
        <v>30</v>
      </c>
      <c r="D87" s="216">
        <f>(Basic_Prem_Yr1_Annualized*(B87=1)+Basic_Prem_Yr2_Annualized*(B87&gt;1))*(B87&lt;=PPT)</f>
        <v>0</v>
      </c>
      <c r="E87" s="216">
        <f>IF(B87=1,Stax_Oasis_Yr1,Stax_Oasis_Yr2)*IF(Prem_Mode="Monthly",12,1)*(D87&lt;&gt;0)</f>
        <v>0</v>
      </c>
      <c r="F87" s="216">
        <f>IF(B87&gt;15,0,D87+E87)</f>
        <v>0</v>
      </c>
      <c r="G87" s="216">
        <f>MAX(Base_Ann_Prem_For_DB_Yr2*10,SA)*(B87&lt;=PT)</f>
        <v>42000000</v>
      </c>
      <c r="H87" s="216">
        <f>SA*(B87=PT)</f>
        <v>0</v>
      </c>
      <c r="I87" s="225">
        <f>'GSV for SSV Cal'!G15</f>
        <v>16758000</v>
      </c>
      <c r="J87" s="216">
        <f>((VLOOKUP(B87,'GSV for SSV Cal'!$I$7:$K$26,2)*SA)+J86)*(B87&lt;=PT)</f>
        <v>748246.9725</v>
      </c>
      <c r="K87" s="216">
        <f>((VLOOKUP(B87,'GSV for SSV Cal'!$I$7:$K$26,3,FALSE)*SA)+'Premium Calculation'!K86)*(B87&lt;=PT)</f>
        <v>8081067.303</v>
      </c>
    </row>
    <row r="88" ht="14.25" spans="1:11">
      <c r="A88" s="213"/>
      <c r="B88" s="217">
        <f>B87+1</f>
        <v>10</v>
      </c>
      <c r="C88" s="217">
        <f>(C87+1)*(B87&lt;PT)</f>
        <v>31</v>
      </c>
      <c r="D88" s="217">
        <f>(Basic_Prem_Yr1_Annualized*(B88=1)+Basic_Prem_Yr2_Annualized*(B88&gt;1))*(B88&lt;=PPT)</f>
        <v>0</v>
      </c>
      <c r="E88" s="217">
        <f>IF(B88=1,Stax_Oasis_Yr1,Stax_Oasis_Yr2)*IF(Prem_Mode="Monthly",12,1)*(D88&lt;&gt;0)</f>
        <v>0</v>
      </c>
      <c r="F88" s="217">
        <f>IF(B88&gt;15,0,D88+E88)</f>
        <v>0</v>
      </c>
      <c r="G88" s="217">
        <f>MAX(Base_Ann_Prem_For_DB_Yr2*10,SA)*(B88&lt;=PT)</f>
        <v>42000000</v>
      </c>
      <c r="H88" s="217">
        <f>SA*(B88=PT)</f>
        <v>0</v>
      </c>
      <c r="I88" s="226">
        <f>'GSV for SSV Cal'!G16</f>
        <v>17640000</v>
      </c>
      <c r="J88" s="217">
        <f>((VLOOKUP(B88,'GSV for SSV Cal'!$I$7:$K$26,2)*SA)+J87)*(B88&lt;=PT)</f>
        <v>831385.525</v>
      </c>
      <c r="K88" s="217">
        <f>((VLOOKUP(B88,'GSV for SSV Cal'!$I$7:$K$26,3,FALSE)*SA)+'Premium Calculation'!K87)*(B88&lt;=PT)</f>
        <v>8978963.67</v>
      </c>
    </row>
    <row r="89" ht="14.25" spans="1:11">
      <c r="A89" s="213"/>
      <c r="B89" s="216">
        <f>B88+1</f>
        <v>11</v>
      </c>
      <c r="C89" s="216">
        <f>(C88+1)*(B88&lt;PT)</f>
        <v>32</v>
      </c>
      <c r="D89" s="216">
        <f>(Basic_Prem_Yr1_Annualized*(B89=1)+Basic_Prem_Yr2_Annualized*(B89&gt;1))*(B89&lt;=PPT)</f>
        <v>0</v>
      </c>
      <c r="E89" s="216">
        <f>IF(B89=1,Stax_Oasis_Yr1,Stax_Oasis_Yr2)*IF(Prem_Mode="Monthly",12,1)*(D89&lt;&gt;0)</f>
        <v>0</v>
      </c>
      <c r="F89" s="216">
        <f>IF(B89&gt;15,0,D89+E89)</f>
        <v>0</v>
      </c>
      <c r="G89" s="216">
        <f>MAX(Base_Ann_Prem_For_DB_Yr2*10,SA)*(B89&lt;=PT)</f>
        <v>42000000</v>
      </c>
      <c r="H89" s="216">
        <f>SA*(B89=PT)</f>
        <v>0</v>
      </c>
      <c r="I89" s="225">
        <f>'GSV for SSV Cal'!G17</f>
        <v>18816000</v>
      </c>
      <c r="J89" s="216">
        <f>((VLOOKUP(B89,'GSV for SSV Cal'!$I$7:$K$26,2)*SA)+J88)*(B89&lt;=PT)</f>
        <v>914524.0775</v>
      </c>
      <c r="K89" s="216">
        <f>((VLOOKUP(B89,'GSV for SSV Cal'!$I$7:$K$26,3,FALSE)*SA)+'Premium Calculation'!K88)*(B89&lt;=PT)</f>
        <v>9876860.037</v>
      </c>
    </row>
    <row r="90" ht="14.25" spans="1:11">
      <c r="A90" s="213"/>
      <c r="B90" s="217">
        <f>B89+1</f>
        <v>12</v>
      </c>
      <c r="C90" s="217">
        <f>(C89+1)*(B89&lt;PT)</f>
        <v>33</v>
      </c>
      <c r="D90" s="217">
        <f>(Basic_Prem_Yr1_Annualized*(B90=1)+Basic_Prem_Yr2_Annualized*(B90&gt;1))*(B90&lt;=PPT)</f>
        <v>0</v>
      </c>
      <c r="E90" s="217">
        <f>IF(B90=1,Stax_Oasis_Yr1,Stax_Oasis_Yr2)*IF(Prem_Mode="Monthly",12,1)*(D90&lt;&gt;0)</f>
        <v>0</v>
      </c>
      <c r="F90" s="217">
        <f>IF(B90&gt;15,0,D90+E90)</f>
        <v>0</v>
      </c>
      <c r="G90" s="217">
        <f>MAX(Base_Ann_Prem_For_DB_Yr2*10,SA)*(B90&lt;=PT)</f>
        <v>42000000</v>
      </c>
      <c r="H90" s="217">
        <f>SA*(B90=PT)</f>
        <v>0</v>
      </c>
      <c r="I90" s="226">
        <f>'GSV for SSV Cal'!G18</f>
        <v>19992000</v>
      </c>
      <c r="J90" s="217">
        <f>((VLOOKUP(B90,'GSV for SSV Cal'!$I$7:$K$26,2)*SA)+J89)*(B90&lt;=PT)</f>
        <v>997662.63</v>
      </c>
      <c r="K90" s="217">
        <f>((VLOOKUP(B90,'GSV for SSV Cal'!$I$7:$K$26,3,FALSE)*SA)+'Premium Calculation'!K89)*(B90&lt;=PT)</f>
        <v>10774756.404</v>
      </c>
    </row>
    <row r="91" ht="14.25" spans="1:11">
      <c r="A91" s="213"/>
      <c r="B91" s="216">
        <f>B90+1</f>
        <v>13</v>
      </c>
      <c r="C91" s="216">
        <f>(C90+1)*(B90&lt;PT)</f>
        <v>34</v>
      </c>
      <c r="D91" s="216">
        <f>(Basic_Prem_Yr1_Annualized*(B91=1)+Basic_Prem_Yr2_Annualized*(B91&gt;1))*(B91&lt;=PPT)</f>
        <v>0</v>
      </c>
      <c r="E91" s="216">
        <f>IF(B91=1,Stax_Oasis_Yr1,Stax_Oasis_Yr2)*IF(Prem_Mode="Monthly",12,1)*(D91&lt;&gt;0)</f>
        <v>0</v>
      </c>
      <c r="F91" s="216">
        <f>IF(B91&gt;15,0,D91+E91)</f>
        <v>0</v>
      </c>
      <c r="G91" s="216">
        <f>MAX(Base_Ann_Prem_For_DB_Yr2*10,SA)*(B91&lt;=PT)</f>
        <v>42000000</v>
      </c>
      <c r="H91" s="216">
        <f>SA*(B91=PT)</f>
        <v>0</v>
      </c>
      <c r="I91" s="225">
        <f>'GSV for SSV Cal'!G19</f>
        <v>21462000</v>
      </c>
      <c r="J91" s="216">
        <f>((VLOOKUP(B91,'GSV for SSV Cal'!$I$7:$K$26,2)*SA)+J90)*(B91&lt;=PT)</f>
        <v>1080801.1825</v>
      </c>
      <c r="K91" s="216">
        <f>((VLOOKUP(B91,'GSV for SSV Cal'!$I$7:$K$26,3,FALSE)*SA)+'Premium Calculation'!K90)*(B91&lt;=PT)</f>
        <v>11672652.771</v>
      </c>
    </row>
    <row r="92" ht="14.25" spans="1:11">
      <c r="A92" s="213"/>
      <c r="B92" s="217">
        <f>B91+1</f>
        <v>14</v>
      </c>
      <c r="C92" s="217">
        <f>(C91+1)*(B91&lt;PT)</f>
        <v>35</v>
      </c>
      <c r="D92" s="217">
        <f>(Basic_Prem_Yr1_Annualized*(B92=1)+Basic_Prem_Yr2_Annualized*(B92&gt;1))*(B92&lt;=PPT)</f>
        <v>0</v>
      </c>
      <c r="E92" s="217">
        <f>IF(B92=1,Stax_Oasis_Yr1,Stax_Oasis_Yr2)*IF(Prem_Mode="Monthly",12,1)*(D92&lt;&gt;0)</f>
        <v>0</v>
      </c>
      <c r="F92" s="217">
        <f>IF(B92&gt;15,0,D92+E92)</f>
        <v>0</v>
      </c>
      <c r="G92" s="217">
        <f>MAX(Base_Ann_Prem_For_DB_Yr2*10,SA)*(B92&lt;=PT)</f>
        <v>42000000</v>
      </c>
      <c r="H92" s="217">
        <f>SA*(B92=PT)</f>
        <v>0</v>
      </c>
      <c r="I92" s="226">
        <f>'GSV for SSV Cal'!G20</f>
        <v>22638000</v>
      </c>
      <c r="J92" s="217">
        <f>((VLOOKUP(B92,'GSV for SSV Cal'!$I$7:$K$26,2)*SA)+J91)*(B92&lt;=PT)</f>
        <v>1163939.735</v>
      </c>
      <c r="K92" s="217">
        <f>((VLOOKUP(B92,'GSV for SSV Cal'!$I$7:$K$26,3,FALSE)*SA)+'Premium Calculation'!K91)*(B92&lt;=PT)</f>
        <v>12570549.138</v>
      </c>
    </row>
    <row r="93" ht="14.25" spans="1:11">
      <c r="A93" s="213"/>
      <c r="B93" s="216">
        <f>B92+1</f>
        <v>15</v>
      </c>
      <c r="C93" s="216">
        <f>(C92+1)*(B92&lt;PT)</f>
        <v>36</v>
      </c>
      <c r="D93" s="216">
        <f>(Basic_Prem_Yr1_Annualized*(B93=1)+Basic_Prem_Yr2_Annualized*(B93&gt;1))*(B93&lt;=PPT)</f>
        <v>0</v>
      </c>
      <c r="E93" s="216">
        <f>IF(B93=1,Stax_Oasis_Yr1,Stax_Oasis_Yr2)*IF(Prem_Mode="Monthly",12,1)*(D93&lt;&gt;0)</f>
        <v>0</v>
      </c>
      <c r="F93" s="216">
        <f>IF(B93&gt;15,0,D93+E93)</f>
        <v>0</v>
      </c>
      <c r="G93" s="216">
        <f>MAX(Base_Ann_Prem_For_DB_Yr2*10,SA)*(B93&lt;=PT)</f>
        <v>42000000</v>
      </c>
      <c r="H93" s="216">
        <f>SA*(B93=PT)</f>
        <v>33255421</v>
      </c>
      <c r="I93" s="225">
        <f>'GSV for SSV Cal'!G21</f>
        <v>24108000</v>
      </c>
      <c r="J93" s="216">
        <f>((VLOOKUP(B93,'GSV for SSV Cal'!$I$7:$K$26,2)*SA)+J92)*(B93&lt;=PT)</f>
        <v>1247078.2875</v>
      </c>
      <c r="K93" s="216">
        <f>((VLOOKUP(B93,'GSV for SSV Cal'!$I$7:$K$26,3,FALSE)*SA)+'Premium Calculation'!K92)*(B93&lt;=PT)</f>
        <v>13468445.505</v>
      </c>
    </row>
    <row r="94" ht="14.25" spans="1:11">
      <c r="A94" s="213"/>
      <c r="B94" s="217">
        <f>B93+1</f>
        <v>16</v>
      </c>
      <c r="C94" s="217">
        <f>(C93+1)*(B93&lt;PT)</f>
        <v>0</v>
      </c>
      <c r="D94" s="217">
        <f>(Basic_Prem_Yr1_Annualized*(B94=1)+Basic_Prem_Yr2_Annualized*(B94&gt;1))*(B94&lt;=PPT)</f>
        <v>0</v>
      </c>
      <c r="E94" s="217">
        <f>IF(B94=1,Stax_Oasis_Yr1,Stax_Oasis_Yr2)*IF(Prem_Mode="Monthly",12,1)*(D94&lt;&gt;0)</f>
        <v>0</v>
      </c>
      <c r="F94" s="217">
        <f>IF(B94&gt;15,0,D94+E94)</f>
        <v>0</v>
      </c>
      <c r="G94" s="217">
        <f>MAX(Base_Ann_Prem_For_DB_Yr2*10,SA)*(B94&lt;=PT)</f>
        <v>0</v>
      </c>
      <c r="H94" s="217">
        <f>SA*(B94=PT)</f>
        <v>0</v>
      </c>
      <c r="I94" s="226">
        <f>'GSV for SSV Cal'!G22</f>
        <v>0</v>
      </c>
      <c r="J94" s="217">
        <f>((VLOOKUP(B94,'GSV for SSV Cal'!$I$7:$K$26,2)*SA)+J93)*(B94&lt;=PT)</f>
        <v>0</v>
      </c>
      <c r="K94" s="217">
        <f>((VLOOKUP(B94,'GSV for SSV Cal'!$I$7:$K$26,3,FALSE)*SA)+'Premium Calculation'!K93)*(B94&lt;=PT)</f>
        <v>0</v>
      </c>
    </row>
    <row r="95" ht="14.25" spans="1:11">
      <c r="A95" s="213"/>
      <c r="B95" s="216">
        <f>B94+1</f>
        <v>17</v>
      </c>
      <c r="C95" s="216">
        <f>(C94+1)*(B94&lt;PT)</f>
        <v>0</v>
      </c>
      <c r="D95" s="216">
        <f>(Basic_Prem_Yr1_Annualized*(B95=1)+Basic_Prem_Yr2_Annualized*(B95&gt;1))*(B95&lt;=PPT)</f>
        <v>0</v>
      </c>
      <c r="E95" s="216">
        <f>IF(B95=1,Stax_Oasis_Yr1,Stax_Oasis_Yr2)*IF(Prem_Mode="Monthly",12,1)*(D95&lt;&gt;0)</f>
        <v>0</v>
      </c>
      <c r="F95" s="216">
        <f>IF(B95&gt;15,0,D95+E95)</f>
        <v>0</v>
      </c>
      <c r="G95" s="216">
        <f>MAX(Base_Ann_Prem_For_DB_Yr2*10,SA)*(B95&lt;=PT)</f>
        <v>0</v>
      </c>
      <c r="H95" s="216">
        <f>SA*(B95=PT)</f>
        <v>0</v>
      </c>
      <c r="I95" s="225">
        <f>'GSV for SSV Cal'!G23</f>
        <v>0</v>
      </c>
      <c r="J95" s="216">
        <f>((VLOOKUP(B95,'GSV for SSV Cal'!$I$7:$K$26,2)*SA)+J94)*(B95&lt;=PT)</f>
        <v>0</v>
      </c>
      <c r="K95" s="216">
        <f>((VLOOKUP(B95,'GSV for SSV Cal'!$I$7:$K$26,3,FALSE)*SA)+'Premium Calculation'!K94)*(B95&lt;=PT)</f>
        <v>0</v>
      </c>
    </row>
    <row r="96" ht="14.25" spans="1:11">
      <c r="A96" s="213"/>
      <c r="B96" s="217">
        <f>B95+1</f>
        <v>18</v>
      </c>
      <c r="C96" s="217">
        <f>(C95+1)*(B95&lt;PT)</f>
        <v>0</v>
      </c>
      <c r="D96" s="217">
        <f>(Basic_Prem_Yr1_Annualized*(B96=1)+Basic_Prem_Yr2_Annualized*(B96&gt;1))*(B96&lt;=PPT)</f>
        <v>0</v>
      </c>
      <c r="E96" s="217">
        <f>IF(B96=1,Stax_Oasis_Yr1,Stax_Oasis_Yr2)*IF(Prem_Mode="Monthly",12,1)*(D96&lt;&gt;0)</f>
        <v>0</v>
      </c>
      <c r="F96" s="217">
        <f>IF(B96&gt;15,0,D96+E96)</f>
        <v>0</v>
      </c>
      <c r="G96" s="217">
        <f>MAX(Base_Ann_Prem_For_DB_Yr2*10,SA)*(B96&lt;=PT)</f>
        <v>0</v>
      </c>
      <c r="H96" s="217">
        <f>SA*(B96=PT)</f>
        <v>0</v>
      </c>
      <c r="I96" s="226">
        <f>'GSV for SSV Cal'!G24</f>
        <v>0</v>
      </c>
      <c r="J96" s="217">
        <f>((VLOOKUP(B96,'GSV for SSV Cal'!$I$7:$K$26,2)*SA)+J95)*(B96&lt;=PT)</f>
        <v>0</v>
      </c>
      <c r="K96" s="217">
        <f>((VLOOKUP(B96,'GSV for SSV Cal'!$I$7:$K$26,3,FALSE)*SA)+'Premium Calculation'!K95)*(B96&lt;=PT)</f>
        <v>0</v>
      </c>
    </row>
    <row r="97" ht="14.25" spans="1:11">
      <c r="A97" s="213"/>
      <c r="B97" s="216">
        <f>B96+1</f>
        <v>19</v>
      </c>
      <c r="C97" s="216">
        <f>(C96+1)*(B96&lt;PT)</f>
        <v>0</v>
      </c>
      <c r="D97" s="216">
        <f>(Basic_Prem_Yr1_Annualized*(B97=1)+Basic_Prem_Yr2_Annualized*(B97&gt;1))*(B97&lt;=PPT)</f>
        <v>0</v>
      </c>
      <c r="E97" s="216">
        <f>IF(B97=1,Stax_Oasis_Yr1,Stax_Oasis_Yr2)*IF(Prem_Mode="Monthly",12,1)*(D97&lt;&gt;0)</f>
        <v>0</v>
      </c>
      <c r="F97" s="216">
        <f>IF(B97&gt;15,0,D97+E97)</f>
        <v>0</v>
      </c>
      <c r="G97" s="216">
        <f>MAX(Base_Ann_Prem_For_DB_Yr2*10,SA)*(B97&lt;=PT)</f>
        <v>0</v>
      </c>
      <c r="H97" s="216">
        <f>SA*(B97=PT)</f>
        <v>0</v>
      </c>
      <c r="I97" s="225">
        <f>'GSV for SSV Cal'!G25</f>
        <v>0</v>
      </c>
      <c r="J97" s="216">
        <f>((VLOOKUP(B97,'GSV for SSV Cal'!$I$7:$K$26,2)*SA)+J96)*(B97&lt;=PT)</f>
        <v>0</v>
      </c>
      <c r="K97" s="216">
        <f>((VLOOKUP(B97,'GSV for SSV Cal'!$I$7:$K$26,3,FALSE)*SA)+'Premium Calculation'!K96)*(B97&lt;=PT)</f>
        <v>0</v>
      </c>
    </row>
    <row r="98" ht="14.25" spans="1:11">
      <c r="A98" s="213"/>
      <c r="B98" s="217">
        <f>B97+1</f>
        <v>20</v>
      </c>
      <c r="C98" s="217">
        <f>(C97+1)*(B97&lt;PT)</f>
        <v>0</v>
      </c>
      <c r="D98" s="217">
        <f>(Basic_Prem_Yr1_Annualized*(B98=1)+Basic_Prem_Yr2_Annualized*(B98&gt;1))*(B98&lt;=PPT)</f>
        <v>0</v>
      </c>
      <c r="E98" s="217">
        <f>IF(B98=1,Stax_Oasis_Yr1,Stax_Oasis_Yr2)*IF(Prem_Mode="Monthly",12,1)*(D98&lt;&gt;0)</f>
        <v>0</v>
      </c>
      <c r="F98" s="217">
        <f>IF(B98&gt;15,0,D98+E98)</f>
        <v>0</v>
      </c>
      <c r="G98" s="217">
        <f>MAX(Base_Ann_Prem_For_DB_Yr2*10,SA)*(B98&lt;=PT)</f>
        <v>0</v>
      </c>
      <c r="H98" s="217">
        <f>SA*(B98=PT)</f>
        <v>0</v>
      </c>
      <c r="I98" s="226">
        <f>'GSV for SSV Cal'!G26</f>
        <v>0</v>
      </c>
      <c r="J98" s="217">
        <f>((VLOOKUP(B98,'GSV for SSV Cal'!$I$7:$K$26,2)*SA)+J97)*(B98&lt;=PT)</f>
        <v>0</v>
      </c>
      <c r="K98" s="217">
        <f>((VLOOKUP(B98,'GSV for SSV Cal'!$I$7:$K$26,3,FALSE)*SA)+'Premium Calculation'!K97)*(B98&lt;=PT)</f>
        <v>0</v>
      </c>
    </row>
    <row r="99" ht="30" spans="1:11">
      <c r="A99" s="213"/>
      <c r="B99" s="218"/>
      <c r="C99" s="218"/>
      <c r="D99" s="219"/>
      <c r="E99" s="103"/>
      <c r="F99" s="103"/>
      <c r="G99" s="220"/>
      <c r="H99" s="220"/>
      <c r="I99" s="212" t="s">
        <v>82</v>
      </c>
      <c r="J99" s="216">
        <f>Termbonus1*SA</f>
        <v>5653421.57</v>
      </c>
      <c r="K99" s="216">
        <f>Termial_bonus2*SA</f>
        <v>12138228.665</v>
      </c>
    </row>
    <row r="100" ht="15" spans="1:11">
      <c r="A100" s="221"/>
      <c r="B100" s="124"/>
      <c r="C100" s="124"/>
      <c r="D100" s="103"/>
      <c r="E100" s="103"/>
      <c r="F100" s="103"/>
      <c r="G100" s="103"/>
      <c r="H100" s="103"/>
      <c r="I100" s="212" t="s">
        <v>83</v>
      </c>
      <c r="J100" s="216">
        <f>J99+VLOOKUP(PT,$B$79:$J$98,9,FALSE)</f>
        <v>6900499.8575</v>
      </c>
      <c r="K100" s="216">
        <f>K99+VLOOKUP(PT,$B$79:$K$98,10,FALSE)</f>
        <v>25606674.17</v>
      </c>
    </row>
  </sheetData>
  <protectedRanges>
    <protectedRange sqref="C16:C18" name="Range2" securityDescriptor=""/>
    <protectedRange sqref="C5:C10 C13" name="Range1" securityDescriptor=""/>
  </protectedRanges>
  <mergeCells count="11">
    <mergeCell ref="B4:C4"/>
    <mergeCell ref="E4:F4"/>
    <mergeCell ref="E7:F7"/>
    <mergeCell ref="B15:C15"/>
    <mergeCell ref="D18:E18"/>
    <mergeCell ref="B25:D25"/>
    <mergeCell ref="B32:D32"/>
    <mergeCell ref="I56:J56"/>
    <mergeCell ref="G76:I76"/>
    <mergeCell ref="J76:K76"/>
    <mergeCell ref="G8:I11"/>
  </mergeCells>
  <dataValidations count="8">
    <dataValidation type="decimal" operator="between" allowBlank="1" showInputMessage="1" showErrorMessage="1" prompt="Enter value between 0 and 9." sqref="C17">
      <formula1>0</formula1>
      <formula2>9</formula2>
    </dataValidation>
    <dataValidation type="list" showInputMessage="1" showErrorMessage="1" sqref="C16">
      <formula1>"0%,25%,50%,75%,100%,125%,150%,175%,225%,275%,350%"</formula1>
    </dataValidation>
    <dataValidation type="list" showInputMessage="1" showErrorMessage="1" sqref="C8">
      <formula1>"M,F"</formula1>
    </dataValidation>
    <dataValidation type="list" allowBlank="1" showInputMessage="1" showErrorMessage="1" sqref="C7">
      <formula1>"Annual,Monthly"</formula1>
    </dataValidation>
    <dataValidation type="whole" operator="between" allowBlank="1" showInputMessage="1" showErrorMessage="1" prompt="Enter age (last birthday) between 18 and 55." sqref="C6">
      <formula1>18</formula1>
      <formula2>55</formula2>
    </dataValidation>
    <dataValidation allowBlank="1" showInputMessage="1" showErrorMessage="1" prompt="If MMR is yes then &gt;1&#10;&#10;i.e 2,3,4....." sqref="C18"/>
    <dataValidation type="list" allowBlank="1" showInputMessage="1" showErrorMessage="1" sqref="C11">
      <formula1>"7,10"</formula1>
    </dataValidation>
    <dataValidation type="list" showInputMessage="1" showErrorMessage="1" sqref="C9:C10 C13">
      <formula1>"Yes,No"</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23"/>
  <sheetViews>
    <sheetView showGridLines="0" zoomScale="70" zoomScaleNormal="70" topLeftCell="H1" workbookViewId="0">
      <selection activeCell="A1" sqref="A1:K60"/>
    </sheetView>
  </sheetViews>
  <sheetFormatPr defaultColWidth="9" defaultRowHeight="14.25"/>
  <cols>
    <col min="1" max="1" width="14.1416666666667" style="103" customWidth="1"/>
    <col min="2" max="3" width="17.5666666666667" customWidth="1"/>
    <col min="4" max="4" width="21.8583333333333" customWidth="1"/>
    <col min="5" max="5" width="14.2833333333333" customWidth="1"/>
    <col min="6" max="6" width="19.5666666666667" customWidth="1"/>
    <col min="7" max="8" width="18.2833333333333" customWidth="1"/>
    <col min="9" max="9" width="18.7083333333333" customWidth="1"/>
    <col min="10" max="10" width="18.2833333333333" customWidth="1"/>
    <col min="11" max="11" width="19" style="103" customWidth="1"/>
    <col min="12" max="12" width="21.2833333333333" style="103" customWidth="1"/>
    <col min="13" max="13" width="19" style="103" customWidth="1"/>
    <col min="14" max="14" width="7.14166666666667" style="103" customWidth="1"/>
    <col min="15" max="15" width="12.1416666666667" style="103" customWidth="1"/>
    <col min="16" max="32" width="9.14166666666667" style="103"/>
  </cols>
  <sheetData>
    <row r="1" s="103" customFormat="1" spans="1:11">
      <c r="A1"/>
      <c r="B1"/>
      <c r="C1"/>
      <c r="D1"/>
      <c r="E1"/>
      <c r="F1"/>
      <c r="G1"/>
      <c r="H1"/>
      <c r="I1"/>
      <c r="J1"/>
      <c r="K1"/>
    </row>
    <row r="2" s="103" customFormat="1" spans="1:11">
      <c r="A2"/>
      <c r="B2"/>
      <c r="C2"/>
      <c r="D2"/>
      <c r="E2"/>
      <c r="F2"/>
      <c r="G2"/>
      <c r="H2"/>
      <c r="I2"/>
      <c r="J2"/>
      <c r="K2"/>
    </row>
    <row r="3" s="103" customFormat="1" spans="1:11">
      <c r="A3"/>
      <c r="B3"/>
      <c r="C3"/>
      <c r="D3"/>
      <c r="E3"/>
      <c r="F3"/>
      <c r="G3"/>
      <c r="H3"/>
      <c r="I3"/>
      <c r="J3"/>
      <c r="K3"/>
    </row>
    <row r="4" s="103" customFormat="1" spans="1:11">
      <c r="A4"/>
      <c r="B4"/>
      <c r="C4"/>
      <c r="D4"/>
      <c r="E4"/>
      <c r="F4"/>
      <c r="G4"/>
      <c r="H4"/>
      <c r="I4"/>
      <c r="J4"/>
      <c r="K4"/>
    </row>
    <row r="5" s="103" customFormat="1" spans="1:11">
      <c r="A5"/>
      <c r="B5"/>
      <c r="C5"/>
      <c r="D5"/>
      <c r="E5"/>
      <c r="F5"/>
      <c r="G5"/>
      <c r="H5"/>
      <c r="I5"/>
      <c r="J5"/>
      <c r="K5"/>
    </row>
    <row r="6" s="103" customFormat="1" spans="1:11">
      <c r="A6"/>
      <c r="B6"/>
      <c r="C6"/>
      <c r="D6"/>
      <c r="E6"/>
      <c r="F6"/>
      <c r="G6"/>
      <c r="H6"/>
      <c r="I6"/>
      <c r="J6"/>
      <c r="K6"/>
    </row>
    <row r="7" s="103" customFormat="1" spans="1:11">
      <c r="A7"/>
      <c r="B7"/>
      <c r="C7"/>
      <c r="D7"/>
      <c r="E7"/>
      <c r="F7"/>
      <c r="G7"/>
      <c r="H7"/>
      <c r="I7"/>
      <c r="J7"/>
      <c r="K7"/>
    </row>
    <row r="8" s="103" customFormat="1" spans="1:11">
      <c r="A8"/>
      <c r="B8"/>
      <c r="C8"/>
      <c r="D8"/>
      <c r="E8"/>
      <c r="F8"/>
      <c r="G8"/>
      <c r="H8"/>
      <c r="I8"/>
      <c r="J8"/>
      <c r="K8"/>
    </row>
    <row r="9" s="104" customFormat="1" spans="1:11">
      <c r="A9"/>
      <c r="B9"/>
      <c r="C9"/>
      <c r="D9"/>
      <c r="E9"/>
      <c r="F9"/>
      <c r="G9"/>
      <c r="H9"/>
      <c r="I9"/>
      <c r="J9"/>
      <c r="K9"/>
    </row>
    <row r="10" s="104" customFormat="1" spans="1:11">
      <c r="A10"/>
      <c r="B10"/>
      <c r="C10"/>
      <c r="D10"/>
      <c r="E10"/>
      <c r="F10"/>
      <c r="G10"/>
      <c r="H10"/>
      <c r="I10"/>
      <c r="J10"/>
      <c r="K10"/>
    </row>
    <row r="11" s="104" customFormat="1" spans="1:11">
      <c r="A11"/>
      <c r="B11"/>
      <c r="C11"/>
      <c r="D11"/>
      <c r="E11"/>
      <c r="F11"/>
      <c r="G11"/>
      <c r="H11"/>
      <c r="I11"/>
      <c r="J11"/>
      <c r="K11"/>
    </row>
    <row r="12" s="104" customFormat="1" spans="1:11">
      <c r="A12"/>
      <c r="B12"/>
      <c r="C12"/>
      <c r="D12"/>
      <c r="E12"/>
      <c r="F12"/>
      <c r="G12"/>
      <c r="H12"/>
      <c r="I12"/>
      <c r="J12"/>
      <c r="K12"/>
    </row>
    <row r="13" s="104" customFormat="1" spans="1:11">
      <c r="A13"/>
      <c r="B13"/>
      <c r="C13"/>
      <c r="D13"/>
      <c r="E13"/>
      <c r="F13"/>
      <c r="G13"/>
      <c r="H13"/>
      <c r="I13"/>
      <c r="J13"/>
      <c r="K13"/>
    </row>
    <row r="14" s="104" customFormat="1" spans="1:11">
      <c r="A14"/>
      <c r="B14"/>
      <c r="C14"/>
      <c r="D14"/>
      <c r="E14"/>
      <c r="F14"/>
      <c r="G14"/>
      <c r="H14"/>
      <c r="I14"/>
      <c r="J14"/>
      <c r="K14"/>
    </row>
    <row r="15" s="104" customFormat="1" spans="1:11">
      <c r="A15"/>
      <c r="B15"/>
      <c r="C15"/>
      <c r="D15"/>
      <c r="E15"/>
      <c r="F15"/>
      <c r="G15"/>
      <c r="H15"/>
      <c r="I15"/>
      <c r="J15"/>
      <c r="K15"/>
    </row>
    <row r="16" s="104" customFormat="1" ht="52.5" customHeight="1" spans="1:11">
      <c r="A16"/>
      <c r="B16"/>
      <c r="C16"/>
      <c r="D16"/>
      <c r="E16"/>
      <c r="F16"/>
      <c r="G16"/>
      <c r="H16"/>
      <c r="I16"/>
      <c r="J16"/>
      <c r="K16"/>
    </row>
    <row r="17" s="104" customFormat="1" spans="1:11">
      <c r="A17"/>
      <c r="B17"/>
      <c r="C17"/>
      <c r="D17"/>
      <c r="E17"/>
      <c r="F17"/>
      <c r="G17"/>
      <c r="H17"/>
      <c r="I17"/>
      <c r="J17"/>
      <c r="K17"/>
    </row>
    <row r="18" s="104" customFormat="1" spans="1:11">
      <c r="A18"/>
      <c r="B18"/>
      <c r="C18"/>
      <c r="D18"/>
      <c r="E18"/>
      <c r="F18"/>
      <c r="G18"/>
      <c r="H18"/>
      <c r="I18"/>
      <c r="J18"/>
      <c r="K18"/>
    </row>
    <row r="19" s="104" customFormat="1" spans="1:11">
      <c r="A19"/>
      <c r="B19"/>
      <c r="C19"/>
      <c r="D19"/>
      <c r="E19"/>
      <c r="F19"/>
      <c r="G19"/>
      <c r="H19"/>
      <c r="I19"/>
      <c r="J19"/>
      <c r="K19"/>
    </row>
    <row r="20" s="104" customFormat="1" spans="1:11">
      <c r="A20"/>
      <c r="B20"/>
      <c r="C20"/>
      <c r="D20"/>
      <c r="E20"/>
      <c r="F20"/>
      <c r="G20"/>
      <c r="H20"/>
      <c r="I20"/>
      <c r="J20"/>
      <c r="K20"/>
    </row>
    <row r="21" s="104" customFormat="1" spans="1:11">
      <c r="A21"/>
      <c r="B21"/>
      <c r="C21"/>
      <c r="D21"/>
      <c r="E21"/>
      <c r="F21"/>
      <c r="G21"/>
      <c r="H21"/>
      <c r="I21"/>
      <c r="J21"/>
      <c r="K21"/>
    </row>
    <row r="22" s="104" customFormat="1" spans="1:11">
      <c r="A22"/>
      <c r="B22"/>
      <c r="C22"/>
      <c r="D22"/>
      <c r="E22"/>
      <c r="F22"/>
      <c r="G22"/>
      <c r="H22"/>
      <c r="I22"/>
      <c r="J22"/>
      <c r="K22"/>
    </row>
    <row r="23" s="104" customFormat="1" spans="1:11">
      <c r="A23"/>
      <c r="B23"/>
      <c r="C23"/>
      <c r="D23"/>
      <c r="E23"/>
      <c r="F23"/>
      <c r="G23"/>
      <c r="H23"/>
      <c r="I23"/>
      <c r="J23"/>
      <c r="K23"/>
    </row>
    <row r="24" s="104" customFormat="1" spans="1:11">
      <c r="A24"/>
      <c r="B24"/>
      <c r="C24"/>
      <c r="D24"/>
      <c r="E24"/>
      <c r="F24"/>
      <c r="G24"/>
      <c r="H24"/>
      <c r="I24"/>
      <c r="J24"/>
      <c r="K24"/>
    </row>
    <row r="25" s="104" customFormat="1" spans="1:11">
      <c r="A25"/>
      <c r="B25"/>
      <c r="C25"/>
      <c r="D25"/>
      <c r="E25"/>
      <c r="F25"/>
      <c r="G25"/>
      <c r="H25"/>
      <c r="I25"/>
      <c r="J25"/>
      <c r="K25"/>
    </row>
    <row r="26" s="104" customFormat="1" ht="21.75" customHeight="1" spans="1:11">
      <c r="A26"/>
      <c r="B26"/>
      <c r="C26"/>
      <c r="D26"/>
      <c r="E26"/>
      <c r="F26"/>
      <c r="G26"/>
      <c r="H26"/>
      <c r="I26"/>
      <c r="J26"/>
      <c r="K26"/>
    </row>
    <row r="27" s="104" customFormat="1" ht="21.75" customHeight="1" spans="1:11">
      <c r="A27"/>
      <c r="B27"/>
      <c r="C27"/>
      <c r="D27"/>
      <c r="E27"/>
      <c r="F27"/>
      <c r="G27"/>
      <c r="H27"/>
      <c r="I27"/>
      <c r="J27"/>
      <c r="K27"/>
    </row>
    <row r="28" s="104" customFormat="1" ht="21" customHeight="1" spans="1:11">
      <c r="A28"/>
      <c r="B28"/>
      <c r="C28"/>
      <c r="D28"/>
      <c r="E28"/>
      <c r="F28"/>
      <c r="G28"/>
      <c r="H28"/>
      <c r="I28"/>
      <c r="J28"/>
      <c r="K28"/>
    </row>
    <row r="29" s="104" customFormat="1" ht="21" customHeight="1" spans="1:11">
      <c r="A29"/>
      <c r="B29"/>
      <c r="C29"/>
      <c r="D29"/>
      <c r="E29"/>
      <c r="F29"/>
      <c r="G29"/>
      <c r="H29"/>
      <c r="I29"/>
      <c r="J29"/>
      <c r="K29"/>
    </row>
    <row r="30" s="104" customFormat="1" spans="1:11">
      <c r="A30"/>
      <c r="B30"/>
      <c r="C30"/>
      <c r="D30"/>
      <c r="E30"/>
      <c r="F30"/>
      <c r="G30"/>
      <c r="H30"/>
      <c r="I30"/>
      <c r="J30"/>
      <c r="K30"/>
    </row>
    <row r="31" s="104" customFormat="1" spans="1:11">
      <c r="A31"/>
      <c r="B31"/>
      <c r="C31"/>
      <c r="D31"/>
      <c r="E31"/>
      <c r="F31"/>
      <c r="G31"/>
      <c r="H31"/>
      <c r="I31"/>
      <c r="J31"/>
      <c r="K31"/>
    </row>
    <row r="32" s="104" customFormat="1" spans="1:11">
      <c r="A32"/>
      <c r="B32"/>
      <c r="C32"/>
      <c r="D32"/>
      <c r="E32"/>
      <c r="F32"/>
      <c r="G32"/>
      <c r="H32"/>
      <c r="I32"/>
      <c r="J32"/>
      <c r="K32"/>
    </row>
    <row r="33" s="103" customFormat="1" spans="1:11">
      <c r="A33"/>
      <c r="B33"/>
      <c r="C33"/>
      <c r="D33"/>
      <c r="E33"/>
      <c r="F33"/>
      <c r="G33"/>
      <c r="H33"/>
      <c r="I33"/>
      <c r="J33"/>
      <c r="K33"/>
    </row>
    <row r="34" s="103" customFormat="1" spans="1:11">
      <c r="A34"/>
      <c r="B34"/>
      <c r="C34"/>
      <c r="D34"/>
      <c r="E34"/>
      <c r="F34"/>
      <c r="G34"/>
      <c r="H34"/>
      <c r="I34"/>
      <c r="J34"/>
      <c r="K34"/>
    </row>
    <row r="35" s="103" customFormat="1" spans="1:11">
      <c r="A35"/>
      <c r="B35"/>
      <c r="C35"/>
      <c r="D35"/>
      <c r="E35"/>
      <c r="F35"/>
      <c r="G35"/>
      <c r="H35"/>
      <c r="I35"/>
      <c r="J35"/>
      <c r="K35"/>
    </row>
    <row r="36" s="103" customFormat="1" spans="1:11">
      <c r="A36"/>
      <c r="B36"/>
      <c r="C36"/>
      <c r="D36"/>
      <c r="E36"/>
      <c r="F36"/>
      <c r="G36"/>
      <c r="H36"/>
      <c r="I36"/>
      <c r="J36"/>
      <c r="K36"/>
    </row>
    <row r="37" s="103" customFormat="1" ht="88.5" customHeight="1" spans="1:14">
      <c r="A37"/>
      <c r="B37"/>
      <c r="C37"/>
      <c r="D37"/>
      <c r="E37"/>
      <c r="F37"/>
      <c r="G37"/>
      <c r="H37"/>
      <c r="I37"/>
      <c r="J37"/>
      <c r="K37"/>
      <c r="M37" s="111"/>
      <c r="N37" s="112"/>
    </row>
    <row r="38" s="105" customFormat="1" spans="1:14">
      <c r="A38"/>
      <c r="B38"/>
      <c r="C38"/>
      <c r="D38"/>
      <c r="E38"/>
      <c r="F38"/>
      <c r="G38"/>
      <c r="H38"/>
      <c r="I38"/>
      <c r="J38"/>
      <c r="K38"/>
      <c r="L38" s="113"/>
      <c r="M38" s="114"/>
      <c r="N38" s="115"/>
    </row>
    <row r="39" s="103" customFormat="1" spans="1:14">
      <c r="A39"/>
      <c r="B39"/>
      <c r="C39"/>
      <c r="D39"/>
      <c r="E39"/>
      <c r="F39"/>
      <c r="G39"/>
      <c r="H39"/>
      <c r="I39"/>
      <c r="J39"/>
      <c r="K39"/>
      <c r="M39" s="116"/>
      <c r="N39" s="117"/>
    </row>
    <row r="40" s="103" customFormat="1" spans="1:14">
      <c r="A40"/>
      <c r="B40"/>
      <c r="C40"/>
      <c r="D40"/>
      <c r="E40"/>
      <c r="F40"/>
      <c r="G40"/>
      <c r="H40"/>
      <c r="I40"/>
      <c r="J40"/>
      <c r="K40"/>
      <c r="M40" s="116"/>
      <c r="N40" s="117"/>
    </row>
    <row r="41" s="103" customFormat="1" spans="1:17">
      <c r="A41"/>
      <c r="B41"/>
      <c r="C41"/>
      <c r="D41"/>
      <c r="E41"/>
      <c r="F41"/>
      <c r="G41"/>
      <c r="H41"/>
      <c r="I41"/>
      <c r="J41"/>
      <c r="K41"/>
      <c r="N41" s="117"/>
      <c r="Q41" s="119"/>
    </row>
    <row r="42" s="103" customFormat="1" spans="1:14">
      <c r="A42"/>
      <c r="B42"/>
      <c r="C42"/>
      <c r="D42"/>
      <c r="E42"/>
      <c r="F42"/>
      <c r="G42"/>
      <c r="H42"/>
      <c r="I42"/>
      <c r="J42"/>
      <c r="K42"/>
      <c r="N42" s="117"/>
    </row>
    <row r="43" s="103" customFormat="1" spans="1:14">
      <c r="A43"/>
      <c r="B43"/>
      <c r="C43"/>
      <c r="D43"/>
      <c r="E43"/>
      <c r="F43"/>
      <c r="G43"/>
      <c r="H43"/>
      <c r="I43"/>
      <c r="J43"/>
      <c r="K43"/>
      <c r="N43" s="117"/>
    </row>
    <row r="44" s="103" customFormat="1" spans="1:14">
      <c r="A44"/>
      <c r="B44"/>
      <c r="C44"/>
      <c r="D44"/>
      <c r="E44"/>
      <c r="F44"/>
      <c r="G44"/>
      <c r="H44"/>
      <c r="I44"/>
      <c r="J44"/>
      <c r="K44"/>
      <c r="N44" s="117"/>
    </row>
    <row r="45" s="103" customFormat="1" spans="1:14">
      <c r="A45"/>
      <c r="B45"/>
      <c r="C45"/>
      <c r="D45"/>
      <c r="E45"/>
      <c r="F45"/>
      <c r="G45"/>
      <c r="H45"/>
      <c r="I45"/>
      <c r="J45"/>
      <c r="K45"/>
      <c r="N45" s="117"/>
    </row>
    <row r="46" s="103" customFormat="1" spans="1:14">
      <c r="A46"/>
      <c r="B46"/>
      <c r="C46"/>
      <c r="D46"/>
      <c r="E46"/>
      <c r="F46"/>
      <c r="G46"/>
      <c r="H46"/>
      <c r="I46"/>
      <c r="J46"/>
      <c r="K46"/>
      <c r="N46" s="117"/>
    </row>
    <row r="47" s="103" customFormat="1" spans="1:14">
      <c r="A47"/>
      <c r="B47"/>
      <c r="C47"/>
      <c r="D47"/>
      <c r="E47"/>
      <c r="F47"/>
      <c r="G47"/>
      <c r="H47"/>
      <c r="I47"/>
      <c r="J47"/>
      <c r="K47"/>
      <c r="N47" s="117"/>
    </row>
    <row r="48" s="103" customFormat="1" spans="1:14">
      <c r="A48"/>
      <c r="B48"/>
      <c r="C48"/>
      <c r="D48"/>
      <c r="E48"/>
      <c r="F48"/>
      <c r="G48"/>
      <c r="H48"/>
      <c r="I48"/>
      <c r="J48"/>
      <c r="K48"/>
      <c r="N48" s="117"/>
    </row>
    <row r="49" s="103" customFormat="1" spans="1:14">
      <c r="A49"/>
      <c r="B49"/>
      <c r="C49"/>
      <c r="D49"/>
      <c r="E49"/>
      <c r="F49"/>
      <c r="G49"/>
      <c r="H49"/>
      <c r="I49"/>
      <c r="J49"/>
      <c r="K49"/>
      <c r="N49" s="117"/>
    </row>
    <row r="50" s="103" customFormat="1" spans="1:14">
      <c r="A50"/>
      <c r="B50"/>
      <c r="C50"/>
      <c r="D50"/>
      <c r="E50"/>
      <c r="F50"/>
      <c r="G50"/>
      <c r="H50"/>
      <c r="I50"/>
      <c r="J50"/>
      <c r="K50"/>
      <c r="N50" s="117"/>
    </row>
    <row r="51" s="103" customFormat="1" spans="1:14">
      <c r="A51"/>
      <c r="B51"/>
      <c r="C51"/>
      <c r="D51"/>
      <c r="E51"/>
      <c r="F51"/>
      <c r="G51"/>
      <c r="H51"/>
      <c r="I51"/>
      <c r="J51"/>
      <c r="K51"/>
      <c r="N51" s="117"/>
    </row>
    <row r="52" s="103" customFormat="1" spans="1:14">
      <c r="A52"/>
      <c r="B52"/>
      <c r="C52"/>
      <c r="D52"/>
      <c r="E52"/>
      <c r="F52"/>
      <c r="G52"/>
      <c r="H52"/>
      <c r="I52"/>
      <c r="J52"/>
      <c r="K52"/>
      <c r="N52" s="117"/>
    </row>
    <row r="53" s="103" customFormat="1" spans="1:14">
      <c r="A53"/>
      <c r="B53"/>
      <c r="C53"/>
      <c r="D53"/>
      <c r="E53"/>
      <c r="F53"/>
      <c r="G53"/>
      <c r="H53"/>
      <c r="I53"/>
      <c r="J53"/>
      <c r="K53"/>
      <c r="N53" s="117"/>
    </row>
    <row r="54" s="103" customFormat="1" spans="1:14">
      <c r="A54"/>
      <c r="B54"/>
      <c r="C54"/>
      <c r="D54"/>
      <c r="E54"/>
      <c r="F54"/>
      <c r="G54"/>
      <c r="H54"/>
      <c r="I54"/>
      <c r="J54"/>
      <c r="K54"/>
      <c r="N54" s="117"/>
    </row>
    <row r="55" s="103" customFormat="1" spans="1:14">
      <c r="A55"/>
      <c r="B55"/>
      <c r="C55"/>
      <c r="D55"/>
      <c r="E55"/>
      <c r="F55"/>
      <c r="G55"/>
      <c r="H55"/>
      <c r="I55"/>
      <c r="J55"/>
      <c r="K55"/>
      <c r="N55" s="117"/>
    </row>
    <row r="56" s="103" customFormat="1" spans="1:14">
      <c r="A56"/>
      <c r="B56"/>
      <c r="C56"/>
      <c r="D56"/>
      <c r="E56"/>
      <c r="F56"/>
      <c r="G56"/>
      <c r="H56"/>
      <c r="I56"/>
      <c r="J56"/>
      <c r="K56"/>
      <c r="N56" s="117"/>
    </row>
    <row r="57" s="103" customFormat="1" spans="1:14">
      <c r="A57"/>
      <c r="B57"/>
      <c r="C57"/>
      <c r="D57"/>
      <c r="E57"/>
      <c r="F57"/>
      <c r="G57"/>
      <c r="H57"/>
      <c r="I57"/>
      <c r="J57"/>
      <c r="K57"/>
      <c r="N57" s="117"/>
    </row>
    <row r="58" s="103" customFormat="1" spans="1:14">
      <c r="A58"/>
      <c r="B58"/>
      <c r="C58"/>
      <c r="D58"/>
      <c r="E58"/>
      <c r="F58"/>
      <c r="G58"/>
      <c r="H58"/>
      <c r="I58"/>
      <c r="J58"/>
      <c r="K58"/>
      <c r="N58" s="117"/>
    </row>
    <row r="59" s="103" customFormat="1" spans="1:14">
      <c r="A59"/>
      <c r="B59"/>
      <c r="C59"/>
      <c r="D59"/>
      <c r="E59"/>
      <c r="F59"/>
      <c r="G59"/>
      <c r="H59"/>
      <c r="I59"/>
      <c r="J59"/>
      <c r="K59"/>
      <c r="M59" s="118"/>
      <c r="N59" s="119"/>
    </row>
    <row r="60" s="103" customFormat="1" ht="46.5" customHeight="1" spans="1:11">
      <c r="A60"/>
      <c r="B60"/>
      <c r="C60"/>
      <c r="D60"/>
      <c r="E60"/>
      <c r="F60"/>
      <c r="G60"/>
      <c r="H60"/>
      <c r="I60"/>
      <c r="J60"/>
      <c r="K60"/>
    </row>
    <row r="61" s="106" customFormat="1" ht="15.75" spans="1:12">
      <c r="A61" s="107"/>
      <c r="B61" s="108"/>
      <c r="C61" s="108"/>
      <c r="J61" s="120"/>
      <c r="K61" s="120"/>
      <c r="L61" s="121"/>
    </row>
    <row r="62" s="106" customFormat="1" ht="30.75" customHeight="1" spans="1:12">
      <c r="A62" s="109" t="s">
        <v>84</v>
      </c>
      <c r="B62" s="109"/>
      <c r="C62" s="109"/>
      <c r="D62" s="109"/>
      <c r="E62" s="109"/>
      <c r="F62" s="109"/>
      <c r="G62" s="109"/>
      <c r="H62" s="109"/>
      <c r="I62" s="109"/>
      <c r="J62" s="109"/>
      <c r="K62" s="109"/>
      <c r="L62" s="109"/>
    </row>
    <row r="63" s="106" customFormat="1" spans="1:12">
      <c r="A63" s="110" t="str">
        <f>"- An amount equal to Rs. "&amp;'GSV for SSV Cal'!N7&amp;" is payable if 1 complete annualized premium (but less than 2) has been paid;"</f>
        <v>- An amount equal to Rs. 420000 is payable if 1 complete annualized premium (but less than 2) has been paid;</v>
      </c>
      <c r="B63" s="109"/>
      <c r="C63" s="109"/>
      <c r="D63" s="109"/>
      <c r="E63" s="109"/>
      <c r="F63" s="109"/>
      <c r="G63" s="109"/>
      <c r="H63" s="109"/>
      <c r="I63" s="109"/>
      <c r="J63" s="109"/>
      <c r="K63" s="109"/>
      <c r="L63" s="109"/>
    </row>
    <row r="64" s="106" customFormat="1" spans="1:12">
      <c r="A64" s="110" t="str">
        <f>IF(PT=20,"- An amount equal to Rs. "&amp;'GSV for SSV Cal'!N8&amp;" is payable if 2 complete annualized premiums (but less than 3) have been paid.","")</f>
        <v/>
      </c>
      <c r="B64" s="109"/>
      <c r="C64" s="109"/>
      <c r="D64" s="109"/>
      <c r="E64" s="109"/>
      <c r="F64" s="109"/>
      <c r="G64" s="109"/>
      <c r="H64" s="109"/>
      <c r="I64" s="109"/>
      <c r="J64" s="109"/>
      <c r="K64" s="109"/>
      <c r="L64" s="109"/>
    </row>
    <row r="65" s="106" customFormat="1" spans="1:12">
      <c r="A65" s="110" t="s">
        <v>85</v>
      </c>
      <c r="B65" s="109"/>
      <c r="C65" s="109"/>
      <c r="D65" s="109"/>
      <c r="E65" s="109"/>
      <c r="F65" s="109"/>
      <c r="G65" s="109"/>
      <c r="H65" s="109"/>
      <c r="I65" s="109"/>
      <c r="J65" s="109"/>
      <c r="K65" s="109"/>
      <c r="L65" s="109"/>
    </row>
    <row r="66" s="106" customFormat="1" spans="1:12">
      <c r="A66" s="122"/>
      <c r="B66" s="123"/>
      <c r="C66" s="123"/>
      <c r="D66" s="123"/>
      <c r="E66" s="123"/>
      <c r="F66" s="123"/>
      <c r="G66" s="123"/>
      <c r="H66" s="123"/>
      <c r="I66" s="123"/>
      <c r="J66" s="123"/>
      <c r="K66" s="123"/>
      <c r="L66" s="123"/>
    </row>
    <row r="67" spans="1:13">
      <c r="A67" s="103" t="s">
        <v>86</v>
      </c>
      <c r="B67" s="124"/>
      <c r="C67" s="124"/>
      <c r="D67" s="124"/>
      <c r="E67" s="124"/>
      <c r="F67" s="124"/>
      <c r="G67" s="124"/>
      <c r="H67" s="124"/>
      <c r="I67" s="124"/>
      <c r="J67" s="124"/>
      <c r="K67" s="124"/>
      <c r="L67" s="124"/>
      <c r="M67" s="124"/>
    </row>
    <row r="68" spans="1:12">
      <c r="A68" s="123" t="s">
        <v>87</v>
      </c>
      <c r="B68" s="123"/>
      <c r="C68" s="123"/>
      <c r="D68" s="123"/>
      <c r="E68" s="123"/>
      <c r="F68" s="123"/>
      <c r="G68" s="123"/>
      <c r="H68" s="123"/>
      <c r="I68" s="123"/>
      <c r="J68" s="123"/>
      <c r="K68" s="123"/>
      <c r="L68" s="123"/>
    </row>
    <row r="69" spans="1:12">
      <c r="A69" s="123"/>
      <c r="B69" s="123"/>
      <c r="C69" s="123"/>
      <c r="D69" s="123"/>
      <c r="E69" s="123"/>
      <c r="F69" s="123"/>
      <c r="G69" s="123"/>
      <c r="H69" s="123"/>
      <c r="I69" s="123"/>
      <c r="J69" s="123"/>
      <c r="K69" s="123"/>
      <c r="L69" s="123"/>
    </row>
    <row r="70" ht="49.5" customHeight="1" spans="1:13">
      <c r="A70" s="125" t="s">
        <v>88</v>
      </c>
      <c r="B70" s="125"/>
      <c r="C70" s="125"/>
      <c r="D70" s="125"/>
      <c r="E70" s="125"/>
      <c r="F70" s="125"/>
      <c r="G70" s="125"/>
      <c r="H70" s="125"/>
      <c r="I70" s="125"/>
      <c r="J70" s="125"/>
      <c r="K70" s="125"/>
      <c r="L70" s="125"/>
      <c r="M70" s="125"/>
    </row>
    <row r="71" spans="2:10">
      <c r="B71" s="103"/>
      <c r="C71" s="103"/>
      <c r="D71" s="103"/>
      <c r="E71" s="103"/>
      <c r="F71" s="103"/>
      <c r="G71" s="103"/>
      <c r="H71" s="103"/>
      <c r="I71" s="103"/>
      <c r="J71" s="103"/>
    </row>
    <row r="72" ht="15.75" spans="1:10">
      <c r="A72" s="104" t="s">
        <v>89</v>
      </c>
      <c r="B72" s="124"/>
      <c r="C72" s="124"/>
      <c r="D72" s="103"/>
      <c r="E72" s="103"/>
      <c r="F72" s="103"/>
      <c r="G72" s="126"/>
      <c r="H72" s="126"/>
      <c r="I72" s="141"/>
      <c r="J72" s="141"/>
    </row>
    <row r="73" spans="2:10">
      <c r="B73" s="103"/>
      <c r="C73" s="103"/>
      <c r="D73" s="103"/>
      <c r="E73" s="103"/>
      <c r="F73" s="103"/>
      <c r="G73" s="103"/>
      <c r="H73" s="103"/>
      <c r="I73" s="103"/>
      <c r="J73" s="103"/>
    </row>
    <row r="74" ht="15" spans="2:10">
      <c r="B74" s="103"/>
      <c r="C74" s="103"/>
      <c r="D74" s="103"/>
      <c r="E74" s="103"/>
      <c r="F74" s="127" t="s">
        <v>90</v>
      </c>
      <c r="G74" s="103"/>
      <c r="H74" s="103"/>
      <c r="I74" s="103"/>
      <c r="J74" s="103"/>
    </row>
    <row r="75" ht="18" spans="1:13">
      <c r="A75" s="128" t="s">
        <v>86</v>
      </c>
      <c r="B75" s="104"/>
      <c r="C75" s="104"/>
      <c r="D75" s="104"/>
      <c r="E75" s="104"/>
      <c r="F75" s="104"/>
      <c r="G75" s="104"/>
      <c r="H75" s="104"/>
      <c r="I75" s="104"/>
      <c r="J75" s="104"/>
      <c r="K75" s="104"/>
      <c r="L75" s="104"/>
      <c r="M75" s="104"/>
    </row>
    <row r="76" ht="21.75" customHeight="1" spans="1:13">
      <c r="A76" s="129" t="s">
        <v>91</v>
      </c>
      <c r="B76" s="129"/>
      <c r="C76" s="129"/>
      <c r="D76" s="129"/>
      <c r="E76" s="129"/>
      <c r="F76" s="129"/>
      <c r="G76" s="129"/>
      <c r="H76" s="129"/>
      <c r="I76" s="129"/>
      <c r="J76" s="129"/>
      <c r="K76" s="129"/>
      <c r="L76" s="129"/>
      <c r="M76" s="129"/>
    </row>
    <row r="77" ht="21.75" customHeight="1" spans="1:13">
      <c r="A77" s="129"/>
      <c r="B77" s="129"/>
      <c r="C77" s="129"/>
      <c r="D77" s="129"/>
      <c r="E77" s="129"/>
      <c r="F77" s="129"/>
      <c r="G77" s="129"/>
      <c r="H77" s="129"/>
      <c r="I77" s="129"/>
      <c r="J77" s="129"/>
      <c r="K77" s="129"/>
      <c r="L77" s="129"/>
      <c r="M77" s="129"/>
    </row>
    <row r="78" ht="21.75" customHeight="1" spans="1:13">
      <c r="A78" s="129"/>
      <c r="B78" s="129"/>
      <c r="C78" s="129"/>
      <c r="D78" s="129"/>
      <c r="E78" s="129"/>
      <c r="F78" s="129"/>
      <c r="G78" s="129"/>
      <c r="H78" s="129"/>
      <c r="I78" s="129"/>
      <c r="J78" s="129"/>
      <c r="K78" s="129"/>
      <c r="L78" s="129"/>
      <c r="M78" s="129"/>
    </row>
    <row r="79" spans="1:13">
      <c r="A79" s="104" t="s">
        <v>92</v>
      </c>
      <c r="B79" s="104"/>
      <c r="C79" s="104"/>
      <c r="D79" s="104"/>
      <c r="E79" s="104"/>
      <c r="F79" s="104"/>
      <c r="G79" s="104"/>
      <c r="H79" s="104"/>
      <c r="I79" s="104"/>
      <c r="J79" s="104"/>
      <c r="K79" s="104"/>
      <c r="L79" s="104"/>
      <c r="M79" s="104"/>
    </row>
    <row r="80" spans="1:13">
      <c r="A80" s="104" t="s">
        <v>93</v>
      </c>
      <c r="B80" s="104"/>
      <c r="C80" s="104"/>
      <c r="D80" s="104"/>
      <c r="E80" s="104"/>
      <c r="F80" s="104"/>
      <c r="G80" s="104"/>
      <c r="H80" s="104"/>
      <c r="I80" s="104"/>
      <c r="J80" s="104"/>
      <c r="K80" s="104"/>
      <c r="L80" s="104"/>
      <c r="M80" s="104"/>
    </row>
    <row r="81" ht="15" spans="1:13">
      <c r="A81" s="130" t="s">
        <v>94</v>
      </c>
      <c r="B81" s="104"/>
      <c r="C81" s="104"/>
      <c r="D81" s="104"/>
      <c r="E81" s="104"/>
      <c r="F81" s="104"/>
      <c r="G81" s="104"/>
      <c r="H81" s="104"/>
      <c r="I81" s="104"/>
      <c r="J81" s="104"/>
      <c r="K81" s="104"/>
      <c r="L81" s="104"/>
      <c r="M81" s="104"/>
    </row>
    <row r="82" ht="15" spans="1:13">
      <c r="A82" s="130" t="s">
        <v>95</v>
      </c>
      <c r="B82" s="104"/>
      <c r="C82" s="104"/>
      <c r="D82" s="104"/>
      <c r="E82" s="104"/>
      <c r="F82" s="104"/>
      <c r="G82" s="104"/>
      <c r="H82" s="104"/>
      <c r="I82" s="104"/>
      <c r="J82" s="104"/>
      <c r="K82" s="104"/>
      <c r="L82" s="104"/>
      <c r="M82" s="104"/>
    </row>
    <row r="83" ht="15" spans="1:13">
      <c r="A83" s="130" t="s">
        <v>96</v>
      </c>
      <c r="B83" s="104"/>
      <c r="C83" s="104"/>
      <c r="D83" s="104"/>
      <c r="E83" s="104"/>
      <c r="F83" s="104"/>
      <c r="G83" s="104"/>
      <c r="H83" s="104"/>
      <c r="I83" s="104"/>
      <c r="J83" s="104"/>
      <c r="K83" s="104"/>
      <c r="L83" s="104"/>
      <c r="M83" s="104"/>
    </row>
    <row r="84" spans="1:13">
      <c r="A84" s="131" t="s">
        <v>97</v>
      </c>
      <c r="B84" s="104"/>
      <c r="C84" s="104"/>
      <c r="D84" s="104"/>
      <c r="E84" s="104"/>
      <c r="F84" s="104"/>
      <c r="G84" s="104"/>
      <c r="H84" s="104"/>
      <c r="I84" s="104"/>
      <c r="J84" s="104"/>
      <c r="K84" s="104"/>
      <c r="L84" s="104"/>
      <c r="M84" s="104"/>
    </row>
    <row r="85" spans="1:13">
      <c r="A85" s="104" t="s">
        <v>98</v>
      </c>
      <c r="B85" s="104"/>
      <c r="C85" s="104"/>
      <c r="D85" s="104"/>
      <c r="E85" s="104"/>
      <c r="F85" s="104"/>
      <c r="G85" s="104"/>
      <c r="H85" s="104"/>
      <c r="I85" s="104"/>
      <c r="J85" s="104"/>
      <c r="K85" s="104"/>
      <c r="L85" s="104"/>
      <c r="M85" s="104"/>
    </row>
    <row r="86" spans="1:13">
      <c r="A86" s="104" t="s">
        <v>99</v>
      </c>
      <c r="B86" s="104"/>
      <c r="C86" s="104"/>
      <c r="D86" s="104"/>
      <c r="E86" s="104"/>
      <c r="F86" s="104"/>
      <c r="G86" s="104"/>
      <c r="H86" s="104"/>
      <c r="I86" s="104"/>
      <c r="J86" s="104"/>
      <c r="K86" s="104"/>
      <c r="L86" s="104"/>
      <c r="M86" s="104"/>
    </row>
    <row r="87" spans="1:13">
      <c r="A87" s="104" t="s">
        <v>100</v>
      </c>
      <c r="B87" s="104"/>
      <c r="C87" s="104"/>
      <c r="D87" s="104"/>
      <c r="E87" s="104"/>
      <c r="F87" s="104"/>
      <c r="G87" s="104"/>
      <c r="H87" s="104"/>
      <c r="I87" s="104"/>
      <c r="J87" s="104"/>
      <c r="K87" s="104"/>
      <c r="L87" s="104"/>
      <c r="M87" s="104"/>
    </row>
    <row r="88" spans="1:13">
      <c r="A88" s="104" t="s">
        <v>101</v>
      </c>
      <c r="B88" s="104"/>
      <c r="C88" s="104"/>
      <c r="D88" s="104"/>
      <c r="E88" s="104"/>
      <c r="F88" s="104"/>
      <c r="G88" s="104"/>
      <c r="H88" s="104"/>
      <c r="I88" s="104"/>
      <c r="J88" s="104"/>
      <c r="K88" s="104"/>
      <c r="L88" s="104"/>
      <c r="M88" s="104"/>
    </row>
    <row r="89" spans="1:13">
      <c r="A89" s="104" t="s">
        <v>102</v>
      </c>
      <c r="B89" s="104"/>
      <c r="C89" s="104"/>
      <c r="D89" s="104"/>
      <c r="E89" s="104"/>
      <c r="F89" s="104"/>
      <c r="G89" s="104"/>
      <c r="H89" s="104"/>
      <c r="I89" s="104"/>
      <c r="J89" s="104"/>
      <c r="K89" s="104"/>
      <c r="L89" s="104"/>
      <c r="M89" s="104"/>
    </row>
    <row r="90" spans="2:10">
      <c r="B90" s="103"/>
      <c r="C90" s="103"/>
      <c r="D90" s="103"/>
      <c r="E90" s="103"/>
      <c r="F90" s="103"/>
      <c r="G90" s="103"/>
      <c r="H90" s="103"/>
      <c r="I90" s="103"/>
      <c r="J90" s="103"/>
    </row>
    <row r="91" spans="2:10">
      <c r="B91" s="103"/>
      <c r="C91" s="103"/>
      <c r="D91" s="103"/>
      <c r="E91" s="103"/>
      <c r="F91" s="103"/>
      <c r="G91" s="103"/>
      <c r="H91" s="103"/>
      <c r="I91" s="103"/>
      <c r="J91" s="103"/>
    </row>
    <row r="92" ht="18" spans="1:10">
      <c r="A92" s="132" t="s">
        <v>103</v>
      </c>
      <c r="B92" s="103"/>
      <c r="C92" s="103"/>
      <c r="D92" s="103"/>
      <c r="E92" s="103"/>
      <c r="F92" s="103"/>
      <c r="G92" s="103"/>
      <c r="H92" s="103"/>
      <c r="I92" s="103"/>
      <c r="J92" s="103"/>
    </row>
    <row r="93" spans="1:13">
      <c r="A93" s="133" t="s">
        <v>104</v>
      </c>
      <c r="B93" s="104"/>
      <c r="C93" s="104"/>
      <c r="D93" s="104"/>
      <c r="E93" s="104"/>
      <c r="F93" s="104"/>
      <c r="G93" s="104"/>
      <c r="H93" s="104"/>
      <c r="I93" s="104"/>
      <c r="J93" s="104"/>
      <c r="K93" s="104"/>
      <c r="L93" s="104"/>
      <c r="M93" s="104"/>
    </row>
    <row r="94" spans="1:13">
      <c r="A94" s="133"/>
      <c r="B94" s="104"/>
      <c r="C94" s="104"/>
      <c r="D94" s="104"/>
      <c r="E94" s="104"/>
      <c r="F94" s="104"/>
      <c r="G94" s="104"/>
      <c r="H94" s="104"/>
      <c r="I94" s="104"/>
      <c r="J94" s="104"/>
      <c r="K94" s="104"/>
      <c r="L94" s="104"/>
      <c r="M94" s="104"/>
    </row>
    <row r="95" ht="18" spans="1:13">
      <c r="A95" s="134" t="s">
        <v>105</v>
      </c>
      <c r="B95" s="135"/>
      <c r="C95" s="135"/>
      <c r="D95" s="135"/>
      <c r="E95" s="135"/>
      <c r="F95" s="135"/>
      <c r="G95" s="135"/>
      <c r="H95" s="135"/>
      <c r="I95" s="135"/>
      <c r="J95" s="135"/>
      <c r="K95" s="135"/>
      <c r="L95" s="135"/>
      <c r="M95" s="135"/>
    </row>
    <row r="96" spans="1:13">
      <c r="A96" s="136" t="s">
        <v>106</v>
      </c>
      <c r="B96" s="135"/>
      <c r="C96" s="135"/>
      <c r="D96" s="135"/>
      <c r="E96" s="135"/>
      <c r="F96" s="135"/>
      <c r="G96" s="135"/>
      <c r="H96" s="135"/>
      <c r="I96" s="135"/>
      <c r="J96" s="135"/>
      <c r="K96" s="135"/>
      <c r="L96" s="135"/>
      <c r="M96" s="135"/>
    </row>
    <row r="97" ht="15" spans="1:13">
      <c r="A97" s="137" t="s">
        <v>107</v>
      </c>
      <c r="B97" s="135"/>
      <c r="C97" s="135"/>
      <c r="D97" s="135"/>
      <c r="E97" s="135"/>
      <c r="F97" s="135"/>
      <c r="G97" s="135"/>
      <c r="H97" s="135"/>
      <c r="I97" s="135"/>
      <c r="J97" s="135"/>
      <c r="K97" s="135"/>
      <c r="L97" s="135"/>
      <c r="M97" s="135"/>
    </row>
    <row r="98" ht="15" spans="1:13">
      <c r="A98" s="137" t="s">
        <v>108</v>
      </c>
      <c r="B98" s="135"/>
      <c r="C98" s="135"/>
      <c r="D98" s="135"/>
      <c r="E98" s="135"/>
      <c r="F98" s="135"/>
      <c r="G98" s="135"/>
      <c r="H98" s="135"/>
      <c r="I98" s="135"/>
      <c r="J98" s="135"/>
      <c r="K98" s="135"/>
      <c r="L98" s="135"/>
      <c r="M98" s="135"/>
    </row>
    <row r="99" spans="1:13">
      <c r="A99" s="136" t="s">
        <v>109</v>
      </c>
      <c r="B99" s="138"/>
      <c r="C99" s="138"/>
      <c r="D99" s="138"/>
      <c r="E99" s="138"/>
      <c r="F99" s="138"/>
      <c r="G99" s="138"/>
      <c r="H99" s="138"/>
      <c r="I99" s="138"/>
      <c r="J99" s="138"/>
      <c r="K99" s="138"/>
      <c r="L99" s="138"/>
      <c r="M99" s="138"/>
    </row>
    <row r="100" spans="1:13">
      <c r="A100" s="136"/>
      <c r="B100" s="138"/>
      <c r="C100" s="138"/>
      <c r="D100" s="138"/>
      <c r="E100" s="138"/>
      <c r="F100" s="138"/>
      <c r="G100" s="138"/>
      <c r="H100" s="138"/>
      <c r="I100" s="138"/>
      <c r="J100" s="138"/>
      <c r="K100" s="138"/>
      <c r="L100" s="138"/>
      <c r="M100" s="138"/>
    </row>
    <row r="101" spans="1:13">
      <c r="A101" s="136" t="s">
        <v>110</v>
      </c>
      <c r="B101" s="139"/>
      <c r="C101" s="139"/>
      <c r="D101" s="139"/>
      <c r="E101" s="139"/>
      <c r="F101" s="139"/>
      <c r="G101" s="139"/>
      <c r="H101" s="139"/>
      <c r="I101" s="139"/>
      <c r="J101" s="139"/>
      <c r="K101" s="139"/>
      <c r="L101" s="104"/>
      <c r="M101" s="104"/>
    </row>
    <row r="102" ht="15" spans="1:13">
      <c r="A102" s="137" t="s">
        <v>111</v>
      </c>
      <c r="B102" s="140"/>
      <c r="C102" s="140"/>
      <c r="D102" s="140"/>
      <c r="E102" s="140"/>
      <c r="F102" s="140"/>
      <c r="G102" s="140"/>
      <c r="H102" s="140"/>
      <c r="I102" s="140"/>
      <c r="J102" s="140"/>
      <c r="K102" s="140"/>
      <c r="L102" s="104"/>
      <c r="M102" s="104"/>
    </row>
    <row r="103" ht="15" spans="1:13">
      <c r="A103" s="137" t="s">
        <v>112</v>
      </c>
      <c r="B103" s="140"/>
      <c r="C103" s="140"/>
      <c r="D103" s="140"/>
      <c r="E103" s="140"/>
      <c r="F103" s="140"/>
      <c r="G103" s="140"/>
      <c r="H103" s="140"/>
      <c r="I103" s="140"/>
      <c r="J103" s="140"/>
      <c r="K103" s="140"/>
      <c r="L103" s="104"/>
      <c r="M103" s="104"/>
    </row>
    <row r="104" spans="1:13">
      <c r="A104" s="136" t="s">
        <v>113</v>
      </c>
      <c r="B104" s="138"/>
      <c r="C104" s="138"/>
      <c r="D104" s="138"/>
      <c r="E104" s="138"/>
      <c r="F104" s="138"/>
      <c r="G104" s="138"/>
      <c r="H104" s="138"/>
      <c r="I104" s="138"/>
      <c r="J104" s="138"/>
      <c r="K104" s="138"/>
      <c r="L104" s="104"/>
      <c r="M104" s="104"/>
    </row>
    <row r="105" spans="1:13">
      <c r="A105" s="104" t="s">
        <v>114</v>
      </c>
      <c r="B105" s="138"/>
      <c r="C105" s="138"/>
      <c r="D105" s="138"/>
      <c r="E105" s="138"/>
      <c r="F105" s="138"/>
      <c r="G105" s="138"/>
      <c r="H105" s="138"/>
      <c r="I105" s="138"/>
      <c r="J105" s="138"/>
      <c r="K105" s="138"/>
      <c r="L105" s="104"/>
      <c r="M105" s="104"/>
    </row>
    <row r="106" spans="1:13">
      <c r="A106" s="104"/>
      <c r="B106" s="104"/>
      <c r="C106" s="104"/>
      <c r="D106" s="104"/>
      <c r="E106" s="104"/>
      <c r="F106" s="104"/>
      <c r="G106" s="104"/>
      <c r="H106" s="104"/>
      <c r="I106" s="104"/>
      <c r="J106" s="104"/>
      <c r="K106" s="104"/>
      <c r="L106" s="104"/>
      <c r="M106" s="104"/>
    </row>
    <row r="107" ht="18" spans="1:13">
      <c r="A107" s="128" t="s">
        <v>115</v>
      </c>
      <c r="B107" s="104"/>
      <c r="C107" s="104"/>
      <c r="D107" s="104"/>
      <c r="E107" s="104"/>
      <c r="F107" s="104"/>
      <c r="G107" s="104"/>
      <c r="H107" s="104"/>
      <c r="I107" s="104"/>
      <c r="J107" s="104"/>
      <c r="K107" s="104"/>
      <c r="L107" s="104"/>
      <c r="M107" s="104"/>
    </row>
    <row r="108" spans="1:13">
      <c r="A108" s="104" t="s">
        <v>116</v>
      </c>
      <c r="B108" s="104"/>
      <c r="C108" s="104"/>
      <c r="D108" s="104"/>
      <c r="E108" s="104"/>
      <c r="F108" s="104"/>
      <c r="G108" s="104"/>
      <c r="H108" s="104"/>
      <c r="I108" s="104"/>
      <c r="J108" s="104"/>
      <c r="K108" s="104"/>
      <c r="L108" s="104"/>
      <c r="M108" s="104"/>
    </row>
    <row r="109" spans="1:13">
      <c r="A109" s="104"/>
      <c r="B109" s="104"/>
      <c r="C109" s="104"/>
      <c r="D109" s="104"/>
      <c r="E109" s="104"/>
      <c r="F109" s="104"/>
      <c r="G109" s="104"/>
      <c r="H109" s="104"/>
      <c r="I109" s="104"/>
      <c r="J109" s="104"/>
      <c r="K109" s="104"/>
      <c r="L109" s="104"/>
      <c r="M109" s="104"/>
    </row>
    <row r="110" spans="1:13">
      <c r="A110" s="104"/>
      <c r="B110" s="104"/>
      <c r="C110" s="104"/>
      <c r="D110" s="104"/>
      <c r="E110" s="104"/>
      <c r="F110" s="104"/>
      <c r="G110" s="104"/>
      <c r="H110" s="104"/>
      <c r="I110" s="104"/>
      <c r="J110" s="104"/>
      <c r="K110" s="104"/>
      <c r="L110" s="104"/>
      <c r="M110" s="104"/>
    </row>
    <row r="111" spans="1:13">
      <c r="A111" s="104" t="s">
        <v>117</v>
      </c>
      <c r="B111" s="104"/>
      <c r="C111" s="104"/>
      <c r="D111" s="104"/>
      <c r="E111" s="104"/>
      <c r="F111" s="104"/>
      <c r="G111" s="104"/>
      <c r="H111" s="104"/>
      <c r="I111" s="104"/>
      <c r="J111" s="104"/>
      <c r="K111" s="104"/>
      <c r="L111" s="104"/>
      <c r="M111" s="104"/>
    </row>
    <row r="112" spans="1:13">
      <c r="A112" s="104"/>
      <c r="B112" s="104"/>
      <c r="C112" s="104"/>
      <c r="D112" s="104"/>
      <c r="E112" s="104"/>
      <c r="F112" s="104"/>
      <c r="G112" s="104"/>
      <c r="H112" s="104"/>
      <c r="I112" s="104"/>
      <c r="J112" s="104"/>
      <c r="K112" s="104"/>
      <c r="L112" s="104"/>
      <c r="M112" s="104"/>
    </row>
    <row r="113" spans="1:13">
      <c r="A113" s="104" t="s">
        <v>118</v>
      </c>
      <c r="B113" s="104"/>
      <c r="C113" s="104"/>
      <c r="D113" s="104"/>
      <c r="E113" s="104"/>
      <c r="F113" s="104"/>
      <c r="G113" s="104"/>
      <c r="H113" s="104"/>
      <c r="I113" s="104"/>
      <c r="J113" s="104"/>
      <c r="K113" s="104"/>
      <c r="L113" s="104"/>
      <c r="M113" s="104"/>
    </row>
    <row r="114" spans="1:13">
      <c r="A114" s="104"/>
      <c r="B114" s="104"/>
      <c r="C114" s="104"/>
      <c r="D114" s="104"/>
      <c r="E114" s="104"/>
      <c r="F114" s="104"/>
      <c r="G114" s="104"/>
      <c r="H114" s="104"/>
      <c r="I114" s="104"/>
      <c r="J114" s="104"/>
      <c r="K114" s="104"/>
      <c r="L114" s="104"/>
      <c r="M114" s="104"/>
    </row>
    <row r="115" spans="1:13">
      <c r="A115" s="104" t="s">
        <v>119</v>
      </c>
      <c r="B115" s="104"/>
      <c r="C115" s="104"/>
      <c r="D115" s="104"/>
      <c r="E115" s="104"/>
      <c r="F115" s="104"/>
      <c r="G115" s="104"/>
      <c r="H115" s="104"/>
      <c r="I115" s="104"/>
      <c r="J115" s="104"/>
      <c r="K115" s="104"/>
      <c r="L115" s="104"/>
      <c r="M115" s="104"/>
    </row>
    <row r="116" spans="1:13">
      <c r="A116" s="104"/>
      <c r="B116" s="104"/>
      <c r="C116" s="104"/>
      <c r="D116" s="104"/>
      <c r="E116" s="104"/>
      <c r="F116" s="104"/>
      <c r="G116" s="104"/>
      <c r="H116" s="104"/>
      <c r="I116" s="104"/>
      <c r="J116" s="104"/>
      <c r="K116" s="104"/>
      <c r="L116" s="104"/>
      <c r="M116" s="104"/>
    </row>
    <row r="117" spans="1:13">
      <c r="A117" s="104" t="s">
        <v>120</v>
      </c>
      <c r="B117" s="104"/>
      <c r="C117" s="104"/>
      <c r="D117" s="104"/>
      <c r="E117" s="104"/>
      <c r="F117" s="104"/>
      <c r="G117" s="104"/>
      <c r="H117" s="104"/>
      <c r="I117" s="104"/>
      <c r="J117" s="104"/>
      <c r="K117" s="104"/>
      <c r="L117" s="104"/>
      <c r="M117" s="104"/>
    </row>
    <row r="118" spans="1:13">
      <c r="A118" s="104"/>
      <c r="B118" s="104"/>
      <c r="C118" s="104"/>
      <c r="D118" s="104"/>
      <c r="E118" s="104"/>
      <c r="F118" s="104"/>
      <c r="G118" s="104"/>
      <c r="H118" s="104"/>
      <c r="I118" s="104"/>
      <c r="J118" s="104"/>
      <c r="K118" s="104"/>
      <c r="L118" s="104"/>
      <c r="M118" s="104"/>
    </row>
    <row r="119" spans="1:13">
      <c r="A119" s="104" t="s">
        <v>121</v>
      </c>
      <c r="B119" s="104"/>
      <c r="C119" s="104"/>
      <c r="D119" s="104"/>
      <c r="E119" s="103"/>
      <c r="F119" s="103"/>
      <c r="G119" s="104"/>
      <c r="H119" s="104"/>
      <c r="I119" s="104"/>
      <c r="J119" s="104"/>
      <c r="K119" s="104"/>
      <c r="L119" s="104"/>
      <c r="M119" s="104"/>
    </row>
    <row r="120" spans="1:13">
      <c r="A120" s="104"/>
      <c r="B120" s="104"/>
      <c r="C120" s="104"/>
      <c r="D120" s="104"/>
      <c r="E120" s="104"/>
      <c r="F120" s="104"/>
      <c r="G120" s="104"/>
      <c r="H120" s="104"/>
      <c r="I120" s="104"/>
      <c r="J120" s="104"/>
      <c r="K120" s="104"/>
      <c r="L120" s="104"/>
      <c r="M120" s="104"/>
    </row>
    <row r="121" spans="1:13">
      <c r="A121" s="104" t="s">
        <v>118</v>
      </c>
      <c r="B121" s="104"/>
      <c r="C121" s="104"/>
      <c r="D121" s="104"/>
      <c r="E121" s="104"/>
      <c r="F121" s="104"/>
      <c r="G121" s="104"/>
      <c r="H121" s="104"/>
      <c r="I121" s="104"/>
      <c r="J121" s="104"/>
      <c r="K121" s="104"/>
      <c r="L121" s="104"/>
      <c r="M121" s="104"/>
    </row>
    <row r="122" spans="1:13">
      <c r="A122" s="104"/>
      <c r="B122" s="104"/>
      <c r="C122" s="104"/>
      <c r="D122" s="104"/>
      <c r="E122" s="104"/>
      <c r="F122" s="104"/>
      <c r="G122" s="104"/>
      <c r="H122" s="104"/>
      <c r="I122" s="104"/>
      <c r="J122" s="104"/>
      <c r="K122" s="104"/>
      <c r="L122" s="104"/>
      <c r="M122" s="104"/>
    </row>
    <row r="123" spans="1:13">
      <c r="A123" s="104" t="s">
        <v>119</v>
      </c>
      <c r="B123" s="104"/>
      <c r="C123" s="104"/>
      <c r="D123" s="104"/>
      <c r="E123" s="104"/>
      <c r="F123" s="104"/>
      <c r="G123" s="104"/>
      <c r="H123" s="104"/>
      <c r="I123" s="104"/>
      <c r="J123" s="104"/>
      <c r="K123" s="104"/>
      <c r="L123" s="104"/>
      <c r="M123" s="104"/>
    </row>
  </sheetData>
  <mergeCells count="4">
    <mergeCell ref="A62:L62"/>
    <mergeCell ref="A70:M70"/>
    <mergeCell ref="A76:M78"/>
    <mergeCell ref="A68:L69"/>
  </mergeCells>
  <printOptions horizontalCentered="1" verticalCentered="1"/>
  <pageMargins left="0.16875" right="0.16875" top="0.309027777777778" bottom="0.75" header="0.3" footer="0.3"/>
  <pageSetup paperSize="9" scale="61" orientation="landscape"/>
  <headerFooter alignWithMargins="0"/>
  <rowBreaks count="1" manualBreakCount="1">
    <brk id="33" max="16383" man="1"/>
  </rowBreaks>
  <colBreaks count="1" manualBreakCount="1">
    <brk id="15"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E102"/>
  <sheetViews>
    <sheetView showGridLines="0" zoomScale="90" zoomScaleNormal="90" topLeftCell="AU1" workbookViewId="0">
      <selection activeCell="BE5" sqref="BE5"/>
    </sheetView>
  </sheetViews>
  <sheetFormatPr defaultColWidth="9" defaultRowHeight="14.25"/>
  <cols>
    <col min="1" max="1" width="3.70833333333333" style="47" customWidth="1"/>
    <col min="2" max="2" width="14" style="47" customWidth="1"/>
    <col min="3" max="3" width="27.1416666666667" style="47" customWidth="1"/>
    <col min="4" max="4" width="7.70833333333333" style="47" customWidth="1"/>
    <col min="5" max="5" width="8.14166666666667" style="47" customWidth="1"/>
    <col min="6" max="6" width="8" style="47" customWidth="1"/>
    <col min="7" max="7" width="8.28333333333333" style="47" customWidth="1"/>
    <col min="8" max="8" width="7.56666666666667" style="47" customWidth="1"/>
    <col min="9" max="9" width="7.28333333333333" style="47" customWidth="1"/>
    <col min="10" max="12" width="7.56666666666667" style="47" customWidth="1"/>
    <col min="13" max="13" width="7" style="47" customWidth="1"/>
    <col min="14" max="14" width="4.85833333333333" style="47" customWidth="1"/>
    <col min="15" max="15" width="17.425" style="47" customWidth="1"/>
    <col min="16" max="16" width="26.1416666666667" style="47" customWidth="1"/>
    <col min="17" max="17" width="5.70833333333333" style="47" customWidth="1"/>
    <col min="18" max="18" width="35.1416666666667" style="47" customWidth="1"/>
    <col min="19" max="19" width="16" style="47" customWidth="1"/>
    <col min="20" max="20" width="22.5666666666667" style="47" customWidth="1"/>
    <col min="21" max="21" width="28.425" style="47" customWidth="1"/>
    <col min="22" max="22" width="11.7083333333333" style="47" customWidth="1"/>
    <col min="23" max="23" width="5.56666666666667" style="47" customWidth="1"/>
    <col min="24" max="26" width="9.14166666666667" style="47" customWidth="1"/>
    <col min="27" max="27" width="13.5666666666667" style="47" customWidth="1"/>
    <col min="28" max="28" width="9.425" style="47" customWidth="1"/>
    <col min="29" max="29" width="10.425" style="47" customWidth="1"/>
    <col min="30" max="30" width="9.14166666666667" style="47" customWidth="1"/>
    <col min="31" max="31" width="13.1416666666667" customWidth="1"/>
    <col min="32" max="41" width="10.1416666666667" customWidth="1"/>
    <col min="42" max="42" width="9.14166666666667" customWidth="1"/>
    <col min="43" max="43" width="12.7083333333333" customWidth="1"/>
    <col min="44" max="53" width="10" customWidth="1"/>
    <col min="54" max="54" width="9.14166666666667" style="47" customWidth="1"/>
    <col min="55" max="55" width="9.14166666666667" style="47"/>
    <col min="56" max="56" width="14.1416666666667" style="47" customWidth="1"/>
    <col min="57" max="57" width="14.7083333333333" style="47" customWidth="1"/>
    <col min="58" max="16384" width="9.14166666666667" style="47"/>
  </cols>
  <sheetData>
    <row r="1" spans="2:56">
      <c r="B1" s="20" t="s">
        <v>122</v>
      </c>
      <c r="C1" s="20"/>
      <c r="BD1" s="57">
        <f>VLOOKUP("OK",$BD$5:$BE$18,2,0)</f>
        <v>33255421</v>
      </c>
    </row>
    <row r="2" ht="15" spans="2:53">
      <c r="B2" s="20" t="s">
        <v>123</v>
      </c>
      <c r="C2" s="20" t="s">
        <v>124</v>
      </c>
      <c r="D2" s="20" t="s">
        <v>125</v>
      </c>
      <c r="E2" s="20"/>
      <c r="F2" s="20"/>
      <c r="G2" s="20"/>
      <c r="H2" s="20"/>
      <c r="I2" s="20"/>
      <c r="J2" s="20"/>
      <c r="K2" s="20"/>
      <c r="L2" s="20"/>
      <c r="M2" s="20"/>
      <c r="O2" s="20" t="s">
        <v>126</v>
      </c>
      <c r="P2" s="20"/>
      <c r="R2" s="48" t="s">
        <v>127</v>
      </c>
      <c r="S2" s="48"/>
      <c r="AF2" s="77" t="s">
        <v>128</v>
      </c>
      <c r="AG2" s="95"/>
      <c r="AH2" s="95"/>
      <c r="AI2" s="95"/>
      <c r="AJ2" s="95"/>
      <c r="AK2" s="95"/>
      <c r="AL2" s="95"/>
      <c r="AM2" s="95"/>
      <c r="AN2" s="95"/>
      <c r="AO2" s="97"/>
      <c r="AR2" s="77" t="s">
        <v>129</v>
      </c>
      <c r="AS2" s="95"/>
      <c r="AT2" s="95"/>
      <c r="AU2" s="95"/>
      <c r="AV2" s="95"/>
      <c r="AW2" s="95"/>
      <c r="AX2" s="95"/>
      <c r="AY2" s="95"/>
      <c r="AZ2" s="95"/>
      <c r="BA2" s="97"/>
    </row>
    <row r="3" ht="15" spans="4:57">
      <c r="D3" s="48">
        <v>0.25</v>
      </c>
      <c r="E3" s="48">
        <v>0.5</v>
      </c>
      <c r="F3" s="48">
        <v>0.75</v>
      </c>
      <c r="G3" s="48">
        <v>1</v>
      </c>
      <c r="H3" s="48">
        <v>1.25</v>
      </c>
      <c r="I3" s="48">
        <v>1.5</v>
      </c>
      <c r="J3" s="48">
        <v>1.75</v>
      </c>
      <c r="K3" s="48">
        <v>2.25</v>
      </c>
      <c r="L3" s="48">
        <v>2.75</v>
      </c>
      <c r="M3" s="48">
        <v>3.5</v>
      </c>
      <c r="O3" s="52" t="s">
        <v>130</v>
      </c>
      <c r="P3" s="48" t="s">
        <v>131</v>
      </c>
      <c r="R3" s="57"/>
      <c r="S3" s="58" t="s">
        <v>132</v>
      </c>
      <c r="T3" s="59" t="s">
        <v>133</v>
      </c>
      <c r="U3" s="59"/>
      <c r="AA3" s="78" t="s">
        <v>134</v>
      </c>
      <c r="AB3" s="79" t="s">
        <v>135</v>
      </c>
      <c r="AC3" s="80" t="s">
        <v>136</v>
      </c>
      <c r="AE3" s="81"/>
      <c r="AF3" s="82">
        <v>0.25</v>
      </c>
      <c r="AG3" s="96">
        <v>0.5</v>
      </c>
      <c r="AH3" s="96">
        <v>0.75</v>
      </c>
      <c r="AI3" s="96">
        <v>1</v>
      </c>
      <c r="AJ3" s="96">
        <v>1.25</v>
      </c>
      <c r="AK3" s="96">
        <v>1.5</v>
      </c>
      <c r="AL3" s="96">
        <v>1.75</v>
      </c>
      <c r="AM3" s="96">
        <v>2.25</v>
      </c>
      <c r="AN3" s="96">
        <v>2.75</v>
      </c>
      <c r="AO3" s="98">
        <v>3.5</v>
      </c>
      <c r="AQ3" s="81" t="s">
        <v>137</v>
      </c>
      <c r="AR3" s="82">
        <v>0.25</v>
      </c>
      <c r="AS3" s="96">
        <v>0.5</v>
      </c>
      <c r="AT3" s="96">
        <v>0.75</v>
      </c>
      <c r="AU3" s="96">
        <v>1</v>
      </c>
      <c r="AV3" s="96">
        <v>1.25</v>
      </c>
      <c r="AW3" s="96">
        <v>1.5</v>
      </c>
      <c r="AX3" s="96">
        <v>1.75</v>
      </c>
      <c r="AY3" s="96">
        <v>2.25</v>
      </c>
      <c r="AZ3" s="96">
        <v>2.75</v>
      </c>
      <c r="BA3" s="98">
        <v>3.5</v>
      </c>
      <c r="BD3" s="101" t="s">
        <v>138</v>
      </c>
      <c r="BE3" s="101"/>
    </row>
    <row r="4" spans="2:53">
      <c r="B4" s="49">
        <v>18</v>
      </c>
      <c r="C4" s="50">
        <f>AB4*(PT=20)+AC4*(PT=15)</f>
        <v>135.44</v>
      </c>
      <c r="D4" s="51">
        <f>AF4*(PT=20)+AR4*(PT=15)</f>
        <v>0.38</v>
      </c>
      <c r="E4" s="51">
        <f>AG4*(PT=20)+AS4*(PT=15)</f>
        <v>0.74</v>
      </c>
      <c r="F4" s="51">
        <f>AH4*(PT=20)+AT4*(PT=15)</f>
        <v>1.15</v>
      </c>
      <c r="G4" s="51">
        <f>AI4*(PT=20)+AU4*(PT=15)</f>
        <v>1.53</v>
      </c>
      <c r="H4" s="51">
        <f>AJ4*(PT=20)+AV4*(PT=15)</f>
        <v>1.92</v>
      </c>
      <c r="I4" s="51">
        <f>AK4*(PT=20)+AW4*(PT=15)</f>
        <v>2.28</v>
      </c>
      <c r="J4" s="51">
        <f>AL4*(PT=20)+AX4*(PT=15)</f>
        <v>2.66</v>
      </c>
      <c r="K4" s="51">
        <f>AM4*(PT=20)+AY4*(PT=15)</f>
        <v>3.42</v>
      </c>
      <c r="L4" s="51">
        <f>AN4*(PT=20)+AZ4*(PT=15)</f>
        <v>4.18</v>
      </c>
      <c r="M4" s="51">
        <f>AO4*(PT=20)+BA4*(PT=15)</f>
        <v>5.31</v>
      </c>
      <c r="N4" s="53"/>
      <c r="O4" s="54">
        <v>300000</v>
      </c>
      <c r="P4" s="50">
        <v>0</v>
      </c>
      <c r="R4" s="60" t="s">
        <v>139</v>
      </c>
      <c r="S4" s="61">
        <f>VLOOKUP(Age,RATES,2,FALSE)</f>
        <v>135.6</v>
      </c>
      <c r="T4" s="62">
        <f>Base_Prem</f>
        <v>135.6</v>
      </c>
      <c r="U4" s="63"/>
      <c r="AA4" s="83">
        <v>18</v>
      </c>
      <c r="AB4" s="84">
        <v>83.1</v>
      </c>
      <c r="AC4" s="85">
        <v>135.44</v>
      </c>
      <c r="AE4" s="86">
        <v>18</v>
      </c>
      <c r="AF4" s="87">
        <v>0.21</v>
      </c>
      <c r="AG4" s="87">
        <v>0.42</v>
      </c>
      <c r="AH4" s="87">
        <v>0.64</v>
      </c>
      <c r="AI4" s="87">
        <v>0.85</v>
      </c>
      <c r="AJ4" s="87">
        <v>1.07</v>
      </c>
      <c r="AK4" s="87">
        <v>1.28</v>
      </c>
      <c r="AL4" s="87">
        <v>1.5</v>
      </c>
      <c r="AM4" s="87">
        <v>1.92</v>
      </c>
      <c r="AN4" s="87">
        <v>2.35</v>
      </c>
      <c r="AO4" s="99">
        <v>2.99</v>
      </c>
      <c r="AQ4" s="86">
        <v>18</v>
      </c>
      <c r="AR4" s="87">
        <v>0.38</v>
      </c>
      <c r="AS4" s="87">
        <v>0.74</v>
      </c>
      <c r="AT4" s="87">
        <v>1.15</v>
      </c>
      <c r="AU4" s="87">
        <v>1.53</v>
      </c>
      <c r="AV4" s="87">
        <v>1.92</v>
      </c>
      <c r="AW4" s="87">
        <v>2.28</v>
      </c>
      <c r="AX4" s="87">
        <v>2.66</v>
      </c>
      <c r="AY4" s="87">
        <v>3.42</v>
      </c>
      <c r="AZ4" s="87">
        <v>4.18</v>
      </c>
      <c r="BA4" s="99">
        <v>5.31</v>
      </c>
    </row>
    <row r="5" spans="2:57">
      <c r="B5" s="49">
        <v>19</v>
      </c>
      <c r="C5" s="50">
        <f>AB5*(PT=20)+AC5*(PT=15)</f>
        <v>135.49</v>
      </c>
      <c r="D5" s="51">
        <f>AF5*(PT=20)+AR5*(PT=15)</f>
        <v>0.38</v>
      </c>
      <c r="E5" s="51">
        <f>AG5*(PT=20)+AS5*(PT=15)</f>
        <v>0.78</v>
      </c>
      <c r="F5" s="51">
        <f>AH5*(PT=20)+AT5*(PT=15)</f>
        <v>1.16</v>
      </c>
      <c r="G5" s="51">
        <f>AI5*(PT=20)+AU5*(PT=15)</f>
        <v>1.55</v>
      </c>
      <c r="H5" s="51">
        <f>AJ5*(PT=20)+AV5*(PT=15)</f>
        <v>1.94</v>
      </c>
      <c r="I5" s="51">
        <f>AK5*(PT=20)+AW5*(PT=15)</f>
        <v>2.35</v>
      </c>
      <c r="J5" s="51">
        <f>AL5*(PT=20)+AX5*(PT=15)</f>
        <v>2.74</v>
      </c>
      <c r="K5" s="51">
        <f>AM5*(PT=20)+AY5*(PT=15)</f>
        <v>3.52</v>
      </c>
      <c r="L5" s="51">
        <f>AN5*(PT=20)+AZ5*(PT=15)</f>
        <v>4.3</v>
      </c>
      <c r="M5" s="51">
        <f>AO5*(PT=20)+BA5*(PT=15)</f>
        <v>5.47</v>
      </c>
      <c r="N5" s="53"/>
      <c r="O5" s="54">
        <v>400000</v>
      </c>
      <c r="P5" s="50">
        <v>1.3</v>
      </c>
      <c r="R5" s="60" t="s">
        <v>140</v>
      </c>
      <c r="S5" s="64">
        <f>(Direct_sale="Yes")*P24</f>
        <v>0.1</v>
      </c>
      <c r="T5" s="65">
        <f>Direct_Discount</f>
        <v>0.1</v>
      </c>
      <c r="AA5" s="88">
        <v>19</v>
      </c>
      <c r="AB5" s="89">
        <v>83.12</v>
      </c>
      <c r="AC5" s="90">
        <v>135.49</v>
      </c>
      <c r="AE5" s="86">
        <v>19</v>
      </c>
      <c r="AF5" s="87">
        <v>0.21</v>
      </c>
      <c r="AG5" s="87">
        <v>0.44</v>
      </c>
      <c r="AH5" s="87">
        <v>0.66</v>
      </c>
      <c r="AI5" s="87">
        <v>0.88</v>
      </c>
      <c r="AJ5" s="87">
        <v>1.1</v>
      </c>
      <c r="AK5" s="87">
        <v>1.32</v>
      </c>
      <c r="AL5" s="87">
        <v>1.54</v>
      </c>
      <c r="AM5" s="87">
        <v>1.98</v>
      </c>
      <c r="AN5" s="87">
        <v>2.42</v>
      </c>
      <c r="AO5" s="99">
        <v>3.08</v>
      </c>
      <c r="AQ5" s="86">
        <v>19</v>
      </c>
      <c r="AR5" s="87">
        <v>0.38</v>
      </c>
      <c r="AS5" s="87">
        <v>0.78</v>
      </c>
      <c r="AT5" s="87">
        <v>1.16</v>
      </c>
      <c r="AU5" s="87">
        <v>1.55</v>
      </c>
      <c r="AV5" s="87">
        <v>1.94</v>
      </c>
      <c r="AW5" s="87">
        <v>2.35</v>
      </c>
      <c r="AX5" s="87">
        <v>2.74</v>
      </c>
      <c r="AY5" s="87">
        <v>3.52</v>
      </c>
      <c r="AZ5" s="87">
        <v>4.3</v>
      </c>
      <c r="BA5" s="99">
        <v>5.47</v>
      </c>
      <c r="BE5" s="57">
        <f>(((ROUND(VLOOKUP(Age,RATES,2,FALSE)*(1-Direct_Discount),2)-P10)*MAX(1,Tot_MMR_Extra)+IFERROR(VLOOKUP(Age,RATES,MATCH(EM_PC,RATES_HEADINGS),FALSE),0)+Tot_Flat_Extra)*VLOOKUP(Prem_Mode,'Product Data n Calcs'!$O$13:$P$14,2,0))</f>
        <v>10.5246</v>
      </c>
    </row>
    <row r="6" spans="2:57">
      <c r="B6" s="49">
        <v>20</v>
      </c>
      <c r="C6" s="50">
        <f>AB6*(PT=20)+AC6*(PT=15)</f>
        <v>135.53</v>
      </c>
      <c r="D6" s="51">
        <f>AF6*(PT=20)+AR6*(PT=15)</f>
        <v>0.38</v>
      </c>
      <c r="E6" s="51">
        <f>AG6*(PT=20)+AS6*(PT=15)</f>
        <v>0.78</v>
      </c>
      <c r="F6" s="51">
        <f>AH6*(PT=20)+AT6*(PT=15)</f>
        <v>1.21</v>
      </c>
      <c r="G6" s="51">
        <f>AI6*(PT=20)+AU6*(PT=15)</f>
        <v>1.61</v>
      </c>
      <c r="H6" s="51">
        <f>AJ6*(PT=20)+AV6*(PT=15)</f>
        <v>2.01</v>
      </c>
      <c r="I6" s="51">
        <f>AK6*(PT=20)+AW6*(PT=15)</f>
        <v>2.41</v>
      </c>
      <c r="J6" s="51">
        <f>AL6*(PT=20)+AX6*(PT=15)</f>
        <v>2.81</v>
      </c>
      <c r="K6" s="51">
        <f>AM6*(PT=20)+AY6*(PT=15)</f>
        <v>3.61</v>
      </c>
      <c r="L6" s="51">
        <f>AN6*(PT=20)+AZ6*(PT=15)</f>
        <v>4.41</v>
      </c>
      <c r="M6" s="51">
        <f>AO6*(PT=20)+BA6*(PT=15)</f>
        <v>5.61</v>
      </c>
      <c r="N6" s="53"/>
      <c r="O6" s="54">
        <v>500000</v>
      </c>
      <c r="P6" s="50">
        <v>2.1</v>
      </c>
      <c r="R6" s="60" t="s">
        <v>141</v>
      </c>
      <c r="S6" s="61">
        <f>VLOOKUP(SA,$O$4:$P$10,2,TRUE)</f>
        <v>5.1</v>
      </c>
      <c r="T6" s="62">
        <f>SA_Rebate</f>
        <v>5.1</v>
      </c>
      <c r="U6" s="66" t="s">
        <v>142</v>
      </c>
      <c r="AA6" s="88">
        <v>20</v>
      </c>
      <c r="AB6" s="89">
        <v>83.14</v>
      </c>
      <c r="AC6" s="90">
        <v>135.53</v>
      </c>
      <c r="AE6" s="86">
        <v>20</v>
      </c>
      <c r="AF6" s="87">
        <v>0.23</v>
      </c>
      <c r="AG6" s="87">
        <v>0.45</v>
      </c>
      <c r="AH6" s="87">
        <v>0.68</v>
      </c>
      <c r="AI6" s="87">
        <v>0.91</v>
      </c>
      <c r="AJ6" s="87">
        <v>1.13</v>
      </c>
      <c r="AK6" s="87">
        <v>1.36</v>
      </c>
      <c r="AL6" s="87">
        <v>1.59</v>
      </c>
      <c r="AM6" s="87">
        <v>2.04</v>
      </c>
      <c r="AN6" s="87">
        <v>2.49</v>
      </c>
      <c r="AO6" s="99">
        <v>3.17</v>
      </c>
      <c r="AQ6" s="86">
        <v>20</v>
      </c>
      <c r="AR6" s="87">
        <v>0.38</v>
      </c>
      <c r="AS6" s="87">
        <v>0.78</v>
      </c>
      <c r="AT6" s="87">
        <v>1.21</v>
      </c>
      <c r="AU6" s="87">
        <v>1.61</v>
      </c>
      <c r="AV6" s="87">
        <v>2.01</v>
      </c>
      <c r="AW6" s="87">
        <v>2.41</v>
      </c>
      <c r="AX6" s="87">
        <v>2.81</v>
      </c>
      <c r="AY6" s="87">
        <v>3.61</v>
      </c>
      <c r="AZ6" s="87">
        <v>4.41</v>
      </c>
      <c r="BA6" s="99">
        <v>5.61</v>
      </c>
      <c r="BD6" s="57" t="str">
        <f>IF(BE6&gt;=O10,"OK","Not OK")</f>
        <v>OK</v>
      </c>
      <c r="BE6" s="57">
        <f>IFERROR(ROUND(IF(ST_Indicator="No",('Premium Calculation'!$F$5*1000/BE5),(('Premium Calculation'!$F$5/(1+STax_1))*1000/BE5)),0),0)</f>
        <v>33255421</v>
      </c>
    </row>
    <row r="7" spans="2:57">
      <c r="B7" s="49">
        <v>21</v>
      </c>
      <c r="C7" s="50">
        <f>AB7*(PT=20)+AC7*(PT=15)</f>
        <v>135.57</v>
      </c>
      <c r="D7" s="51">
        <f>AF7*(PT=20)+AR7*(PT=15)</f>
        <v>0.38</v>
      </c>
      <c r="E7" s="51">
        <f>AG7*(PT=20)+AS7*(PT=15)</f>
        <v>0.82</v>
      </c>
      <c r="F7" s="51">
        <f>AH7*(PT=20)+AT7*(PT=15)</f>
        <v>1.21</v>
      </c>
      <c r="G7" s="51">
        <f>AI7*(PT=20)+AU7*(PT=15)</f>
        <v>1.62</v>
      </c>
      <c r="H7" s="51">
        <f>AJ7*(PT=20)+AV7*(PT=15)</f>
        <v>2.03</v>
      </c>
      <c r="I7" s="51">
        <f>AK7*(PT=20)+AW7*(PT=15)</f>
        <v>2.46</v>
      </c>
      <c r="J7" s="51">
        <f>AL7*(PT=20)+AX7*(PT=15)</f>
        <v>2.87</v>
      </c>
      <c r="K7" s="51">
        <f>AM7*(PT=20)+AY7*(PT=15)</f>
        <v>3.69</v>
      </c>
      <c r="L7" s="51">
        <f>AN7*(PT=20)+AZ7*(PT=15)</f>
        <v>4.51</v>
      </c>
      <c r="M7" s="51">
        <f>AO7*(PT=20)+BA7*(PT=15)</f>
        <v>5.74</v>
      </c>
      <c r="N7" s="53"/>
      <c r="O7" s="54">
        <v>750000</v>
      </c>
      <c r="P7" s="50">
        <v>3.2</v>
      </c>
      <c r="R7" s="60" t="s">
        <v>143</v>
      </c>
      <c r="S7" s="61">
        <f>(S4*(1-Direct_Discount)-S6)</f>
        <v>116.94</v>
      </c>
      <c r="T7" s="62">
        <f>T4*(1-T5)-T6</f>
        <v>116.94</v>
      </c>
      <c r="U7" s="67">
        <f>ROUND(T7*SA/1000*IF(Prem_Mode="Monthly",0.09,1),0)*IF(Prem_Mode="Monthly",12,1)</f>
        <v>4200000</v>
      </c>
      <c r="AA7" s="88">
        <v>21</v>
      </c>
      <c r="AB7" s="89">
        <v>83.17</v>
      </c>
      <c r="AC7" s="90">
        <v>135.57</v>
      </c>
      <c r="AE7" s="86">
        <v>21</v>
      </c>
      <c r="AF7" s="87">
        <v>0.23</v>
      </c>
      <c r="AG7" s="87">
        <v>0.45</v>
      </c>
      <c r="AH7" s="87">
        <v>0.68</v>
      </c>
      <c r="AI7" s="87">
        <v>0.91</v>
      </c>
      <c r="AJ7" s="87">
        <v>1.15</v>
      </c>
      <c r="AK7" s="87">
        <v>1.37</v>
      </c>
      <c r="AL7" s="87">
        <v>1.6</v>
      </c>
      <c r="AM7" s="87">
        <v>2.08</v>
      </c>
      <c r="AN7" s="87">
        <v>2.54</v>
      </c>
      <c r="AO7" s="99">
        <v>3.23</v>
      </c>
      <c r="AQ7" s="86">
        <v>21</v>
      </c>
      <c r="AR7" s="87">
        <v>0.38</v>
      </c>
      <c r="AS7" s="87">
        <v>0.82</v>
      </c>
      <c r="AT7" s="87">
        <v>1.21</v>
      </c>
      <c r="AU7" s="87">
        <v>1.62</v>
      </c>
      <c r="AV7" s="87">
        <v>2.03</v>
      </c>
      <c r="AW7" s="87">
        <v>2.46</v>
      </c>
      <c r="AX7" s="87">
        <v>2.87</v>
      </c>
      <c r="AY7" s="87">
        <v>3.69</v>
      </c>
      <c r="AZ7" s="87">
        <v>4.51</v>
      </c>
      <c r="BA7" s="99">
        <v>5.74</v>
      </c>
      <c r="BE7" s="57">
        <f>IF(BD6="Not Ok",(((ROUND(VLOOKUP(Age,RATES,2,FALSE)*(1-Direct_Discount),2)-P9)*MAX(1,Tot_MMR_Extra)+IFERROR(VLOOKUP(Age,RATES,MATCH(EM_PC,RATES_HEADINGS),FALSE),0)+Tot_Flat_Extra)*VLOOKUP(Prem_Mode,'Product Data n Calcs'!$O$13:$P$14,2,0)),0)</f>
        <v>0</v>
      </c>
    </row>
    <row r="8" spans="2:57">
      <c r="B8" s="49">
        <v>22</v>
      </c>
      <c r="C8" s="50">
        <f>AB8*(PT=20)+AC8*(PT=15)</f>
        <v>135.6</v>
      </c>
      <c r="D8" s="51">
        <f>AF8*(PT=20)+AR8*(PT=15)</f>
        <v>0.43</v>
      </c>
      <c r="E8" s="51">
        <f>AG8*(PT=20)+AS8*(PT=15)</f>
        <v>0.82</v>
      </c>
      <c r="F8" s="51">
        <f>AH8*(PT=20)+AT8*(PT=15)</f>
        <v>1.27</v>
      </c>
      <c r="G8" s="51">
        <f>AI8*(PT=20)+AU8*(PT=15)</f>
        <v>1.69</v>
      </c>
      <c r="H8" s="51">
        <f>AJ8*(PT=20)+AV8*(PT=15)</f>
        <v>2.11</v>
      </c>
      <c r="I8" s="51">
        <f>AK8*(PT=20)+AW8*(PT=15)</f>
        <v>2.52</v>
      </c>
      <c r="J8" s="51">
        <f>AL8*(PT=20)+AX8*(PT=15)</f>
        <v>2.94</v>
      </c>
      <c r="K8" s="51">
        <f>AM8*(PT=20)+AY8*(PT=15)</f>
        <v>3.78</v>
      </c>
      <c r="L8" s="51">
        <f>AN8*(PT=20)+AZ8*(PT=15)</f>
        <v>4.62</v>
      </c>
      <c r="M8" s="51">
        <f>AO8*(PT=20)+BA8*(PT=15)</f>
        <v>5.87</v>
      </c>
      <c r="N8" s="53"/>
      <c r="O8" s="54">
        <v>1000000</v>
      </c>
      <c r="P8" s="50">
        <v>3.8</v>
      </c>
      <c r="R8" s="60" t="s">
        <v>144</v>
      </c>
      <c r="S8" s="64">
        <f>(Staff_Case="Yes")*VLOOKUP(PT,$O$21:$P$22,2,0)</f>
        <v>0</v>
      </c>
      <c r="T8" s="65">
        <f>Staff_Discount</f>
        <v>0</v>
      </c>
      <c r="U8" s="68"/>
      <c r="AA8" s="88">
        <v>22</v>
      </c>
      <c r="AB8" s="89">
        <v>83.19</v>
      </c>
      <c r="AC8" s="90">
        <v>135.6</v>
      </c>
      <c r="AE8" s="86">
        <v>22</v>
      </c>
      <c r="AF8" s="87">
        <v>0.23</v>
      </c>
      <c r="AG8" s="87">
        <v>0.47</v>
      </c>
      <c r="AH8" s="87">
        <v>0.71</v>
      </c>
      <c r="AI8" s="87">
        <v>0.94</v>
      </c>
      <c r="AJ8" s="87">
        <v>1.18</v>
      </c>
      <c r="AK8" s="87">
        <v>1.41</v>
      </c>
      <c r="AL8" s="87">
        <v>1.65</v>
      </c>
      <c r="AM8" s="87">
        <v>2.12</v>
      </c>
      <c r="AN8" s="87">
        <v>2.59</v>
      </c>
      <c r="AO8" s="99">
        <v>3.3</v>
      </c>
      <c r="AQ8" s="86">
        <v>22</v>
      </c>
      <c r="AR8" s="87">
        <v>0.43</v>
      </c>
      <c r="AS8" s="87">
        <v>0.82</v>
      </c>
      <c r="AT8" s="87">
        <v>1.27</v>
      </c>
      <c r="AU8" s="87">
        <v>1.69</v>
      </c>
      <c r="AV8" s="87">
        <v>2.11</v>
      </c>
      <c r="AW8" s="87">
        <v>2.52</v>
      </c>
      <c r="AX8" s="87">
        <v>2.94</v>
      </c>
      <c r="AY8" s="87">
        <v>3.78</v>
      </c>
      <c r="AZ8" s="87">
        <v>4.62</v>
      </c>
      <c r="BA8" s="99">
        <v>5.87</v>
      </c>
      <c r="BD8" s="57" t="str">
        <f>IF(BE8&gt;=O9,"OK","Not OK")</f>
        <v>Not OK</v>
      </c>
      <c r="BE8" s="57">
        <f>IFERROR(ROUND(IF(ST_Indicator="No",('Premium Calculation'!$F$5*1000/BE7),(('Premium Calculation'!$F$5/(1+STax_1))*1000/BE7)),0),0)</f>
        <v>0</v>
      </c>
    </row>
    <row r="9" spans="2:57">
      <c r="B9" s="49">
        <v>23</v>
      </c>
      <c r="C9" s="50">
        <f>AB9*(PT=20)+AC9*(PT=15)</f>
        <v>135.64</v>
      </c>
      <c r="D9" s="51">
        <f>AF9*(PT=20)+AR9*(PT=15)</f>
        <v>0.43</v>
      </c>
      <c r="E9" s="51">
        <f>AG9*(PT=20)+AS9*(PT=15)</f>
        <v>0.86</v>
      </c>
      <c r="F9" s="51">
        <f>AH9*(PT=20)+AT9*(PT=15)</f>
        <v>1.27</v>
      </c>
      <c r="G9" s="51">
        <f>AI9*(PT=20)+AU9*(PT=15)</f>
        <v>1.7</v>
      </c>
      <c r="H9" s="51">
        <f>AJ9*(PT=20)+AV9*(PT=15)</f>
        <v>2.13</v>
      </c>
      <c r="I9" s="51">
        <f>AK9*(PT=20)+AW9*(PT=15)</f>
        <v>2.55</v>
      </c>
      <c r="J9" s="51">
        <f>AL9*(PT=20)+AX9*(PT=15)</f>
        <v>3.01</v>
      </c>
      <c r="K9" s="51">
        <f>AM9*(PT=20)+AY9*(PT=15)</f>
        <v>3.86</v>
      </c>
      <c r="L9" s="51">
        <f>AN9*(PT=20)+AZ9*(PT=15)</f>
        <v>4.72</v>
      </c>
      <c r="M9" s="51">
        <f>AO9*(PT=20)+BA9*(PT=15)</f>
        <v>6</v>
      </c>
      <c r="N9" s="53"/>
      <c r="O9" s="54">
        <v>2000000</v>
      </c>
      <c r="P9" s="50">
        <v>4.6</v>
      </c>
      <c r="R9" s="60" t="s">
        <v>28</v>
      </c>
      <c r="S9" s="61">
        <f>Flat_Extra</f>
        <v>0</v>
      </c>
      <c r="T9" s="62">
        <f>Tot_Flat_Extra</f>
        <v>0</v>
      </c>
      <c r="AA9" s="88">
        <v>23</v>
      </c>
      <c r="AB9" s="89">
        <v>83.21</v>
      </c>
      <c r="AC9" s="90">
        <v>135.64</v>
      </c>
      <c r="AE9" s="86">
        <v>23</v>
      </c>
      <c r="AF9" s="87">
        <v>0.23</v>
      </c>
      <c r="AG9" s="87">
        <v>0.47</v>
      </c>
      <c r="AH9" s="87">
        <v>0.71</v>
      </c>
      <c r="AI9" s="87">
        <v>0.96</v>
      </c>
      <c r="AJ9" s="87">
        <v>1.21</v>
      </c>
      <c r="AK9" s="87">
        <v>1.45</v>
      </c>
      <c r="AL9" s="87">
        <v>1.69</v>
      </c>
      <c r="AM9" s="87">
        <v>2.17</v>
      </c>
      <c r="AN9" s="87">
        <v>2.65</v>
      </c>
      <c r="AO9" s="99">
        <v>3.38</v>
      </c>
      <c r="AQ9" s="86">
        <v>23</v>
      </c>
      <c r="AR9" s="87">
        <v>0.43</v>
      </c>
      <c r="AS9" s="87">
        <v>0.86</v>
      </c>
      <c r="AT9" s="87">
        <v>1.27</v>
      </c>
      <c r="AU9" s="87">
        <v>1.7</v>
      </c>
      <c r="AV9" s="87">
        <v>2.13</v>
      </c>
      <c r="AW9" s="87">
        <v>2.55</v>
      </c>
      <c r="AX9" s="87">
        <v>3.01</v>
      </c>
      <c r="AY9" s="87">
        <v>3.86</v>
      </c>
      <c r="AZ9" s="87">
        <v>4.72</v>
      </c>
      <c r="BA9" s="99">
        <v>6</v>
      </c>
      <c r="BE9" s="57">
        <f>IF(BD8="Not Ok",(((ROUND(VLOOKUP(Age,RATES,2,FALSE)*(1-Direct_Discount),2)-P8)*MAX(1,Tot_MMR_Extra)+IFERROR(VLOOKUP(Age,RATES,MATCH(EM_PC,RATES_HEADINGS),FALSE),0)+Tot_Flat_Extra)*VLOOKUP(Prem_Mode,'Product Data n Calcs'!$O$13:$P$14,2,0)),0)</f>
        <v>10.6416</v>
      </c>
    </row>
    <row r="10" spans="2:57">
      <c r="B10" s="49">
        <v>24</v>
      </c>
      <c r="C10" s="50">
        <f>AB10*(PT=20)+AC10*(PT=15)</f>
        <v>135.68</v>
      </c>
      <c r="D10" s="51">
        <f>AF10*(PT=20)+AR10*(PT=15)</f>
        <v>0.43</v>
      </c>
      <c r="E10" s="51">
        <f>AG10*(PT=20)+AS10*(PT=15)</f>
        <v>0.86</v>
      </c>
      <c r="F10" s="51">
        <f>AH10*(PT=20)+AT10*(PT=15)</f>
        <v>1.32</v>
      </c>
      <c r="G10" s="51">
        <f>AI10*(PT=20)+AU10*(PT=15)</f>
        <v>1.76</v>
      </c>
      <c r="H10" s="51">
        <f>AJ10*(PT=20)+AV10*(PT=15)</f>
        <v>2.2</v>
      </c>
      <c r="I10" s="51">
        <f>AK10*(PT=20)+AW10*(PT=15)</f>
        <v>2.64</v>
      </c>
      <c r="J10" s="51">
        <f>AL10*(PT=20)+AX10*(PT=15)</f>
        <v>3.08</v>
      </c>
      <c r="K10" s="51">
        <f>AM10*(PT=20)+AY10*(PT=15)</f>
        <v>3.96</v>
      </c>
      <c r="L10" s="51">
        <f>AN10*(PT=20)+AZ10*(PT=15)</f>
        <v>4.83</v>
      </c>
      <c r="M10" s="51">
        <f>AO10*(PT=20)+BA10*(PT=15)</f>
        <v>6.14</v>
      </c>
      <c r="N10" s="53"/>
      <c r="O10" s="54">
        <v>5000000</v>
      </c>
      <c r="P10" s="50">
        <v>5.1</v>
      </c>
      <c r="R10" s="60" t="s">
        <v>145</v>
      </c>
      <c r="S10" s="61">
        <f>EM_PC</f>
        <v>0</v>
      </c>
      <c r="T10" s="62">
        <f>EMR_Rating</f>
        <v>0</v>
      </c>
      <c r="AA10" s="88">
        <v>24</v>
      </c>
      <c r="AB10" s="89">
        <v>83.23</v>
      </c>
      <c r="AC10" s="90">
        <v>135.68</v>
      </c>
      <c r="AE10" s="86">
        <v>24</v>
      </c>
      <c r="AF10" s="87">
        <v>0.25</v>
      </c>
      <c r="AG10" s="87">
        <v>0.5</v>
      </c>
      <c r="AH10" s="87">
        <v>0.74</v>
      </c>
      <c r="AI10" s="87">
        <v>0.99</v>
      </c>
      <c r="AJ10" s="87">
        <v>1.24</v>
      </c>
      <c r="AK10" s="87">
        <v>1.49</v>
      </c>
      <c r="AL10" s="87">
        <v>1.73</v>
      </c>
      <c r="AM10" s="87">
        <v>2.23</v>
      </c>
      <c r="AN10" s="87">
        <v>2.72</v>
      </c>
      <c r="AO10" s="99">
        <v>3.46</v>
      </c>
      <c r="AQ10" s="86">
        <v>24</v>
      </c>
      <c r="AR10" s="87">
        <v>0.43</v>
      </c>
      <c r="AS10" s="87">
        <v>0.86</v>
      </c>
      <c r="AT10" s="87">
        <v>1.32</v>
      </c>
      <c r="AU10" s="87">
        <v>1.76</v>
      </c>
      <c r="AV10" s="87">
        <v>2.2</v>
      </c>
      <c r="AW10" s="87">
        <v>2.64</v>
      </c>
      <c r="AX10" s="87">
        <v>3.08</v>
      </c>
      <c r="AY10" s="87">
        <v>3.96</v>
      </c>
      <c r="AZ10" s="87">
        <v>4.83</v>
      </c>
      <c r="BA10" s="99">
        <v>6.14</v>
      </c>
      <c r="BD10" s="57" t="str">
        <f>IF(BE10&gt;=O8,"OK","Not OK")</f>
        <v>OK</v>
      </c>
      <c r="BE10" s="57">
        <f>IFERROR(ROUND(IF(ST_Indicator="No",('Premium Calculation'!$F$5*1000/BE9),(('Premium Calculation'!$F$5/(1+STax_1))*1000/BE9)),0),0)</f>
        <v>32889791</v>
      </c>
    </row>
    <row r="11" spans="2:57">
      <c r="B11" s="49">
        <v>25</v>
      </c>
      <c r="C11" s="50">
        <f>AB11*(PT=20)+AC11*(PT=15)</f>
        <v>135.73</v>
      </c>
      <c r="D11" s="51">
        <f>AF11*(PT=20)+AR11*(PT=15)</f>
        <v>0.43</v>
      </c>
      <c r="E11" s="51">
        <f>AG11*(PT=20)+AS11*(PT=15)</f>
        <v>0.91</v>
      </c>
      <c r="F11" s="51">
        <f>AH11*(PT=20)+AT11*(PT=15)</f>
        <v>1.34</v>
      </c>
      <c r="G11" s="51">
        <f>AI11*(PT=20)+AU11*(PT=15)</f>
        <v>1.78</v>
      </c>
      <c r="H11" s="51">
        <f>AJ11*(PT=20)+AV11*(PT=15)</f>
        <v>2.26</v>
      </c>
      <c r="I11" s="51">
        <f>AK11*(PT=20)+AW11*(PT=15)</f>
        <v>2.71</v>
      </c>
      <c r="J11" s="51">
        <f>AL11*(PT=20)+AX11*(PT=15)</f>
        <v>3.16</v>
      </c>
      <c r="K11" s="51">
        <f>AM11*(PT=20)+AY11*(PT=15)</f>
        <v>4.06</v>
      </c>
      <c r="L11" s="51">
        <f>AN11*(PT=20)+AZ11*(PT=15)</f>
        <v>4.96</v>
      </c>
      <c r="M11" s="51">
        <f>AO11*(PT=20)+BA11*(PT=15)</f>
        <v>6.3</v>
      </c>
      <c r="N11" s="53"/>
      <c r="R11" s="60" t="s">
        <v>146</v>
      </c>
      <c r="S11" s="61">
        <f>IFERROR(VLOOKUP(Age,RATES,MATCH(EM_PC,RATES_HEADINGS),FALSE),0)</f>
        <v>0</v>
      </c>
      <c r="T11" s="62">
        <f>EMR_Rate</f>
        <v>0</v>
      </c>
      <c r="AA11" s="88">
        <v>25</v>
      </c>
      <c r="AB11" s="89">
        <v>83.26</v>
      </c>
      <c r="AC11" s="90">
        <v>135.73</v>
      </c>
      <c r="AE11" s="86">
        <v>25</v>
      </c>
      <c r="AF11" s="87">
        <v>0.25</v>
      </c>
      <c r="AG11" s="87">
        <v>0.5</v>
      </c>
      <c r="AH11" s="87">
        <v>0.75</v>
      </c>
      <c r="AI11" s="87">
        <v>1.02</v>
      </c>
      <c r="AJ11" s="87">
        <v>1.27</v>
      </c>
      <c r="AK11" s="87">
        <v>1.52</v>
      </c>
      <c r="AL11" s="87">
        <v>1.78</v>
      </c>
      <c r="AM11" s="87">
        <v>2.28</v>
      </c>
      <c r="AN11" s="87">
        <v>2.79</v>
      </c>
      <c r="AO11" s="99">
        <v>3.55</v>
      </c>
      <c r="AQ11" s="86">
        <v>25</v>
      </c>
      <c r="AR11" s="87">
        <v>0.43</v>
      </c>
      <c r="AS11" s="87">
        <v>0.91</v>
      </c>
      <c r="AT11" s="87">
        <v>1.34</v>
      </c>
      <c r="AU11" s="87">
        <v>1.78</v>
      </c>
      <c r="AV11" s="87">
        <v>2.26</v>
      </c>
      <c r="AW11" s="87">
        <v>2.71</v>
      </c>
      <c r="AX11" s="87">
        <v>3.16</v>
      </c>
      <c r="AY11" s="87">
        <v>4.06</v>
      </c>
      <c r="AZ11" s="87">
        <v>4.96</v>
      </c>
      <c r="BA11" s="99">
        <v>6.3</v>
      </c>
      <c r="BE11" s="57">
        <f>IF(BD10="Not Ok",(((ROUND(VLOOKUP(Age,RATES,2,FALSE)*(1-Direct_Discount),2)-P7)*MAX(1,Tot_MMR_Extra)+IFERROR(VLOOKUP(Age,RATES,MATCH(EM_PC,RATES_HEADINGS),FALSE),0)+Tot_Flat_Extra)*VLOOKUP(Prem_Mode,'Product Data n Calcs'!$O$13:$P$14,2,0)),0)</f>
        <v>0</v>
      </c>
    </row>
    <row r="12" spans="2:57">
      <c r="B12" s="49">
        <v>26</v>
      </c>
      <c r="C12" s="50">
        <f>AB12*(PT=20)+AC12*(PT=15)</f>
        <v>135.79</v>
      </c>
      <c r="D12" s="51">
        <f>AF12*(PT=20)+AR12*(PT=15)</f>
        <v>0.47</v>
      </c>
      <c r="E12" s="51">
        <f>AG12*(PT=20)+AS12*(PT=15)</f>
        <v>0.91</v>
      </c>
      <c r="F12" s="51">
        <f>AH12*(PT=20)+AT12*(PT=15)</f>
        <v>1.4</v>
      </c>
      <c r="G12" s="51">
        <f>AI12*(PT=20)+AU12*(PT=15)</f>
        <v>1.86</v>
      </c>
      <c r="H12" s="51">
        <f>AJ12*(PT=20)+AV12*(PT=15)</f>
        <v>2.33</v>
      </c>
      <c r="I12" s="51">
        <f>AK12*(PT=20)+AW12*(PT=15)</f>
        <v>2.79</v>
      </c>
      <c r="J12" s="51">
        <f>AL12*(PT=20)+AX12*(PT=15)</f>
        <v>3.26</v>
      </c>
      <c r="K12" s="51">
        <f>AM12*(PT=20)+AY12*(PT=15)</f>
        <v>4.18</v>
      </c>
      <c r="L12" s="51">
        <f>AN12*(PT=20)+AZ12*(PT=15)</f>
        <v>5.11</v>
      </c>
      <c r="M12" s="51">
        <f>AO12*(PT=20)+BA12*(PT=15)</f>
        <v>6.49</v>
      </c>
      <c r="N12" s="53"/>
      <c r="O12" s="48" t="s">
        <v>8</v>
      </c>
      <c r="P12" s="48" t="s">
        <v>147</v>
      </c>
      <c r="R12" s="60" t="s">
        <v>29</v>
      </c>
      <c r="S12" s="61">
        <f>MMR_Extra</f>
        <v>0</v>
      </c>
      <c r="T12" s="62">
        <f>Tot_MMR_Extra</f>
        <v>0</v>
      </c>
      <c r="AA12" s="88">
        <v>26</v>
      </c>
      <c r="AB12" s="89">
        <v>83.29</v>
      </c>
      <c r="AC12" s="90">
        <v>135.79</v>
      </c>
      <c r="AE12" s="86">
        <v>26</v>
      </c>
      <c r="AF12" s="87">
        <v>0.25</v>
      </c>
      <c r="AG12" s="87">
        <v>0.53</v>
      </c>
      <c r="AH12" s="87">
        <v>0.79</v>
      </c>
      <c r="AI12" s="87">
        <v>1.05</v>
      </c>
      <c r="AJ12" s="87">
        <v>1.31</v>
      </c>
      <c r="AK12" s="87">
        <v>1.57</v>
      </c>
      <c r="AL12" s="87">
        <v>1.83</v>
      </c>
      <c r="AM12" s="87">
        <v>2.36</v>
      </c>
      <c r="AN12" s="87">
        <v>2.88</v>
      </c>
      <c r="AO12" s="99">
        <v>3.66</v>
      </c>
      <c r="AQ12" s="86">
        <v>26</v>
      </c>
      <c r="AR12" s="87">
        <v>0.47</v>
      </c>
      <c r="AS12" s="87">
        <v>0.91</v>
      </c>
      <c r="AT12" s="87">
        <v>1.4</v>
      </c>
      <c r="AU12" s="87">
        <v>1.86</v>
      </c>
      <c r="AV12" s="87">
        <v>2.33</v>
      </c>
      <c r="AW12" s="87">
        <v>2.79</v>
      </c>
      <c r="AX12" s="87">
        <v>3.26</v>
      </c>
      <c r="AY12" s="87">
        <v>4.18</v>
      </c>
      <c r="AZ12" s="87">
        <v>5.11</v>
      </c>
      <c r="BA12" s="99">
        <v>6.49</v>
      </c>
      <c r="BD12" s="57" t="str">
        <f>IF(BE12&gt;=O7,"OK","Not OK")</f>
        <v>Not OK</v>
      </c>
      <c r="BE12" s="57">
        <f>IFERROR(ROUND(IF(ST_Indicator="No",('Premium Calculation'!$F$5*1000/BE11),(('Premium Calculation'!$F$5/(1+STax_1))*1000/BE11)),0),0)</f>
        <v>0</v>
      </c>
    </row>
    <row r="13" spans="2:57">
      <c r="B13" s="49">
        <v>27</v>
      </c>
      <c r="C13" s="50">
        <f>AB13*(PT=20)+AC13*(PT=15)</f>
        <v>135.86</v>
      </c>
      <c r="D13" s="51">
        <f>AF13*(PT=20)+AR13*(PT=15)</f>
        <v>0.47</v>
      </c>
      <c r="E13" s="51">
        <f>AG13*(PT=20)+AS13*(PT=15)</f>
        <v>0.97</v>
      </c>
      <c r="F13" s="51">
        <f>AH13*(PT=20)+AT13*(PT=15)</f>
        <v>1.45</v>
      </c>
      <c r="G13" s="51">
        <f>AI13*(PT=20)+AU13*(PT=15)</f>
        <v>1.93</v>
      </c>
      <c r="H13" s="51">
        <f>AJ13*(PT=20)+AV13*(PT=15)</f>
        <v>2.41</v>
      </c>
      <c r="I13" s="51">
        <f>AK13*(PT=20)+AW13*(PT=15)</f>
        <v>2.89</v>
      </c>
      <c r="J13" s="51">
        <f>AL13*(PT=20)+AX13*(PT=15)</f>
        <v>3.37</v>
      </c>
      <c r="K13" s="51">
        <f>AM13*(PT=20)+AY13*(PT=15)</f>
        <v>4.33</v>
      </c>
      <c r="L13" s="51">
        <f>AN13*(PT=20)+AZ13*(PT=15)</f>
        <v>5.29</v>
      </c>
      <c r="M13" s="51">
        <f>AO13*(PT=20)+BA13*(PT=15)</f>
        <v>6.72</v>
      </c>
      <c r="N13" s="53"/>
      <c r="O13" s="54" t="s">
        <v>148</v>
      </c>
      <c r="P13" s="50">
        <v>1</v>
      </c>
      <c r="R13" s="60" t="s">
        <v>149</v>
      </c>
      <c r="S13" s="61">
        <f>(Prem_after_rebate*(1-Staff_Discount))</f>
        <v>116.94</v>
      </c>
      <c r="T13" s="62">
        <f>ROUND(T7*(1-T8),2)</f>
        <v>116.94</v>
      </c>
      <c r="U13" s="69"/>
      <c r="AA13" s="88">
        <v>27</v>
      </c>
      <c r="AB13" s="89">
        <v>83.33</v>
      </c>
      <c r="AC13" s="90">
        <v>135.86</v>
      </c>
      <c r="AE13" s="86">
        <v>27</v>
      </c>
      <c r="AF13" s="87">
        <v>0.27</v>
      </c>
      <c r="AG13" s="87">
        <v>0.53</v>
      </c>
      <c r="AH13" s="87">
        <v>0.81</v>
      </c>
      <c r="AI13" s="87">
        <v>1.09</v>
      </c>
      <c r="AJ13" s="87">
        <v>1.36</v>
      </c>
      <c r="AK13" s="87">
        <v>1.63</v>
      </c>
      <c r="AL13" s="87">
        <v>1.9</v>
      </c>
      <c r="AM13" s="87">
        <v>2.44</v>
      </c>
      <c r="AN13" s="87">
        <v>2.98</v>
      </c>
      <c r="AO13" s="99">
        <v>3.79</v>
      </c>
      <c r="AQ13" s="86">
        <v>27</v>
      </c>
      <c r="AR13" s="87">
        <v>0.47</v>
      </c>
      <c r="AS13" s="87">
        <v>0.97</v>
      </c>
      <c r="AT13" s="87">
        <v>1.45</v>
      </c>
      <c r="AU13" s="87">
        <v>1.93</v>
      </c>
      <c r="AV13" s="87">
        <v>2.41</v>
      </c>
      <c r="AW13" s="87">
        <v>2.89</v>
      </c>
      <c r="AX13" s="87">
        <v>3.37</v>
      </c>
      <c r="AY13" s="87">
        <v>4.33</v>
      </c>
      <c r="AZ13" s="87">
        <v>5.29</v>
      </c>
      <c r="BA13" s="99">
        <v>6.72</v>
      </c>
      <c r="BE13" s="57">
        <f>IF(BD12="Not Ok",(((ROUND(VLOOKUP(Age,RATES,2,FALSE)*(1-Direct_Discount),2)-P6)*MAX(1,Tot_MMR_Extra)+IFERROR(VLOOKUP(Age,RATES,MATCH(EM_PC,RATES_HEADINGS),FALSE),0)+Tot_Flat_Extra)*VLOOKUP(Prem_Mode,'Product Data n Calcs'!$O$13:$P$14,2,0)),0)</f>
        <v>10.7946</v>
      </c>
    </row>
    <row r="14" spans="2:57">
      <c r="B14" s="49">
        <v>28</v>
      </c>
      <c r="C14" s="50">
        <f>AB14*(PT=20)+AC14*(PT=15)</f>
        <v>135.94</v>
      </c>
      <c r="D14" s="51">
        <f>AF14*(PT=20)+AR14*(PT=15)</f>
        <v>0.51</v>
      </c>
      <c r="E14" s="51">
        <f>AG14*(PT=20)+AS14*(PT=15)</f>
        <v>1.01</v>
      </c>
      <c r="F14" s="51">
        <f>AH14*(PT=20)+AT14*(PT=15)</f>
        <v>1.51</v>
      </c>
      <c r="G14" s="51">
        <f>AI14*(PT=20)+AU14*(PT=15)</f>
        <v>2.01</v>
      </c>
      <c r="H14" s="51">
        <f>AJ14*(PT=20)+AV14*(PT=15)</f>
        <v>2.51</v>
      </c>
      <c r="I14" s="51">
        <f>AK14*(PT=20)+AW14*(PT=15)</f>
        <v>3.01</v>
      </c>
      <c r="J14" s="51">
        <f>AL14*(PT=20)+AX14*(PT=15)</f>
        <v>3.52</v>
      </c>
      <c r="K14" s="51">
        <f>AM14*(PT=20)+AY14*(PT=15)</f>
        <v>4.51</v>
      </c>
      <c r="L14" s="51">
        <f>AN14*(PT=20)+AZ14*(PT=15)</f>
        <v>5.51</v>
      </c>
      <c r="M14" s="51">
        <f>AO14*(PT=20)+BA14*(PT=15)</f>
        <v>7</v>
      </c>
      <c r="N14" s="53"/>
      <c r="O14" s="54" t="s">
        <v>9</v>
      </c>
      <c r="P14" s="50">
        <v>0.09</v>
      </c>
      <c r="R14" s="60" t="s">
        <v>150</v>
      </c>
      <c r="S14" s="61">
        <f>Tot_Flat_Extra+EMR_Rate+MAX(Tot_MMR_Extra-1,0)*Net_Prem_Rate</f>
        <v>0</v>
      </c>
      <c r="T14" s="62">
        <f>T11+T9+MAX(T12-1,0)*T13</f>
        <v>0</v>
      </c>
      <c r="AA14" s="88">
        <v>28</v>
      </c>
      <c r="AB14" s="89">
        <v>83.38</v>
      </c>
      <c r="AC14" s="90">
        <v>135.94</v>
      </c>
      <c r="AE14" s="86">
        <v>28</v>
      </c>
      <c r="AF14" s="87">
        <v>0.27</v>
      </c>
      <c r="AG14" s="87">
        <v>0.56</v>
      </c>
      <c r="AH14" s="87">
        <v>0.85</v>
      </c>
      <c r="AI14" s="87">
        <v>1.13</v>
      </c>
      <c r="AJ14" s="87">
        <v>1.41</v>
      </c>
      <c r="AK14" s="87">
        <v>1.69</v>
      </c>
      <c r="AL14" s="87">
        <v>1.97</v>
      </c>
      <c r="AM14" s="87">
        <v>2.54</v>
      </c>
      <c r="AN14" s="87">
        <v>3.1</v>
      </c>
      <c r="AO14" s="99">
        <v>3.94</v>
      </c>
      <c r="AQ14" s="86">
        <v>28</v>
      </c>
      <c r="AR14" s="87">
        <v>0.51</v>
      </c>
      <c r="AS14" s="87">
        <v>1.01</v>
      </c>
      <c r="AT14" s="87">
        <v>1.51</v>
      </c>
      <c r="AU14" s="87">
        <v>2.01</v>
      </c>
      <c r="AV14" s="87">
        <v>2.51</v>
      </c>
      <c r="AW14" s="87">
        <v>3.01</v>
      </c>
      <c r="AX14" s="87">
        <v>3.52</v>
      </c>
      <c r="AY14" s="87">
        <v>4.51</v>
      </c>
      <c r="AZ14" s="87">
        <v>5.51</v>
      </c>
      <c r="BA14" s="99">
        <v>7</v>
      </c>
      <c r="BD14" s="57" t="str">
        <f>IF(BE14&gt;=O6,"OK","Not OK")</f>
        <v>OK</v>
      </c>
      <c r="BE14" s="57">
        <f>IFERROR(ROUND(IF(ST_Indicator="No",('Premium Calculation'!$F$5*1000/BE13),(('Premium Calculation'!$F$5/(1+STax_1))*1000/BE13)),0),0)</f>
        <v>32423619</v>
      </c>
    </row>
    <row r="15" spans="2:57">
      <c r="B15" s="49">
        <v>29</v>
      </c>
      <c r="C15" s="50">
        <f>AB15*(PT=20)+AC15*(PT=15)</f>
        <v>136.04</v>
      </c>
      <c r="D15" s="51">
        <f>AF15*(PT=20)+AR15*(PT=15)</f>
        <v>0.51</v>
      </c>
      <c r="E15" s="51">
        <f>AG15*(PT=20)+AS15*(PT=15)</f>
        <v>1.06</v>
      </c>
      <c r="F15" s="51">
        <f>AH15*(PT=20)+AT15*(PT=15)</f>
        <v>1.58</v>
      </c>
      <c r="G15" s="51">
        <f>AI15*(PT=20)+AU15*(PT=15)</f>
        <v>2.11</v>
      </c>
      <c r="H15" s="51">
        <f>AJ15*(PT=20)+AV15*(PT=15)</f>
        <v>2.63</v>
      </c>
      <c r="I15" s="51">
        <f>AK15*(PT=20)+AW15*(PT=15)</f>
        <v>3.16</v>
      </c>
      <c r="J15" s="51">
        <f>AL15*(PT=20)+AX15*(PT=15)</f>
        <v>3.68</v>
      </c>
      <c r="K15" s="51">
        <f>AM15*(PT=20)+AY15*(PT=15)</f>
        <v>4.73</v>
      </c>
      <c r="L15" s="51">
        <f>AN15*(PT=20)+AZ15*(PT=15)</f>
        <v>5.77</v>
      </c>
      <c r="M15" s="51">
        <f>AO15*(PT=20)+BA15*(PT=15)</f>
        <v>7.33</v>
      </c>
      <c r="R15" s="60" t="s">
        <v>151</v>
      </c>
      <c r="S15" s="61">
        <f>Tot_Flat_Extra+EMR_Rate+MAX(Tot_MMR_Extra-1,0)*Prem_after_rebate</f>
        <v>0</v>
      </c>
      <c r="T15" s="62">
        <f>T11+T9+MAX(T12-1,0)*T7</f>
        <v>0</v>
      </c>
      <c r="U15" s="66" t="s">
        <v>152</v>
      </c>
      <c r="AA15" s="88">
        <v>29</v>
      </c>
      <c r="AB15" s="89">
        <v>83.43</v>
      </c>
      <c r="AC15" s="90">
        <v>136.04</v>
      </c>
      <c r="AE15" s="86">
        <v>29</v>
      </c>
      <c r="AF15" s="87">
        <v>0.3</v>
      </c>
      <c r="AG15" s="87">
        <v>0.6</v>
      </c>
      <c r="AH15" s="87">
        <v>0.89</v>
      </c>
      <c r="AI15" s="87">
        <v>1.19</v>
      </c>
      <c r="AJ15" s="87">
        <v>1.48</v>
      </c>
      <c r="AK15" s="87">
        <v>1.78</v>
      </c>
      <c r="AL15" s="87">
        <v>2.07</v>
      </c>
      <c r="AM15" s="87">
        <v>2.66</v>
      </c>
      <c r="AN15" s="87">
        <v>3.25</v>
      </c>
      <c r="AO15" s="99">
        <v>4.14</v>
      </c>
      <c r="AQ15" s="86">
        <v>29</v>
      </c>
      <c r="AR15" s="87">
        <v>0.51</v>
      </c>
      <c r="AS15" s="87">
        <v>1.06</v>
      </c>
      <c r="AT15" s="87">
        <v>1.58</v>
      </c>
      <c r="AU15" s="87">
        <v>2.11</v>
      </c>
      <c r="AV15" s="87">
        <v>2.63</v>
      </c>
      <c r="AW15" s="87">
        <v>3.16</v>
      </c>
      <c r="AX15" s="87">
        <v>3.68</v>
      </c>
      <c r="AY15" s="87">
        <v>4.73</v>
      </c>
      <c r="AZ15" s="87">
        <v>5.77</v>
      </c>
      <c r="BA15" s="99">
        <v>7.33</v>
      </c>
      <c r="BE15" s="57">
        <f>IF(BD14="Not Ok",(((ROUND(VLOOKUP(Age,RATES,2,FALSE)*(1-Direct_Discount),2)-P5)*MAX(1,Tot_MMR_Extra)+IFERROR(VLOOKUP(Age,RATES,MATCH(EM_PC,RATES_HEADINGS),FALSE),0)+Tot_Flat_Extra)*VLOOKUP(Prem_Mode,'Product Data n Calcs'!$O$13:$P$14,2,0)),0)</f>
        <v>0</v>
      </c>
    </row>
    <row r="16" spans="2:57">
      <c r="B16" s="49">
        <v>30</v>
      </c>
      <c r="C16" s="50">
        <f>AB16*(PT=20)+AC16*(PT=15)</f>
        <v>136.16</v>
      </c>
      <c r="D16" s="51">
        <f>AF16*(PT=20)+AR16*(PT=15)</f>
        <v>0.56</v>
      </c>
      <c r="E16" s="51">
        <f>AG16*(PT=20)+AS16*(PT=15)</f>
        <v>1.11</v>
      </c>
      <c r="F16" s="51">
        <f>AH16*(PT=20)+AT16*(PT=15)</f>
        <v>1.67</v>
      </c>
      <c r="G16" s="51">
        <f>AI16*(PT=20)+AU16*(PT=15)</f>
        <v>2.22</v>
      </c>
      <c r="H16" s="51">
        <f>AJ16*(PT=20)+AV16*(PT=15)</f>
        <v>2.78</v>
      </c>
      <c r="I16" s="51">
        <f>AK16*(PT=20)+AW16*(PT=15)</f>
        <v>3.33</v>
      </c>
      <c r="J16" s="51">
        <f>AL16*(PT=20)+AX16*(PT=15)</f>
        <v>3.88</v>
      </c>
      <c r="K16" s="51">
        <f>AM16*(PT=20)+AY16*(PT=15)</f>
        <v>4.98</v>
      </c>
      <c r="L16" s="51">
        <f>AN16*(PT=20)+AZ16*(PT=15)</f>
        <v>6.08</v>
      </c>
      <c r="M16" s="51">
        <f>AO16*(PT=20)+BA16*(PT=15)</f>
        <v>7.73</v>
      </c>
      <c r="R16" s="60" t="s">
        <v>153</v>
      </c>
      <c r="S16" s="61">
        <f>ROUND(Net_Prem_Rate+Net_EMR_Rate,2)</f>
        <v>116.94</v>
      </c>
      <c r="T16" s="62">
        <f>ROUND(T13+T14,2)</f>
        <v>116.94</v>
      </c>
      <c r="U16" s="62">
        <f>ROUND(T13*T18,0)</f>
        <v>350000</v>
      </c>
      <c r="V16" s="70" t="s">
        <v>154</v>
      </c>
      <c r="W16" s="71"/>
      <c r="X16" s="71"/>
      <c r="Y16" s="71"/>
      <c r="AA16" s="88">
        <v>30</v>
      </c>
      <c r="AB16" s="89">
        <v>83.5</v>
      </c>
      <c r="AC16" s="90">
        <v>136.16</v>
      </c>
      <c r="AE16" s="86">
        <v>30</v>
      </c>
      <c r="AF16" s="87">
        <v>0.3</v>
      </c>
      <c r="AG16" s="87">
        <v>0.62</v>
      </c>
      <c r="AH16" s="87">
        <v>0.94</v>
      </c>
      <c r="AI16" s="87">
        <v>1.25</v>
      </c>
      <c r="AJ16" s="87">
        <v>1.56</v>
      </c>
      <c r="AK16" s="87">
        <v>1.87</v>
      </c>
      <c r="AL16" s="87">
        <v>2.18</v>
      </c>
      <c r="AM16" s="87">
        <v>2.8</v>
      </c>
      <c r="AN16" s="87">
        <v>3.42</v>
      </c>
      <c r="AO16" s="99">
        <v>4.35</v>
      </c>
      <c r="AQ16" s="86">
        <v>30</v>
      </c>
      <c r="AR16" s="87">
        <v>0.56</v>
      </c>
      <c r="AS16" s="87">
        <v>1.11</v>
      </c>
      <c r="AT16" s="87">
        <v>1.67</v>
      </c>
      <c r="AU16" s="87">
        <v>2.22</v>
      </c>
      <c r="AV16" s="87">
        <v>2.78</v>
      </c>
      <c r="AW16" s="87">
        <v>3.33</v>
      </c>
      <c r="AX16" s="87">
        <v>3.88</v>
      </c>
      <c r="AY16" s="87">
        <v>4.98</v>
      </c>
      <c r="AZ16" s="87">
        <v>6.08</v>
      </c>
      <c r="BA16" s="99">
        <v>7.73</v>
      </c>
      <c r="BD16" s="102" t="str">
        <f>IF(BE16&gt;=O5,"OK","Not OK")</f>
        <v>Not OK</v>
      </c>
      <c r="BE16" s="102">
        <f>IFERROR(ROUND(IF(ST_Indicator="No",('Premium Calculation'!$F$5*1000/BE15),(('Premium Calculation'!$F$5/(1+STax_1))*1000/BE15)),0),0)</f>
        <v>0</v>
      </c>
    </row>
    <row r="17" ht="16.5" customHeight="1" spans="2:57">
      <c r="B17" s="49">
        <v>31</v>
      </c>
      <c r="C17" s="50">
        <f>AB17*(PT=20)+AC17*(PT=15)</f>
        <v>136.3</v>
      </c>
      <c r="D17" s="51">
        <f>AF17*(PT=20)+AR17*(PT=15)</f>
        <v>0.56</v>
      </c>
      <c r="E17" s="51">
        <f>AG17*(PT=20)+AS17*(PT=15)</f>
        <v>1.18</v>
      </c>
      <c r="F17" s="51">
        <f>AH17*(PT=20)+AT17*(PT=15)</f>
        <v>1.77</v>
      </c>
      <c r="G17" s="51">
        <f>AI17*(PT=20)+AU17*(PT=15)</f>
        <v>2.36</v>
      </c>
      <c r="H17" s="51">
        <f>AJ17*(PT=20)+AV17*(PT=15)</f>
        <v>2.95</v>
      </c>
      <c r="I17" s="51">
        <f>AK17*(PT=20)+AW17*(PT=15)</f>
        <v>3.53</v>
      </c>
      <c r="J17" s="51">
        <f>AL17*(PT=20)+AX17*(PT=15)</f>
        <v>4.12</v>
      </c>
      <c r="K17" s="51">
        <f>AM17*(PT=20)+AY17*(PT=15)</f>
        <v>5.29</v>
      </c>
      <c r="L17" s="51">
        <f>AN17*(PT=20)+AZ17*(PT=15)</f>
        <v>6.45</v>
      </c>
      <c r="M17" s="51">
        <f>AO17*(PT=20)+BA17*(PT=15)</f>
        <v>8.19</v>
      </c>
      <c r="R17" s="60" t="s">
        <v>155</v>
      </c>
      <c r="S17" s="61">
        <f>ROUND(Prem_after_rebate+Net_EMR_rate_yr2,2)</f>
        <v>116.94</v>
      </c>
      <c r="T17" s="62">
        <f>T7+T15</f>
        <v>116.94</v>
      </c>
      <c r="U17" s="62">
        <f>ROUND(T7*T18,0)</f>
        <v>350000</v>
      </c>
      <c r="V17" s="70" t="s">
        <v>156</v>
      </c>
      <c r="W17" s="71"/>
      <c r="X17" s="71"/>
      <c r="Y17" s="71"/>
      <c r="AA17" s="88">
        <v>31</v>
      </c>
      <c r="AB17" s="89">
        <v>83.57</v>
      </c>
      <c r="AC17" s="90">
        <v>136.3</v>
      </c>
      <c r="AE17" s="86">
        <v>31</v>
      </c>
      <c r="AF17" s="87">
        <v>0.33</v>
      </c>
      <c r="AG17" s="87">
        <v>0.67</v>
      </c>
      <c r="AH17" s="87">
        <v>1</v>
      </c>
      <c r="AI17" s="87">
        <v>1.33</v>
      </c>
      <c r="AJ17" s="87">
        <v>1.66</v>
      </c>
      <c r="AK17" s="87">
        <v>1.99</v>
      </c>
      <c r="AL17" s="87">
        <v>2.32</v>
      </c>
      <c r="AM17" s="87">
        <v>2.98</v>
      </c>
      <c r="AN17" s="87">
        <v>3.64</v>
      </c>
      <c r="AO17" s="99">
        <v>4.62</v>
      </c>
      <c r="AQ17" s="86">
        <v>31</v>
      </c>
      <c r="AR17" s="87">
        <v>0.56</v>
      </c>
      <c r="AS17" s="87">
        <v>1.18</v>
      </c>
      <c r="AT17" s="87">
        <v>1.77</v>
      </c>
      <c r="AU17" s="87">
        <v>2.36</v>
      </c>
      <c r="AV17" s="87">
        <v>2.95</v>
      </c>
      <c r="AW17" s="87">
        <v>3.53</v>
      </c>
      <c r="AX17" s="87">
        <v>4.12</v>
      </c>
      <c r="AY17" s="87">
        <v>5.29</v>
      </c>
      <c r="AZ17" s="87">
        <v>6.45</v>
      </c>
      <c r="BA17" s="99">
        <v>8.19</v>
      </c>
      <c r="BE17" s="57">
        <f>IF(BD16="Not Ok",(((ROUND(VLOOKUP(Age,RATES,2,FALSE)*(1-Direct_Discount),2)-P4)*MAX(1,Tot_MMR_Extra)+IFERROR(VLOOKUP(Age,RATES,MATCH(EM_PC,RATES_HEADINGS),FALSE),0)+Tot_Flat_Extra)*VLOOKUP(Prem_Mode,'Product Data n Calcs'!$O$13:$P$14,2,0)),0)</f>
        <v>10.9836</v>
      </c>
    </row>
    <row r="18" spans="2:57">
      <c r="B18" s="49">
        <v>32</v>
      </c>
      <c r="C18" s="50">
        <f>AB18*(PT=20)+AC18*(PT=15)</f>
        <v>136.46</v>
      </c>
      <c r="D18" s="51">
        <f>AF18*(PT=20)+AR18*(PT=15)</f>
        <v>0.62</v>
      </c>
      <c r="E18" s="51">
        <f>AG18*(PT=20)+AS18*(PT=15)</f>
        <v>1.27</v>
      </c>
      <c r="F18" s="51">
        <f>AH18*(PT=20)+AT18*(PT=15)</f>
        <v>1.9</v>
      </c>
      <c r="G18" s="51">
        <f>AI18*(PT=20)+AU18*(PT=15)</f>
        <v>2.52</v>
      </c>
      <c r="H18" s="51">
        <f>AJ18*(PT=20)+AV18*(PT=15)</f>
        <v>3.15</v>
      </c>
      <c r="I18" s="51">
        <f>AK18*(PT=20)+AW18*(PT=15)</f>
        <v>3.78</v>
      </c>
      <c r="J18" s="51">
        <f>AL18*(PT=20)+AX18*(PT=15)</f>
        <v>4.4</v>
      </c>
      <c r="K18" s="51">
        <f>AM18*(PT=20)+AY18*(PT=15)</f>
        <v>5.65</v>
      </c>
      <c r="L18" s="51">
        <f>AN18*(PT=20)+AZ18*(PT=15)</f>
        <v>6.89</v>
      </c>
      <c r="M18" s="51">
        <f>AO18*(PT=20)+BA18*(PT=15)</f>
        <v>8.75</v>
      </c>
      <c r="R18" s="60" t="s">
        <v>157</v>
      </c>
      <c r="S18" s="61">
        <f>SA/1000*VLOOKUP(Prem_Mode,$O$13:$P$14,2,FALSE)</f>
        <v>2992.98789</v>
      </c>
      <c r="T18" s="62">
        <f>SA_by_1000_n_Modal_Factor</f>
        <v>2992.98789</v>
      </c>
      <c r="U18" s="63"/>
      <c r="AA18" s="88">
        <v>32</v>
      </c>
      <c r="AB18" s="89">
        <v>83.66</v>
      </c>
      <c r="AC18" s="90">
        <v>136.46</v>
      </c>
      <c r="AE18" s="86">
        <v>32</v>
      </c>
      <c r="AF18" s="87">
        <v>0.36</v>
      </c>
      <c r="AG18" s="87">
        <v>0.71</v>
      </c>
      <c r="AH18" s="87">
        <v>1.07</v>
      </c>
      <c r="AI18" s="87">
        <v>1.42</v>
      </c>
      <c r="AJ18" s="87">
        <v>1.77</v>
      </c>
      <c r="AK18" s="87">
        <v>2.12</v>
      </c>
      <c r="AL18" s="87">
        <v>2.47</v>
      </c>
      <c r="AM18" s="87">
        <v>3.18</v>
      </c>
      <c r="AN18" s="87">
        <v>3.88</v>
      </c>
      <c r="AO18" s="99">
        <v>4.92</v>
      </c>
      <c r="AQ18" s="86">
        <v>32</v>
      </c>
      <c r="AR18" s="87">
        <v>0.62</v>
      </c>
      <c r="AS18" s="87">
        <v>1.27</v>
      </c>
      <c r="AT18" s="87">
        <v>1.9</v>
      </c>
      <c r="AU18" s="87">
        <v>2.52</v>
      </c>
      <c r="AV18" s="87">
        <v>3.15</v>
      </c>
      <c r="AW18" s="87">
        <v>3.78</v>
      </c>
      <c r="AX18" s="87">
        <v>4.4</v>
      </c>
      <c r="AY18" s="87">
        <v>5.65</v>
      </c>
      <c r="AZ18" s="87">
        <v>6.89</v>
      </c>
      <c r="BA18" s="99">
        <v>8.75</v>
      </c>
      <c r="BD18" s="57" t="str">
        <f>IF(BE18&gt;=O4,"OK","Not OK")</f>
        <v>OK</v>
      </c>
      <c r="BE18" s="57">
        <f>IFERROR(ROUND(IF(ST_Indicator="No",('Premium Calculation'!$F$5*1000/BE17),(('Premium Calculation'!$F$5/(1+STax_1))*1000/BE17)),0),0)</f>
        <v>31865691</v>
      </c>
    </row>
    <row r="19" spans="2:53">
      <c r="B19" s="49">
        <v>33</v>
      </c>
      <c r="C19" s="50">
        <f>AB19*(PT=20)+AC19*(PT=15)</f>
        <v>136.65</v>
      </c>
      <c r="D19" s="51">
        <f>AF19*(PT=20)+AR19*(PT=15)</f>
        <v>0.69</v>
      </c>
      <c r="E19" s="51">
        <f>AG19*(PT=20)+AS19*(PT=15)</f>
        <v>1.36</v>
      </c>
      <c r="F19" s="51">
        <f>AH19*(PT=20)+AT19*(PT=15)</f>
        <v>2.04</v>
      </c>
      <c r="G19" s="51">
        <f>AI19*(PT=20)+AU19*(PT=15)</f>
        <v>2.72</v>
      </c>
      <c r="H19" s="51">
        <f>AJ19*(PT=20)+AV19*(PT=15)</f>
        <v>3.39</v>
      </c>
      <c r="I19" s="51">
        <f>AK19*(PT=20)+AW19*(PT=15)</f>
        <v>4.06</v>
      </c>
      <c r="J19" s="51">
        <f>AL19*(PT=20)+AX19*(PT=15)</f>
        <v>4.74</v>
      </c>
      <c r="K19" s="51">
        <f>AM19*(PT=20)+AY19*(PT=15)</f>
        <v>6.08</v>
      </c>
      <c r="L19" s="51">
        <f>AN19*(PT=20)+AZ19*(PT=15)</f>
        <v>7.41</v>
      </c>
      <c r="M19" s="51">
        <f>AO19*(PT=20)+BA19*(PT=15)</f>
        <v>9.4</v>
      </c>
      <c r="T19" s="72"/>
      <c r="AA19" s="88">
        <v>33</v>
      </c>
      <c r="AB19" s="89">
        <v>83.77</v>
      </c>
      <c r="AC19" s="90">
        <v>136.65</v>
      </c>
      <c r="AE19" s="86">
        <v>33</v>
      </c>
      <c r="AF19" s="87">
        <v>0.38</v>
      </c>
      <c r="AG19" s="87">
        <v>0.76</v>
      </c>
      <c r="AH19" s="87">
        <v>1.14</v>
      </c>
      <c r="AI19" s="87">
        <v>1.52</v>
      </c>
      <c r="AJ19" s="87">
        <v>1.89</v>
      </c>
      <c r="AK19" s="87">
        <v>2.27</v>
      </c>
      <c r="AL19" s="87">
        <v>2.65</v>
      </c>
      <c r="AM19" s="87">
        <v>3.4</v>
      </c>
      <c r="AN19" s="87">
        <v>4.15</v>
      </c>
      <c r="AO19" s="99">
        <v>5.27</v>
      </c>
      <c r="AQ19" s="86">
        <v>33</v>
      </c>
      <c r="AR19" s="87">
        <v>0.69</v>
      </c>
      <c r="AS19" s="87">
        <v>1.36</v>
      </c>
      <c r="AT19" s="87">
        <v>2.04</v>
      </c>
      <c r="AU19" s="87">
        <v>2.72</v>
      </c>
      <c r="AV19" s="87">
        <v>3.39</v>
      </c>
      <c r="AW19" s="87">
        <v>4.06</v>
      </c>
      <c r="AX19" s="87">
        <v>4.74</v>
      </c>
      <c r="AY19" s="87">
        <v>6.08</v>
      </c>
      <c r="AZ19" s="87">
        <v>7.41</v>
      </c>
      <c r="BA19" s="99">
        <v>9.4</v>
      </c>
    </row>
    <row r="20" spans="2:53">
      <c r="B20" s="49">
        <v>34</v>
      </c>
      <c r="C20" s="50">
        <f>AB20*(PT=20)+AC20*(PT=15)</f>
        <v>136.88</v>
      </c>
      <c r="D20" s="51">
        <f>AF20*(PT=20)+AR20*(PT=15)</f>
        <v>0.74</v>
      </c>
      <c r="E20" s="51">
        <f>AG20*(PT=20)+AS20*(PT=15)</f>
        <v>1.47</v>
      </c>
      <c r="F20" s="51">
        <f>AH20*(PT=20)+AT20*(PT=15)</f>
        <v>2.2</v>
      </c>
      <c r="G20" s="51">
        <f>AI20*(PT=20)+AU20*(PT=15)</f>
        <v>2.93</v>
      </c>
      <c r="H20" s="51">
        <f>AJ20*(PT=20)+AV20*(PT=15)</f>
        <v>3.66</v>
      </c>
      <c r="I20" s="51">
        <f>AK20*(PT=20)+AW20*(PT=15)</f>
        <v>4.39</v>
      </c>
      <c r="J20" s="51">
        <f>AL20*(PT=20)+AX20*(PT=15)</f>
        <v>5.12</v>
      </c>
      <c r="K20" s="51">
        <f>AM20*(PT=20)+AY20*(PT=15)</f>
        <v>6.56</v>
      </c>
      <c r="L20" s="51">
        <f>AN20*(PT=20)+AZ20*(PT=15)</f>
        <v>8</v>
      </c>
      <c r="M20" s="51">
        <f>AO20*(PT=20)+BA20*(PT=15)</f>
        <v>10.15</v>
      </c>
      <c r="O20" s="48" t="s">
        <v>21</v>
      </c>
      <c r="P20" s="48" t="s">
        <v>144</v>
      </c>
      <c r="R20" s="48" t="s">
        <v>158</v>
      </c>
      <c r="S20" s="48"/>
      <c r="T20" s="48"/>
      <c r="W20" s="72"/>
      <c r="AA20" s="88">
        <v>34</v>
      </c>
      <c r="AB20" s="89">
        <v>83.89</v>
      </c>
      <c r="AC20" s="90">
        <v>136.88</v>
      </c>
      <c r="AE20" s="86">
        <v>34</v>
      </c>
      <c r="AF20" s="87">
        <v>0.41</v>
      </c>
      <c r="AG20" s="87">
        <v>0.82</v>
      </c>
      <c r="AH20" s="87">
        <v>1.23</v>
      </c>
      <c r="AI20" s="87">
        <v>1.63</v>
      </c>
      <c r="AJ20" s="87">
        <v>2.04</v>
      </c>
      <c r="AK20" s="87">
        <v>2.45</v>
      </c>
      <c r="AL20" s="87">
        <v>2.85</v>
      </c>
      <c r="AM20" s="87">
        <v>3.66</v>
      </c>
      <c r="AN20" s="87">
        <v>4.47</v>
      </c>
      <c r="AO20" s="99">
        <v>5.67</v>
      </c>
      <c r="AQ20" s="86">
        <v>34</v>
      </c>
      <c r="AR20" s="87">
        <v>0.74</v>
      </c>
      <c r="AS20" s="87">
        <v>1.47</v>
      </c>
      <c r="AT20" s="87">
        <v>2.2</v>
      </c>
      <c r="AU20" s="87">
        <v>2.93</v>
      </c>
      <c r="AV20" s="87">
        <v>3.66</v>
      </c>
      <c r="AW20" s="87">
        <v>4.39</v>
      </c>
      <c r="AX20" s="87">
        <v>5.12</v>
      </c>
      <c r="AY20" s="87">
        <v>6.56</v>
      </c>
      <c r="AZ20" s="87">
        <v>8</v>
      </c>
      <c r="BA20" s="99">
        <v>10.15</v>
      </c>
    </row>
    <row r="21" ht="25.5" spans="2:53">
      <c r="B21" s="49">
        <v>35</v>
      </c>
      <c r="C21" s="50">
        <f>AB21*(PT=20)+AC21*(PT=15)</f>
        <v>137.14</v>
      </c>
      <c r="D21" s="51">
        <f>AF21*(PT=20)+AR21*(PT=15)</f>
        <v>0.8</v>
      </c>
      <c r="E21" s="51">
        <f>AG21*(PT=20)+AS21*(PT=15)</f>
        <v>1.6</v>
      </c>
      <c r="F21" s="51">
        <f>AH21*(PT=20)+AT21*(PT=15)</f>
        <v>2.4</v>
      </c>
      <c r="G21" s="51">
        <f>AI21*(PT=20)+AU21*(PT=15)</f>
        <v>3.19</v>
      </c>
      <c r="H21" s="51">
        <f>AJ21*(PT=20)+AV21*(PT=15)</f>
        <v>3.98</v>
      </c>
      <c r="I21" s="51">
        <f>AK21*(PT=20)+AW21*(PT=15)</f>
        <v>4.77</v>
      </c>
      <c r="J21" s="51">
        <f>AL21*(PT=20)+AX21*(PT=15)</f>
        <v>5.56</v>
      </c>
      <c r="K21" s="51">
        <f>AM21*(PT=20)+AY21*(PT=15)</f>
        <v>7.13</v>
      </c>
      <c r="L21" s="51">
        <f>AN21*(PT=20)+AZ21*(PT=15)</f>
        <v>8.69</v>
      </c>
      <c r="M21" s="51">
        <f>AO21*(PT=20)+BA21*(PT=15)</f>
        <v>11.01</v>
      </c>
      <c r="O21" s="55">
        <v>20</v>
      </c>
      <c r="P21" s="56">
        <v>0.15</v>
      </c>
      <c r="R21" s="73" t="s">
        <v>159</v>
      </c>
      <c r="S21" s="74">
        <f>ROUND(Tot_Prem_Rate_Yr1*SA_by_1000_n_Modal_Factor,2)</f>
        <v>350000</v>
      </c>
      <c r="T21" s="62">
        <f>ROUND(Tot_Prem_Rate_Oasis_Yr1*T18,0)</f>
        <v>350000</v>
      </c>
      <c r="W21" s="72"/>
      <c r="AA21" s="88">
        <v>35</v>
      </c>
      <c r="AB21" s="89">
        <v>84.03</v>
      </c>
      <c r="AC21" s="90">
        <v>137.14</v>
      </c>
      <c r="AE21" s="86">
        <v>35</v>
      </c>
      <c r="AF21" s="87">
        <v>0.44</v>
      </c>
      <c r="AG21" s="87">
        <v>0.88</v>
      </c>
      <c r="AH21" s="87">
        <v>1.33</v>
      </c>
      <c r="AI21" s="87">
        <v>1.77</v>
      </c>
      <c r="AJ21" s="87">
        <v>2.21</v>
      </c>
      <c r="AK21" s="87">
        <v>2.65</v>
      </c>
      <c r="AL21" s="87">
        <v>3.08</v>
      </c>
      <c r="AM21" s="87">
        <v>3.96</v>
      </c>
      <c r="AN21" s="87">
        <v>4.83</v>
      </c>
      <c r="AO21" s="99">
        <v>6.13</v>
      </c>
      <c r="AQ21" s="86">
        <v>35</v>
      </c>
      <c r="AR21" s="87">
        <v>0.8</v>
      </c>
      <c r="AS21" s="87">
        <v>1.6</v>
      </c>
      <c r="AT21" s="87">
        <v>2.4</v>
      </c>
      <c r="AU21" s="87">
        <v>3.19</v>
      </c>
      <c r="AV21" s="87">
        <v>3.98</v>
      </c>
      <c r="AW21" s="87">
        <v>4.77</v>
      </c>
      <c r="AX21" s="87">
        <v>5.56</v>
      </c>
      <c r="AY21" s="87">
        <v>7.13</v>
      </c>
      <c r="AZ21" s="87">
        <v>8.69</v>
      </c>
      <c r="BA21" s="99">
        <v>11.01</v>
      </c>
    </row>
    <row r="22" spans="2:53">
      <c r="B22" s="49">
        <v>36</v>
      </c>
      <c r="C22" s="50">
        <f>AB22*(PT=20)+AC22*(PT=15)</f>
        <v>137.44</v>
      </c>
      <c r="D22" s="51">
        <f>AF22*(PT=20)+AR22*(PT=15)</f>
        <v>0.88</v>
      </c>
      <c r="E22" s="51">
        <f>AG22*(PT=20)+AS22*(PT=15)</f>
        <v>1.75</v>
      </c>
      <c r="F22" s="51">
        <f>AH22*(PT=20)+AT22*(PT=15)</f>
        <v>2.62</v>
      </c>
      <c r="G22" s="51">
        <f>AI22*(PT=20)+AU22*(PT=15)</f>
        <v>3.49</v>
      </c>
      <c r="H22" s="51">
        <f>AJ22*(PT=20)+AV22*(PT=15)</f>
        <v>4.35</v>
      </c>
      <c r="I22" s="51">
        <f>AK22*(PT=20)+AW22*(PT=15)</f>
        <v>5.21</v>
      </c>
      <c r="J22" s="51">
        <f>AL22*(PT=20)+AX22*(PT=15)</f>
        <v>6.07</v>
      </c>
      <c r="K22" s="51">
        <f>AM22*(PT=20)+AY22*(PT=15)</f>
        <v>7.78</v>
      </c>
      <c r="L22" s="51">
        <f>AN22*(PT=20)+AZ22*(PT=15)</f>
        <v>9.48</v>
      </c>
      <c r="M22" s="51">
        <f>AO22*(PT=20)+BA22*(PT=15)</f>
        <v>12.01</v>
      </c>
      <c r="O22" s="55">
        <v>15</v>
      </c>
      <c r="P22" s="56">
        <v>0.105</v>
      </c>
      <c r="R22" s="73" t="s">
        <v>33</v>
      </c>
      <c r="S22" s="74">
        <f>ROUND((S21)*STax_1,2)</f>
        <v>15750</v>
      </c>
      <c r="T22" s="67">
        <f>T21*STax_1</f>
        <v>15750</v>
      </c>
      <c r="W22" s="72"/>
      <c r="AA22" s="88">
        <v>36</v>
      </c>
      <c r="AB22" s="89">
        <v>84.18</v>
      </c>
      <c r="AC22" s="90">
        <v>137.44</v>
      </c>
      <c r="AE22" s="86">
        <v>36</v>
      </c>
      <c r="AF22" s="87">
        <v>0.49</v>
      </c>
      <c r="AG22" s="87">
        <v>0.97</v>
      </c>
      <c r="AH22" s="87">
        <v>1.45</v>
      </c>
      <c r="AI22" s="87">
        <v>1.93</v>
      </c>
      <c r="AJ22" s="87">
        <v>2.4</v>
      </c>
      <c r="AK22" s="87">
        <v>2.88</v>
      </c>
      <c r="AL22" s="87">
        <v>3.36</v>
      </c>
      <c r="AM22" s="87">
        <v>4.3</v>
      </c>
      <c r="AN22" s="87">
        <v>5.25</v>
      </c>
      <c r="AO22" s="99">
        <v>6.65</v>
      </c>
      <c r="AQ22" s="86">
        <v>36</v>
      </c>
      <c r="AR22" s="87">
        <v>0.88</v>
      </c>
      <c r="AS22" s="87">
        <v>1.75</v>
      </c>
      <c r="AT22" s="87">
        <v>2.62</v>
      </c>
      <c r="AU22" s="87">
        <v>3.49</v>
      </c>
      <c r="AV22" s="87">
        <v>4.35</v>
      </c>
      <c r="AW22" s="87">
        <v>5.21</v>
      </c>
      <c r="AX22" s="87">
        <v>6.07</v>
      </c>
      <c r="AY22" s="87">
        <v>7.78</v>
      </c>
      <c r="AZ22" s="87">
        <v>9.48</v>
      </c>
      <c r="BA22" s="99">
        <v>12.01</v>
      </c>
    </row>
    <row r="23" ht="16.5" customHeight="1" spans="2:53">
      <c r="B23" s="49">
        <v>37</v>
      </c>
      <c r="C23" s="50">
        <f>AB23*(PT=20)+AC23*(PT=15)</f>
        <v>137.79</v>
      </c>
      <c r="D23" s="51">
        <f>AF23*(PT=20)+AR23*(PT=15)</f>
        <v>0.96</v>
      </c>
      <c r="E23" s="51">
        <f>AG23*(PT=20)+AS23*(PT=15)</f>
        <v>1.92</v>
      </c>
      <c r="F23" s="51">
        <f>AH23*(PT=20)+AT23*(PT=15)</f>
        <v>2.87</v>
      </c>
      <c r="G23" s="51">
        <f>AI23*(PT=20)+AU23*(PT=15)</f>
        <v>3.82</v>
      </c>
      <c r="H23" s="51">
        <f>AJ23*(PT=20)+AV23*(PT=15)</f>
        <v>4.77</v>
      </c>
      <c r="I23" s="51">
        <f>AK23*(PT=20)+AW23*(PT=15)</f>
        <v>5.71</v>
      </c>
      <c r="J23" s="51">
        <f>AL23*(PT=20)+AX23*(PT=15)</f>
        <v>6.65</v>
      </c>
      <c r="K23" s="51">
        <f>AM23*(PT=20)+AY23*(PT=15)</f>
        <v>8.52</v>
      </c>
      <c r="L23" s="51">
        <f>AN23*(PT=20)+AZ23*(PT=15)</f>
        <v>10.38</v>
      </c>
      <c r="M23" s="51">
        <f>AO23*(PT=20)+BA23*(PT=15)</f>
        <v>13.14</v>
      </c>
      <c r="R23" s="73" t="s">
        <v>160</v>
      </c>
      <c r="S23" s="74">
        <f>S21+S22</f>
        <v>365750</v>
      </c>
      <c r="T23" s="67">
        <f>T21+T22</f>
        <v>365750</v>
      </c>
      <c r="W23" s="72"/>
      <c r="AA23" s="88">
        <v>37</v>
      </c>
      <c r="AB23" s="89">
        <v>84.36</v>
      </c>
      <c r="AC23" s="90">
        <v>137.79</v>
      </c>
      <c r="AE23" s="86">
        <v>37</v>
      </c>
      <c r="AF23" s="87">
        <v>0.53</v>
      </c>
      <c r="AG23" s="87">
        <v>1.05</v>
      </c>
      <c r="AH23" s="87">
        <v>1.58</v>
      </c>
      <c r="AI23" s="87">
        <v>2.1</v>
      </c>
      <c r="AJ23" s="87">
        <v>2.62</v>
      </c>
      <c r="AK23" s="87">
        <v>3.14</v>
      </c>
      <c r="AL23" s="87">
        <v>3.65</v>
      </c>
      <c r="AM23" s="87">
        <v>4.68</v>
      </c>
      <c r="AN23" s="87">
        <v>5.71</v>
      </c>
      <c r="AO23" s="99">
        <v>7.24</v>
      </c>
      <c r="AQ23" s="86">
        <v>37</v>
      </c>
      <c r="AR23" s="87">
        <v>0.96</v>
      </c>
      <c r="AS23" s="87">
        <v>1.92</v>
      </c>
      <c r="AT23" s="87">
        <v>2.87</v>
      </c>
      <c r="AU23" s="87">
        <v>3.82</v>
      </c>
      <c r="AV23" s="87">
        <v>4.77</v>
      </c>
      <c r="AW23" s="87">
        <v>5.71</v>
      </c>
      <c r="AX23" s="87">
        <v>6.65</v>
      </c>
      <c r="AY23" s="87">
        <v>8.52</v>
      </c>
      <c r="AZ23" s="87">
        <v>10.38</v>
      </c>
      <c r="BA23" s="99">
        <v>13.14</v>
      </c>
    </row>
    <row r="24" ht="25.5" spans="2:53">
      <c r="B24" s="49">
        <v>38</v>
      </c>
      <c r="C24" s="50">
        <f>AB24*(PT=20)+AC24*(PT=15)</f>
        <v>138.19</v>
      </c>
      <c r="D24" s="51">
        <f>AF24*(PT=20)+AR24*(PT=15)</f>
        <v>1.06</v>
      </c>
      <c r="E24" s="51">
        <f>AG24*(PT=20)+AS24*(PT=15)</f>
        <v>2.11</v>
      </c>
      <c r="F24" s="51">
        <f>AH24*(PT=20)+AT24*(PT=15)</f>
        <v>3.16</v>
      </c>
      <c r="G24" s="51">
        <f>AI24*(PT=20)+AU24*(PT=15)</f>
        <v>4.21</v>
      </c>
      <c r="H24" s="51">
        <f>AJ24*(PT=20)+AV24*(PT=15)</f>
        <v>5.25</v>
      </c>
      <c r="I24" s="51">
        <f>AK24*(PT=20)+AW24*(PT=15)</f>
        <v>6.28</v>
      </c>
      <c r="J24" s="51">
        <f>AL24*(PT=20)+AX24*(PT=15)</f>
        <v>7.31</v>
      </c>
      <c r="K24" s="51">
        <f>AM24*(PT=20)+AY24*(PT=15)</f>
        <v>9.37</v>
      </c>
      <c r="L24" s="51">
        <f>AN24*(PT=20)+AZ24*(PT=15)</f>
        <v>11.41</v>
      </c>
      <c r="M24" s="51">
        <f>AO24*(PT=20)+BA24*(PT=15)</f>
        <v>14.43</v>
      </c>
      <c r="O24" s="48" t="s">
        <v>140</v>
      </c>
      <c r="P24" s="56">
        <v>0.1</v>
      </c>
      <c r="R24" s="73" t="s">
        <v>161</v>
      </c>
      <c r="S24" s="74">
        <f>S21*IF(Prem_Mode="Monthly",12,1)</f>
        <v>4200000</v>
      </c>
      <c r="T24" s="67">
        <f>T21*IF(Prem_Mode="Monthly",12,1)</f>
        <v>4200000</v>
      </c>
      <c r="W24" s="72"/>
      <c r="AA24" s="88">
        <v>38</v>
      </c>
      <c r="AB24" s="89">
        <v>84.56</v>
      </c>
      <c r="AC24" s="90">
        <v>138.19</v>
      </c>
      <c r="AE24" s="86">
        <v>38</v>
      </c>
      <c r="AF24" s="87">
        <v>0.58</v>
      </c>
      <c r="AG24" s="87">
        <v>1.15</v>
      </c>
      <c r="AH24" s="87">
        <v>1.72</v>
      </c>
      <c r="AI24" s="87">
        <v>2.29</v>
      </c>
      <c r="AJ24" s="87">
        <v>2.86</v>
      </c>
      <c r="AK24" s="87">
        <v>3.43</v>
      </c>
      <c r="AL24" s="87">
        <v>3.99</v>
      </c>
      <c r="AM24" s="87">
        <v>5.11</v>
      </c>
      <c r="AN24" s="87">
        <v>6.23</v>
      </c>
      <c r="AO24" s="99">
        <v>7.9</v>
      </c>
      <c r="AQ24" s="86">
        <v>38</v>
      </c>
      <c r="AR24" s="87">
        <v>1.06</v>
      </c>
      <c r="AS24" s="87">
        <v>2.11</v>
      </c>
      <c r="AT24" s="87">
        <v>3.16</v>
      </c>
      <c r="AU24" s="87">
        <v>4.21</v>
      </c>
      <c r="AV24" s="87">
        <v>5.25</v>
      </c>
      <c r="AW24" s="87">
        <v>6.28</v>
      </c>
      <c r="AX24" s="87">
        <v>7.31</v>
      </c>
      <c r="AY24" s="87">
        <v>9.37</v>
      </c>
      <c r="AZ24" s="87">
        <v>11.41</v>
      </c>
      <c r="BA24" s="99">
        <v>14.43</v>
      </c>
    </row>
    <row r="25" spans="2:53">
      <c r="B25" s="49">
        <v>39</v>
      </c>
      <c r="C25" s="50">
        <f>AB25*(PT=20)+AC25*(PT=15)</f>
        <v>138.64</v>
      </c>
      <c r="D25" s="51">
        <f>AF25*(PT=20)+AR25*(PT=15)</f>
        <v>1.17</v>
      </c>
      <c r="E25" s="51">
        <f>AG25*(PT=20)+AS25*(PT=15)</f>
        <v>2.33</v>
      </c>
      <c r="F25" s="51">
        <f>AH25*(PT=20)+AT25*(PT=15)</f>
        <v>3.49</v>
      </c>
      <c r="G25" s="51">
        <f>AI25*(PT=20)+AU25*(PT=15)</f>
        <v>4.64</v>
      </c>
      <c r="H25" s="51">
        <f>AJ25*(PT=20)+AV25*(PT=15)</f>
        <v>5.79</v>
      </c>
      <c r="I25" s="51">
        <f>AK25*(PT=20)+AW25*(PT=15)</f>
        <v>6.93</v>
      </c>
      <c r="J25" s="51">
        <f>AL25*(PT=20)+AX25*(PT=15)</f>
        <v>8.07</v>
      </c>
      <c r="K25" s="51">
        <f>AM25*(PT=20)+AY25*(PT=15)</f>
        <v>10.33</v>
      </c>
      <c r="L25" s="51">
        <f>AN25*(PT=20)+AZ25*(PT=15)</f>
        <v>12.57</v>
      </c>
      <c r="M25" s="51">
        <f>AO25*(PT=20)+BA25*(PT=15)</f>
        <v>15.89</v>
      </c>
      <c r="R25" s="75"/>
      <c r="S25" s="75"/>
      <c r="AA25" s="88">
        <v>39</v>
      </c>
      <c r="AB25" s="89">
        <v>84.78</v>
      </c>
      <c r="AC25" s="90">
        <v>138.64</v>
      </c>
      <c r="AE25" s="86">
        <v>39</v>
      </c>
      <c r="AF25" s="87">
        <v>0.64</v>
      </c>
      <c r="AG25" s="87">
        <v>1.27</v>
      </c>
      <c r="AH25" s="87">
        <v>1.89</v>
      </c>
      <c r="AI25" s="87">
        <v>2.52</v>
      </c>
      <c r="AJ25" s="87">
        <v>3.14</v>
      </c>
      <c r="AK25" s="87">
        <v>3.76</v>
      </c>
      <c r="AL25" s="87">
        <v>4.37</v>
      </c>
      <c r="AM25" s="87">
        <v>5.6</v>
      </c>
      <c r="AN25" s="87">
        <v>6.82</v>
      </c>
      <c r="AO25" s="99">
        <v>8.64</v>
      </c>
      <c r="AQ25" s="86">
        <v>39</v>
      </c>
      <c r="AR25" s="87">
        <v>1.17</v>
      </c>
      <c r="AS25" s="87">
        <v>2.33</v>
      </c>
      <c r="AT25" s="87">
        <v>3.49</v>
      </c>
      <c r="AU25" s="87">
        <v>4.64</v>
      </c>
      <c r="AV25" s="87">
        <v>5.79</v>
      </c>
      <c r="AW25" s="87">
        <v>6.93</v>
      </c>
      <c r="AX25" s="87">
        <v>8.07</v>
      </c>
      <c r="AY25" s="87">
        <v>10.33</v>
      </c>
      <c r="AZ25" s="87">
        <v>12.57</v>
      </c>
      <c r="BA25" s="99">
        <v>15.89</v>
      </c>
    </row>
    <row r="26" spans="2:53">
      <c r="B26" s="49">
        <v>40</v>
      </c>
      <c r="C26" s="50">
        <f>AB26*(PT=20)+AC26*(PT=15)</f>
        <v>139.15</v>
      </c>
      <c r="D26" s="51">
        <f>AF26*(PT=20)+AR26*(PT=15)</f>
        <v>1.3</v>
      </c>
      <c r="E26" s="51">
        <f>AG26*(PT=20)+AS26*(PT=15)</f>
        <v>2.59</v>
      </c>
      <c r="F26" s="51">
        <f>AH26*(PT=20)+AT26*(PT=15)</f>
        <v>3.86</v>
      </c>
      <c r="G26" s="51">
        <f>AI26*(PT=20)+AU26*(PT=15)</f>
        <v>5.14</v>
      </c>
      <c r="H26" s="51">
        <f>AJ26*(PT=20)+AV26*(PT=15)</f>
        <v>6.41</v>
      </c>
      <c r="I26" s="51">
        <f>AK26*(PT=20)+AW26*(PT=15)</f>
        <v>7.67</v>
      </c>
      <c r="J26" s="51">
        <f>AL26*(PT=20)+AX26*(PT=15)</f>
        <v>8.92</v>
      </c>
      <c r="K26" s="51">
        <f>AM26*(PT=20)+AY26*(PT=15)</f>
        <v>11.41</v>
      </c>
      <c r="L26" s="51">
        <f>AN26*(PT=20)+AZ26*(PT=15)</f>
        <v>13.88</v>
      </c>
      <c r="M26" s="51">
        <f>AO26*(PT=20)+BA26*(PT=15)</f>
        <v>17.54</v>
      </c>
      <c r="R26" s="48" t="s">
        <v>38</v>
      </c>
      <c r="S26" s="48"/>
      <c r="T26" s="48"/>
      <c r="U26" s="75"/>
      <c r="V26" s="75"/>
      <c r="AA26" s="88">
        <v>40</v>
      </c>
      <c r="AB26" s="89">
        <v>85.04</v>
      </c>
      <c r="AC26" s="90">
        <v>139.15</v>
      </c>
      <c r="AE26" s="86">
        <v>40</v>
      </c>
      <c r="AF26" s="87">
        <v>0.69</v>
      </c>
      <c r="AG26" s="87">
        <v>1.38</v>
      </c>
      <c r="AH26" s="87">
        <v>2.07</v>
      </c>
      <c r="AI26" s="87">
        <v>2.75</v>
      </c>
      <c r="AJ26" s="87">
        <v>3.43</v>
      </c>
      <c r="AK26" s="87">
        <v>4.11</v>
      </c>
      <c r="AL26" s="87">
        <v>4.79</v>
      </c>
      <c r="AM26" s="87">
        <v>6.13</v>
      </c>
      <c r="AN26" s="87">
        <v>7.47</v>
      </c>
      <c r="AO26" s="99">
        <v>9.46</v>
      </c>
      <c r="AQ26" s="86">
        <v>40</v>
      </c>
      <c r="AR26" s="87">
        <v>1.3</v>
      </c>
      <c r="AS26" s="87">
        <v>2.59</v>
      </c>
      <c r="AT26" s="87">
        <v>3.86</v>
      </c>
      <c r="AU26" s="87">
        <v>5.14</v>
      </c>
      <c r="AV26" s="87">
        <v>6.41</v>
      </c>
      <c r="AW26" s="87">
        <v>7.67</v>
      </c>
      <c r="AX26" s="87">
        <v>8.92</v>
      </c>
      <c r="AY26" s="87">
        <v>11.41</v>
      </c>
      <c r="AZ26" s="87">
        <v>13.88</v>
      </c>
      <c r="BA26" s="99">
        <v>17.54</v>
      </c>
    </row>
    <row r="27" ht="25.5" spans="2:53">
      <c r="B27" s="49">
        <v>41</v>
      </c>
      <c r="C27" s="50">
        <f>AB27*(PT=20)+AC27*(PT=15)</f>
        <v>139.73</v>
      </c>
      <c r="D27" s="51">
        <f>AF27*(PT=20)+AR27*(PT=15)</f>
        <v>1.44</v>
      </c>
      <c r="E27" s="51">
        <f>AG27*(PT=20)+AS27*(PT=15)</f>
        <v>2.86</v>
      </c>
      <c r="F27" s="51">
        <f>AH27*(PT=20)+AT27*(PT=15)</f>
        <v>4.28</v>
      </c>
      <c r="G27" s="51">
        <f>AI27*(PT=20)+AU27*(PT=15)</f>
        <v>5.69</v>
      </c>
      <c r="H27" s="51">
        <f>AJ27*(PT=20)+AV27*(PT=15)</f>
        <v>7.09</v>
      </c>
      <c r="I27" s="51">
        <f>AK27*(PT=20)+AW27*(PT=15)</f>
        <v>8.49</v>
      </c>
      <c r="J27" s="51">
        <f>AL27*(PT=20)+AX27*(PT=15)</f>
        <v>9.87</v>
      </c>
      <c r="K27" s="51">
        <f>AM27*(PT=20)+AY27*(PT=15)</f>
        <v>12.63</v>
      </c>
      <c r="L27" s="51">
        <f>AN27*(PT=20)+AZ27*(PT=15)</f>
        <v>15.35</v>
      </c>
      <c r="M27" s="51">
        <f>AO27*(PT=20)+BA27*(PT=15)</f>
        <v>19.38</v>
      </c>
      <c r="R27" s="73" t="s">
        <v>159</v>
      </c>
      <c r="S27" s="74">
        <f>ROUND(Tot_Prem_Rate_Yr2*SA_by_1000_n_Modal_Factor,2)</f>
        <v>350000</v>
      </c>
      <c r="T27" s="62">
        <f>ROUND(Tot_Prem_Rate_Oasis_Yr2*T18,0)</f>
        <v>350000</v>
      </c>
      <c r="AA27" s="88">
        <v>41</v>
      </c>
      <c r="AB27" s="89">
        <v>85.32</v>
      </c>
      <c r="AC27" s="90">
        <v>139.73</v>
      </c>
      <c r="AE27" s="86">
        <v>41</v>
      </c>
      <c r="AF27" s="87">
        <v>0.76</v>
      </c>
      <c r="AG27" s="87">
        <v>1.52</v>
      </c>
      <c r="AH27" s="87">
        <v>2.27</v>
      </c>
      <c r="AI27" s="87">
        <v>3.02</v>
      </c>
      <c r="AJ27" s="87">
        <v>3.77</v>
      </c>
      <c r="AK27" s="87">
        <v>4.52</v>
      </c>
      <c r="AL27" s="87">
        <v>5.26</v>
      </c>
      <c r="AM27" s="87">
        <v>6.74</v>
      </c>
      <c r="AN27" s="87">
        <v>8.2</v>
      </c>
      <c r="AO27" s="99">
        <v>10.38</v>
      </c>
      <c r="AQ27" s="86">
        <v>41</v>
      </c>
      <c r="AR27" s="87">
        <v>1.44</v>
      </c>
      <c r="AS27" s="87">
        <v>2.86</v>
      </c>
      <c r="AT27" s="87">
        <v>4.28</v>
      </c>
      <c r="AU27" s="87">
        <v>5.69</v>
      </c>
      <c r="AV27" s="87">
        <v>7.09</v>
      </c>
      <c r="AW27" s="87">
        <v>8.49</v>
      </c>
      <c r="AX27" s="87">
        <v>9.87</v>
      </c>
      <c r="AY27" s="87">
        <v>12.63</v>
      </c>
      <c r="AZ27" s="87">
        <v>15.35</v>
      </c>
      <c r="BA27" s="99">
        <v>19.38</v>
      </c>
    </row>
    <row r="28" spans="2:53">
      <c r="B28" s="49">
        <v>42</v>
      </c>
      <c r="C28" s="50">
        <f>AB28*(PT=20)+AC28*(PT=15)</f>
        <v>140.38</v>
      </c>
      <c r="D28" s="51">
        <f>AF28*(PT=20)+AR28*(PT=15)</f>
        <v>1.6</v>
      </c>
      <c r="E28" s="51">
        <f>AG28*(PT=20)+AS28*(PT=15)</f>
        <v>3.18</v>
      </c>
      <c r="F28" s="51">
        <f>AH28*(PT=20)+AT28*(PT=15)</f>
        <v>4.75</v>
      </c>
      <c r="G28" s="51">
        <f>AI28*(PT=20)+AU28*(PT=15)</f>
        <v>6.31</v>
      </c>
      <c r="H28" s="51">
        <f>AJ28*(PT=20)+AV28*(PT=15)</f>
        <v>7.87</v>
      </c>
      <c r="I28" s="51">
        <f>AK28*(PT=20)+AW28*(PT=15)</f>
        <v>9.41</v>
      </c>
      <c r="J28" s="51">
        <f>AL28*(PT=20)+AX28*(PT=15)</f>
        <v>10.95</v>
      </c>
      <c r="K28" s="51">
        <f>AM28*(PT=20)+AY28*(PT=15)</f>
        <v>13.99</v>
      </c>
      <c r="L28" s="51">
        <f>AN28*(PT=20)+AZ28*(PT=15)</f>
        <v>16.99</v>
      </c>
      <c r="M28" s="51">
        <f>AO28*(PT=20)+BA28*(PT=15)</f>
        <v>21.44</v>
      </c>
      <c r="R28" s="73" t="s">
        <v>33</v>
      </c>
      <c r="S28" s="74">
        <f>ROUND((S27)*Stax_2,2)</f>
        <v>7875</v>
      </c>
      <c r="T28" s="76">
        <f>T27*Stax_2</f>
        <v>7875</v>
      </c>
      <c r="AA28" s="88">
        <v>42</v>
      </c>
      <c r="AB28" s="89">
        <v>85.63</v>
      </c>
      <c r="AC28" s="90">
        <v>140.38</v>
      </c>
      <c r="AE28" s="86">
        <v>42</v>
      </c>
      <c r="AF28" s="87">
        <v>0.84</v>
      </c>
      <c r="AG28" s="87">
        <v>1.67</v>
      </c>
      <c r="AH28" s="87">
        <v>2.5</v>
      </c>
      <c r="AI28" s="87">
        <v>3.33</v>
      </c>
      <c r="AJ28" s="87">
        <v>4.15</v>
      </c>
      <c r="AK28" s="87">
        <v>4.97</v>
      </c>
      <c r="AL28" s="87">
        <v>5.79</v>
      </c>
      <c r="AM28" s="87">
        <v>7.41</v>
      </c>
      <c r="AN28" s="87">
        <v>9.01</v>
      </c>
      <c r="AO28" s="99">
        <v>11.4</v>
      </c>
      <c r="AQ28" s="86">
        <v>42</v>
      </c>
      <c r="AR28" s="87">
        <v>1.6</v>
      </c>
      <c r="AS28" s="87">
        <v>3.18</v>
      </c>
      <c r="AT28" s="87">
        <v>4.75</v>
      </c>
      <c r="AU28" s="87">
        <v>6.31</v>
      </c>
      <c r="AV28" s="87">
        <v>7.87</v>
      </c>
      <c r="AW28" s="87">
        <v>9.41</v>
      </c>
      <c r="AX28" s="87">
        <v>10.95</v>
      </c>
      <c r="AY28" s="87">
        <v>13.99</v>
      </c>
      <c r="AZ28" s="87">
        <v>16.99</v>
      </c>
      <c r="BA28" s="99">
        <v>21.44</v>
      </c>
    </row>
    <row r="29" spans="2:53">
      <c r="B29" s="49">
        <v>43</v>
      </c>
      <c r="C29" s="50">
        <f>AB29*(PT=20)+AC29*(PT=15)</f>
        <v>141.11</v>
      </c>
      <c r="D29" s="51">
        <f>AF29*(PT=20)+AR29*(PT=15)</f>
        <v>1.77</v>
      </c>
      <c r="E29" s="51">
        <f>AG29*(PT=20)+AS29*(PT=15)</f>
        <v>3.53</v>
      </c>
      <c r="F29" s="51">
        <f>AH29*(PT=20)+AT29*(PT=15)</f>
        <v>5.27</v>
      </c>
      <c r="G29" s="51">
        <f>AI29*(PT=20)+AU29*(PT=15)</f>
        <v>7.01</v>
      </c>
      <c r="H29" s="51">
        <f>AJ29*(PT=20)+AV29*(PT=15)</f>
        <v>8.73</v>
      </c>
      <c r="I29" s="51">
        <f>AK29*(PT=20)+AW29*(PT=15)</f>
        <v>10.44</v>
      </c>
      <c r="J29" s="51">
        <f>AL29*(PT=20)+AX29*(PT=15)</f>
        <v>12.14</v>
      </c>
      <c r="K29" s="51">
        <f>AM29*(PT=20)+AY29*(PT=15)</f>
        <v>15.51</v>
      </c>
      <c r="L29" s="51">
        <f>AN29*(PT=20)+AZ29*(PT=15)</f>
        <v>18.83</v>
      </c>
      <c r="M29" s="51">
        <f>AO29*(PT=20)+BA29*(PT=15)</f>
        <v>23.74</v>
      </c>
      <c r="R29" s="73" t="s">
        <v>160</v>
      </c>
      <c r="S29" s="74">
        <f>S27+S28</f>
        <v>357875</v>
      </c>
      <c r="T29" s="67">
        <f>T27+T28</f>
        <v>357875</v>
      </c>
      <c r="AA29" s="88">
        <v>43</v>
      </c>
      <c r="AB29" s="89">
        <v>85.97</v>
      </c>
      <c r="AC29" s="90">
        <v>141.11</v>
      </c>
      <c r="AE29" s="86">
        <v>43</v>
      </c>
      <c r="AF29" s="87">
        <v>0.93</v>
      </c>
      <c r="AG29" s="87">
        <v>1.85</v>
      </c>
      <c r="AH29" s="87">
        <v>2.76</v>
      </c>
      <c r="AI29" s="87">
        <v>3.67</v>
      </c>
      <c r="AJ29" s="87">
        <v>4.57</v>
      </c>
      <c r="AK29" s="87">
        <v>5.47</v>
      </c>
      <c r="AL29" s="87">
        <v>6.37</v>
      </c>
      <c r="AM29" s="87">
        <v>8.15</v>
      </c>
      <c r="AN29" s="87">
        <v>9.92</v>
      </c>
      <c r="AO29" s="99">
        <v>12.54</v>
      </c>
      <c r="AQ29" s="86">
        <v>43</v>
      </c>
      <c r="AR29" s="87">
        <v>1.77</v>
      </c>
      <c r="AS29" s="87">
        <v>3.53</v>
      </c>
      <c r="AT29" s="87">
        <v>5.27</v>
      </c>
      <c r="AU29" s="87">
        <v>7.01</v>
      </c>
      <c r="AV29" s="87">
        <v>8.73</v>
      </c>
      <c r="AW29" s="87">
        <v>10.44</v>
      </c>
      <c r="AX29" s="87">
        <v>12.14</v>
      </c>
      <c r="AY29" s="87">
        <v>15.51</v>
      </c>
      <c r="AZ29" s="87">
        <v>18.83</v>
      </c>
      <c r="BA29" s="99">
        <v>23.74</v>
      </c>
    </row>
    <row r="30" ht="25.5" spans="2:53">
      <c r="B30" s="49">
        <v>44</v>
      </c>
      <c r="C30" s="50">
        <f>AB30*(PT=20)+AC30*(PT=15)</f>
        <v>141.93</v>
      </c>
      <c r="D30" s="51">
        <f>AF30*(PT=20)+AR30*(PT=15)</f>
        <v>1.97</v>
      </c>
      <c r="E30" s="51">
        <f>AG30*(PT=20)+AS30*(PT=15)</f>
        <v>3.92</v>
      </c>
      <c r="F30" s="51">
        <f>AH30*(PT=20)+AT30*(PT=15)</f>
        <v>5.85</v>
      </c>
      <c r="G30" s="51">
        <f>AI30*(PT=20)+AU30*(PT=15)</f>
        <v>7.78</v>
      </c>
      <c r="H30" s="51">
        <f>AJ30*(PT=20)+AV30*(PT=15)</f>
        <v>9.69</v>
      </c>
      <c r="I30" s="51">
        <f>AK30*(PT=20)+AW30*(PT=15)</f>
        <v>11.59</v>
      </c>
      <c r="J30" s="51">
        <f>AL30*(PT=20)+AX30*(PT=15)</f>
        <v>13.47</v>
      </c>
      <c r="K30" s="51">
        <f>AM30*(PT=20)+AY30*(PT=15)</f>
        <v>17.19</v>
      </c>
      <c r="L30" s="51">
        <f>AN30*(PT=20)+AZ30*(PT=15)</f>
        <v>20.87</v>
      </c>
      <c r="M30" s="51">
        <f>AO30*(PT=20)+BA30*(PT=15)</f>
        <v>26.29</v>
      </c>
      <c r="R30" s="73" t="s">
        <v>161</v>
      </c>
      <c r="S30" s="74">
        <f>S27*IF(Prem_Mode="Monthly",12,1)</f>
        <v>4200000</v>
      </c>
      <c r="T30" s="67">
        <f>T27*IF(Prem_Mode="Monthly",12,1)</f>
        <v>4200000</v>
      </c>
      <c r="AA30" s="88">
        <v>44</v>
      </c>
      <c r="AB30" s="89">
        <v>86.35</v>
      </c>
      <c r="AC30" s="90">
        <v>141.93</v>
      </c>
      <c r="AE30" s="86">
        <v>44</v>
      </c>
      <c r="AF30" s="87">
        <v>1.02</v>
      </c>
      <c r="AG30" s="87">
        <v>2.03</v>
      </c>
      <c r="AH30" s="87">
        <v>3.04</v>
      </c>
      <c r="AI30" s="87">
        <v>4.04</v>
      </c>
      <c r="AJ30" s="87">
        <v>5.03</v>
      </c>
      <c r="AK30" s="87">
        <v>6.02</v>
      </c>
      <c r="AL30" s="87">
        <v>7.01</v>
      </c>
      <c r="AM30" s="87">
        <v>8.97</v>
      </c>
      <c r="AN30" s="87">
        <v>10.91</v>
      </c>
      <c r="AO30" s="99">
        <v>13.79</v>
      </c>
      <c r="AQ30" s="86">
        <v>44</v>
      </c>
      <c r="AR30" s="87">
        <v>1.97</v>
      </c>
      <c r="AS30" s="87">
        <v>3.92</v>
      </c>
      <c r="AT30" s="87">
        <v>5.85</v>
      </c>
      <c r="AU30" s="87">
        <v>7.78</v>
      </c>
      <c r="AV30" s="87">
        <v>9.69</v>
      </c>
      <c r="AW30" s="87">
        <v>11.59</v>
      </c>
      <c r="AX30" s="87">
        <v>13.47</v>
      </c>
      <c r="AY30" s="87">
        <v>17.19</v>
      </c>
      <c r="AZ30" s="87">
        <v>20.87</v>
      </c>
      <c r="BA30" s="99">
        <v>26.29</v>
      </c>
    </row>
    <row r="31" spans="2:53">
      <c r="B31" s="49">
        <v>45</v>
      </c>
      <c r="C31" s="50">
        <f>AB31*(PT=20)+AC31*(PT=15)</f>
        <v>142.83</v>
      </c>
      <c r="D31" s="51">
        <f>AF31*(PT=20)+AR31*(PT=15)</f>
        <v>2.18</v>
      </c>
      <c r="E31" s="51">
        <f>AG31*(PT=20)+AS31*(PT=15)</f>
        <v>4.35</v>
      </c>
      <c r="F31" s="51">
        <f>AH31*(PT=20)+AT31*(PT=15)</f>
        <v>6.5</v>
      </c>
      <c r="G31" s="51">
        <f>AI31*(PT=20)+AU31*(PT=15)</f>
        <v>8.64</v>
      </c>
      <c r="H31" s="51">
        <f>AJ31*(PT=20)+AV31*(PT=15)</f>
        <v>10.76</v>
      </c>
      <c r="I31" s="51">
        <f>AK31*(PT=20)+AW31*(PT=15)</f>
        <v>12.86</v>
      </c>
      <c r="J31" s="51">
        <f>AL31*(PT=20)+AX31*(PT=15)</f>
        <v>14.95</v>
      </c>
      <c r="K31" s="51">
        <f>AM31*(PT=20)+AY31*(PT=15)</f>
        <v>19.07</v>
      </c>
      <c r="L31" s="51">
        <f>AN31*(PT=20)+AZ31*(PT=15)</f>
        <v>23.13</v>
      </c>
      <c r="M31" s="51">
        <f>AO31*(PT=20)+BA31*(PT=15)</f>
        <v>29.16</v>
      </c>
      <c r="AA31" s="88">
        <v>45</v>
      </c>
      <c r="AB31" s="89">
        <v>86.77</v>
      </c>
      <c r="AC31" s="90">
        <v>142.83</v>
      </c>
      <c r="AE31" s="86">
        <v>45</v>
      </c>
      <c r="AF31" s="87">
        <v>1.12</v>
      </c>
      <c r="AG31" s="87">
        <v>2.23</v>
      </c>
      <c r="AH31" s="87">
        <v>3.34</v>
      </c>
      <c r="AI31" s="87">
        <v>4.44</v>
      </c>
      <c r="AJ31" s="87">
        <v>5.53</v>
      </c>
      <c r="AK31" s="87">
        <v>6.62</v>
      </c>
      <c r="AL31" s="87">
        <v>7.7</v>
      </c>
      <c r="AM31" s="87">
        <v>9.85</v>
      </c>
      <c r="AN31" s="87">
        <v>11.99</v>
      </c>
      <c r="AO31" s="99">
        <v>15.16</v>
      </c>
      <c r="AQ31" s="86">
        <v>45</v>
      </c>
      <c r="AR31" s="87">
        <v>2.18</v>
      </c>
      <c r="AS31" s="87">
        <v>4.35</v>
      </c>
      <c r="AT31" s="87">
        <v>6.5</v>
      </c>
      <c r="AU31" s="87">
        <v>8.64</v>
      </c>
      <c r="AV31" s="87">
        <v>10.76</v>
      </c>
      <c r="AW31" s="87">
        <v>12.86</v>
      </c>
      <c r="AX31" s="87">
        <v>14.95</v>
      </c>
      <c r="AY31" s="87">
        <v>19.07</v>
      </c>
      <c r="AZ31" s="87">
        <v>23.13</v>
      </c>
      <c r="BA31" s="99">
        <v>29.16</v>
      </c>
    </row>
    <row r="32" spans="2:53">
      <c r="B32" s="49">
        <v>46</v>
      </c>
      <c r="C32" s="50">
        <f>AB32*(PT=20)+AC32*(PT=15)</f>
        <v>143.84</v>
      </c>
      <c r="D32" s="51">
        <f>AF32*(PT=20)+AR32*(PT=15)</f>
        <v>2.42</v>
      </c>
      <c r="E32" s="51">
        <f>AG32*(PT=20)+AS32*(PT=15)</f>
        <v>4.83</v>
      </c>
      <c r="F32" s="51">
        <f>AH32*(PT=20)+AT32*(PT=15)</f>
        <v>7.21</v>
      </c>
      <c r="G32" s="51">
        <f>AI32*(PT=20)+AU32*(PT=15)</f>
        <v>9.59</v>
      </c>
      <c r="H32" s="51">
        <f>AJ32*(PT=20)+AV32*(PT=15)</f>
        <v>11.94</v>
      </c>
      <c r="I32" s="51">
        <f>AK32*(PT=20)+AW32*(PT=15)</f>
        <v>14.27</v>
      </c>
      <c r="J32" s="51">
        <f>AL32*(PT=20)+AX32*(PT=15)</f>
        <v>16.58</v>
      </c>
      <c r="K32" s="51">
        <f>AM32*(PT=20)+AY32*(PT=15)</f>
        <v>21.14</v>
      </c>
      <c r="L32" s="51">
        <f>AN32*(PT=20)+AZ32*(PT=15)</f>
        <v>25.63</v>
      </c>
      <c r="M32" s="51">
        <f>AO32*(PT=20)+BA32*(PT=15)</f>
        <v>32.28</v>
      </c>
      <c r="AA32" s="88">
        <v>46</v>
      </c>
      <c r="AB32" s="89">
        <v>87.22</v>
      </c>
      <c r="AC32" s="90">
        <v>143.84</v>
      </c>
      <c r="AE32" s="86">
        <v>46</v>
      </c>
      <c r="AF32" s="87">
        <v>1.23</v>
      </c>
      <c r="AG32" s="87">
        <v>2.46</v>
      </c>
      <c r="AH32" s="87">
        <v>3.67</v>
      </c>
      <c r="AI32" s="87">
        <v>4.88</v>
      </c>
      <c r="AJ32" s="87">
        <v>6.08</v>
      </c>
      <c r="AK32" s="87">
        <v>7.27</v>
      </c>
      <c r="AL32" s="87">
        <v>8.46</v>
      </c>
      <c r="AM32" s="87">
        <v>10.83</v>
      </c>
      <c r="AN32" s="87">
        <v>13.17</v>
      </c>
      <c r="AO32" s="99">
        <v>16.66</v>
      </c>
      <c r="AQ32" s="86">
        <v>46</v>
      </c>
      <c r="AR32" s="87">
        <v>2.42</v>
      </c>
      <c r="AS32" s="87">
        <v>4.83</v>
      </c>
      <c r="AT32" s="87">
        <v>7.21</v>
      </c>
      <c r="AU32" s="87">
        <v>9.59</v>
      </c>
      <c r="AV32" s="87">
        <v>11.94</v>
      </c>
      <c r="AW32" s="87">
        <v>14.27</v>
      </c>
      <c r="AX32" s="87">
        <v>16.58</v>
      </c>
      <c r="AY32" s="87">
        <v>21.14</v>
      </c>
      <c r="AZ32" s="87">
        <v>25.63</v>
      </c>
      <c r="BA32" s="99">
        <v>32.28</v>
      </c>
    </row>
    <row r="33" spans="2:53">
      <c r="B33" s="49">
        <v>47</v>
      </c>
      <c r="C33" s="50">
        <f>AB33*(PT=20)+AC33*(PT=15)</f>
        <v>144.95</v>
      </c>
      <c r="D33" s="51">
        <f>AF33*(PT=20)+AR33*(PT=15)</f>
        <v>2.69</v>
      </c>
      <c r="E33" s="51">
        <f>AG33*(PT=20)+AS33*(PT=15)</f>
        <v>5.36</v>
      </c>
      <c r="F33" s="51">
        <f>AH33*(PT=20)+AT33*(PT=15)</f>
        <v>8.01</v>
      </c>
      <c r="G33" s="51">
        <f>AI33*(PT=20)+AU33*(PT=15)</f>
        <v>10.64</v>
      </c>
      <c r="H33" s="51">
        <f>AJ33*(PT=20)+AV33*(PT=15)</f>
        <v>13.24</v>
      </c>
      <c r="I33" s="51">
        <f>AK33*(PT=20)+AW33*(PT=15)</f>
        <v>15.82</v>
      </c>
      <c r="J33" s="51">
        <f>AL33*(PT=20)+AX33*(PT=15)</f>
        <v>18.37</v>
      </c>
      <c r="K33" s="51">
        <f>AM33*(PT=20)+AY33*(PT=15)</f>
        <v>23.42</v>
      </c>
      <c r="L33" s="51">
        <f>AN33*(PT=20)+AZ33*(PT=15)</f>
        <v>28.41</v>
      </c>
      <c r="M33" s="51">
        <f>AO33*(PT=20)+BA33*(PT=15)</f>
        <v>35.72</v>
      </c>
      <c r="AA33" s="88">
        <v>47</v>
      </c>
      <c r="AB33" s="89">
        <v>87.71</v>
      </c>
      <c r="AC33" s="90">
        <v>144.95</v>
      </c>
      <c r="AE33" s="86">
        <v>47</v>
      </c>
      <c r="AF33" s="87">
        <v>1.35</v>
      </c>
      <c r="AG33" s="87">
        <v>2.69</v>
      </c>
      <c r="AH33" s="87">
        <v>4.03</v>
      </c>
      <c r="AI33" s="87">
        <v>5.35</v>
      </c>
      <c r="AJ33" s="87">
        <v>6.67</v>
      </c>
      <c r="AK33" s="87">
        <v>7.98</v>
      </c>
      <c r="AL33" s="87">
        <v>9.28</v>
      </c>
      <c r="AM33" s="87">
        <v>11.87</v>
      </c>
      <c r="AN33" s="87">
        <v>14.44</v>
      </c>
      <c r="AO33" s="99">
        <v>18.35</v>
      </c>
      <c r="AQ33" s="86">
        <v>47</v>
      </c>
      <c r="AR33" s="87">
        <v>2.69</v>
      </c>
      <c r="AS33" s="87">
        <v>5.36</v>
      </c>
      <c r="AT33" s="87">
        <v>8.01</v>
      </c>
      <c r="AU33" s="87">
        <v>10.64</v>
      </c>
      <c r="AV33" s="87">
        <v>13.24</v>
      </c>
      <c r="AW33" s="87">
        <v>15.82</v>
      </c>
      <c r="AX33" s="87">
        <v>18.37</v>
      </c>
      <c r="AY33" s="87">
        <v>23.42</v>
      </c>
      <c r="AZ33" s="87">
        <v>28.41</v>
      </c>
      <c r="BA33" s="99">
        <v>35.72</v>
      </c>
    </row>
    <row r="34" spans="2:53">
      <c r="B34" s="49">
        <v>48</v>
      </c>
      <c r="C34" s="50">
        <f>AB34*(PT=20)+AC34*(PT=15)</f>
        <v>146.17</v>
      </c>
      <c r="D34" s="51">
        <f>AF34*(PT=20)+AR34*(PT=15)</f>
        <v>2.99</v>
      </c>
      <c r="E34" s="51">
        <f>AG34*(PT=20)+AS34*(PT=15)</f>
        <v>5.95</v>
      </c>
      <c r="F34" s="51">
        <f>AH34*(PT=20)+AT34*(PT=15)</f>
        <v>8.89</v>
      </c>
      <c r="G34" s="51">
        <f>AI34*(PT=20)+AU34*(PT=15)</f>
        <v>11.8</v>
      </c>
      <c r="H34" s="51">
        <f>AJ34*(PT=20)+AV34*(PT=15)</f>
        <v>14.67</v>
      </c>
      <c r="I34" s="51">
        <f>AK34*(PT=20)+AW34*(PT=15)</f>
        <v>17.52</v>
      </c>
      <c r="J34" s="51">
        <f>AL34*(PT=20)+AX34*(PT=15)</f>
        <v>20.34</v>
      </c>
      <c r="K34" s="51">
        <f>AM34*(PT=20)+AY34*(PT=15)</f>
        <v>25.91</v>
      </c>
      <c r="L34" s="51">
        <f>AN34*(PT=20)+AZ34*(PT=15)</f>
        <v>31.42</v>
      </c>
      <c r="M34" s="51">
        <f>AO34*(PT=20)+BA34*(PT=15)</f>
        <v>39.48</v>
      </c>
      <c r="AA34" s="88">
        <v>48</v>
      </c>
      <c r="AB34" s="89">
        <v>88.23</v>
      </c>
      <c r="AC34" s="90">
        <v>146.17</v>
      </c>
      <c r="AE34" s="86">
        <v>48</v>
      </c>
      <c r="AF34" s="87">
        <v>1.49</v>
      </c>
      <c r="AG34" s="87">
        <v>2.95</v>
      </c>
      <c r="AH34" s="87">
        <v>4.41</v>
      </c>
      <c r="AI34" s="87">
        <v>5.86</v>
      </c>
      <c r="AJ34" s="87">
        <v>7.3</v>
      </c>
      <c r="AK34" s="87">
        <v>8.74</v>
      </c>
      <c r="AL34" s="87">
        <v>10.17</v>
      </c>
      <c r="AM34" s="87">
        <v>13</v>
      </c>
      <c r="AN34" s="87">
        <v>15.81</v>
      </c>
      <c r="AO34" s="99">
        <v>20.41</v>
      </c>
      <c r="AQ34" s="86">
        <v>48</v>
      </c>
      <c r="AR34" s="87">
        <v>2.99</v>
      </c>
      <c r="AS34" s="87">
        <v>5.95</v>
      </c>
      <c r="AT34" s="87">
        <v>8.89</v>
      </c>
      <c r="AU34" s="87">
        <v>11.8</v>
      </c>
      <c r="AV34" s="87">
        <v>14.67</v>
      </c>
      <c r="AW34" s="87">
        <v>17.52</v>
      </c>
      <c r="AX34" s="87">
        <v>20.34</v>
      </c>
      <c r="AY34" s="87">
        <v>25.91</v>
      </c>
      <c r="AZ34" s="87">
        <v>31.42</v>
      </c>
      <c r="BA34" s="99">
        <v>39.48</v>
      </c>
    </row>
    <row r="35" spans="2:53">
      <c r="B35" s="49">
        <v>49</v>
      </c>
      <c r="C35" s="50">
        <f>AB35*(PT=20)+AC35*(PT=15)</f>
        <v>147.51</v>
      </c>
      <c r="D35" s="51">
        <f>AF35*(PT=20)+AR35*(PT=15)</f>
        <v>3.32</v>
      </c>
      <c r="E35" s="51">
        <f>AG35*(PT=20)+AS35*(PT=15)</f>
        <v>6.6</v>
      </c>
      <c r="F35" s="51">
        <f>AH35*(PT=20)+AT35*(PT=15)</f>
        <v>9.84</v>
      </c>
      <c r="G35" s="51">
        <f>AI35*(PT=20)+AU35*(PT=15)</f>
        <v>13.05</v>
      </c>
      <c r="H35" s="51">
        <f>AJ35*(PT=20)+AV35*(PT=15)</f>
        <v>16.23</v>
      </c>
      <c r="I35" s="51">
        <f>AK35*(PT=20)+AW35*(PT=15)</f>
        <v>19.38</v>
      </c>
      <c r="J35" s="51">
        <f>AL35*(PT=20)+AX35*(PT=15)</f>
        <v>22.49</v>
      </c>
      <c r="K35" s="51">
        <f>AM35*(PT=20)+AY35*(PT=15)</f>
        <v>28.63</v>
      </c>
      <c r="L35" s="51">
        <f>AN35*(PT=20)+AZ35*(PT=15)</f>
        <v>34.71</v>
      </c>
      <c r="M35" s="51">
        <f>AO35*(PT=20)+BA35*(PT=15)</f>
        <v>43.56</v>
      </c>
      <c r="AA35" s="88">
        <v>49</v>
      </c>
      <c r="AB35" s="89">
        <v>88.79</v>
      </c>
      <c r="AC35" s="90">
        <v>147.51</v>
      </c>
      <c r="AE35" s="86">
        <v>49</v>
      </c>
      <c r="AF35" s="87">
        <v>1.62</v>
      </c>
      <c r="AG35" s="87">
        <v>3.22</v>
      </c>
      <c r="AH35" s="87">
        <v>4.82</v>
      </c>
      <c r="AI35" s="87">
        <v>6.4</v>
      </c>
      <c r="AJ35" s="87">
        <v>7.97</v>
      </c>
      <c r="AK35" s="87">
        <v>9.54</v>
      </c>
      <c r="AL35" s="87">
        <v>11.1</v>
      </c>
      <c r="AM35" s="87">
        <v>14.19</v>
      </c>
      <c r="AN35" s="87">
        <v>17.36</v>
      </c>
      <c r="AO35" s="99">
        <v>23.03</v>
      </c>
      <c r="AQ35" s="86">
        <v>49</v>
      </c>
      <c r="AR35" s="87">
        <v>3.32</v>
      </c>
      <c r="AS35" s="87">
        <v>6.6</v>
      </c>
      <c r="AT35" s="87">
        <v>9.84</v>
      </c>
      <c r="AU35" s="87">
        <v>13.05</v>
      </c>
      <c r="AV35" s="87">
        <v>16.23</v>
      </c>
      <c r="AW35" s="87">
        <v>19.38</v>
      </c>
      <c r="AX35" s="87">
        <v>22.49</v>
      </c>
      <c r="AY35" s="87">
        <v>28.63</v>
      </c>
      <c r="AZ35" s="87">
        <v>34.71</v>
      </c>
      <c r="BA35" s="99">
        <v>43.56</v>
      </c>
    </row>
    <row r="36" spans="2:53">
      <c r="B36" s="49">
        <v>50</v>
      </c>
      <c r="C36" s="50">
        <f>AB36*(PT=20)+AC36*(PT=15)</f>
        <v>148.98</v>
      </c>
      <c r="D36" s="51">
        <f>AF36*(PT=20)+AR36*(PT=15)</f>
        <v>3.68</v>
      </c>
      <c r="E36" s="51">
        <f>AG36*(PT=20)+AS36*(PT=15)</f>
        <v>7.3</v>
      </c>
      <c r="F36" s="51">
        <f>AH36*(PT=20)+AT36*(PT=15)</f>
        <v>10.88</v>
      </c>
      <c r="G36" s="51">
        <f>AI36*(PT=20)+AU36*(PT=15)</f>
        <v>14.42</v>
      </c>
      <c r="H36" s="51">
        <f>AJ36*(PT=20)+AV36*(PT=15)</f>
        <v>17.93</v>
      </c>
      <c r="I36" s="51">
        <f>AK36*(PT=20)+AW36*(PT=15)</f>
        <v>21.4</v>
      </c>
      <c r="J36" s="51">
        <f>AL36*(PT=20)+AX36*(PT=15)</f>
        <v>24.83</v>
      </c>
      <c r="K36" s="51">
        <f>AM36*(PT=20)+AY36*(PT=15)</f>
        <v>31.63</v>
      </c>
      <c r="L36" s="51">
        <f>AN36*(PT=20)+AZ36*(PT=15)</f>
        <v>38.27</v>
      </c>
      <c r="M36" s="51">
        <f>AO36*(PT=20)+BA36*(PT=15)</f>
        <v>48</v>
      </c>
      <c r="AA36" s="88">
        <v>50</v>
      </c>
      <c r="AB36" s="89">
        <v>89.38</v>
      </c>
      <c r="AC36" s="90">
        <v>148.98</v>
      </c>
      <c r="AE36" s="86">
        <v>50</v>
      </c>
      <c r="AF36" s="87">
        <v>1.77</v>
      </c>
      <c r="AG36" s="87">
        <v>3.51</v>
      </c>
      <c r="AH36" s="87">
        <v>5.25</v>
      </c>
      <c r="AI36" s="87">
        <v>6.97</v>
      </c>
      <c r="AJ36" s="87">
        <v>8.69</v>
      </c>
      <c r="AK36" s="87">
        <v>10.39</v>
      </c>
      <c r="AL36" s="87">
        <v>12.09</v>
      </c>
      <c r="AM36" s="87">
        <v>15.49</v>
      </c>
      <c r="AN36" s="87">
        <v>19.21</v>
      </c>
      <c r="AO36" s="99">
        <v>26.61</v>
      </c>
      <c r="AQ36" s="86">
        <v>50</v>
      </c>
      <c r="AR36" s="87">
        <v>3.68</v>
      </c>
      <c r="AS36" s="87">
        <v>7.3</v>
      </c>
      <c r="AT36" s="87">
        <v>10.88</v>
      </c>
      <c r="AU36" s="87">
        <v>14.42</v>
      </c>
      <c r="AV36" s="87">
        <v>17.93</v>
      </c>
      <c r="AW36" s="87">
        <v>21.4</v>
      </c>
      <c r="AX36" s="87">
        <v>24.83</v>
      </c>
      <c r="AY36" s="87">
        <v>31.63</v>
      </c>
      <c r="AZ36" s="87">
        <v>38.27</v>
      </c>
      <c r="BA36" s="99">
        <v>48</v>
      </c>
    </row>
    <row r="37" spans="2:53">
      <c r="B37" s="49">
        <v>51</v>
      </c>
      <c r="C37" s="50">
        <f>AB37*(PT=20)+AC37*(PT=15)</f>
        <v>150.6</v>
      </c>
      <c r="D37" s="51">
        <f>AF37*(PT=20)+AR37*(PT=15)</f>
        <v>4.06</v>
      </c>
      <c r="E37" s="51">
        <f>AG37*(PT=20)+AS37*(PT=15)</f>
        <v>8.06</v>
      </c>
      <c r="F37" s="51">
        <f>AH37*(PT=20)+AT37*(PT=15)</f>
        <v>12.01</v>
      </c>
      <c r="G37" s="51">
        <f>AI37*(PT=20)+AU37*(PT=15)</f>
        <v>15.91</v>
      </c>
      <c r="H37" s="51">
        <f>AJ37*(PT=20)+AV37*(PT=15)</f>
        <v>19.77</v>
      </c>
      <c r="I37" s="51">
        <f>AK37*(PT=20)+AW37*(PT=15)</f>
        <v>23.59</v>
      </c>
      <c r="J37" s="51">
        <f>AL37*(PT=20)+AX37*(PT=15)</f>
        <v>27.36</v>
      </c>
      <c r="K37" s="51">
        <f>AM37*(PT=20)+AY37*(PT=15)</f>
        <v>34.84</v>
      </c>
      <c r="L37" s="51">
        <f>AN37*(PT=20)+AZ37*(PT=15)</f>
        <v>42.13</v>
      </c>
      <c r="M37" s="51">
        <f>AO37*(PT=20)+BA37*(PT=15)</f>
        <v>52.8</v>
      </c>
      <c r="AA37" s="88">
        <v>51</v>
      </c>
      <c r="AB37" s="89">
        <v>90.01</v>
      </c>
      <c r="AC37" s="90">
        <v>150.6</v>
      </c>
      <c r="AE37" s="86">
        <v>51</v>
      </c>
      <c r="AF37" s="87">
        <v>1.92</v>
      </c>
      <c r="AG37" s="87">
        <v>3.81</v>
      </c>
      <c r="AH37" s="87">
        <v>5.7</v>
      </c>
      <c r="AI37" s="87">
        <v>7.57</v>
      </c>
      <c r="AJ37" s="87">
        <v>9.44</v>
      </c>
      <c r="AK37" s="87">
        <v>11.29</v>
      </c>
      <c r="AL37" s="87">
        <v>13.13</v>
      </c>
      <c r="AM37" s="87">
        <v>16.96</v>
      </c>
      <c r="AN37" s="87">
        <v>21.51</v>
      </c>
      <c r="AO37" s="99">
        <v>31.05</v>
      </c>
      <c r="AQ37" s="86">
        <v>51</v>
      </c>
      <c r="AR37" s="87">
        <v>4.06</v>
      </c>
      <c r="AS37" s="87">
        <v>8.06</v>
      </c>
      <c r="AT37" s="87">
        <v>12.01</v>
      </c>
      <c r="AU37" s="87">
        <v>15.91</v>
      </c>
      <c r="AV37" s="87">
        <v>19.77</v>
      </c>
      <c r="AW37" s="87">
        <v>23.59</v>
      </c>
      <c r="AX37" s="87">
        <v>27.36</v>
      </c>
      <c r="AY37" s="87">
        <v>34.84</v>
      </c>
      <c r="AZ37" s="87">
        <v>42.13</v>
      </c>
      <c r="BA37" s="99">
        <v>52.8</v>
      </c>
    </row>
    <row r="38" spans="2:53">
      <c r="B38" s="49">
        <v>52</v>
      </c>
      <c r="C38" s="50">
        <f>AB38*(PT=20)+AC38*(PT=15)</f>
        <v>152.37</v>
      </c>
      <c r="D38" s="51">
        <f>AF38*(PT=20)+AR38*(PT=15)</f>
        <v>4.49</v>
      </c>
      <c r="E38" s="51">
        <f>AG38*(PT=20)+AS38*(PT=15)</f>
        <v>8.89</v>
      </c>
      <c r="F38" s="51">
        <f>AH38*(PT=20)+AT38*(PT=15)</f>
        <v>13.25</v>
      </c>
      <c r="G38" s="51">
        <f>AI38*(PT=20)+AU38*(PT=15)</f>
        <v>17.54</v>
      </c>
      <c r="H38" s="51">
        <f>AJ38*(PT=20)+AV38*(PT=15)</f>
        <v>21.79</v>
      </c>
      <c r="I38" s="51">
        <f>AK38*(PT=20)+AW38*(PT=15)</f>
        <v>25.98</v>
      </c>
      <c r="J38" s="51">
        <f>AL38*(PT=20)+AX38*(PT=15)</f>
        <v>30.13</v>
      </c>
      <c r="K38" s="51">
        <f>AM38*(PT=20)+AY38*(PT=15)</f>
        <v>38.33</v>
      </c>
      <c r="L38" s="51">
        <f>AN38*(PT=20)+AZ38*(PT=15)</f>
        <v>46.32</v>
      </c>
      <c r="M38" s="51">
        <f>AO38*(PT=20)+BA38*(PT=15)</f>
        <v>58</v>
      </c>
      <c r="AA38" s="88">
        <v>52</v>
      </c>
      <c r="AB38" s="89">
        <v>90.67</v>
      </c>
      <c r="AC38" s="90">
        <v>152.37</v>
      </c>
      <c r="AE38" s="86">
        <v>52</v>
      </c>
      <c r="AF38" s="87">
        <v>2.08</v>
      </c>
      <c r="AG38" s="87">
        <v>4.14</v>
      </c>
      <c r="AH38" s="87">
        <v>6.18</v>
      </c>
      <c r="AI38" s="87">
        <v>8.21</v>
      </c>
      <c r="AJ38" s="87">
        <v>10.23</v>
      </c>
      <c r="AK38" s="87">
        <v>12.23</v>
      </c>
      <c r="AL38" s="87">
        <v>14.26</v>
      </c>
      <c r="AM38" s="87">
        <v>18.75</v>
      </c>
      <c r="AN38" s="87">
        <v>24.63</v>
      </c>
      <c r="AO38" s="99">
        <v>36.12</v>
      </c>
      <c r="AQ38" s="86">
        <v>52</v>
      </c>
      <c r="AR38" s="87">
        <v>4.49</v>
      </c>
      <c r="AS38" s="87">
        <v>8.89</v>
      </c>
      <c r="AT38" s="87">
        <v>13.25</v>
      </c>
      <c r="AU38" s="87">
        <v>17.54</v>
      </c>
      <c r="AV38" s="87">
        <v>21.79</v>
      </c>
      <c r="AW38" s="87">
        <v>25.98</v>
      </c>
      <c r="AX38" s="87">
        <v>30.13</v>
      </c>
      <c r="AY38" s="87">
        <v>38.33</v>
      </c>
      <c r="AZ38" s="87">
        <v>46.32</v>
      </c>
      <c r="BA38" s="99">
        <v>58</v>
      </c>
    </row>
    <row r="39" spans="2:53">
      <c r="B39" s="49">
        <v>53</v>
      </c>
      <c r="C39" s="50">
        <f>AB39*(PT=20)+AC39*(PT=15)</f>
        <v>154.33</v>
      </c>
      <c r="D39" s="51">
        <f>AF39*(PT=20)+AR39*(PT=15)</f>
        <v>4.95</v>
      </c>
      <c r="E39" s="51">
        <f>AG39*(PT=20)+AS39*(PT=15)</f>
        <v>9.81</v>
      </c>
      <c r="F39" s="51">
        <f>AH39*(PT=20)+AT39*(PT=15)</f>
        <v>14.6</v>
      </c>
      <c r="G39" s="51">
        <f>AI39*(PT=20)+AU39*(PT=15)</f>
        <v>19.33</v>
      </c>
      <c r="H39" s="51">
        <f>AJ39*(PT=20)+AV39*(PT=15)</f>
        <v>23.99</v>
      </c>
      <c r="I39" s="51">
        <f>AK39*(PT=20)+AW39*(PT=15)</f>
        <v>28.6</v>
      </c>
      <c r="J39" s="51">
        <f>AL39*(PT=20)+AX39*(PT=15)</f>
        <v>33.19</v>
      </c>
      <c r="K39" s="51">
        <f>AM39*(PT=20)+AY39*(PT=15)</f>
        <v>42.14</v>
      </c>
      <c r="L39" s="51">
        <f>AN39*(PT=20)+AZ39*(PT=15)</f>
        <v>50.88</v>
      </c>
      <c r="M39" s="51">
        <f>AO39*(PT=20)+BA39*(PT=15)</f>
        <v>63.64</v>
      </c>
      <c r="AA39" s="88">
        <v>53</v>
      </c>
      <c r="AB39" s="89">
        <v>91.37</v>
      </c>
      <c r="AC39" s="90">
        <v>154.33</v>
      </c>
      <c r="AE39" s="86">
        <v>53</v>
      </c>
      <c r="AF39" s="87">
        <v>2.25</v>
      </c>
      <c r="AG39" s="87">
        <v>4.48</v>
      </c>
      <c r="AH39" s="87">
        <v>6.68</v>
      </c>
      <c r="AI39" s="87">
        <v>8.88</v>
      </c>
      <c r="AJ39" s="87">
        <v>11.06</v>
      </c>
      <c r="AK39" s="87">
        <v>13.22</v>
      </c>
      <c r="AL39" s="87">
        <v>15.54</v>
      </c>
      <c r="AM39" s="87">
        <v>21.02</v>
      </c>
      <c r="AN39" s="87">
        <v>28.61</v>
      </c>
      <c r="AO39" s="99">
        <v>42.33</v>
      </c>
      <c r="AQ39" s="86">
        <v>53</v>
      </c>
      <c r="AR39" s="87">
        <v>4.95</v>
      </c>
      <c r="AS39" s="87">
        <v>9.81</v>
      </c>
      <c r="AT39" s="87">
        <v>14.6</v>
      </c>
      <c r="AU39" s="87">
        <v>19.33</v>
      </c>
      <c r="AV39" s="87">
        <v>23.99</v>
      </c>
      <c r="AW39" s="87">
        <v>28.6</v>
      </c>
      <c r="AX39" s="87">
        <v>33.19</v>
      </c>
      <c r="AY39" s="87">
        <v>42.14</v>
      </c>
      <c r="AZ39" s="87">
        <v>50.88</v>
      </c>
      <c r="BA39" s="99">
        <v>63.64</v>
      </c>
    </row>
    <row r="40" spans="2:53">
      <c r="B40" s="49">
        <v>54</v>
      </c>
      <c r="C40" s="50">
        <f>AB40*(PT=20)+AC40*(PT=15)</f>
        <v>156.5</v>
      </c>
      <c r="D40" s="51">
        <f>AF40*(PT=20)+AR40*(PT=15)</f>
        <v>5.47</v>
      </c>
      <c r="E40" s="51">
        <f>AG40*(PT=20)+AS40*(PT=15)</f>
        <v>10.82</v>
      </c>
      <c r="F40" s="51">
        <f>AH40*(PT=20)+AT40*(PT=15)</f>
        <v>16.1</v>
      </c>
      <c r="G40" s="51">
        <f>AI40*(PT=20)+AU40*(PT=15)</f>
        <v>21.3</v>
      </c>
      <c r="H40" s="51">
        <f>AJ40*(PT=20)+AV40*(PT=15)</f>
        <v>26.42</v>
      </c>
      <c r="I40" s="51">
        <f>AK40*(PT=20)+AW40*(PT=15)</f>
        <v>31.47</v>
      </c>
      <c r="J40" s="51">
        <f>AL40*(PT=20)+AX40*(PT=15)</f>
        <v>36.51</v>
      </c>
      <c r="K40" s="51">
        <f>AM40*(PT=20)+AY40*(PT=15)</f>
        <v>46.31</v>
      </c>
      <c r="L40" s="51">
        <f>AN40*(PT=20)+AZ40*(PT=15)</f>
        <v>55.87</v>
      </c>
      <c r="M40" s="51">
        <f>AO40*(PT=20)+BA40*(PT=15)</f>
        <v>70.38</v>
      </c>
      <c r="AA40" s="88">
        <v>54</v>
      </c>
      <c r="AB40" s="89">
        <v>92.12</v>
      </c>
      <c r="AC40" s="90">
        <v>156.5</v>
      </c>
      <c r="AE40" s="86">
        <v>54</v>
      </c>
      <c r="AF40" s="87">
        <v>2.43</v>
      </c>
      <c r="AG40" s="87">
        <v>4.83</v>
      </c>
      <c r="AH40" s="87">
        <v>7.21</v>
      </c>
      <c r="AI40" s="87">
        <v>9.57</v>
      </c>
      <c r="AJ40" s="87">
        <v>11.93</v>
      </c>
      <c r="AK40" s="87">
        <v>14.39</v>
      </c>
      <c r="AL40" s="87">
        <v>17.1</v>
      </c>
      <c r="AM40" s="87">
        <v>24.16</v>
      </c>
      <c r="AN40" s="87">
        <v>33.18</v>
      </c>
      <c r="AO40" s="99">
        <v>49.63</v>
      </c>
      <c r="AQ40" s="86">
        <v>54</v>
      </c>
      <c r="AR40" s="87">
        <v>5.47</v>
      </c>
      <c r="AS40" s="87">
        <v>10.82</v>
      </c>
      <c r="AT40" s="87">
        <v>16.1</v>
      </c>
      <c r="AU40" s="87">
        <v>21.3</v>
      </c>
      <c r="AV40" s="87">
        <v>26.42</v>
      </c>
      <c r="AW40" s="87">
        <v>31.47</v>
      </c>
      <c r="AX40" s="87">
        <v>36.51</v>
      </c>
      <c r="AY40" s="87">
        <v>46.31</v>
      </c>
      <c r="AZ40" s="87">
        <v>55.87</v>
      </c>
      <c r="BA40" s="99">
        <v>70.38</v>
      </c>
    </row>
    <row r="41" spans="2:53">
      <c r="B41" s="49">
        <v>55</v>
      </c>
      <c r="C41" s="50">
        <f>AB41*(PT=20)+AC41*(PT=15)</f>
        <v>159</v>
      </c>
      <c r="D41" s="51">
        <f>AF41*(PT=20)+AR41*(PT=15)</f>
        <v>6.01</v>
      </c>
      <c r="E41" s="51">
        <f>AG41*(PT=20)+AS41*(PT=15)</f>
        <v>11.91</v>
      </c>
      <c r="F41" s="51">
        <f>AH41*(PT=20)+AT41*(PT=15)</f>
        <v>17.73</v>
      </c>
      <c r="G41" s="51">
        <f>AI41*(PT=20)+AU41*(PT=15)</f>
        <v>23.45</v>
      </c>
      <c r="H41" s="51">
        <f>AJ41*(PT=20)+AV41*(PT=15)</f>
        <v>29.08</v>
      </c>
      <c r="I41" s="51">
        <f>AK41*(PT=20)+AW41*(PT=15)</f>
        <v>34.67</v>
      </c>
      <c r="J41" s="51">
        <f>AL41*(PT=20)+AX41*(PT=15)</f>
        <v>40.15</v>
      </c>
      <c r="K41" s="51">
        <f>AM41*(PT=20)+AY41*(PT=15)</f>
        <v>50.89</v>
      </c>
      <c r="L41" s="51">
        <f>AN41*(PT=20)+AZ41*(PT=15)</f>
        <v>61.34</v>
      </c>
      <c r="M41" s="51">
        <f>AO41*(PT=20)+BA41*(PT=15)</f>
        <v>80.39</v>
      </c>
      <c r="AA41" s="91">
        <v>55</v>
      </c>
      <c r="AB41" s="89">
        <v>92.91</v>
      </c>
      <c r="AC41" s="90">
        <v>159</v>
      </c>
      <c r="AE41" s="92">
        <v>55</v>
      </c>
      <c r="AF41" s="93">
        <v>2.62</v>
      </c>
      <c r="AG41" s="93">
        <v>5.21</v>
      </c>
      <c r="AH41" s="93">
        <v>7.77</v>
      </c>
      <c r="AI41" s="93">
        <v>10.32</v>
      </c>
      <c r="AJ41" s="93">
        <v>12.92</v>
      </c>
      <c r="AK41" s="93">
        <v>15.79</v>
      </c>
      <c r="AL41" s="93">
        <v>19.12</v>
      </c>
      <c r="AM41" s="93">
        <v>28.02</v>
      </c>
      <c r="AN41" s="93">
        <v>38.71</v>
      </c>
      <c r="AO41" s="100">
        <v>58.76</v>
      </c>
      <c r="AQ41" s="92">
        <v>55</v>
      </c>
      <c r="AR41" s="93">
        <v>6.01</v>
      </c>
      <c r="AS41" s="93">
        <v>11.91</v>
      </c>
      <c r="AT41" s="93">
        <v>17.73</v>
      </c>
      <c r="AU41" s="93">
        <v>23.45</v>
      </c>
      <c r="AV41" s="93">
        <v>29.08</v>
      </c>
      <c r="AW41" s="93">
        <v>34.67</v>
      </c>
      <c r="AX41" s="93">
        <v>40.15</v>
      </c>
      <c r="AY41" s="93">
        <v>50.89</v>
      </c>
      <c r="AZ41" s="93">
        <v>61.34</v>
      </c>
      <c r="BA41" s="100">
        <v>80.39</v>
      </c>
    </row>
    <row r="43" spans="32:53">
      <c r="AF43" s="94"/>
      <c r="AG43" s="94"/>
      <c r="AH43" s="94"/>
      <c r="AI43" s="94"/>
      <c r="AJ43" s="94"/>
      <c r="AK43" s="94"/>
      <c r="AL43" s="94"/>
      <c r="AM43" s="94"/>
      <c r="AN43" s="94"/>
      <c r="AO43" s="94"/>
      <c r="AR43" s="94"/>
      <c r="AS43" s="94"/>
      <c r="AT43" s="94"/>
      <c r="AU43" s="94"/>
      <c r="AV43" s="94"/>
      <c r="AW43" s="94"/>
      <c r="AX43" s="94"/>
      <c r="AY43" s="94"/>
      <c r="AZ43" s="94"/>
      <c r="BA43" s="94"/>
    </row>
    <row r="44" spans="32:53">
      <c r="AF44" s="94"/>
      <c r="AG44" s="94"/>
      <c r="AH44" s="94"/>
      <c r="AI44" s="94"/>
      <c r="AJ44" s="94"/>
      <c r="AK44" s="94"/>
      <c r="AL44" s="94"/>
      <c r="AM44" s="94"/>
      <c r="AN44" s="94"/>
      <c r="AO44" s="94"/>
      <c r="AR44" s="94"/>
      <c r="AS44" s="94"/>
      <c r="AT44" s="94"/>
      <c r="AU44" s="94"/>
      <c r="AV44" s="94"/>
      <c r="AW44" s="94"/>
      <c r="AX44" s="94"/>
      <c r="AY44" s="94"/>
      <c r="AZ44" s="94"/>
      <c r="BA44" s="94"/>
    </row>
    <row r="45" spans="32:53">
      <c r="AF45" s="94"/>
      <c r="AG45" s="94"/>
      <c r="AH45" s="94"/>
      <c r="AI45" s="94"/>
      <c r="AJ45" s="94"/>
      <c r="AK45" s="94"/>
      <c r="AL45" s="94"/>
      <c r="AM45" s="94"/>
      <c r="AN45" s="94"/>
      <c r="AO45" s="94"/>
      <c r="AR45" s="94"/>
      <c r="AS45" s="94"/>
      <c r="AT45" s="94"/>
      <c r="AU45" s="94"/>
      <c r="AV45" s="94"/>
      <c r="AW45" s="94"/>
      <c r="AX45" s="94"/>
      <c r="AY45" s="94"/>
      <c r="AZ45" s="94"/>
      <c r="BA45" s="94"/>
    </row>
    <row r="46" spans="32:53">
      <c r="AF46" s="94"/>
      <c r="AG46" s="94"/>
      <c r="AH46" s="94"/>
      <c r="AI46" s="94"/>
      <c r="AJ46" s="94"/>
      <c r="AK46" s="94"/>
      <c r="AL46" s="94"/>
      <c r="AM46" s="94"/>
      <c r="AN46" s="94"/>
      <c r="AO46" s="94"/>
      <c r="AR46" s="94"/>
      <c r="AS46" s="94"/>
      <c r="AT46" s="94"/>
      <c r="AU46" s="94"/>
      <c r="AV46" s="94"/>
      <c r="AW46" s="94"/>
      <c r="AX46" s="94"/>
      <c r="AY46" s="94"/>
      <c r="AZ46" s="94"/>
      <c r="BA46" s="94"/>
    </row>
    <row r="47" spans="32:53">
      <c r="AF47" s="94"/>
      <c r="AG47" s="94"/>
      <c r="AH47" s="94"/>
      <c r="AI47" s="94"/>
      <c r="AJ47" s="94"/>
      <c r="AK47" s="94"/>
      <c r="AL47" s="94"/>
      <c r="AM47" s="94"/>
      <c r="AN47" s="94"/>
      <c r="AO47" s="94"/>
      <c r="AR47" s="94"/>
      <c r="AS47" s="94"/>
      <c r="AT47" s="94"/>
      <c r="AU47" s="94"/>
      <c r="AV47" s="94"/>
      <c r="AW47" s="94"/>
      <c r="AX47" s="94"/>
      <c r="AY47" s="94"/>
      <c r="AZ47" s="94"/>
      <c r="BA47" s="94"/>
    </row>
    <row r="48" spans="32:53">
      <c r="AF48" s="94"/>
      <c r="AG48" s="94"/>
      <c r="AH48" s="94"/>
      <c r="AI48" s="94"/>
      <c r="AJ48" s="94"/>
      <c r="AK48" s="94"/>
      <c r="AL48" s="94"/>
      <c r="AM48" s="94"/>
      <c r="AN48" s="94"/>
      <c r="AO48" s="94"/>
      <c r="AR48" s="94"/>
      <c r="AS48" s="94"/>
      <c r="AT48" s="94"/>
      <c r="AU48" s="94"/>
      <c r="AV48" s="94"/>
      <c r="AW48" s="94"/>
      <c r="AX48" s="94"/>
      <c r="AY48" s="94"/>
      <c r="AZ48" s="94"/>
      <c r="BA48" s="94"/>
    </row>
    <row r="49" spans="32:53">
      <c r="AF49" s="94"/>
      <c r="AG49" s="94"/>
      <c r="AH49" s="94"/>
      <c r="AI49" s="94"/>
      <c r="AJ49" s="94"/>
      <c r="AK49" s="94"/>
      <c r="AL49" s="94"/>
      <c r="AM49" s="94"/>
      <c r="AN49" s="94"/>
      <c r="AO49" s="94"/>
      <c r="AR49" s="94"/>
      <c r="AS49" s="94"/>
      <c r="AT49" s="94"/>
      <c r="AU49" s="94"/>
      <c r="AV49" s="94"/>
      <c r="AW49" s="94"/>
      <c r="AX49" s="94"/>
      <c r="AY49" s="94"/>
      <c r="AZ49" s="94"/>
      <c r="BA49" s="94"/>
    </row>
    <row r="50" spans="32:53">
      <c r="AF50" s="94"/>
      <c r="AG50" s="94"/>
      <c r="AH50" s="94"/>
      <c r="AI50" s="94"/>
      <c r="AJ50" s="94"/>
      <c r="AK50" s="94"/>
      <c r="AL50" s="94"/>
      <c r="AM50" s="94"/>
      <c r="AN50" s="94"/>
      <c r="AO50" s="94"/>
      <c r="AR50" s="94"/>
      <c r="AS50" s="94"/>
      <c r="AT50" s="94"/>
      <c r="AU50" s="94"/>
      <c r="AV50" s="94"/>
      <c r="AW50" s="94"/>
      <c r="AX50" s="94"/>
      <c r="AY50" s="94"/>
      <c r="AZ50" s="94"/>
      <c r="BA50" s="94"/>
    </row>
    <row r="51" spans="32:53">
      <c r="AF51" s="94"/>
      <c r="AG51" s="94"/>
      <c r="AH51" s="94"/>
      <c r="AI51" s="94"/>
      <c r="AJ51" s="94"/>
      <c r="AK51" s="94"/>
      <c r="AL51" s="94"/>
      <c r="AM51" s="94"/>
      <c r="AN51" s="94"/>
      <c r="AO51" s="94"/>
      <c r="AR51" s="94"/>
      <c r="AS51" s="94"/>
      <c r="AT51" s="94"/>
      <c r="AU51" s="94"/>
      <c r="AV51" s="94"/>
      <c r="AW51" s="94"/>
      <c r="AX51" s="94"/>
      <c r="AY51" s="94"/>
      <c r="AZ51" s="94"/>
      <c r="BA51" s="94"/>
    </row>
    <row r="52" spans="32:53">
      <c r="AF52" s="94"/>
      <c r="AG52" s="94"/>
      <c r="AH52" s="94"/>
      <c r="AI52" s="94"/>
      <c r="AJ52" s="94"/>
      <c r="AK52" s="94"/>
      <c r="AL52" s="94"/>
      <c r="AM52" s="94"/>
      <c r="AN52" s="94"/>
      <c r="AO52" s="94"/>
      <c r="AR52" s="94"/>
      <c r="AS52" s="94"/>
      <c r="AT52" s="94"/>
      <c r="AU52" s="94"/>
      <c r="AV52" s="94"/>
      <c r="AW52" s="94"/>
      <c r="AX52" s="94"/>
      <c r="AY52" s="94"/>
      <c r="AZ52" s="94"/>
      <c r="BA52" s="94"/>
    </row>
    <row r="53" spans="32:53">
      <c r="AF53" s="94"/>
      <c r="AG53" s="94"/>
      <c r="AH53" s="94"/>
      <c r="AI53" s="94"/>
      <c r="AJ53" s="94"/>
      <c r="AK53" s="94"/>
      <c r="AL53" s="94"/>
      <c r="AM53" s="94"/>
      <c r="AN53" s="94"/>
      <c r="AO53" s="94"/>
      <c r="AR53" s="94"/>
      <c r="AS53" s="94"/>
      <c r="AT53" s="94"/>
      <c r="AU53" s="94"/>
      <c r="AV53" s="94"/>
      <c r="AW53" s="94"/>
      <c r="AX53" s="94"/>
      <c r="AY53" s="94"/>
      <c r="AZ53" s="94"/>
      <c r="BA53" s="94"/>
    </row>
    <row r="54" spans="32:53">
      <c r="AF54" s="94"/>
      <c r="AG54" s="94"/>
      <c r="AH54" s="94"/>
      <c r="AI54" s="94"/>
      <c r="AJ54" s="94"/>
      <c r="AK54" s="94"/>
      <c r="AL54" s="94"/>
      <c r="AM54" s="94"/>
      <c r="AN54" s="94"/>
      <c r="AO54" s="94"/>
      <c r="AR54" s="94"/>
      <c r="AS54" s="94"/>
      <c r="AT54" s="94"/>
      <c r="AU54" s="94"/>
      <c r="AV54" s="94"/>
      <c r="AW54" s="94"/>
      <c r="AX54" s="94"/>
      <c r="AY54" s="94"/>
      <c r="AZ54" s="94"/>
      <c r="BA54" s="94"/>
    </row>
    <row r="55" spans="32:53">
      <c r="AF55" s="94"/>
      <c r="AG55" s="94"/>
      <c r="AH55" s="94"/>
      <c r="AI55" s="94"/>
      <c r="AJ55" s="94"/>
      <c r="AK55" s="94"/>
      <c r="AL55" s="94"/>
      <c r="AM55" s="94"/>
      <c r="AN55" s="94"/>
      <c r="AO55" s="94"/>
      <c r="AR55" s="94"/>
      <c r="AS55" s="94"/>
      <c r="AT55" s="94"/>
      <c r="AU55" s="94"/>
      <c r="AV55" s="94"/>
      <c r="AW55" s="94"/>
      <c r="AX55" s="94"/>
      <c r="AY55" s="94"/>
      <c r="AZ55" s="94"/>
      <c r="BA55" s="94"/>
    </row>
    <row r="56" spans="32:53">
      <c r="AF56" s="94"/>
      <c r="AG56" s="94"/>
      <c r="AH56" s="94"/>
      <c r="AI56" s="94"/>
      <c r="AJ56" s="94"/>
      <c r="AK56" s="94"/>
      <c r="AL56" s="94"/>
      <c r="AM56" s="94"/>
      <c r="AN56" s="94"/>
      <c r="AO56" s="94"/>
      <c r="AR56" s="94"/>
      <c r="AS56" s="94"/>
      <c r="AT56" s="94"/>
      <c r="AU56" s="94"/>
      <c r="AV56" s="94"/>
      <c r="AW56" s="94"/>
      <c r="AX56" s="94"/>
      <c r="AY56" s="94"/>
      <c r="AZ56" s="94"/>
      <c r="BA56" s="94"/>
    </row>
    <row r="57" spans="32:53">
      <c r="AF57" s="94"/>
      <c r="AG57" s="94"/>
      <c r="AH57" s="94"/>
      <c r="AI57" s="94"/>
      <c r="AJ57" s="94"/>
      <c r="AK57" s="94"/>
      <c r="AL57" s="94"/>
      <c r="AM57" s="94"/>
      <c r="AN57" s="94"/>
      <c r="AO57" s="94"/>
      <c r="AR57" s="94"/>
      <c r="AS57" s="94"/>
      <c r="AT57" s="94"/>
      <c r="AU57" s="94"/>
      <c r="AV57" s="94"/>
      <c r="AW57" s="94"/>
      <c r="AX57" s="94"/>
      <c r="AY57" s="94"/>
      <c r="AZ57" s="94"/>
      <c r="BA57" s="94"/>
    </row>
    <row r="58" spans="32:53">
      <c r="AF58" s="94"/>
      <c r="AG58" s="94"/>
      <c r="AH58" s="94"/>
      <c r="AI58" s="94"/>
      <c r="AJ58" s="94"/>
      <c r="AK58" s="94"/>
      <c r="AL58" s="94"/>
      <c r="AM58" s="94"/>
      <c r="AN58" s="94"/>
      <c r="AO58" s="94"/>
      <c r="AR58" s="94"/>
      <c r="AS58" s="94"/>
      <c r="AT58" s="94"/>
      <c r="AU58" s="94"/>
      <c r="AV58" s="94"/>
      <c r="AW58" s="94"/>
      <c r="AX58" s="94"/>
      <c r="AY58" s="94"/>
      <c r="AZ58" s="94"/>
      <c r="BA58" s="94"/>
    </row>
    <row r="59" spans="32:53">
      <c r="AF59" s="94"/>
      <c r="AG59" s="94"/>
      <c r="AH59" s="94"/>
      <c r="AI59" s="94"/>
      <c r="AJ59" s="94"/>
      <c r="AK59" s="94"/>
      <c r="AL59" s="94"/>
      <c r="AM59" s="94"/>
      <c r="AN59" s="94"/>
      <c r="AO59" s="94"/>
      <c r="AR59" s="94"/>
      <c r="AS59" s="94"/>
      <c r="AT59" s="94"/>
      <c r="AU59" s="94"/>
      <c r="AV59" s="94"/>
      <c r="AW59" s="94"/>
      <c r="AX59" s="94"/>
      <c r="AY59" s="94"/>
      <c r="AZ59" s="94"/>
      <c r="BA59" s="94"/>
    </row>
    <row r="60" spans="32:53">
      <c r="AF60" s="94"/>
      <c r="AG60" s="94"/>
      <c r="AH60" s="94"/>
      <c r="AI60" s="94"/>
      <c r="AJ60" s="94"/>
      <c r="AK60" s="94"/>
      <c r="AL60" s="94"/>
      <c r="AM60" s="94"/>
      <c r="AN60" s="94"/>
      <c r="AO60" s="94"/>
      <c r="AR60" s="94"/>
      <c r="AS60" s="94"/>
      <c r="AT60" s="94"/>
      <c r="AU60" s="94"/>
      <c r="AV60" s="94"/>
      <c r="AW60" s="94"/>
      <c r="AX60" s="94"/>
      <c r="AY60" s="94"/>
      <c r="AZ60" s="94"/>
      <c r="BA60" s="94"/>
    </row>
    <row r="61" spans="32:53">
      <c r="AF61" s="94"/>
      <c r="AG61" s="94"/>
      <c r="AH61" s="94"/>
      <c r="AI61" s="94"/>
      <c r="AJ61" s="94"/>
      <c r="AK61" s="94"/>
      <c r="AL61" s="94"/>
      <c r="AM61" s="94"/>
      <c r="AN61" s="94"/>
      <c r="AO61" s="94"/>
      <c r="AR61" s="94"/>
      <c r="AS61" s="94"/>
      <c r="AT61" s="94"/>
      <c r="AU61" s="94"/>
      <c r="AV61" s="94"/>
      <c r="AW61" s="94"/>
      <c r="AX61" s="94"/>
      <c r="AY61" s="94"/>
      <c r="AZ61" s="94"/>
      <c r="BA61" s="94"/>
    </row>
    <row r="62" spans="32:53">
      <c r="AF62" s="94"/>
      <c r="AG62" s="94"/>
      <c r="AH62" s="94"/>
      <c r="AI62" s="94"/>
      <c r="AJ62" s="94"/>
      <c r="AK62" s="94"/>
      <c r="AL62" s="94"/>
      <c r="AM62" s="94"/>
      <c r="AN62" s="94"/>
      <c r="AO62" s="94"/>
      <c r="AR62" s="94"/>
      <c r="AS62" s="94"/>
      <c r="AT62" s="94"/>
      <c r="AU62" s="94"/>
      <c r="AV62" s="94"/>
      <c r="AW62" s="94"/>
      <c r="AX62" s="94"/>
      <c r="AY62" s="94"/>
      <c r="AZ62" s="94"/>
      <c r="BA62" s="94"/>
    </row>
    <row r="63" spans="32:53">
      <c r="AF63" s="94"/>
      <c r="AG63" s="94"/>
      <c r="AH63" s="94"/>
      <c r="AI63" s="94"/>
      <c r="AJ63" s="94"/>
      <c r="AK63" s="94"/>
      <c r="AL63" s="94"/>
      <c r="AM63" s="94"/>
      <c r="AN63" s="94"/>
      <c r="AO63" s="94"/>
      <c r="AR63" s="94"/>
      <c r="AS63" s="94"/>
      <c r="AT63" s="94"/>
      <c r="AU63" s="94"/>
      <c r="AV63" s="94"/>
      <c r="AW63" s="94"/>
      <c r="AX63" s="94"/>
      <c r="AY63" s="94"/>
      <c r="AZ63" s="94"/>
      <c r="BA63" s="94"/>
    </row>
    <row r="64" spans="32:53">
      <c r="AF64" s="94"/>
      <c r="AG64" s="94"/>
      <c r="AH64" s="94"/>
      <c r="AI64" s="94"/>
      <c r="AJ64" s="94"/>
      <c r="AK64" s="94"/>
      <c r="AL64" s="94"/>
      <c r="AM64" s="94"/>
      <c r="AN64" s="94"/>
      <c r="AO64" s="94"/>
      <c r="AR64" s="94"/>
      <c r="AS64" s="94"/>
      <c r="AT64" s="94"/>
      <c r="AU64" s="94"/>
      <c r="AV64" s="94"/>
      <c r="AW64" s="94"/>
      <c r="AX64" s="94"/>
      <c r="AY64" s="94"/>
      <c r="AZ64" s="94"/>
      <c r="BA64" s="94"/>
    </row>
    <row r="65" spans="32:53">
      <c r="AF65" s="94"/>
      <c r="AG65" s="94"/>
      <c r="AH65" s="94"/>
      <c r="AI65" s="94"/>
      <c r="AJ65" s="94"/>
      <c r="AK65" s="94"/>
      <c r="AL65" s="94"/>
      <c r="AM65" s="94"/>
      <c r="AN65" s="94"/>
      <c r="AO65" s="94"/>
      <c r="AR65" s="94"/>
      <c r="AS65" s="94"/>
      <c r="AT65" s="94"/>
      <c r="AU65" s="94"/>
      <c r="AV65" s="94"/>
      <c r="AW65" s="94"/>
      <c r="AX65" s="94"/>
      <c r="AY65" s="94"/>
      <c r="AZ65" s="94"/>
      <c r="BA65" s="94"/>
    </row>
    <row r="66" spans="32:53">
      <c r="AF66" s="94"/>
      <c r="AG66" s="94"/>
      <c r="AH66" s="94"/>
      <c r="AI66" s="94"/>
      <c r="AJ66" s="94"/>
      <c r="AK66" s="94"/>
      <c r="AL66" s="94"/>
      <c r="AM66" s="94"/>
      <c r="AN66" s="94"/>
      <c r="AO66" s="94"/>
      <c r="AR66" s="94"/>
      <c r="AS66" s="94"/>
      <c r="AT66" s="94"/>
      <c r="AU66" s="94"/>
      <c r="AV66" s="94"/>
      <c r="AW66" s="94"/>
      <c r="AX66" s="94"/>
      <c r="AY66" s="94"/>
      <c r="AZ66" s="94"/>
      <c r="BA66" s="94"/>
    </row>
    <row r="67" spans="32:53">
      <c r="AF67" s="94"/>
      <c r="AG67" s="94"/>
      <c r="AH67" s="94"/>
      <c r="AI67" s="94"/>
      <c r="AJ67" s="94"/>
      <c r="AK67" s="94"/>
      <c r="AL67" s="94"/>
      <c r="AM67" s="94"/>
      <c r="AN67" s="94"/>
      <c r="AO67" s="94"/>
      <c r="AR67" s="94"/>
      <c r="AS67" s="94"/>
      <c r="AT67" s="94"/>
      <c r="AU67" s="94"/>
      <c r="AV67" s="94"/>
      <c r="AW67" s="94"/>
      <c r="AX67" s="94"/>
      <c r="AY67" s="94"/>
      <c r="AZ67" s="94"/>
      <c r="BA67" s="94"/>
    </row>
    <row r="68" spans="32:53">
      <c r="AF68" s="94"/>
      <c r="AG68" s="94"/>
      <c r="AH68" s="94"/>
      <c r="AI68" s="94"/>
      <c r="AJ68" s="94"/>
      <c r="AK68" s="94"/>
      <c r="AL68" s="94"/>
      <c r="AM68" s="94"/>
      <c r="AN68" s="94"/>
      <c r="AO68" s="94"/>
      <c r="AR68" s="94"/>
      <c r="AS68" s="94"/>
      <c r="AT68" s="94"/>
      <c r="AU68" s="94"/>
      <c r="AV68" s="94"/>
      <c r="AW68" s="94"/>
      <c r="AX68" s="94"/>
      <c r="AY68" s="94"/>
      <c r="AZ68" s="94"/>
      <c r="BA68" s="94"/>
    </row>
    <row r="69" spans="32:53">
      <c r="AF69" s="94"/>
      <c r="AG69" s="94"/>
      <c r="AH69" s="94"/>
      <c r="AI69" s="94"/>
      <c r="AJ69" s="94"/>
      <c r="AK69" s="94"/>
      <c r="AL69" s="94"/>
      <c r="AM69" s="94"/>
      <c r="AN69" s="94"/>
      <c r="AO69" s="94"/>
      <c r="AR69" s="94"/>
      <c r="AS69" s="94"/>
      <c r="AT69" s="94"/>
      <c r="AU69" s="94"/>
      <c r="AV69" s="94"/>
      <c r="AW69" s="94"/>
      <c r="AX69" s="94"/>
      <c r="AY69" s="94"/>
      <c r="AZ69" s="94"/>
      <c r="BA69" s="94"/>
    </row>
    <row r="70" spans="32:53">
      <c r="AF70" s="94"/>
      <c r="AG70" s="94"/>
      <c r="AH70" s="94"/>
      <c r="AI70" s="94"/>
      <c r="AJ70" s="94"/>
      <c r="AK70" s="94"/>
      <c r="AL70" s="94"/>
      <c r="AM70" s="94"/>
      <c r="AN70" s="94"/>
      <c r="AO70" s="94"/>
      <c r="AR70" s="94"/>
      <c r="AS70" s="94"/>
      <c r="AT70" s="94"/>
      <c r="AU70" s="94"/>
      <c r="AV70" s="94"/>
      <c r="AW70" s="94"/>
      <c r="AX70" s="94"/>
      <c r="AY70" s="94"/>
      <c r="AZ70" s="94"/>
      <c r="BA70" s="94"/>
    </row>
    <row r="71" spans="32:53">
      <c r="AF71" s="94"/>
      <c r="AG71" s="94"/>
      <c r="AH71" s="94"/>
      <c r="AI71" s="94"/>
      <c r="AJ71" s="94"/>
      <c r="AK71" s="94"/>
      <c r="AL71" s="94"/>
      <c r="AM71" s="94"/>
      <c r="AN71" s="94"/>
      <c r="AO71" s="94"/>
      <c r="AR71" s="94"/>
      <c r="AS71" s="94"/>
      <c r="AT71" s="94"/>
      <c r="AU71" s="94"/>
      <c r="AV71" s="94"/>
      <c r="AW71" s="94"/>
      <c r="AX71" s="94"/>
      <c r="AY71" s="94"/>
      <c r="AZ71" s="94"/>
      <c r="BA71" s="94"/>
    </row>
    <row r="72" spans="32:53">
      <c r="AF72" s="94"/>
      <c r="AG72" s="94"/>
      <c r="AH72" s="94"/>
      <c r="AI72" s="94"/>
      <c r="AJ72" s="94"/>
      <c r="AK72" s="94"/>
      <c r="AL72" s="94"/>
      <c r="AM72" s="94"/>
      <c r="AN72" s="94"/>
      <c r="AO72" s="94"/>
      <c r="AR72" s="94"/>
      <c r="AS72" s="94"/>
      <c r="AT72" s="94"/>
      <c r="AU72" s="94"/>
      <c r="AV72" s="94"/>
      <c r="AW72" s="94"/>
      <c r="AX72" s="94"/>
      <c r="AY72" s="94"/>
      <c r="AZ72" s="94"/>
      <c r="BA72" s="94"/>
    </row>
    <row r="73" spans="32:53">
      <c r="AF73" s="94"/>
      <c r="AG73" s="94"/>
      <c r="AH73" s="94"/>
      <c r="AI73" s="94"/>
      <c r="AJ73" s="94"/>
      <c r="AK73" s="94"/>
      <c r="AL73" s="94"/>
      <c r="AM73" s="94"/>
      <c r="AN73" s="94"/>
      <c r="AO73" s="94"/>
      <c r="AR73" s="94"/>
      <c r="AS73" s="94"/>
      <c r="AT73" s="94"/>
      <c r="AU73" s="94"/>
      <c r="AV73" s="94"/>
      <c r="AW73" s="94"/>
      <c r="AX73" s="94"/>
      <c r="AY73" s="94"/>
      <c r="AZ73" s="94"/>
      <c r="BA73" s="94"/>
    </row>
    <row r="74" spans="32:53">
      <c r="AF74" s="94"/>
      <c r="AG74" s="94"/>
      <c r="AH74" s="94"/>
      <c r="AI74" s="94"/>
      <c r="AJ74" s="94"/>
      <c r="AK74" s="94"/>
      <c r="AL74" s="94"/>
      <c r="AM74" s="94"/>
      <c r="AN74" s="94"/>
      <c r="AO74" s="94"/>
      <c r="AR74" s="94"/>
      <c r="AS74" s="94"/>
      <c r="AT74" s="94"/>
      <c r="AU74" s="94"/>
      <c r="AV74" s="94"/>
      <c r="AW74" s="94"/>
      <c r="AX74" s="94"/>
      <c r="AY74" s="94"/>
      <c r="AZ74" s="94"/>
      <c r="BA74" s="94"/>
    </row>
    <row r="75" spans="32:53">
      <c r="AF75" s="94"/>
      <c r="AG75" s="94"/>
      <c r="AH75" s="94"/>
      <c r="AI75" s="94"/>
      <c r="AJ75" s="94"/>
      <c r="AK75" s="94"/>
      <c r="AL75" s="94"/>
      <c r="AM75" s="94"/>
      <c r="AN75" s="94"/>
      <c r="AO75" s="94"/>
      <c r="AR75" s="94"/>
      <c r="AS75" s="94"/>
      <c r="AT75" s="94"/>
      <c r="AU75" s="94"/>
      <c r="AV75" s="94"/>
      <c r="AW75" s="94"/>
      <c r="AX75" s="94"/>
      <c r="AY75" s="94"/>
      <c r="AZ75" s="94"/>
      <c r="BA75" s="94"/>
    </row>
    <row r="76" spans="32:53">
      <c r="AF76" s="94"/>
      <c r="AG76" s="94"/>
      <c r="AH76" s="94"/>
      <c r="AI76" s="94"/>
      <c r="AJ76" s="94"/>
      <c r="AK76" s="94"/>
      <c r="AL76" s="94"/>
      <c r="AM76" s="94"/>
      <c r="AN76" s="94"/>
      <c r="AO76" s="94"/>
      <c r="AR76" s="94"/>
      <c r="AS76" s="94"/>
      <c r="AT76" s="94"/>
      <c r="AU76" s="94"/>
      <c r="AV76" s="94"/>
      <c r="AW76" s="94"/>
      <c r="AX76" s="94"/>
      <c r="AY76" s="94"/>
      <c r="AZ76" s="94"/>
      <c r="BA76" s="94"/>
    </row>
    <row r="77" spans="32:53">
      <c r="AF77" s="94"/>
      <c r="AG77" s="94"/>
      <c r="AH77" s="94"/>
      <c r="AI77" s="94"/>
      <c r="AJ77" s="94"/>
      <c r="AK77" s="94"/>
      <c r="AL77" s="94"/>
      <c r="AM77" s="94"/>
      <c r="AN77" s="94"/>
      <c r="AO77" s="94"/>
      <c r="AR77" s="94"/>
      <c r="AS77" s="94"/>
      <c r="AT77" s="94"/>
      <c r="AU77" s="94"/>
      <c r="AV77" s="94"/>
      <c r="AW77" s="94"/>
      <c r="AX77" s="94"/>
      <c r="AY77" s="94"/>
      <c r="AZ77" s="94"/>
      <c r="BA77" s="94"/>
    </row>
    <row r="78" spans="32:53">
      <c r="AF78" s="94"/>
      <c r="AG78" s="94"/>
      <c r="AH78" s="94"/>
      <c r="AI78" s="94"/>
      <c r="AJ78" s="94"/>
      <c r="AK78" s="94"/>
      <c r="AL78" s="94"/>
      <c r="AM78" s="94"/>
      <c r="AN78" s="94"/>
      <c r="AO78" s="94"/>
      <c r="AR78" s="94"/>
      <c r="AS78" s="94"/>
      <c r="AT78" s="94"/>
      <c r="AU78" s="94"/>
      <c r="AV78" s="94"/>
      <c r="AW78" s="94"/>
      <c r="AX78" s="94"/>
      <c r="AY78" s="94"/>
      <c r="AZ78" s="94"/>
      <c r="BA78" s="94"/>
    </row>
    <row r="79" spans="32:53">
      <c r="AF79" s="94"/>
      <c r="AG79" s="94"/>
      <c r="AH79" s="94"/>
      <c r="AI79" s="94"/>
      <c r="AJ79" s="94"/>
      <c r="AK79" s="94"/>
      <c r="AL79" s="94"/>
      <c r="AM79" s="94"/>
      <c r="AN79" s="94"/>
      <c r="AO79" s="94"/>
      <c r="AR79" s="94"/>
      <c r="AS79" s="94"/>
      <c r="AT79" s="94"/>
      <c r="AU79" s="94"/>
      <c r="AV79" s="94"/>
      <c r="AW79" s="94"/>
      <c r="AX79" s="94"/>
      <c r="AY79" s="94"/>
      <c r="AZ79" s="94"/>
      <c r="BA79" s="94"/>
    </row>
    <row r="80" spans="32:53">
      <c r="AF80" s="94"/>
      <c r="AG80" s="94"/>
      <c r="AH80" s="94"/>
      <c r="AI80" s="94"/>
      <c r="AJ80" s="94"/>
      <c r="AK80" s="94"/>
      <c r="AL80" s="94"/>
      <c r="AM80" s="94"/>
      <c r="AN80" s="94"/>
      <c r="AO80" s="94"/>
      <c r="AR80" s="94"/>
      <c r="AS80" s="94"/>
      <c r="AT80" s="94"/>
      <c r="AU80" s="94"/>
      <c r="AV80" s="94"/>
      <c r="AW80" s="94"/>
      <c r="AX80" s="94"/>
      <c r="AY80" s="94"/>
      <c r="AZ80" s="94"/>
      <c r="BA80" s="94"/>
    </row>
    <row r="81" spans="32:41">
      <c r="AF81" s="94"/>
      <c r="AG81" s="94"/>
      <c r="AH81" s="94"/>
      <c r="AI81" s="94"/>
      <c r="AJ81" s="94"/>
      <c r="AK81" s="94"/>
      <c r="AL81" s="94"/>
      <c r="AM81" s="94"/>
      <c r="AN81" s="94"/>
      <c r="AO81" s="94"/>
    </row>
    <row r="82" spans="32:41">
      <c r="AF82" s="94"/>
      <c r="AG82" s="94"/>
      <c r="AH82" s="94"/>
      <c r="AI82" s="94"/>
      <c r="AJ82" s="94"/>
      <c r="AK82" s="94"/>
      <c r="AL82" s="94"/>
      <c r="AM82" s="94"/>
      <c r="AN82" s="94"/>
      <c r="AO82" s="94"/>
    </row>
    <row r="83" spans="32:41">
      <c r="AF83" s="94"/>
      <c r="AG83" s="94"/>
      <c r="AH83" s="94"/>
      <c r="AI83" s="94"/>
      <c r="AJ83" s="94"/>
      <c r="AK83" s="94"/>
      <c r="AL83" s="94"/>
      <c r="AM83" s="94"/>
      <c r="AN83" s="94"/>
      <c r="AO83" s="94"/>
    </row>
    <row r="84" spans="32:41">
      <c r="AF84" s="94"/>
      <c r="AG84" s="94"/>
      <c r="AH84" s="94"/>
      <c r="AI84" s="94"/>
      <c r="AJ84" s="94"/>
      <c r="AK84" s="94"/>
      <c r="AL84" s="94"/>
      <c r="AM84" s="94"/>
      <c r="AN84" s="94"/>
      <c r="AO84" s="94"/>
    </row>
    <row r="85" spans="32:41">
      <c r="AF85" s="94"/>
      <c r="AG85" s="94"/>
      <c r="AH85" s="94"/>
      <c r="AI85" s="94"/>
      <c r="AJ85" s="94"/>
      <c r="AK85" s="94"/>
      <c r="AL85" s="94"/>
      <c r="AM85" s="94"/>
      <c r="AN85" s="94"/>
      <c r="AO85" s="94"/>
    </row>
    <row r="86" spans="32:41">
      <c r="AF86" s="94"/>
      <c r="AG86" s="94"/>
      <c r="AH86" s="94"/>
      <c r="AI86" s="94"/>
      <c r="AJ86" s="94"/>
      <c r="AK86" s="94"/>
      <c r="AL86" s="94"/>
      <c r="AM86" s="94"/>
      <c r="AN86" s="94"/>
      <c r="AO86" s="94"/>
    </row>
    <row r="87" spans="32:41">
      <c r="AF87" s="94"/>
      <c r="AG87" s="94"/>
      <c r="AH87" s="94"/>
      <c r="AI87" s="94"/>
      <c r="AJ87" s="94"/>
      <c r="AK87" s="94"/>
      <c r="AL87" s="94"/>
      <c r="AM87" s="94"/>
      <c r="AN87" s="94"/>
      <c r="AO87" s="94"/>
    </row>
    <row r="88" spans="32:41">
      <c r="AF88" s="94"/>
      <c r="AG88" s="94"/>
      <c r="AH88" s="94"/>
      <c r="AI88" s="94"/>
      <c r="AJ88" s="94"/>
      <c r="AK88" s="94"/>
      <c r="AL88" s="94"/>
      <c r="AM88" s="94"/>
      <c r="AN88" s="94"/>
      <c r="AO88" s="94"/>
    </row>
    <row r="89" spans="32:41">
      <c r="AF89" s="94"/>
      <c r="AG89" s="94"/>
      <c r="AH89" s="94"/>
      <c r="AI89" s="94"/>
      <c r="AJ89" s="94"/>
      <c r="AK89" s="94"/>
      <c r="AL89" s="94"/>
      <c r="AM89" s="94"/>
      <c r="AN89" s="94"/>
      <c r="AO89" s="94"/>
    </row>
    <row r="90" spans="32:41">
      <c r="AF90" s="94"/>
      <c r="AG90" s="94"/>
      <c r="AH90" s="94"/>
      <c r="AI90" s="94"/>
      <c r="AJ90" s="94"/>
      <c r="AK90" s="94"/>
      <c r="AL90" s="94"/>
      <c r="AM90" s="94"/>
      <c r="AN90" s="94"/>
      <c r="AO90" s="94"/>
    </row>
    <row r="91" spans="32:41">
      <c r="AF91" s="94"/>
      <c r="AG91" s="94"/>
      <c r="AH91" s="94"/>
      <c r="AI91" s="94"/>
      <c r="AJ91" s="94"/>
      <c r="AK91" s="94"/>
      <c r="AL91" s="94"/>
      <c r="AM91" s="94"/>
      <c r="AN91" s="94"/>
      <c r="AO91" s="94"/>
    </row>
    <row r="92" spans="32:41">
      <c r="AF92" s="94"/>
      <c r="AG92" s="94"/>
      <c r="AH92" s="94"/>
      <c r="AI92" s="94"/>
      <c r="AJ92" s="94"/>
      <c r="AK92" s="94"/>
      <c r="AL92" s="94"/>
      <c r="AM92" s="94"/>
      <c r="AN92" s="94"/>
      <c r="AO92" s="94"/>
    </row>
    <row r="93" spans="32:41">
      <c r="AF93" s="94"/>
      <c r="AG93" s="94"/>
      <c r="AH93" s="94"/>
      <c r="AI93" s="94"/>
      <c r="AJ93" s="94"/>
      <c r="AK93" s="94"/>
      <c r="AL93" s="94"/>
      <c r="AM93" s="94"/>
      <c r="AN93" s="94"/>
      <c r="AO93" s="94"/>
    </row>
    <row r="94" spans="32:41">
      <c r="AF94" s="94"/>
      <c r="AG94" s="94"/>
      <c r="AH94" s="94"/>
      <c r="AI94" s="94"/>
      <c r="AJ94" s="94"/>
      <c r="AK94" s="94"/>
      <c r="AL94" s="94"/>
      <c r="AM94" s="94"/>
      <c r="AN94" s="94"/>
      <c r="AO94" s="94"/>
    </row>
    <row r="95" spans="32:41">
      <c r="AF95" s="94"/>
      <c r="AG95" s="94"/>
      <c r="AH95" s="94"/>
      <c r="AI95" s="94"/>
      <c r="AJ95" s="94"/>
      <c r="AK95" s="94"/>
      <c r="AL95" s="94"/>
      <c r="AM95" s="94"/>
      <c r="AN95" s="94"/>
      <c r="AO95" s="94"/>
    </row>
    <row r="96" spans="32:41">
      <c r="AF96" s="94"/>
      <c r="AG96" s="94"/>
      <c r="AH96" s="94"/>
      <c r="AI96" s="94"/>
      <c r="AJ96" s="94"/>
      <c r="AK96" s="94"/>
      <c r="AL96" s="94"/>
      <c r="AM96" s="94"/>
      <c r="AN96" s="94"/>
      <c r="AO96" s="94"/>
    </row>
    <row r="97" spans="32:41">
      <c r="AF97" s="94"/>
      <c r="AG97" s="94"/>
      <c r="AH97" s="94"/>
      <c r="AI97" s="94"/>
      <c r="AJ97" s="94"/>
      <c r="AK97" s="94"/>
      <c r="AL97" s="94"/>
      <c r="AM97" s="94"/>
      <c r="AN97" s="94"/>
      <c r="AO97" s="94"/>
    </row>
    <row r="98" spans="32:41">
      <c r="AF98" s="94"/>
      <c r="AG98" s="94"/>
      <c r="AH98" s="94"/>
      <c r="AI98" s="94"/>
      <c r="AJ98" s="94"/>
      <c r="AK98" s="94"/>
      <c r="AL98" s="94"/>
      <c r="AM98" s="94"/>
      <c r="AN98" s="94"/>
      <c r="AO98" s="94"/>
    </row>
    <row r="99" spans="32:41">
      <c r="AF99" s="94"/>
      <c r="AG99" s="94"/>
      <c r="AH99" s="94"/>
      <c r="AI99" s="94"/>
      <c r="AJ99" s="94"/>
      <c r="AK99" s="94"/>
      <c r="AL99" s="94"/>
      <c r="AM99" s="94"/>
      <c r="AN99" s="94"/>
      <c r="AO99" s="94"/>
    </row>
    <row r="100" spans="32:41">
      <c r="AF100" s="94"/>
      <c r="AG100" s="94"/>
      <c r="AH100" s="94"/>
      <c r="AI100" s="94"/>
      <c r="AJ100" s="94"/>
      <c r="AK100" s="94"/>
      <c r="AL100" s="94"/>
      <c r="AM100" s="94"/>
      <c r="AN100" s="94"/>
      <c r="AO100" s="94"/>
    </row>
    <row r="101" spans="32:41">
      <c r="AF101" s="94"/>
      <c r="AG101" s="94"/>
      <c r="AH101" s="94"/>
      <c r="AI101" s="94"/>
      <c r="AJ101" s="94"/>
      <c r="AK101" s="94"/>
      <c r="AL101" s="94"/>
      <c r="AM101" s="94"/>
      <c r="AN101" s="94"/>
      <c r="AO101" s="94"/>
    </row>
    <row r="102" spans="32:41">
      <c r="AF102" s="94"/>
      <c r="AG102" s="94"/>
      <c r="AH102" s="94"/>
      <c r="AI102" s="94"/>
      <c r="AJ102" s="94"/>
      <c r="AK102" s="94"/>
      <c r="AL102" s="94"/>
      <c r="AM102" s="94"/>
      <c r="AN102" s="94"/>
      <c r="AO102" s="94"/>
    </row>
  </sheetData>
  <mergeCells count="10">
    <mergeCell ref="B1:C1"/>
    <mergeCell ref="D2:M2"/>
    <mergeCell ref="O2:P2"/>
    <mergeCell ref="R2:S2"/>
    <mergeCell ref="AF2:AO2"/>
    <mergeCell ref="AR2:BA2"/>
    <mergeCell ref="T3:U3"/>
    <mergeCell ref="BD3:BE3"/>
    <mergeCell ref="R20:T20"/>
    <mergeCell ref="R26:T26"/>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X26"/>
  <sheetViews>
    <sheetView showGridLines="0" topLeftCell="N1" workbookViewId="0">
      <selection activeCell="G18" sqref="G18"/>
    </sheetView>
  </sheetViews>
  <sheetFormatPr defaultColWidth="9" defaultRowHeight="12.75"/>
  <cols>
    <col min="1" max="1" width="4" style="19" customWidth="1"/>
    <col min="2" max="3" width="9.14166666666667" style="19"/>
    <col min="4" max="4" width="16.7083333333333" style="19" customWidth="1"/>
    <col min="5" max="5" width="28.5666666666667" style="19" customWidth="1"/>
    <col min="6" max="6" width="16.7083333333333" style="19" customWidth="1"/>
    <col min="7" max="7" width="21" style="19" customWidth="1"/>
    <col min="8" max="8" width="5" style="19" customWidth="1"/>
    <col min="9" max="9" width="21.7083333333333" style="19" customWidth="1"/>
    <col min="10" max="11" width="13.425" style="19" customWidth="1"/>
    <col min="12" max="12" width="9.14166666666667" style="19"/>
    <col min="13" max="13" width="20.1416666666667" style="19" customWidth="1"/>
    <col min="14" max="14" width="14.8583333333333" style="19" customWidth="1"/>
    <col min="15" max="16" width="9.14166666666667" style="19"/>
    <col min="17" max="18" width="9.70833333333333" style="19" customWidth="1"/>
    <col min="19" max="19" width="9.14166666666667" style="19"/>
    <col min="20" max="20" width="13.425" style="19" customWidth="1"/>
    <col min="21" max="21" width="9.14166666666667" style="19"/>
    <col min="22" max="22" width="12.425" style="19" customWidth="1"/>
    <col min="23" max="23" width="9.14166666666667" style="19"/>
    <col min="24" max="24" width="13.425" style="19" customWidth="1"/>
    <col min="25" max="16384" width="9.14166666666667" style="19"/>
  </cols>
  <sheetData>
    <row r="1" spans="9:11">
      <c r="I1" s="27" t="s">
        <v>162</v>
      </c>
      <c r="J1" s="27"/>
      <c r="K1" s="27"/>
    </row>
    <row r="2" spans="9:11">
      <c r="I2" s="22"/>
      <c r="J2" s="28">
        <v>0.04</v>
      </c>
      <c r="K2" s="28">
        <v>0.08</v>
      </c>
    </row>
    <row r="3" ht="25.5" spans="9:24">
      <c r="I3" s="20" t="s">
        <v>163</v>
      </c>
      <c r="J3" s="29">
        <f>U3*(PT=15)+V3*(PT=20)</f>
        <v>0.17</v>
      </c>
      <c r="K3" s="29">
        <f>W3*(PT=15)+X3*(PT=20)</f>
        <v>0.365</v>
      </c>
      <c r="T3" s="27" t="s">
        <v>164</v>
      </c>
      <c r="U3" s="37">
        <v>0.17</v>
      </c>
      <c r="V3" s="37">
        <v>0.15</v>
      </c>
      <c r="W3" s="37">
        <v>0.365</v>
      </c>
      <c r="X3" s="37">
        <v>0.4325</v>
      </c>
    </row>
    <row r="4" spans="9:20">
      <c r="I4" s="22"/>
      <c r="J4" s="22"/>
      <c r="K4" s="22"/>
      <c r="T4" s="38"/>
    </row>
    <row r="5" ht="38.25" spans="2:24">
      <c r="B5" s="20" t="s">
        <v>165</v>
      </c>
      <c r="C5" s="20" t="s">
        <v>166</v>
      </c>
      <c r="D5" s="20" t="s">
        <v>167</v>
      </c>
      <c r="E5" s="20" t="s">
        <v>168</v>
      </c>
      <c r="F5" s="20" t="s">
        <v>169</v>
      </c>
      <c r="G5" s="21" t="s">
        <v>170</v>
      </c>
      <c r="I5" s="30"/>
      <c r="J5" s="30" t="s">
        <v>171</v>
      </c>
      <c r="K5" s="30" t="s">
        <v>172</v>
      </c>
      <c r="M5" s="31" t="s">
        <v>173</v>
      </c>
      <c r="N5" s="31"/>
      <c r="P5" s="32" t="s">
        <v>174</v>
      </c>
      <c r="Q5" s="32"/>
      <c r="R5" s="32"/>
      <c r="U5" s="39">
        <v>0.04</v>
      </c>
      <c r="V5" s="39"/>
      <c r="W5" s="39">
        <v>0.08</v>
      </c>
      <c r="X5" s="39"/>
    </row>
    <row r="6" ht="13.5" customHeight="1" spans="2:24">
      <c r="B6" s="22"/>
      <c r="C6" s="22"/>
      <c r="D6" s="22"/>
      <c r="E6" s="22"/>
      <c r="F6" s="22"/>
      <c r="G6" s="22"/>
      <c r="I6" s="30" t="s">
        <v>175</v>
      </c>
      <c r="J6" s="30" t="s">
        <v>176</v>
      </c>
      <c r="K6" s="30" t="s">
        <v>176</v>
      </c>
      <c r="M6" s="20" t="s">
        <v>177</v>
      </c>
      <c r="N6" s="20" t="s">
        <v>178</v>
      </c>
      <c r="P6" s="33" t="s">
        <v>179</v>
      </c>
      <c r="Q6" s="33" t="s">
        <v>136</v>
      </c>
      <c r="R6" s="33" t="s">
        <v>135</v>
      </c>
      <c r="T6" s="33" t="s">
        <v>179</v>
      </c>
      <c r="U6" s="33" t="s">
        <v>136</v>
      </c>
      <c r="V6" s="33" t="s">
        <v>135</v>
      </c>
      <c r="W6" s="33" t="s">
        <v>136</v>
      </c>
      <c r="X6" s="33" t="s">
        <v>135</v>
      </c>
    </row>
    <row r="7" spans="2:24">
      <c r="B7" s="23">
        <v>1</v>
      </c>
      <c r="C7" s="23">
        <v>1</v>
      </c>
      <c r="D7" s="24">
        <f>Q7*(PT=15)+R7*(PT=20)</f>
        <v>0</v>
      </c>
      <c r="E7" s="23">
        <f>(IF(B7=1,Modal_Basic_Prem_Yr1,Modal_Basic_Prem_Yr2))*(B7&lt;=PPT)*IF(Prem_Mode="Monthly",12,1)</f>
        <v>4200000</v>
      </c>
      <c r="F7" s="23">
        <f>SUM($E$7:E7)*(B7&lt;=PT)</f>
        <v>4200000</v>
      </c>
      <c r="G7" s="25">
        <f>D7*F7</f>
        <v>0</v>
      </c>
      <c r="H7" s="26"/>
      <c r="I7" s="34">
        <v>1</v>
      </c>
      <c r="J7" s="29">
        <f>U7*(PT=15)+V7*(PT=20)</f>
        <v>0.0025</v>
      </c>
      <c r="K7" s="29">
        <f>W7*(PT=15)+X7*(PT=20)</f>
        <v>0.027</v>
      </c>
      <c r="M7" s="30">
        <v>1</v>
      </c>
      <c r="N7" s="35">
        <f>ROUND(SUM($E$7)*10%,0)</f>
        <v>420000</v>
      </c>
      <c r="P7" s="36">
        <v>1</v>
      </c>
      <c r="Q7" s="40"/>
      <c r="R7" s="40"/>
      <c r="T7" s="36">
        <v>1</v>
      </c>
      <c r="U7" s="41">
        <v>0.0025</v>
      </c>
      <c r="V7" s="41">
        <v>0.0025</v>
      </c>
      <c r="W7" s="41">
        <v>0.027</v>
      </c>
      <c r="X7" s="41">
        <v>0.024</v>
      </c>
    </row>
    <row r="8" spans="2:24">
      <c r="B8" s="23">
        <f>B7+1</f>
        <v>2</v>
      </c>
      <c r="C8" s="23">
        <f>C7+1</f>
        <v>2</v>
      </c>
      <c r="D8" s="24">
        <f>Q8*(PT=15)+R8*(PT=20)</f>
        <v>0.3</v>
      </c>
      <c r="E8" s="23">
        <f>(IF(B8=1,Modal_Basic_Prem_Yr1,Modal_Basic_Prem_Yr2))*(B8&lt;=PPT)*IF(Prem_Mode="Monthly",12,1)</f>
        <v>4200000</v>
      </c>
      <c r="F8" s="23">
        <f>SUM($E$7:E8)*(B8&lt;=PT)</f>
        <v>8400000</v>
      </c>
      <c r="G8" s="25">
        <f t="shared" ref="G8:G26" si="0">D8*F8</f>
        <v>2520000</v>
      </c>
      <c r="H8" s="26"/>
      <c r="I8" s="34">
        <v>2</v>
      </c>
      <c r="J8" s="29">
        <f>U8*(PT=15)+V8*(PT=20)</f>
        <v>0.0025</v>
      </c>
      <c r="K8" s="29">
        <f>W8*(PT=15)+X8*(PT=20)</f>
        <v>0.027</v>
      </c>
      <c r="M8" s="30">
        <v>2</v>
      </c>
      <c r="N8" s="35">
        <f>ROUND(SUM($E$7:$E$8)*20%,0)*(PPT&gt;=10)</f>
        <v>0</v>
      </c>
      <c r="P8" s="36">
        <f>P7+1</f>
        <v>2</v>
      </c>
      <c r="Q8" s="42">
        <v>0.3</v>
      </c>
      <c r="R8" s="40"/>
      <c r="T8" s="36">
        <f>T7+1</f>
        <v>2</v>
      </c>
      <c r="U8" s="41">
        <v>0.0025</v>
      </c>
      <c r="V8" s="41">
        <v>0.0025</v>
      </c>
      <c r="W8" s="41">
        <v>0.027</v>
      </c>
      <c r="X8" s="41">
        <v>0.024</v>
      </c>
    </row>
    <row r="9" spans="2:24">
      <c r="B9" s="23">
        <f t="shared" ref="B9:B26" si="1">B8+1</f>
        <v>3</v>
      </c>
      <c r="C9" s="23">
        <f t="shared" ref="C9:C26" si="2">C8+1</f>
        <v>3</v>
      </c>
      <c r="D9" s="24">
        <f>Q9*(PT=15)+R9*(PT=20)</f>
        <v>0.3</v>
      </c>
      <c r="E9" s="23">
        <f>(IF(B9=1,Modal_Basic_Prem_Yr1,Modal_Basic_Prem_Yr2))*(B9&lt;=PPT)*IF(Prem_Mode="Monthly",12,1)</f>
        <v>4200000</v>
      </c>
      <c r="F9" s="23">
        <f>SUM($E$7:E9)*(B9&lt;=PT)</f>
        <v>12600000</v>
      </c>
      <c r="G9" s="25">
        <f>D9*F9</f>
        <v>3780000</v>
      </c>
      <c r="H9" s="26"/>
      <c r="I9" s="34">
        <v>3</v>
      </c>
      <c r="J9" s="29">
        <f>U9*(PT=15)+V9*(PT=20)</f>
        <v>0.0025</v>
      </c>
      <c r="K9" s="29">
        <f>W9*(PT=15)+X9*(PT=20)</f>
        <v>0.027</v>
      </c>
      <c r="P9" s="36">
        <f t="shared" ref="P9:P26" si="3">P8+1</f>
        <v>3</v>
      </c>
      <c r="Q9" s="42">
        <v>0.3</v>
      </c>
      <c r="R9" s="42">
        <v>0.3</v>
      </c>
      <c r="T9" s="36">
        <f t="shared" ref="T9:T26" si="4">T8+1</f>
        <v>3</v>
      </c>
      <c r="U9" s="41">
        <v>0.0025</v>
      </c>
      <c r="V9" s="41">
        <v>0.0025</v>
      </c>
      <c r="W9" s="41">
        <v>0.027</v>
      </c>
      <c r="X9" s="41">
        <v>0.024</v>
      </c>
    </row>
    <row r="10" spans="2:24">
      <c r="B10" s="23">
        <f>B9+1</f>
        <v>4</v>
      </c>
      <c r="C10" s="23">
        <f>C9+1</f>
        <v>4</v>
      </c>
      <c r="D10" s="24">
        <f>Q10*(PT=15)+R10*(PT=20)</f>
        <v>0.5</v>
      </c>
      <c r="E10" s="23">
        <f>(IF(B10=1,Modal_Basic_Prem_Yr1,Modal_Basic_Prem_Yr2))*(B10&lt;=PPT)*IF(Prem_Mode="Monthly",12,1)</f>
        <v>4200000</v>
      </c>
      <c r="F10" s="23">
        <f>SUM($E$7:E10)*(B10&lt;=PT)</f>
        <v>16800000</v>
      </c>
      <c r="G10" s="25">
        <f>D10*F10</f>
        <v>8400000</v>
      </c>
      <c r="H10" s="26"/>
      <c r="I10" s="34">
        <v>4</v>
      </c>
      <c r="J10" s="29">
        <f>U10*(PT=15)+V10*(PT=20)</f>
        <v>0.0025</v>
      </c>
      <c r="K10" s="29">
        <f>W10*(PT=15)+X10*(PT=20)</f>
        <v>0.027</v>
      </c>
      <c r="P10" s="36">
        <f>P9+1</f>
        <v>4</v>
      </c>
      <c r="Q10" s="42">
        <v>0.5</v>
      </c>
      <c r="R10" s="42">
        <v>0.5</v>
      </c>
      <c r="T10" s="36">
        <f>T9+1</f>
        <v>4</v>
      </c>
      <c r="U10" s="41">
        <v>0.0025</v>
      </c>
      <c r="V10" s="41">
        <v>0.0025</v>
      </c>
      <c r="W10" s="41">
        <v>0.027</v>
      </c>
      <c r="X10" s="41">
        <v>0.024</v>
      </c>
    </row>
    <row r="11" spans="2:24">
      <c r="B11" s="23">
        <f>B10+1</f>
        <v>5</v>
      </c>
      <c r="C11" s="23">
        <f>C10+1</f>
        <v>5</v>
      </c>
      <c r="D11" s="24">
        <f>Q11*(PT=15)+R11*(PT=20)</f>
        <v>0.5</v>
      </c>
      <c r="E11" s="23">
        <f>(IF(B11=1,Modal_Basic_Prem_Yr1,Modal_Basic_Prem_Yr2))*(B11&lt;=PPT)*IF(Prem_Mode="Monthly",12,1)</f>
        <v>4200000</v>
      </c>
      <c r="F11" s="23">
        <f>SUM($E$7:E11)*(B11&lt;=PT)</f>
        <v>21000000</v>
      </c>
      <c r="G11" s="25">
        <f>D11*F11</f>
        <v>10500000</v>
      </c>
      <c r="H11" s="26"/>
      <c r="I11" s="34">
        <v>5</v>
      </c>
      <c r="J11" s="29">
        <f>U11*(PT=15)+V11*(PT=20)</f>
        <v>0.0025</v>
      </c>
      <c r="K11" s="29">
        <f>W11*(PT=15)+X11*(PT=20)</f>
        <v>0.027</v>
      </c>
      <c r="P11" s="36">
        <f>P10+1</f>
        <v>5</v>
      </c>
      <c r="Q11" s="42">
        <v>0.5</v>
      </c>
      <c r="R11" s="42">
        <v>0.5</v>
      </c>
      <c r="T11" s="36">
        <f>T10+1</f>
        <v>5</v>
      </c>
      <c r="U11" s="41">
        <v>0.0025</v>
      </c>
      <c r="V11" s="41">
        <v>0.0025</v>
      </c>
      <c r="W11" s="41">
        <v>0.027</v>
      </c>
      <c r="X11" s="41">
        <v>0.024</v>
      </c>
    </row>
    <row r="12" spans="2:24">
      <c r="B12" s="23">
        <f>B11+1</f>
        <v>6</v>
      </c>
      <c r="C12" s="23">
        <f>C11+1</f>
        <v>6</v>
      </c>
      <c r="D12" s="24">
        <f>Q12*(PT=15)+R12*(PT=20)</f>
        <v>0.5</v>
      </c>
      <c r="E12" s="23">
        <f>(IF(B12=1,Modal_Basic_Prem_Yr1,Modal_Basic_Prem_Yr2))*(B12&lt;=PPT)*IF(Prem_Mode="Monthly",12,1)</f>
        <v>4200000</v>
      </c>
      <c r="F12" s="23">
        <f>SUM($E$7:E12)*(B12&lt;=PT)</f>
        <v>25200000</v>
      </c>
      <c r="G12" s="25">
        <f>D12*F12</f>
        <v>12600000</v>
      </c>
      <c r="H12" s="26"/>
      <c r="I12" s="34">
        <v>6</v>
      </c>
      <c r="J12" s="29">
        <f>U12*(PT=15)+V12*(PT=20)</f>
        <v>0.0025</v>
      </c>
      <c r="K12" s="29">
        <f>W12*(PT=15)+X12*(PT=20)</f>
        <v>0.027</v>
      </c>
      <c r="P12" s="36">
        <f>P11+1</f>
        <v>6</v>
      </c>
      <c r="Q12" s="42">
        <v>0.5</v>
      </c>
      <c r="R12" s="42">
        <v>0.5</v>
      </c>
      <c r="T12" s="36">
        <f>T11+1</f>
        <v>6</v>
      </c>
      <c r="U12" s="41">
        <v>0.0025</v>
      </c>
      <c r="V12" s="41">
        <v>0.0025</v>
      </c>
      <c r="W12" s="41">
        <v>0.027</v>
      </c>
      <c r="X12" s="41">
        <v>0.024</v>
      </c>
    </row>
    <row r="13" spans="2:24">
      <c r="B13" s="23">
        <f>B12+1</f>
        <v>7</v>
      </c>
      <c r="C13" s="23">
        <f>C12+1</f>
        <v>7</v>
      </c>
      <c r="D13" s="24">
        <f>Q13*(PT=15)+R13*(PT=20)</f>
        <v>0.5</v>
      </c>
      <c r="E13" s="23">
        <f>(IF(B13=1,Modal_Basic_Prem_Yr1,Modal_Basic_Prem_Yr2))*(B13&lt;=PPT)*IF(Prem_Mode="Monthly",12,1)</f>
        <v>4200000</v>
      </c>
      <c r="F13" s="23">
        <f>SUM($E$7:E13)*(B13&lt;=PT)</f>
        <v>29400000</v>
      </c>
      <c r="G13" s="25">
        <f>D13*F13</f>
        <v>14700000</v>
      </c>
      <c r="H13" s="26"/>
      <c r="I13" s="34">
        <v>7</v>
      </c>
      <c r="J13" s="29">
        <f>U13*(PT=15)+V13*(PT=20)</f>
        <v>0.0025</v>
      </c>
      <c r="K13" s="29">
        <f>W13*(PT=15)+X13*(PT=20)</f>
        <v>0.027</v>
      </c>
      <c r="P13" s="36">
        <f>P12+1</f>
        <v>7</v>
      </c>
      <c r="Q13" s="43">
        <v>0.5</v>
      </c>
      <c r="R13" s="43">
        <v>0.5</v>
      </c>
      <c r="T13" s="36">
        <f>T12+1</f>
        <v>7</v>
      </c>
      <c r="U13" s="41">
        <v>0.0025</v>
      </c>
      <c r="V13" s="41">
        <v>0.0025</v>
      </c>
      <c r="W13" s="41">
        <v>0.027</v>
      </c>
      <c r="X13" s="41">
        <v>0.024</v>
      </c>
    </row>
    <row r="14" spans="2:24">
      <c r="B14" s="23">
        <f>B13+1</f>
        <v>8</v>
      </c>
      <c r="C14" s="23">
        <f>C13+1</f>
        <v>8</v>
      </c>
      <c r="D14" s="24">
        <f>Q14*(PT=15)+R14*(PT=20)</f>
        <v>0.53</v>
      </c>
      <c r="E14" s="23">
        <f>(IF(B14=1,Modal_Basic_Prem_Yr1,Modal_Basic_Prem_Yr2))*(B14&lt;=PPT)*IF(Prem_Mode="Monthly",12,1)</f>
        <v>0</v>
      </c>
      <c r="F14" s="23">
        <f>SUM($E$7:E14)*(B14&lt;=PT)</f>
        <v>29400000</v>
      </c>
      <c r="G14" s="25">
        <f>D14*F14</f>
        <v>15582000</v>
      </c>
      <c r="H14" s="26"/>
      <c r="I14" s="34">
        <v>8</v>
      </c>
      <c r="J14" s="29">
        <f>U14*(PT=15)+V14*(PT=20)</f>
        <v>0.0025</v>
      </c>
      <c r="K14" s="29">
        <f>W14*(PT=15)+X14*(PT=20)</f>
        <v>0.027</v>
      </c>
      <c r="P14" s="36">
        <f>P13+1</f>
        <v>8</v>
      </c>
      <c r="Q14" s="42">
        <v>0.53</v>
      </c>
      <c r="R14" s="42">
        <v>0.52</v>
      </c>
      <c r="T14" s="36">
        <f>T13+1</f>
        <v>8</v>
      </c>
      <c r="U14" s="41">
        <v>0.0025</v>
      </c>
      <c r="V14" s="41">
        <v>0.0025</v>
      </c>
      <c r="W14" s="41">
        <v>0.027</v>
      </c>
      <c r="X14" s="41">
        <v>0.024</v>
      </c>
    </row>
    <row r="15" spans="2:24">
      <c r="B15" s="23">
        <f>B14+1</f>
        <v>9</v>
      </c>
      <c r="C15" s="23">
        <f>C14+1</f>
        <v>9</v>
      </c>
      <c r="D15" s="24">
        <f>Q15*(PT=15)+R15*(PT=20)</f>
        <v>0.57</v>
      </c>
      <c r="E15" s="23">
        <f>(IF(B15=1,Modal_Basic_Prem_Yr1,Modal_Basic_Prem_Yr2))*(B15&lt;=PPT)*IF(Prem_Mode="Monthly",12,1)</f>
        <v>0</v>
      </c>
      <c r="F15" s="23">
        <f>SUM($E$7:E15)*(B15&lt;=PT)</f>
        <v>29400000</v>
      </c>
      <c r="G15" s="25">
        <f>D15*F15</f>
        <v>16758000</v>
      </c>
      <c r="H15" s="26"/>
      <c r="I15" s="34">
        <v>9</v>
      </c>
      <c r="J15" s="29">
        <f>U15*(PT=15)+V15*(PT=20)</f>
        <v>0.0025</v>
      </c>
      <c r="K15" s="29">
        <f>W15*(PT=15)+X15*(PT=20)</f>
        <v>0.027</v>
      </c>
      <c r="P15" s="36">
        <f>P14+1</f>
        <v>9</v>
      </c>
      <c r="Q15" s="42">
        <v>0.57</v>
      </c>
      <c r="R15" s="42">
        <v>0.54</v>
      </c>
      <c r="T15" s="36">
        <f>T14+1</f>
        <v>9</v>
      </c>
      <c r="U15" s="41">
        <v>0.0025</v>
      </c>
      <c r="V15" s="41">
        <v>0.0025</v>
      </c>
      <c r="W15" s="41">
        <v>0.027</v>
      </c>
      <c r="X15" s="41">
        <v>0.024</v>
      </c>
    </row>
    <row r="16" spans="2:24">
      <c r="B16" s="23">
        <f>B15+1</f>
        <v>10</v>
      </c>
      <c r="C16" s="23">
        <f>C15+1</f>
        <v>10</v>
      </c>
      <c r="D16" s="24">
        <f>Q16*(PT=15)+R16*(PT=20)</f>
        <v>0.6</v>
      </c>
      <c r="E16" s="23">
        <f>(IF(B16=1,Modal_Basic_Prem_Yr1,Modal_Basic_Prem_Yr2))*(B16&lt;=PPT)*IF(Prem_Mode="Monthly",12,1)</f>
        <v>0</v>
      </c>
      <c r="F16" s="23">
        <f>SUM($E$7:E16)*(B16&lt;=PT)</f>
        <v>29400000</v>
      </c>
      <c r="G16" s="25">
        <f>D16*F16</f>
        <v>17640000</v>
      </c>
      <c r="H16" s="26"/>
      <c r="I16" s="34">
        <v>10</v>
      </c>
      <c r="J16" s="29">
        <f>U16*(PT=15)+V16*(PT=20)</f>
        <v>0.0025</v>
      </c>
      <c r="K16" s="29">
        <f>W16*(PT=15)+X16*(PT=20)</f>
        <v>0.027</v>
      </c>
      <c r="P16" s="36">
        <f>P15+1</f>
        <v>10</v>
      </c>
      <c r="Q16" s="42">
        <v>0.6</v>
      </c>
      <c r="R16" s="42">
        <v>0.56</v>
      </c>
      <c r="T16" s="36">
        <f>T15+1</f>
        <v>10</v>
      </c>
      <c r="U16" s="41">
        <v>0.0025</v>
      </c>
      <c r="V16" s="41">
        <v>0.0025</v>
      </c>
      <c r="W16" s="41">
        <v>0.027</v>
      </c>
      <c r="X16" s="41">
        <v>0.024</v>
      </c>
    </row>
    <row r="17" spans="2:24">
      <c r="B17" s="23">
        <f>B16+1</f>
        <v>11</v>
      </c>
      <c r="C17" s="23">
        <f>C16+1</f>
        <v>11</v>
      </c>
      <c r="D17" s="24">
        <f>Q17*(PT=15)+R17*(PT=20)</f>
        <v>0.64</v>
      </c>
      <c r="E17" s="23">
        <f>(IF(B17=1,Modal_Basic_Prem_Yr1,Modal_Basic_Prem_Yr2))*(B17&lt;=PPT)*IF(Prem_Mode="Monthly",12,1)</f>
        <v>0</v>
      </c>
      <c r="F17" s="23">
        <f>SUM($E$7:E17)*(B17&lt;=PT)</f>
        <v>29400000</v>
      </c>
      <c r="G17" s="25">
        <f>D17*F17</f>
        <v>18816000</v>
      </c>
      <c r="H17" s="26"/>
      <c r="I17" s="34">
        <v>11</v>
      </c>
      <c r="J17" s="29">
        <f>U17*(PT=15)+V17*(PT=20)</f>
        <v>0.0025</v>
      </c>
      <c r="K17" s="29">
        <f>W17*(PT=15)+X17*(PT=20)</f>
        <v>0.027</v>
      </c>
      <c r="P17" s="36">
        <f>P16+1</f>
        <v>11</v>
      </c>
      <c r="Q17" s="42">
        <v>0.64</v>
      </c>
      <c r="R17" s="42">
        <v>0.58</v>
      </c>
      <c r="T17" s="36">
        <f>T16+1</f>
        <v>11</v>
      </c>
      <c r="U17" s="41">
        <v>0.0025</v>
      </c>
      <c r="V17" s="41">
        <v>0.0025</v>
      </c>
      <c r="W17" s="41">
        <v>0.027</v>
      </c>
      <c r="X17" s="41">
        <v>0.024</v>
      </c>
    </row>
    <row r="18" spans="2:24">
      <c r="B18" s="23">
        <f>B17+1</f>
        <v>12</v>
      </c>
      <c r="C18" s="23">
        <f>C17+1</f>
        <v>12</v>
      </c>
      <c r="D18" s="24">
        <f>Q18*(PT=15)+R18*(PT=20)</f>
        <v>0.68</v>
      </c>
      <c r="E18" s="23">
        <f>(IF(B18=1,Modal_Basic_Prem_Yr1,Modal_Basic_Prem_Yr2))*(B18&lt;=PPT)*IF(Prem_Mode="Monthly",12,1)</f>
        <v>0</v>
      </c>
      <c r="F18" s="23">
        <f>SUM($E$7:E18)*(B18&lt;=PT)</f>
        <v>29400000</v>
      </c>
      <c r="G18" s="25">
        <f>D18*F18</f>
        <v>19992000</v>
      </c>
      <c r="H18" s="26"/>
      <c r="I18" s="34">
        <v>12</v>
      </c>
      <c r="J18" s="29">
        <f>U18*(PT=15)+V18*(PT=20)</f>
        <v>0.0025</v>
      </c>
      <c r="K18" s="29">
        <f>W18*(PT=15)+X18*(PT=20)</f>
        <v>0.027</v>
      </c>
      <c r="P18" s="36">
        <f>P17+1</f>
        <v>12</v>
      </c>
      <c r="Q18" s="42">
        <v>0.68</v>
      </c>
      <c r="R18" s="42">
        <v>0.6</v>
      </c>
      <c r="T18" s="36">
        <f>T17+1</f>
        <v>12</v>
      </c>
      <c r="U18" s="41">
        <v>0.0025</v>
      </c>
      <c r="V18" s="41">
        <v>0.0025</v>
      </c>
      <c r="W18" s="41">
        <v>0.027</v>
      </c>
      <c r="X18" s="41">
        <v>0.024</v>
      </c>
    </row>
    <row r="19" spans="2:24">
      <c r="B19" s="23">
        <f>B18+1</f>
        <v>13</v>
      </c>
      <c r="C19" s="23">
        <f>C18+1</f>
        <v>13</v>
      </c>
      <c r="D19" s="24">
        <f>Q19*(PT=15)+R19*(PT=20)</f>
        <v>0.73</v>
      </c>
      <c r="E19" s="23">
        <f>(IF(B19=1,Modal_Basic_Prem_Yr1,Modal_Basic_Prem_Yr2))*(B19&lt;=PPT)*IF(Prem_Mode="Monthly",12,1)</f>
        <v>0</v>
      </c>
      <c r="F19" s="23">
        <f>SUM($E$7:E19)*(B19&lt;=PT)</f>
        <v>29400000</v>
      </c>
      <c r="G19" s="25">
        <f>D19*F19</f>
        <v>21462000</v>
      </c>
      <c r="H19" s="26"/>
      <c r="I19" s="34">
        <v>13</v>
      </c>
      <c r="J19" s="29">
        <f>U19*(PT=15)+V19*(PT=20)</f>
        <v>0.0025</v>
      </c>
      <c r="K19" s="29">
        <f>W19*(PT=15)+X19*(PT=20)</f>
        <v>0.027</v>
      </c>
      <c r="P19" s="36">
        <f>P18+1</f>
        <v>13</v>
      </c>
      <c r="Q19" s="42">
        <v>0.73</v>
      </c>
      <c r="R19" s="42">
        <v>0.62</v>
      </c>
      <c r="T19" s="36">
        <f>T18+1</f>
        <v>13</v>
      </c>
      <c r="U19" s="41">
        <v>0.0025</v>
      </c>
      <c r="V19" s="41">
        <v>0.0025</v>
      </c>
      <c r="W19" s="41">
        <v>0.027</v>
      </c>
      <c r="X19" s="41">
        <v>0.024</v>
      </c>
    </row>
    <row r="20" spans="2:24">
      <c r="B20" s="23">
        <f>B19+1</f>
        <v>14</v>
      </c>
      <c r="C20" s="23">
        <f>C19+1</f>
        <v>14</v>
      </c>
      <c r="D20" s="24">
        <f>Q20*(PT=15)+R20*(PT=20)</f>
        <v>0.77</v>
      </c>
      <c r="E20" s="23">
        <f>(IF(B20=1,Modal_Basic_Prem_Yr1,Modal_Basic_Prem_Yr2))*(B20&lt;=PPT)*IF(Prem_Mode="Monthly",12,1)</f>
        <v>0</v>
      </c>
      <c r="F20" s="23">
        <f>SUM($E$7:E20)*(B20&lt;=PT)</f>
        <v>29400000</v>
      </c>
      <c r="G20" s="25">
        <f>D20*F20</f>
        <v>22638000</v>
      </c>
      <c r="H20" s="26"/>
      <c r="I20" s="34">
        <v>14</v>
      </c>
      <c r="J20" s="29">
        <f>U20*(PT=15)+V20*(PT=20)</f>
        <v>0.0025</v>
      </c>
      <c r="K20" s="29">
        <f>W20*(PT=15)+X20*(PT=20)</f>
        <v>0.027</v>
      </c>
      <c r="P20" s="36">
        <f>P19+1</f>
        <v>14</v>
      </c>
      <c r="Q20" s="42">
        <v>0.77</v>
      </c>
      <c r="R20" s="42">
        <v>0.64</v>
      </c>
      <c r="T20" s="36">
        <f>T19+1</f>
        <v>14</v>
      </c>
      <c r="U20" s="41">
        <v>0.0025</v>
      </c>
      <c r="V20" s="41">
        <v>0.0025</v>
      </c>
      <c r="W20" s="41">
        <v>0.027</v>
      </c>
      <c r="X20" s="41">
        <v>0.024</v>
      </c>
    </row>
    <row r="21" spans="2:24">
      <c r="B21" s="23">
        <f>B20+1</f>
        <v>15</v>
      </c>
      <c r="C21" s="23">
        <f>C20+1</f>
        <v>15</v>
      </c>
      <c r="D21" s="24">
        <f>Q21*(PT=15)+R21*(PT=20)</f>
        <v>0.82</v>
      </c>
      <c r="E21" s="23">
        <f>(IF(B21=1,Modal_Basic_Prem_Yr1,Modal_Basic_Prem_Yr2))*(B21&lt;=PPT)*IF(Prem_Mode="Monthly",12,1)</f>
        <v>0</v>
      </c>
      <c r="F21" s="23">
        <f>SUM($E$7:E21)*(B21&lt;=PT)</f>
        <v>29400000</v>
      </c>
      <c r="G21" s="25">
        <f>D21*F21</f>
        <v>24108000</v>
      </c>
      <c r="H21" s="26"/>
      <c r="I21" s="34">
        <v>15</v>
      </c>
      <c r="J21" s="29">
        <f>U21*(PT=15)+V21*(PT=20)</f>
        <v>0.0025</v>
      </c>
      <c r="K21" s="29">
        <f>W21*(PT=15)+X21*(PT=20)</f>
        <v>0.027</v>
      </c>
      <c r="P21" s="36">
        <f>P20+1</f>
        <v>15</v>
      </c>
      <c r="Q21" s="42">
        <v>0.82</v>
      </c>
      <c r="R21" s="42">
        <v>0.66</v>
      </c>
      <c r="T21" s="36">
        <f>T20+1</f>
        <v>15</v>
      </c>
      <c r="U21" s="41">
        <v>0.0025</v>
      </c>
      <c r="V21" s="41">
        <v>0.0025</v>
      </c>
      <c r="W21" s="41">
        <v>0.027</v>
      </c>
      <c r="X21" s="41">
        <v>0.024</v>
      </c>
    </row>
    <row r="22" spans="2:24">
      <c r="B22" s="23">
        <f>B21+1</f>
        <v>16</v>
      </c>
      <c r="C22" s="23">
        <f>C21+1</f>
        <v>16</v>
      </c>
      <c r="D22" s="24">
        <f>Q22*(PT=15)+R22*(PT=20)</f>
        <v>0</v>
      </c>
      <c r="E22" s="23">
        <f>(IF(B22=1,Modal_Basic_Prem_Yr1,Modal_Basic_Prem_Yr2))*(B22&lt;=PPT)*IF(Prem_Mode="Monthly",12,1)</f>
        <v>0</v>
      </c>
      <c r="F22" s="23">
        <f>SUM($E$7:E22)*(B22&lt;=PT)</f>
        <v>0</v>
      </c>
      <c r="G22" s="25">
        <f>D22*F22</f>
        <v>0</v>
      </c>
      <c r="H22" s="26"/>
      <c r="I22" s="34">
        <v>16</v>
      </c>
      <c r="J22" s="29">
        <f>U22*(PT=15)+V22*(PT=20)</f>
        <v>0</v>
      </c>
      <c r="K22" s="29">
        <f>W22*(PT=15)+X22*(PT=20)</f>
        <v>0</v>
      </c>
      <c r="P22" s="36">
        <f>P21+1</f>
        <v>16</v>
      </c>
      <c r="Q22" s="42"/>
      <c r="R22" s="42">
        <v>0.68</v>
      </c>
      <c r="T22" s="36">
        <f>T21+1</f>
        <v>16</v>
      </c>
      <c r="U22" s="44"/>
      <c r="V22" s="41">
        <v>0.0025</v>
      </c>
      <c r="W22" s="44"/>
      <c r="X22" s="41">
        <v>0.024</v>
      </c>
    </row>
    <row r="23" spans="2:24">
      <c r="B23" s="23">
        <f>B22+1</f>
        <v>17</v>
      </c>
      <c r="C23" s="23">
        <f>C22+1</f>
        <v>17</v>
      </c>
      <c r="D23" s="24">
        <f>Q23*(PT=15)+R23*(PT=20)</f>
        <v>0</v>
      </c>
      <c r="E23" s="23">
        <f>(IF(B23=1,Modal_Basic_Prem_Yr1,Modal_Basic_Prem_Yr2))*(B23&lt;=PPT)*IF(Prem_Mode="Monthly",12,1)</f>
        <v>0</v>
      </c>
      <c r="F23" s="23">
        <f>SUM($E$7:E23)*(B23&lt;=PT)</f>
        <v>0</v>
      </c>
      <c r="G23" s="25">
        <f>D23*F23</f>
        <v>0</v>
      </c>
      <c r="H23" s="26"/>
      <c r="I23" s="34">
        <v>17</v>
      </c>
      <c r="J23" s="29">
        <f>U23*(PT=15)+V23*(PT=20)</f>
        <v>0</v>
      </c>
      <c r="K23" s="29">
        <f>W23*(PT=15)+X23*(PT=20)</f>
        <v>0</v>
      </c>
      <c r="P23" s="36">
        <f>P22+1</f>
        <v>17</v>
      </c>
      <c r="Q23" s="36"/>
      <c r="R23" s="42">
        <v>0.7</v>
      </c>
      <c r="T23" s="36">
        <f>T22+1</f>
        <v>17</v>
      </c>
      <c r="U23" s="45"/>
      <c r="V23" s="41">
        <v>0.0025</v>
      </c>
      <c r="W23" s="45"/>
      <c r="X23" s="41">
        <v>0.024</v>
      </c>
    </row>
    <row r="24" spans="2:24">
      <c r="B24" s="23">
        <f>B23+1</f>
        <v>18</v>
      </c>
      <c r="C24" s="23">
        <f>C23+1</f>
        <v>18</v>
      </c>
      <c r="D24" s="24">
        <f>Q24*(PT=15)+R24*(PT=20)</f>
        <v>0</v>
      </c>
      <c r="E24" s="23">
        <f>(IF(B24=1,Modal_Basic_Prem_Yr1,Modal_Basic_Prem_Yr2))*(B24&lt;=PPT)*IF(Prem_Mode="Monthly",12,1)</f>
        <v>0</v>
      </c>
      <c r="F24" s="23">
        <f>SUM($E$7:E24)*(B24&lt;=PT)</f>
        <v>0</v>
      </c>
      <c r="G24" s="25">
        <f>D24*F24</f>
        <v>0</v>
      </c>
      <c r="H24" s="26"/>
      <c r="I24" s="34">
        <v>18</v>
      </c>
      <c r="J24" s="29">
        <f>U24*(PT=15)+V24*(PT=20)</f>
        <v>0</v>
      </c>
      <c r="K24" s="29">
        <f>W24*(PT=15)+X24*(PT=20)</f>
        <v>0</v>
      </c>
      <c r="P24" s="36">
        <f>P23+1</f>
        <v>18</v>
      </c>
      <c r="Q24" s="36"/>
      <c r="R24" s="42">
        <v>0.72</v>
      </c>
      <c r="T24" s="36">
        <f>T23+1</f>
        <v>18</v>
      </c>
      <c r="U24" s="45"/>
      <c r="V24" s="41">
        <v>0.0025</v>
      </c>
      <c r="W24" s="45"/>
      <c r="X24" s="41">
        <v>0.024</v>
      </c>
    </row>
    <row r="25" spans="2:24">
      <c r="B25" s="23">
        <f>B24+1</f>
        <v>19</v>
      </c>
      <c r="C25" s="23">
        <f>C24+1</f>
        <v>19</v>
      </c>
      <c r="D25" s="24">
        <f>Q25*(PT=15)+R25*(PT=20)</f>
        <v>0</v>
      </c>
      <c r="E25" s="23">
        <f>(IF(B25=1,Modal_Basic_Prem_Yr1,Modal_Basic_Prem_Yr2))*(B25&lt;=PPT)*IF(Prem_Mode="Monthly",12,1)</f>
        <v>0</v>
      </c>
      <c r="F25" s="23">
        <f>SUM($E$7:E25)*(B25&lt;=PT)</f>
        <v>0</v>
      </c>
      <c r="G25" s="25">
        <f>D25*F25</f>
        <v>0</v>
      </c>
      <c r="H25" s="26"/>
      <c r="I25" s="34">
        <v>19</v>
      </c>
      <c r="J25" s="29">
        <f>U25*(PT=15)+V25*(PT=20)</f>
        <v>0</v>
      </c>
      <c r="K25" s="29">
        <f>W25*(PT=15)+X25*(PT=20)</f>
        <v>0</v>
      </c>
      <c r="P25" s="36">
        <f>P24+1</f>
        <v>19</v>
      </c>
      <c r="Q25" s="36"/>
      <c r="R25" s="42">
        <v>0.74</v>
      </c>
      <c r="T25" s="36">
        <f>T24+1</f>
        <v>19</v>
      </c>
      <c r="U25" s="45"/>
      <c r="V25" s="41">
        <v>0.0025</v>
      </c>
      <c r="W25" s="45"/>
      <c r="X25" s="41">
        <v>0.024</v>
      </c>
    </row>
    <row r="26" spans="2:24">
      <c r="B26" s="23">
        <f>B25+1</f>
        <v>20</v>
      </c>
      <c r="C26" s="23">
        <f>C25+1</f>
        <v>20</v>
      </c>
      <c r="D26" s="24">
        <f>Q26*(PT=15)+R26*(PT=20)</f>
        <v>0</v>
      </c>
      <c r="E26" s="23">
        <f>(IF(B26=1,Modal_Basic_Prem_Yr1,Modal_Basic_Prem_Yr2))*(B26&lt;=PPT)*IF(Prem_Mode="Monthly",12,1)</f>
        <v>0</v>
      </c>
      <c r="F26" s="23">
        <f>SUM($E$7:E26)*(B26&lt;=PT)</f>
        <v>0</v>
      </c>
      <c r="G26" s="25">
        <f>D26*F26</f>
        <v>0</v>
      </c>
      <c r="H26" s="26"/>
      <c r="I26" s="34">
        <v>20</v>
      </c>
      <c r="J26" s="29">
        <f>U26*(PT=15)+V26*(PT=20)</f>
        <v>0</v>
      </c>
      <c r="K26" s="29">
        <f>W26*(PT=15)+X26*(PT=20)</f>
        <v>0</v>
      </c>
      <c r="P26" s="36">
        <f>P25+1</f>
        <v>20</v>
      </c>
      <c r="Q26" s="36"/>
      <c r="R26" s="42">
        <v>0.76</v>
      </c>
      <c r="T26" s="36">
        <f>T25+1</f>
        <v>20</v>
      </c>
      <c r="U26" s="46"/>
      <c r="V26" s="41">
        <v>0.0025</v>
      </c>
      <c r="W26" s="46"/>
      <c r="X26" s="41">
        <v>0.024</v>
      </c>
    </row>
  </sheetData>
  <mergeCells count="7">
    <mergeCell ref="I1:K1"/>
    <mergeCell ref="M5:N5"/>
    <mergeCell ref="P5:R5"/>
    <mergeCell ref="U5:V5"/>
    <mergeCell ref="W5:X5"/>
    <mergeCell ref="U22:U26"/>
    <mergeCell ref="W22:W26"/>
  </mergeCells>
  <pageMargins left="0.699305555555556" right="0.699305555555556" top="0.75" bottom="0.75" header="0.3" footer="0.3"/>
  <pageSetup paperSize="1"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0"/>
  <sheetViews>
    <sheetView tabSelected="1" topLeftCell="B1" workbookViewId="0">
      <selection activeCell="J13" sqref="J13:K13"/>
    </sheetView>
  </sheetViews>
  <sheetFormatPr defaultColWidth="9" defaultRowHeight="14.25"/>
  <cols>
    <col min="1" max="1" width="17.5" style="2" customWidth="1"/>
    <col min="2" max="2" width="10.625" style="2" customWidth="1"/>
    <col min="3" max="3" width="9.625" style="2" customWidth="1"/>
    <col min="4" max="4" width="10.625" style="2" customWidth="1"/>
    <col min="5" max="5" width="11" style="2" customWidth="1"/>
    <col min="6" max="6" width="9.875" style="2" customWidth="1"/>
    <col min="7" max="7" width="12.375" style="2" customWidth="1"/>
    <col min="8" max="8" width="10" style="2" customWidth="1"/>
    <col min="9" max="9" width="11.25" style="2" customWidth="1"/>
    <col min="10" max="10" width="10.5" style="2" customWidth="1"/>
    <col min="11" max="11" width="9.25" style="2" customWidth="1"/>
    <col min="12" max="16384" width="9" hidden="1" customWidth="1"/>
  </cols>
  <sheetData>
    <row r="1" customFormat="1" spans="1:11">
      <c r="A1" s="2"/>
      <c r="B1" s="2"/>
      <c r="C1" s="2"/>
      <c r="D1" s="2"/>
      <c r="E1" s="2"/>
      <c r="F1" s="2"/>
      <c r="G1" s="2"/>
      <c r="H1" s="2"/>
      <c r="I1" s="2"/>
      <c r="J1" s="2"/>
      <c r="K1" s="2"/>
    </row>
    <row r="2" customFormat="1" spans="1:11">
      <c r="A2" s="2"/>
      <c r="B2" s="2"/>
      <c r="C2" s="2"/>
      <c r="D2" s="2"/>
      <c r="E2" s="2"/>
      <c r="F2" s="2"/>
      <c r="G2" s="2"/>
      <c r="H2" s="2"/>
      <c r="I2" s="2"/>
      <c r="J2" s="2"/>
      <c r="K2" s="2"/>
    </row>
    <row r="3" customFormat="1" ht="15" spans="1:11">
      <c r="A3" s="2"/>
      <c r="B3" s="3" t="s">
        <v>180</v>
      </c>
      <c r="C3" s="3"/>
      <c r="D3" s="3"/>
      <c r="E3" s="3"/>
      <c r="F3" s="3"/>
      <c r="G3" s="3"/>
      <c r="H3" s="3"/>
      <c r="I3" s="3"/>
      <c r="J3" s="3"/>
      <c r="K3" s="3"/>
    </row>
    <row r="4" customFormat="1" ht="15" spans="1:11">
      <c r="A4" s="2"/>
      <c r="B4" s="4" t="s">
        <v>181</v>
      </c>
      <c r="C4" s="4"/>
      <c r="D4" s="4" t="s">
        <v>182</v>
      </c>
      <c r="E4" s="4"/>
      <c r="F4" s="4" t="s">
        <v>183</v>
      </c>
      <c r="G4" s="4"/>
      <c r="H4" s="4" t="s">
        <v>184</v>
      </c>
      <c r="I4" s="4"/>
      <c r="J4" s="4" t="s">
        <v>185</v>
      </c>
      <c r="K4" s="4"/>
    </row>
    <row r="5" customFormat="1" ht="45" spans="1:11">
      <c r="A5" s="5" t="s">
        <v>186</v>
      </c>
      <c r="B5" s="6">
        <v>350000</v>
      </c>
      <c r="C5" s="6"/>
      <c r="D5" s="6">
        <v>150000</v>
      </c>
      <c r="E5" s="6"/>
      <c r="F5" s="6">
        <v>750000</v>
      </c>
      <c r="G5" s="6"/>
      <c r="H5" s="6">
        <v>1200000</v>
      </c>
      <c r="I5" s="6"/>
      <c r="J5" s="6">
        <v>25000</v>
      </c>
      <c r="K5" s="6"/>
    </row>
    <row r="6" customFormat="1" ht="15" spans="1:11">
      <c r="A6" s="5" t="s">
        <v>187</v>
      </c>
      <c r="B6" s="6">
        <v>22</v>
      </c>
      <c r="C6" s="6"/>
      <c r="D6" s="6">
        <v>19</v>
      </c>
      <c r="E6" s="6"/>
      <c r="F6" s="6">
        <v>40</v>
      </c>
      <c r="G6" s="6"/>
      <c r="H6" s="6">
        <v>55</v>
      </c>
      <c r="I6" s="6"/>
      <c r="J6" s="6">
        <v>32</v>
      </c>
      <c r="K6" s="6"/>
    </row>
    <row r="7" customFormat="1" ht="15" spans="1:11">
      <c r="A7" s="5" t="s">
        <v>8</v>
      </c>
      <c r="B7" s="6" t="s">
        <v>9</v>
      </c>
      <c r="C7" s="6"/>
      <c r="D7" s="6" t="s">
        <v>9</v>
      </c>
      <c r="E7" s="6"/>
      <c r="F7" s="6" t="s">
        <v>148</v>
      </c>
      <c r="G7" s="6"/>
      <c r="H7" s="6" t="s">
        <v>148</v>
      </c>
      <c r="I7" s="6"/>
      <c r="J7" s="6" t="s">
        <v>9</v>
      </c>
      <c r="K7" s="6"/>
    </row>
    <row r="8" customFormat="1" ht="15" spans="1:11">
      <c r="A8" s="5" t="s">
        <v>12</v>
      </c>
      <c r="B8" s="6" t="s">
        <v>13</v>
      </c>
      <c r="C8" s="6"/>
      <c r="D8" s="6" t="s">
        <v>13</v>
      </c>
      <c r="E8" s="6"/>
      <c r="F8" s="6" t="s">
        <v>13</v>
      </c>
      <c r="G8" s="6"/>
      <c r="H8" s="6" t="s">
        <v>188</v>
      </c>
      <c r="I8" s="6"/>
      <c r="J8" s="6" t="s">
        <v>188</v>
      </c>
      <c r="K8" s="6"/>
    </row>
    <row r="9" customFormat="1" ht="15" spans="1:11">
      <c r="A9" s="5" t="s">
        <v>189</v>
      </c>
      <c r="B9" s="6" t="s">
        <v>19</v>
      </c>
      <c r="C9" s="6"/>
      <c r="D9" s="6" t="s">
        <v>17</v>
      </c>
      <c r="E9" s="6"/>
      <c r="F9" s="6" t="s">
        <v>19</v>
      </c>
      <c r="G9" s="6"/>
      <c r="H9" s="6" t="s">
        <v>19</v>
      </c>
      <c r="I9" s="6"/>
      <c r="J9" s="6" t="s">
        <v>17</v>
      </c>
      <c r="K9" s="6"/>
    </row>
    <row r="10" customFormat="1" ht="15" spans="1:11">
      <c r="A10" s="5" t="s">
        <v>20</v>
      </c>
      <c r="B10" s="6">
        <v>7</v>
      </c>
      <c r="C10" s="6"/>
      <c r="D10" s="6">
        <v>10</v>
      </c>
      <c r="E10" s="6"/>
      <c r="F10" s="6">
        <v>7</v>
      </c>
      <c r="G10" s="6"/>
      <c r="H10" s="6">
        <v>7</v>
      </c>
      <c r="I10" s="6"/>
      <c r="J10" s="6">
        <v>10</v>
      </c>
      <c r="K10" s="6"/>
    </row>
    <row r="11" customFormat="1" ht="30" spans="1:11">
      <c r="A11" s="5" t="s">
        <v>190</v>
      </c>
      <c r="B11" s="6" t="s">
        <v>17</v>
      </c>
      <c r="C11" s="6"/>
      <c r="D11" s="6" t="s">
        <v>19</v>
      </c>
      <c r="E11" s="6"/>
      <c r="F11" s="6" t="s">
        <v>19</v>
      </c>
      <c r="G11" s="6"/>
      <c r="H11" s="6" t="s">
        <v>17</v>
      </c>
      <c r="I11" s="6"/>
      <c r="J11" s="6" t="s">
        <v>17</v>
      </c>
      <c r="K11" s="6"/>
    </row>
    <row r="12" customFormat="1" ht="15" spans="1:11">
      <c r="A12" s="5" t="s">
        <v>191</v>
      </c>
      <c r="B12" s="7">
        <v>0</v>
      </c>
      <c r="C12" s="7"/>
      <c r="D12" s="7">
        <v>0.75</v>
      </c>
      <c r="E12" s="7"/>
      <c r="F12" s="7">
        <v>1</v>
      </c>
      <c r="G12" s="7"/>
      <c r="H12" s="7">
        <v>3.5</v>
      </c>
      <c r="I12" s="7"/>
      <c r="J12" s="7">
        <v>0.5</v>
      </c>
      <c r="K12" s="7"/>
    </row>
    <row r="13" customFormat="1" ht="15" spans="1:11">
      <c r="A13" s="5" t="s">
        <v>28</v>
      </c>
      <c r="B13" s="6">
        <v>0</v>
      </c>
      <c r="C13" s="6"/>
      <c r="D13" s="6">
        <v>0.5</v>
      </c>
      <c r="E13" s="6"/>
      <c r="F13" s="6">
        <v>0</v>
      </c>
      <c r="G13" s="6"/>
      <c r="H13" s="6">
        <v>0.9</v>
      </c>
      <c r="I13" s="6"/>
      <c r="J13" s="6">
        <v>0.6</v>
      </c>
      <c r="K13" s="6"/>
    </row>
    <row r="14" customFormat="1" ht="15" spans="1:11">
      <c r="A14" s="5"/>
      <c r="B14" s="2"/>
      <c r="C14" s="2"/>
      <c r="D14" s="2"/>
      <c r="E14" s="2"/>
      <c r="F14" s="2"/>
      <c r="G14" s="2"/>
      <c r="H14" s="2"/>
      <c r="I14" s="2"/>
      <c r="J14" s="2"/>
      <c r="K14" s="2"/>
    </row>
    <row r="15" customFormat="1" ht="15" spans="1:11">
      <c r="A15" s="5"/>
      <c r="B15" s="3" t="s">
        <v>192</v>
      </c>
      <c r="C15" s="3"/>
      <c r="D15" s="3"/>
      <c r="E15" s="3"/>
      <c r="F15" s="3"/>
      <c r="G15" s="3"/>
      <c r="H15" s="3"/>
      <c r="I15" s="3"/>
      <c r="J15" s="3"/>
      <c r="K15" s="3"/>
    </row>
    <row r="16" customFormat="1" ht="15" spans="1:11">
      <c r="A16" s="5" t="s">
        <v>4</v>
      </c>
      <c r="B16" s="8">
        <v>33255421</v>
      </c>
      <c r="C16" s="8"/>
      <c r="D16" s="8">
        <v>1783557</v>
      </c>
      <c r="E16" s="8"/>
      <c r="F16" s="8">
        <v>5728794</v>
      </c>
      <c r="G16" s="8"/>
      <c r="H16" s="8">
        <v>5472206</v>
      </c>
      <c r="I16" s="8"/>
      <c r="J16" s="8">
        <v>25000</v>
      </c>
      <c r="K16" s="8"/>
    </row>
    <row r="17" customFormat="1" ht="45" spans="1:11">
      <c r="A17" s="5" t="s">
        <v>31</v>
      </c>
      <c r="B17" s="9">
        <v>350000</v>
      </c>
      <c r="C17" s="9"/>
      <c r="D17" s="8">
        <v>150000</v>
      </c>
      <c r="E17" s="8"/>
      <c r="F17" s="9">
        <v>750000</v>
      </c>
      <c r="G17" s="9"/>
      <c r="H17" s="9">
        <v>1200000</v>
      </c>
      <c r="I17" s="9"/>
      <c r="J17" s="9">
        <v>3456237</v>
      </c>
      <c r="K17" s="9"/>
    </row>
    <row r="18" customFormat="1" ht="15" spans="1:11">
      <c r="A18" s="5"/>
      <c r="B18" s="2"/>
      <c r="C18" s="2"/>
      <c r="D18" s="2"/>
      <c r="E18" s="2"/>
      <c r="F18" s="2"/>
      <c r="G18" s="2"/>
      <c r="H18" s="2"/>
      <c r="I18" s="2"/>
      <c r="J18" s="2"/>
      <c r="K18" s="2"/>
    </row>
    <row r="19" customFormat="1" ht="15" spans="1:11">
      <c r="A19" s="4" t="s">
        <v>158</v>
      </c>
      <c r="B19" s="4"/>
      <c r="C19" s="4"/>
      <c r="D19" s="4"/>
      <c r="E19" s="4"/>
      <c r="F19" s="4"/>
      <c r="G19" s="4"/>
      <c r="H19" s="4"/>
      <c r="I19" s="4"/>
      <c r="J19" s="4"/>
      <c r="K19" s="4"/>
    </row>
    <row r="20" customFormat="1" ht="15" spans="1:11">
      <c r="A20" s="5"/>
      <c r="B20" s="10" t="s">
        <v>36</v>
      </c>
      <c r="C20" s="11" t="s">
        <v>37</v>
      </c>
      <c r="D20" s="10" t="s">
        <v>36</v>
      </c>
      <c r="E20" s="11" t="s">
        <v>37</v>
      </c>
      <c r="F20" s="10" t="s">
        <v>36</v>
      </c>
      <c r="G20" s="11" t="s">
        <v>37</v>
      </c>
      <c r="H20" s="10" t="s">
        <v>36</v>
      </c>
      <c r="I20" s="11" t="s">
        <v>37</v>
      </c>
      <c r="J20" s="16" t="s">
        <v>36</v>
      </c>
      <c r="K20" s="17" t="s">
        <v>37</v>
      </c>
    </row>
    <row r="21" customFormat="1" ht="60" spans="1:11">
      <c r="A21" s="5" t="s">
        <v>159</v>
      </c>
      <c r="B21" s="12">
        <v>350000</v>
      </c>
      <c r="C21" s="12">
        <v>350000</v>
      </c>
      <c r="D21" s="12">
        <v>143540.67</v>
      </c>
      <c r="E21" s="13">
        <v>143541</v>
      </c>
      <c r="F21" s="13">
        <v>717703.31</v>
      </c>
      <c r="G21" s="13">
        <v>717703</v>
      </c>
      <c r="H21" s="13">
        <v>1200000.05</v>
      </c>
      <c r="I21" s="13">
        <v>1200000</v>
      </c>
      <c r="J21" s="13">
        <v>25000</v>
      </c>
      <c r="K21" s="13">
        <v>25000</v>
      </c>
    </row>
    <row r="22" customFormat="1" ht="30" spans="1:11">
      <c r="A22" s="5" t="s">
        <v>33</v>
      </c>
      <c r="B22" s="13">
        <v>15750</v>
      </c>
      <c r="C22" s="13">
        <v>15750</v>
      </c>
      <c r="D22" s="13">
        <v>6459.33</v>
      </c>
      <c r="E22" s="13">
        <v>6459.34</v>
      </c>
      <c r="F22" s="13">
        <v>32296.65</v>
      </c>
      <c r="G22" s="13">
        <v>32296.63</v>
      </c>
      <c r="H22" s="13">
        <v>54000</v>
      </c>
      <c r="I22" s="13">
        <v>54000</v>
      </c>
      <c r="J22" s="13">
        <v>1125</v>
      </c>
      <c r="K22" s="13">
        <v>1125</v>
      </c>
    </row>
    <row r="23" customFormat="1" ht="25.5" spans="1:11">
      <c r="A23" s="14" t="s">
        <v>160</v>
      </c>
      <c r="B23" s="12">
        <v>365750</v>
      </c>
      <c r="C23" s="12">
        <v>365750</v>
      </c>
      <c r="D23" s="13">
        <v>150000</v>
      </c>
      <c r="E23" s="13">
        <v>150000</v>
      </c>
      <c r="F23" s="13">
        <v>749999.96</v>
      </c>
      <c r="G23" s="13">
        <v>749999.64</v>
      </c>
      <c r="H23" s="13">
        <v>1254000.05</v>
      </c>
      <c r="I23" s="13">
        <v>1254000</v>
      </c>
      <c r="J23" s="13">
        <v>26125</v>
      </c>
      <c r="K23" s="13">
        <v>26125</v>
      </c>
    </row>
    <row r="24" customFormat="1" ht="45" spans="1:11">
      <c r="A24" s="5" t="s">
        <v>161</v>
      </c>
      <c r="B24" s="12">
        <v>4200000</v>
      </c>
      <c r="C24" s="12">
        <v>4200000</v>
      </c>
      <c r="D24" s="13">
        <v>143540.67</v>
      </c>
      <c r="E24" s="13">
        <v>143541</v>
      </c>
      <c r="F24" s="13">
        <v>717703.31</v>
      </c>
      <c r="G24" s="13">
        <v>717703</v>
      </c>
      <c r="H24" s="13">
        <v>1200000.05</v>
      </c>
      <c r="I24" s="13">
        <v>1200000</v>
      </c>
      <c r="J24" s="13">
        <v>300000</v>
      </c>
      <c r="K24" s="13">
        <v>300000</v>
      </c>
    </row>
    <row r="25" customFormat="1" ht="15" spans="1:11">
      <c r="A25" s="5"/>
      <c r="B25" s="2"/>
      <c r="C25" s="2"/>
      <c r="D25" s="2"/>
      <c r="E25" s="2"/>
      <c r="F25" s="2"/>
      <c r="G25" s="2"/>
      <c r="H25" s="2"/>
      <c r="I25" s="2"/>
      <c r="J25" s="2"/>
      <c r="K25" s="2"/>
    </row>
    <row r="26" customFormat="1" ht="15" spans="1:11">
      <c r="A26" s="15" t="s">
        <v>38</v>
      </c>
      <c r="B26" s="15"/>
      <c r="C26" s="15"/>
      <c r="D26" s="15"/>
      <c r="E26" s="15"/>
      <c r="F26" s="15"/>
      <c r="G26" s="15"/>
      <c r="H26" s="15"/>
      <c r="I26" s="15"/>
      <c r="J26" s="15"/>
      <c r="K26" s="15"/>
    </row>
    <row r="27" customFormat="1" ht="60" spans="1:11">
      <c r="A27" s="5" t="s">
        <v>159</v>
      </c>
      <c r="B27" s="12">
        <v>350000</v>
      </c>
      <c r="C27" s="12">
        <v>350000</v>
      </c>
      <c r="D27" s="12">
        <v>143540.67</v>
      </c>
      <c r="E27" s="13">
        <v>143541</v>
      </c>
      <c r="F27" s="13">
        <v>717703.31</v>
      </c>
      <c r="G27" s="13">
        <v>717675</v>
      </c>
      <c r="H27" s="13">
        <v>1200000.05</v>
      </c>
      <c r="I27" s="13">
        <v>1200000</v>
      </c>
      <c r="J27" s="13">
        <v>25000</v>
      </c>
      <c r="K27" s="13">
        <v>25000</v>
      </c>
    </row>
    <row r="28" customFormat="1" ht="30" spans="1:11">
      <c r="A28" s="5" t="s">
        <v>33</v>
      </c>
      <c r="B28" s="13">
        <v>7875</v>
      </c>
      <c r="C28" s="13">
        <v>7875</v>
      </c>
      <c r="D28" s="13">
        <v>3229.67</v>
      </c>
      <c r="E28" s="13">
        <v>3229.67</v>
      </c>
      <c r="F28" s="13">
        <v>16148.32</v>
      </c>
      <c r="G28" s="13">
        <v>16147.69</v>
      </c>
      <c r="H28" s="13">
        <v>27000</v>
      </c>
      <c r="I28" s="13">
        <v>27000</v>
      </c>
      <c r="J28" s="18">
        <v>562.5</v>
      </c>
      <c r="K28" s="18">
        <v>562.5</v>
      </c>
    </row>
    <row r="29" customFormat="1" ht="30" spans="1:11">
      <c r="A29" s="5" t="s">
        <v>160</v>
      </c>
      <c r="B29" s="13">
        <v>357875</v>
      </c>
      <c r="C29" s="13">
        <v>357875</v>
      </c>
      <c r="D29" s="12">
        <v>146770.34</v>
      </c>
      <c r="E29" s="13">
        <v>146770.67</v>
      </c>
      <c r="F29" s="13">
        <v>733851.63</v>
      </c>
      <c r="G29" s="13">
        <v>733822.69</v>
      </c>
      <c r="H29" s="13">
        <v>1227000.05</v>
      </c>
      <c r="I29" s="13">
        <v>1227000</v>
      </c>
      <c r="J29" s="13">
        <v>25562.5</v>
      </c>
      <c r="K29" s="13">
        <v>25562.5</v>
      </c>
    </row>
    <row r="30" customFormat="1" ht="45" spans="1:11">
      <c r="A30" s="5" t="s">
        <v>161</v>
      </c>
      <c r="B30" s="12">
        <v>4200000</v>
      </c>
      <c r="C30" s="12">
        <v>4200000</v>
      </c>
      <c r="D30" s="12">
        <v>143540.67</v>
      </c>
      <c r="E30" s="13">
        <v>143541</v>
      </c>
      <c r="F30" s="13">
        <v>717703.31</v>
      </c>
      <c r="G30" s="13">
        <v>717675</v>
      </c>
      <c r="H30" s="13">
        <v>1200000.05</v>
      </c>
      <c r="I30" s="13">
        <v>1200000</v>
      </c>
      <c r="J30" s="13">
        <v>300000</v>
      </c>
      <c r="K30" s="13">
        <v>300000</v>
      </c>
    </row>
  </sheetData>
  <mergeCells count="64">
    <mergeCell ref="B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 ref="B8:C8"/>
    <mergeCell ref="D8:E8"/>
    <mergeCell ref="F8:G8"/>
    <mergeCell ref="H8:I8"/>
    <mergeCell ref="J8:K8"/>
    <mergeCell ref="B9:C9"/>
    <mergeCell ref="D9:E9"/>
    <mergeCell ref="F9:G9"/>
    <mergeCell ref="H9:I9"/>
    <mergeCell ref="J9:K9"/>
    <mergeCell ref="B10:C10"/>
    <mergeCell ref="D10:E10"/>
    <mergeCell ref="F10:G10"/>
    <mergeCell ref="H10:I10"/>
    <mergeCell ref="J10:K10"/>
    <mergeCell ref="B11:C11"/>
    <mergeCell ref="D11:E11"/>
    <mergeCell ref="F11:G11"/>
    <mergeCell ref="H11:I11"/>
    <mergeCell ref="J11:K11"/>
    <mergeCell ref="B12:C12"/>
    <mergeCell ref="D12:E12"/>
    <mergeCell ref="F12:G12"/>
    <mergeCell ref="H12:I12"/>
    <mergeCell ref="J12:K12"/>
    <mergeCell ref="B13:C13"/>
    <mergeCell ref="D13:E13"/>
    <mergeCell ref="F13:G13"/>
    <mergeCell ref="H13:I13"/>
    <mergeCell ref="J13:K13"/>
    <mergeCell ref="B15:K15"/>
    <mergeCell ref="B16:C16"/>
    <mergeCell ref="D16:E16"/>
    <mergeCell ref="F16:G16"/>
    <mergeCell ref="H16:I16"/>
    <mergeCell ref="J16:K16"/>
    <mergeCell ref="B17:C17"/>
    <mergeCell ref="D17:E17"/>
    <mergeCell ref="F17:G17"/>
    <mergeCell ref="H17:I17"/>
    <mergeCell ref="J17:K17"/>
    <mergeCell ref="A19:K19"/>
    <mergeCell ref="A26:K26"/>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
  <sheetViews>
    <sheetView workbookViewId="0">
      <selection activeCell="G15" sqref="G15"/>
    </sheetView>
  </sheetViews>
  <sheetFormatPr defaultColWidth="9" defaultRowHeight="14.25" outlineLevelRow="1" outlineLevelCol="2"/>
  <sheetData>
    <row r="1" spans="1:3">
      <c r="A1" s="1" t="s">
        <v>193</v>
      </c>
      <c r="B1" s="1" t="s">
        <v>194</v>
      </c>
      <c r="C1" s="1" t="s">
        <v>195</v>
      </c>
    </row>
    <row r="2" ht="128.25" spans="1:3">
      <c r="A2" s="2" t="s">
        <v>196</v>
      </c>
      <c r="B2" s="1" t="s">
        <v>197</v>
      </c>
      <c r="C2" s="2" t="s">
        <v>198</v>
      </c>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Premium Calculation</vt:lpstr>
      <vt:lpstr>Par-BI</vt:lpstr>
      <vt:lpstr>Product Data n Calcs</vt:lpstr>
      <vt:lpstr>GSV for SSV Cal</vt:lpstr>
      <vt:lpstr>GOdb Test Cases</vt:lpstr>
      <vt:lpstr>Godb Changes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Shilpa Saxena</cp:lastModifiedBy>
  <dcterms:created xsi:type="dcterms:W3CDTF">2017-06-27T11:55:01Z</dcterms:created>
  <dcterms:modified xsi:type="dcterms:W3CDTF">2017-06-27T14:30:52Z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