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Default ContentType="application/vnd.openxmlformats-officedocument.vmlDrawing" Extension="v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4780" windowHeight="8340" tabRatio="507"/>
  </bookViews>
  <sheets>
    <sheet name="Premium Calculation" sheetId="1" r:id="rId1"/>
    <sheet name="Product Data n Calcs" sheetId="2" r:id="rId2"/>
    <sheet name="Par - BI" sheetId="3" r:id="rId3"/>
    <sheet name="GSV for SSV Cal" sheetId="4" r:id="rId4"/>
  </sheets>
  <definedNames>
    <definedName name="_xlnm.Print_Area" localSheetId="2">'Par - BI'!$A$1:N118</definedName>
    <definedName name="_xlnm._FilterDatabase" localSheetId="1" hidden="1">'Product Data n Calcs'!$A$2:$W$2</definedName>
    <definedName name="Age">'Premium Calculation'!$C$7</definedName>
    <definedName name="AP_YR1_EXCL_ST">'Product Data n Calcs'!$J$4</definedName>
    <definedName name="AP_YR2_EXCL_ST">'Product Data n Calcs'!$J$7</definedName>
    <definedName name="Base_Ann_Prem_For_DB_Yr2">'Product Data n Calcs'!$U$8</definedName>
    <definedName name="Base_Prem">'Product Data n Calcs'!$S$5</definedName>
    <definedName name="Basic_Prem_Yr1_Annualized">'Premium Calculation'!$D$28</definedName>
    <definedName name="Basic_Prem_Yr2_Annualized">'Premium Calculation'!$D$35</definedName>
    <definedName name="Basic_Premium_1">'Premium Calculation'!$D$25</definedName>
    <definedName name="Basic_Premium_2">'Premium Calculation'!$D$32</definedName>
    <definedName name="BP_less_HSA" localSheetId="1">'Product Data n Calcs'!$J$15</definedName>
    <definedName name="Calculator_Type_Ind">'Premium Calculation'!$F$11</definedName>
    <definedName name="DB_SA">'Product Data n Calcs'!$J$11</definedName>
    <definedName name="Direct_Discount">'Product Data n Calcs'!$S$7</definedName>
    <definedName name="Direct_sale">'Premium Calculation'!$C$11</definedName>
    <definedName name="EM_PC">'Premium Calculation'!$C$17</definedName>
    <definedName name="EMR_Bands" localSheetId="1">'Product Data n Calcs'!$E$6:$L$10</definedName>
    <definedName name="EMR_Rate">'Product Data n Calcs'!$S$13</definedName>
    <definedName name="EMR_Rating">'Product Data n Calcs'!$S$12</definedName>
    <definedName name="Flat_Extra">'Premium Calculation'!$C$18</definedName>
    <definedName name="FREQUENCY">'Product Data n Calcs'!$C$10</definedName>
    <definedName name="HSA_Rebates" localSheetId="1">'Product Data n Calcs'!$B$12:$C$18</definedName>
    <definedName name="MB_SA1">'Product Data n Calcs'!$P$33</definedName>
    <definedName name="MB_SA2">'Product Data n Calcs'!$P$34</definedName>
    <definedName name="MB_SA3">'Product Data n Calcs'!$P$35</definedName>
    <definedName name="MB_TIME1">'Product Data n Calcs'!$O$33</definedName>
    <definedName name="MB_TIME2">'Product Data n Calcs'!$O$34</definedName>
    <definedName name="mb_time3">'Product Data n Calcs'!$O$35</definedName>
    <definedName name="MMR_Extra">'Premium Calculation'!$C$19</definedName>
    <definedName name="Modal_Basic_Prem_Yr1">'Product Data n Calcs'!$U$17</definedName>
    <definedName name="Modal_Basic_Prem_Yr2">'Product Data n Calcs'!$U$18</definedName>
    <definedName name="Net_EMR_Rate">'Product Data n Calcs'!$S$15</definedName>
    <definedName name="Net_EMR_rate_yr2">'Product Data n Calcs'!$S$16</definedName>
    <definedName name="Net_Prem_Rate">'Product Data n Calcs'!$S$10</definedName>
    <definedName name="PPT">'Premium Calculation'!$C$13</definedName>
    <definedName name="Prem_after_rebate">'Product Data n Calcs'!$S$8</definedName>
    <definedName name="Prem_Mode">'Premium Calculation'!$C$8</definedName>
    <definedName name="Prem_Modes" localSheetId="1">'Product Data n Calcs'!$B$21:$C$22</definedName>
    <definedName name="Prem_Rates" localSheetId="1">'Product Data n Calcs'!$B$5:$C$9</definedName>
    <definedName name="PT">'Premium Calculation'!$C$12</definedName>
    <definedName name="RATES">'Product Data n Calcs'!$B$3:$M$52</definedName>
    <definedName name="RATES_HEADINGS">'Product Data n Calcs'!$B$3:$M$3</definedName>
    <definedName name="RC_Input_AP">'Premium Calculation'!$F$6</definedName>
    <definedName name="SA">'Premium Calculation'!$C$6</definedName>
    <definedName name="SA_1">'Premium Calculation'!$D$6</definedName>
    <definedName name="SA_by_1000_n_Modal_Factor">'Product Data n Calcs'!$S$19</definedName>
    <definedName name="SA_Rebate">'Product Data n Calcs'!$S$6</definedName>
    <definedName name="Sex">'Premium Calculation'!$C$9</definedName>
    <definedName name="ST_Indicator">'Premium Calculation'!$C$14</definedName>
    <definedName name="Staff_Case">'Premium Calculation'!$C$10</definedName>
    <definedName name="Staff_Disc_PC" localSheetId="1">'Product Data n Calcs'!$J$16</definedName>
    <definedName name="Staff_Discount">'Product Data n Calcs'!$S$9</definedName>
    <definedName name="STax_1">'Premium Calculation'!$C$38</definedName>
    <definedName name="Stax_2">'Premium Calculation'!$C$39</definedName>
    <definedName name="Stax_Oasis_Yr1">'Premium Calculation'!$D$26</definedName>
    <definedName name="Stax_Oasis_Yr2">'Premium Calculation'!$D$33</definedName>
    <definedName name="Termbonus1">'GSV for SSV Cal'!$J$3</definedName>
    <definedName name="Termial_bonus2">'GSV for SSV Cal'!$K$3</definedName>
    <definedName name="Tot_Flat_Extra">'Product Data n Calcs'!$S$11</definedName>
    <definedName name="Tot_MMR_Extra">'Product Data n Calcs'!$S$14</definedName>
    <definedName name="Tot_Prem_Rate_Oasis_Yr1">'Product Data n Calcs'!$T$17</definedName>
    <definedName name="Tot_Prem_Rate_Oasis_Yr2">'Product Data n Calcs'!$T$18</definedName>
    <definedName name="Tot_Prem_Rate_Yr1">'Product Data n Calcs'!$S$17</definedName>
    <definedName name="Tot_Prem_Rate_Yr2">'Product Data n Calcs'!$S$18</definedName>
  </definedNames>
  <calcPr calcId="144525"/>
</workbook>
</file>

<file path=xl/comments1.xml><?xml version="1.0" encoding="utf-8"?>
<comments xmlns="http://schemas.openxmlformats.org/spreadsheetml/2006/main">
  <authors>
    <author>99002968</author>
  </authors>
  <commentList>
    <comment ref="C19" authorId="0">
      <text>
        <r>
          <rPr>
            <sz val="9"/>
            <color indexed="81"/>
            <rFont val="宋体"/>
            <charset val="134"/>
          </rPr>
          <t xml:space="preserve">As per our understanding from underwriting team, MMR is no longer used and hence should always assume the value 0 here.</t>
        </r>
      </text>
    </comment>
  </commentList>
</comments>
</file>

<file path=xl/comments2.xml><?xml version="1.0" encoding="utf-8"?>
<comments xmlns="http://schemas.openxmlformats.org/spreadsheetml/2006/main">
  <authors>
    <author>99002968</author>
  </authors>
  <commentList>
    <comment ref="R8" authorId="0">
      <text>
        <r>
          <rPr>
            <sz val="9"/>
            <color indexed="81"/>
            <rFont val="宋体"/>
            <charset val="134"/>
          </rPr>
          <t xml:space="preserve">99002968:
Prem calc logic changed cz the H'SA &amp; Online rebate calculation methodology has been changed after ANP.</t>
        </r>
      </text>
    </comment>
  </commentList>
</comments>
</file>

<file path=xl/sharedStrings.xml><?xml version="1.0" encoding="utf-8"?>
<sst xmlns="http://schemas.openxmlformats.org/spreadsheetml/2006/main" count="168">
  <si>
    <t>Money Back Advantage Plan- Reverse Calculator</t>
  </si>
  <si>
    <t>Enter details in cells coloured Green</t>
  </si>
  <si>
    <t>PT</t>
  </si>
  <si>
    <t>PPT</t>
  </si>
  <si>
    <t>Output is in cells coloured Pink</t>
  </si>
  <si>
    <t>Enter desired plan details</t>
  </si>
  <si>
    <t>Premium Input for Reverse Calculator</t>
  </si>
  <si>
    <t xml:space="preserve">Orig. Installment Premium (Rs.) </t>
  </si>
  <si>
    <t>Sum Assured</t>
  </si>
  <si>
    <t xml:space="preserve">INCLUDING Service Tax </t>
  </si>
  <si>
    <t>Age</t>
  </si>
  <si>
    <t xml:space="preserve">EXCLUDING Service Tax </t>
  </si>
  <si>
    <t>Mode</t>
  </si>
  <si>
    <t>Monthly</t>
  </si>
  <si>
    <t>Output of reverse calculator</t>
  </si>
  <si>
    <t xml:space="preserve">for Year 1: </t>
  </si>
  <si>
    <t>Sex</t>
  </si>
  <si>
    <t>M</t>
  </si>
  <si>
    <t>SA Output for Reverse Calculator</t>
  </si>
  <si>
    <t>Staff Case</t>
  </si>
  <si>
    <t>No</t>
  </si>
  <si>
    <t>Direct Case</t>
  </si>
  <si>
    <t>Orig. Installment Premium "Including" Service Tax ( Cell F4)</t>
  </si>
  <si>
    <t>Yes</t>
  </si>
  <si>
    <t>Note:</t>
  </si>
  <si>
    <t>Underwriting Extras</t>
  </si>
  <si>
    <t>&gt;&gt; Reverse Calculator will not work for Staff Cases</t>
  </si>
  <si>
    <t>Extra Mortality Rating</t>
  </si>
  <si>
    <t>&gt;&gt; If the Service Tax depicted here is different from the actual, get the Reverse Calculator updated from Actuarial Team.</t>
  </si>
  <si>
    <t>Flat Extra</t>
  </si>
  <si>
    <t>MMR</t>
  </si>
  <si>
    <t>Check for Premium basis Premium Calculator</t>
  </si>
  <si>
    <t>Ingenium</t>
  </si>
  <si>
    <t>Oasis</t>
  </si>
  <si>
    <t>Subsequent Year Modal Prem Calcs</t>
  </si>
  <si>
    <t xml:space="preserve">Year </t>
  </si>
  <si>
    <t>Service Tax (Plus SBC &amp; KKC)</t>
  </si>
  <si>
    <t>Year 1</t>
  </si>
  <si>
    <t>Other Years</t>
  </si>
  <si>
    <t>If Cell C39 is greater than 1 wrt rounding of values, please connect with the Pricing Team</t>
  </si>
  <si>
    <t>PARTICULARS</t>
  </si>
  <si>
    <t>EMR Rates</t>
  </si>
  <si>
    <t>HSA Rebate</t>
  </si>
  <si>
    <t>Premium Calculation</t>
  </si>
  <si>
    <t>Age (l.b.d.)</t>
  </si>
  <si>
    <r>
      <rPr>
        <b/>
        <sz val="10"/>
        <color indexed="8"/>
        <rFont val="Calibri"/>
        <family val="2"/>
        <charset val="134"/>
      </rPr>
      <t xml:space="preserve">Premium Rate per </t>
    </r>
    <r>
      <rPr>
        <b/>
        <sz val="10"/>
        <color indexed="8"/>
        <rFont val="Rupee Foradian"/>
        <family val="2"/>
        <charset val="134"/>
      </rPr>
      <t>`</t>
    </r>
    <r>
      <rPr>
        <b/>
        <sz val="10"/>
        <color indexed="8"/>
        <rFont val="Calibri"/>
        <family val="2"/>
        <charset val="134"/>
      </rPr>
      <t xml:space="preserve"> 1,000 SA</t>
    </r>
  </si>
  <si>
    <r>
      <rPr>
        <b/>
        <sz val="10"/>
        <rFont val="Calibri"/>
        <family val="2"/>
        <charset val="134"/>
      </rPr>
      <t xml:space="preserve">SA (in </t>
    </r>
    <r>
      <rPr>
        <b/>
        <sz val="10"/>
        <rFont val="Rupee Foradian"/>
        <family val="2"/>
        <charset val="134"/>
      </rPr>
      <t>`</t>
    </r>
    <r>
      <rPr>
        <b/>
        <sz val="10"/>
        <rFont val="Arial"/>
        <family val="2"/>
        <charset val="134"/>
      </rPr>
      <t>)</t>
    </r>
  </si>
  <si>
    <t>Rebate (per 1000 SA)</t>
  </si>
  <si>
    <t>Ingenium Logic</t>
  </si>
  <si>
    <t>Oasis Logic</t>
  </si>
  <si>
    <t>Calculation Reverse Calculator</t>
  </si>
  <si>
    <t>Base Premium Rate</t>
  </si>
  <si>
    <t>SA Rebate</t>
  </si>
  <si>
    <t>Direct Discount</t>
  </si>
  <si>
    <t>Annualized Prem For DB calcs</t>
  </si>
  <si>
    <t>BP Rate aft Direct Disc less SA Rebate</t>
  </si>
  <si>
    <t>Staff Discount</t>
  </si>
  <si>
    <t>Basic Prem Rate (Yr1)</t>
  </si>
  <si>
    <t>EMR Rating</t>
  </si>
  <si>
    <t>Modal Loading</t>
  </si>
  <si>
    <t>EMR Rate</t>
  </si>
  <si>
    <t>Yearly</t>
  </si>
  <si>
    <t>Extra Prem Rate  (Yr1)</t>
  </si>
  <si>
    <t>Extra Prem Rate  (Yr2)</t>
  </si>
  <si>
    <t>Modal Basic Prem For GSV calcs</t>
  </si>
  <si>
    <t>Total Premium Rate_Yr1</t>
  </si>
  <si>
    <t>Modal Basic Prem Yr 1 excl. extra prem</t>
  </si>
  <si>
    <t>Total Premium Rate_Yr2</t>
  </si>
  <si>
    <t>Modal Basic Prem Yr2 excl. extra prem</t>
  </si>
  <si>
    <t>SA/1000 * Modal_Factor</t>
  </si>
  <si>
    <t>First Year Modal Prem Calcs</t>
  </si>
  <si>
    <t>Modal Premium (Basic Prem + Extra Prem, incl. Disc.)</t>
  </si>
  <si>
    <t>Serv. Tax</t>
  </si>
  <si>
    <t>Total Modal Premium</t>
  </si>
  <si>
    <t>Annualized Premium</t>
  </si>
  <si>
    <t>Money Back Schedule</t>
  </si>
  <si>
    <t>Time</t>
  </si>
  <si>
    <t>%age of SA</t>
  </si>
  <si>
    <r>
      <rPr>
        <b/>
        <sz val="11"/>
        <color indexed="8"/>
        <rFont val="Calibri"/>
        <family val="2"/>
        <charset val="134"/>
      </rPr>
      <t xml:space="preserve">Benefit Illustration - </t>
    </r>
    <r>
      <rPr>
        <sz val="11"/>
        <color indexed="8"/>
        <rFont val="Calibri"/>
        <family val="2"/>
        <charset val="134"/>
      </rPr>
      <t>Money Back Advantage Plan</t>
    </r>
  </si>
  <si>
    <t>&lt;&lt;Page 1&gt;&gt;</t>
  </si>
  <si>
    <r>
      <rPr>
        <sz val="11"/>
        <color indexed="8"/>
        <rFont val="Arial"/>
        <family val="2"/>
        <charset val="134"/>
      </rPr>
      <t xml:space="preserve">Thank you for interest in our Canara HSBC Oriental Bank of Commerce Life Insurance </t>
    </r>
    <r>
      <rPr>
        <sz val="11"/>
        <color indexed="8"/>
        <rFont val="Arial"/>
        <family val="2"/>
        <charset val="134"/>
      </rPr>
      <t>Money Back Advantage Plan. Based on the details provided by you, and as reproduced below, the illustration customised to your</t>
    </r>
  </si>
  <si>
    <t>requirements is appended. Please note that this illustration is indicative and the actual values may vary depending on performance of the Participating Fund managed by the Company.</t>
  </si>
  <si>
    <t>Personal details of life to be assured</t>
  </si>
  <si>
    <t>Plan Details</t>
  </si>
  <si>
    <t>Date of Birth:</t>
  </si>
  <si>
    <t xml:space="preserve">Proposal Number: </t>
  </si>
  <si>
    <t>NA</t>
  </si>
  <si>
    <t xml:space="preserve">Age: </t>
  </si>
  <si>
    <t xml:space="preserve">Name of the plan: </t>
  </si>
  <si>
    <r>
      <rPr>
        <sz val="11"/>
        <color indexed="8"/>
        <rFont val="Arial"/>
        <family val="2"/>
        <charset val="134"/>
      </rPr>
      <t xml:space="preserve">Canara HSBC Oriental Bank of  
Commerce Life Insurance </t>
    </r>
    <r>
      <rPr>
        <sz val="11"/>
        <color indexed="8"/>
        <rFont val="Arial"/>
        <family val="2"/>
        <charset val="134"/>
      </rPr>
      <t>Money Back Advantage Plan</t>
    </r>
  </si>
  <si>
    <t xml:space="preserve"> UIN: </t>
  </si>
  <si>
    <t>Designation</t>
  </si>
  <si>
    <t>&lt;&lt;Designation&gt;&gt;</t>
  </si>
  <si>
    <t xml:space="preserve">Gender: </t>
  </si>
  <si>
    <t xml:space="preserve">Date of Illustration: </t>
  </si>
  <si>
    <t xml:space="preserve">Policy Term: </t>
  </si>
  <si>
    <t xml:space="preserve">Sum Assured (SA): </t>
  </si>
  <si>
    <t xml:space="preserve">Premium Payment Term: </t>
  </si>
  <si>
    <t>Premium Payment Frequency:</t>
  </si>
  <si>
    <t xml:space="preserve">Annualised Premium: </t>
  </si>
  <si>
    <t xml:space="preserve">Installment Premium Year 1 (without service tax and cess(es)): </t>
  </si>
  <si>
    <t xml:space="preserve">Installment Premium Year 2 onwards(without service tax and cess(es)): </t>
  </si>
  <si>
    <t xml:space="preserve">Installment Premium for Year 1 (with service tax and cess(es)): </t>
  </si>
  <si>
    <t>Illustration for Standard Life</t>
  </si>
  <si>
    <t xml:space="preserve">Installment Premium from Year 2 onwards (with service tax and cess(es)): </t>
  </si>
  <si>
    <t>&lt;&lt;Page 2&gt;&gt;</t>
  </si>
  <si>
    <t>Guaranteed Benefits</t>
  </si>
  <si>
    <r>
      <rPr>
        <b/>
        <sz val="11"/>
        <rFont val="Arial"/>
        <family val="2"/>
        <charset val="134"/>
      </rPr>
      <t>Minimum guaranteed amount payable on Surrender 
(</t>
    </r>
    <r>
      <rPr>
        <b/>
        <sz val="11"/>
        <rFont val="Rupee Foradian"/>
        <family val="2"/>
        <charset val="134"/>
      </rPr>
      <t>Rs.</t>
    </r>
    <r>
      <rPr>
        <b/>
        <sz val="11"/>
        <rFont val="Arial"/>
        <family val="2"/>
        <charset val="134"/>
      </rPr>
      <t>)</t>
    </r>
  </si>
  <si>
    <t>Non Guaranteed Benefits</t>
  </si>
  <si>
    <t>Year</t>
  </si>
  <si>
    <t>Age at the beginning of the year</t>
  </si>
  <si>
    <r>
      <rPr>
        <b/>
        <sz val="11"/>
        <rFont val="Arial"/>
        <family val="2"/>
        <charset val="134"/>
      </rPr>
      <t>Total Premium Payable (excluding Service Tax &amp; applicable cess (es))
 (</t>
    </r>
    <r>
      <rPr>
        <b/>
        <sz val="11"/>
        <rFont val="Rupee Foradian"/>
        <family val="2"/>
        <charset val="134"/>
      </rPr>
      <t>Rs.</t>
    </r>
    <r>
      <rPr>
        <b/>
        <sz val="11"/>
        <rFont val="Arial"/>
        <family val="2"/>
        <charset val="134"/>
      </rPr>
      <t>)</t>
    </r>
  </si>
  <si>
    <r>
      <rPr>
        <b/>
        <sz val="11"/>
        <rFont val="Arial"/>
        <family val="2"/>
        <charset val="134"/>
      </rPr>
      <t>Service Tax &amp; applicable cess (es) (</t>
    </r>
    <r>
      <rPr>
        <b/>
        <sz val="11"/>
        <rFont val="Rupee Foradian"/>
        <family val="2"/>
        <charset val="134"/>
      </rPr>
      <t>Rs.</t>
    </r>
    <r>
      <rPr>
        <b/>
        <sz val="11"/>
        <rFont val="Arial"/>
        <family val="2"/>
        <charset val="134"/>
      </rPr>
      <t>)</t>
    </r>
  </si>
  <si>
    <t>Total Premium Payable (including Service Tax &amp; applicable cess (es))
 (Rs.)</t>
  </si>
  <si>
    <t>Death Benefit (Rs.)</t>
  </si>
  <si>
    <t>Guaranteed Annual Payouts/Guaranteed Sum Assured on Maturity
(Rs.)</t>
  </si>
  <si>
    <t>Accrued Annual Bonus at an assumed investment return of 4% p.a. (Rs.)</t>
  </si>
  <si>
    <t>Accrued Annual Bonus at an assumed investment return of 8%p.a. (Rs.)</t>
  </si>
  <si>
    <t>Final Bonus at Maturity</t>
  </si>
  <si>
    <t>Total Bonus</t>
  </si>
  <si>
    <t xml:space="preserve">Important Notes: </t>
  </si>
  <si>
    <t>1. Survival &amp; Maturity Benefit payable under this plan are (i). Survival Benefit:  Guaranteed Money Back payouts equal to 15% of Sum Assured will be payable at the end of each 5th, 9th and 13th policy year. (ii) Maturity Benefit: Guaranteed Sum Assured on Maturity equal to 55% of Sum Assured along with Accrued Annual bonuses and Final bonus, if any, will be payable on maturity.</t>
  </si>
  <si>
    <t>2.The Death Benefit is the benefit payable on death of the Life Assured, which is higher of 1. Sum Assured on Death plus Accrued Annual Bonus, Interim Bonus and Final Bonus (if any) accrued till the date of death. 2. 105% of {the total premiums paid till the date of death less underwriting extra premium, if any}, where Sum Assured on Death is higher of (Sum Assured or 10 times the Annualized  Premium).</t>
  </si>
  <si>
    <t xml:space="preserve">3. Minimum guaranteed amount payable on Surrender is the amount payable upon surrender during the policy year, before the payment of survival benefit (Guaranteed Money Back Payout), if any/ Guaranteed Sum Assured on Maturity. </t>
  </si>
  <si>
    <t>4. Annualized premium mentioned above excludes underwriting extra premium, if any, as well as excludes Service tax and cess(es).</t>
  </si>
  <si>
    <t>5. Installment premium mentioned above is inclusive of underwriting extra premium, if any.</t>
  </si>
  <si>
    <t>6. Guaranteed Sum Assured on Maturity is equal to 55% of Sum Assured payable on maturity (at the end of the policy term) is shown above under guaranteed benefits.</t>
  </si>
  <si>
    <t>7. A Policy shall acquire lapse status if the Policyholder fails to pay due premium within the Grace Period in the first three consecutive policy years.  In such case your policy will lapse at the expiry of the grace period and the insurance cover will cease immediately. No benefit shall be payable upon death or upon your request for termination of the Policy or on the expiry of the revival period.</t>
  </si>
  <si>
    <t>&lt;&lt;Page 3&gt;&gt;</t>
  </si>
  <si>
    <t>Other points to note:</t>
  </si>
  <si>
    <t>1. Some benefits are guaranteed and some benefits are variable with returns based on the future performance of your Insurer carrying on life insurance business. If Your policy offers guaranteed returns then these will be clearly marked “guaranteed” in the illustration table. If Your policy offers variable returns then the illustrations on this page will show two different rates of assumed future investment returns. These assumed rates of return are not guaranteed and they are not the upper or lower limits of what you might get back, as the value of your policy is dependent on a number of factors including performance of the with-profit fund being managed by the Company.</t>
  </si>
  <si>
    <t xml:space="preserve">2. The Policy will be eligible for bonuses from the profits emerging out of the with-profit fund managed by the Company by way of Annual bonuses and Final bonus, if any. The Company will declare the Annual bonus at the end of each financial year and once declared, the annual bonus will get accrued to the policy and is guaranteed to be payable. </t>
  </si>
  <si>
    <t xml:space="preserve">3. This is a traditional plan intended for long term savings and benefits. It is strongly advised that the policy should be continued throughout the defined policy term to realise the full benefits. Early exit should not be opted for unless there is no other alternative available, as it will impact the policy value. If premiums are discontinued after payment of at least 3 years’ consecutive premiums  then the policy will acquire a Paid-up status. You will receive Paid-up benefit on death or on maturity, provided you have not surrendered or revived the policy. </t>
  </si>
  <si>
    <t>4. Your policy will acquire a guaranteed surrender value (GSV) after payment of at least 3 years’ consecutive premiums.However, the Company may offer a special surrender value (SSV), and higher of {GSV or SSV} will be paid on surrender. The Illustration above only shows the minimum guaranteed amount payable on surrender of the policy.</t>
  </si>
  <si>
    <t xml:space="preserve">5. Premiums payable and benefits receivable under this plan are eligible for tax benefits as per the prevailing tax laws subject to amendments from time to time. </t>
  </si>
  <si>
    <t>6. The above premium is for a healthy individual with standard premium rates. Your application will be assessed as per Board approved underwriting policy of the company. Basis underwriting, it may result in extra premium to be paid, which shall be borne by you.</t>
  </si>
  <si>
    <t>7. The above illustration takes into account currently applicable service tax &amp; cess(es). However, the applicable taxes may change from time to time and total premium payable will change accordingly.</t>
  </si>
  <si>
    <t>8. For more details on product features and terms and conditions please read sales brochure and sample policy contract carefully before concluding a sale.</t>
  </si>
  <si>
    <t>Risk Factors:</t>
  </si>
  <si>
    <t>There is no guarantee on the amount of bonuses and these will be declared at the sole discretion of the company. Hence, the bonuses in this plan may vary from time to time.</t>
  </si>
  <si>
    <t xml:space="preserve">    </t>
  </si>
  <si>
    <t>Declaration</t>
  </si>
  <si>
    <t>I……………..………..……………..(Name), have explained  the information with respect to the above to the proposer before entering into the contract.</t>
  </si>
  <si>
    <t xml:space="preserve">Marketing officials' Signature: </t>
  </si>
  <si>
    <t>Place:</t>
  </si>
  <si>
    <t>Date:</t>
  </si>
  <si>
    <t>I .............................................. (Name), having received the information with respect to the above, have understood the above statement before entering into the contract.</t>
  </si>
  <si>
    <t xml:space="preserve">Proposer's Signature: </t>
  </si>
  <si>
    <t>Applicable Bonus %</t>
  </si>
  <si>
    <t>RB</t>
  </si>
  <si>
    <t>@ 8%</t>
  </si>
  <si>
    <t>@ 4%</t>
  </si>
  <si>
    <t>Investment return at 4.00%</t>
  </si>
  <si>
    <t>Investment return at 8.00%</t>
  </si>
  <si>
    <t>All Options</t>
  </si>
  <si>
    <t>Terminal
Bonus</t>
  </si>
  <si>
    <t>Revisionary Bonus</t>
  </si>
  <si>
    <t xml:space="preserve"> Year</t>
  </si>
  <si>
    <t>PREM %</t>
  </si>
  <si>
    <t>Total Premium Annual without considering monthly mode for calculation purposes</t>
  </si>
  <si>
    <t>Cumulative Premium</t>
  </si>
  <si>
    <t>GSV - without Bonus</t>
  </si>
  <si>
    <t>Policy yr</t>
  </si>
  <si>
    <t xml:space="preserve"> GSV (%age of Premium)</t>
  </si>
  <si>
    <t>Final TB rate</t>
  </si>
  <si>
    <t>Early Exit Value - without Bonus</t>
  </si>
  <si>
    <t>Months</t>
  </si>
  <si>
    <t>Premium value</t>
  </si>
</sst>
</file>

<file path=xl/styles.xml><?xml version="1.0" encoding="utf-8"?>
<styleSheet xmlns="http://schemas.openxmlformats.org/spreadsheetml/2006/main">
  <numFmts count="15">
    <numFmt numFmtId="176" formatCode="_(* #,##0.000_);_(* \(#,##0.000\);_(* &quot;-&quot;??_);_(@_)"/>
    <numFmt numFmtId="43" formatCode="_(* #,##0.00_);_(* \(#,##0.00\);_(* &quot;-&quot;??_);_(@_)"/>
    <numFmt numFmtId="177" formatCode="_(* #,##0.0_);_(* \(#,##0.0\);_(* &quot;-&quot;?_);_(@_)"/>
    <numFmt numFmtId="178" formatCode="_ * #,##0_ ;_ * \-#,##0_ ;_ * &quot;-&quot;_ ;_ @_ "/>
    <numFmt numFmtId="179" formatCode="0.0%"/>
    <numFmt numFmtId="180" formatCode="0.000"/>
    <numFmt numFmtId="181" formatCode="_ * #,##0_ ;_ * \-#,##0_ ;_ * &quot;-&quot;??_ ;_ @_ "/>
    <numFmt numFmtId="42" formatCode="_(&quot;$&quot;* #,##0_);_(&quot;$&quot;* \(#,##0\);_(&quot;$&quot;* &quot;-&quot;_);_(@_)"/>
    <numFmt numFmtId="182" formatCode="d\-mmm\-yy"/>
    <numFmt numFmtId="44" formatCode="_(&quot;$&quot;* #,##0.00_);_(&quot;$&quot;* \(#,##0.00\);_(&quot;$&quot;* &quot;-&quot;??_);_(@_)"/>
    <numFmt numFmtId="183" formatCode="[$-409]d\-mmm\-yy;@"/>
    <numFmt numFmtId="184" formatCode="_(* #,##0_);_(* \(#,##0\);_(* &quot;-&quot;??_);_(@_)"/>
    <numFmt numFmtId="185" formatCode="0.000%"/>
    <numFmt numFmtId="186" formatCode="0.0"/>
    <numFmt numFmtId="187" formatCode="&quot;Rs.&quot;\ #,##0;[Red]&quot;Rs.&quot;\ \-#,##0"/>
  </numFmts>
  <fonts count="32">
    <font>
      <sz val="11"/>
      <color indexed="8"/>
      <name val="Calibri"/>
      <family val="2"/>
      <charset val="134"/>
    </font>
    <font>
      <sz val="12"/>
      <name val="Times New Roman"/>
      <charset val="134"/>
    </font>
    <font>
      <sz val="10"/>
      <name val="Arial"/>
      <family val="2"/>
      <charset val="134"/>
    </font>
    <font>
      <sz val="10"/>
      <color indexed="8"/>
      <name val="Calibri"/>
      <family val="2"/>
      <charset val="134"/>
    </font>
    <font>
      <b/>
      <sz val="10"/>
      <color indexed="8"/>
      <name val="Calibri"/>
      <family val="2"/>
      <charset val="134"/>
    </font>
    <font>
      <b/>
      <sz val="10"/>
      <color indexed="10"/>
      <name val="Calibri"/>
      <family val="2"/>
      <charset val="134"/>
    </font>
    <font>
      <b/>
      <sz val="10"/>
      <name val="Calibri"/>
      <family val="2"/>
      <charset val="134"/>
    </font>
    <font>
      <sz val="10"/>
      <color indexed="22"/>
      <name val="Calibri"/>
      <family val="2"/>
      <charset val="134"/>
    </font>
    <font>
      <b/>
      <sz val="11"/>
      <color indexed="8"/>
      <name val="Calibri"/>
      <family val="2"/>
      <charset val="134"/>
    </font>
    <font>
      <sz val="11"/>
      <color indexed="8"/>
      <name val="Arial"/>
      <family val="2"/>
      <charset val="134"/>
    </font>
    <font>
      <b/>
      <sz val="14"/>
      <color indexed="8"/>
      <name val="Arial"/>
      <family val="2"/>
      <charset val="134"/>
    </font>
    <font>
      <sz val="10"/>
      <color indexed="8"/>
      <name val="Arial"/>
      <family val="2"/>
      <charset val="134"/>
    </font>
    <font>
      <sz val="11"/>
      <name val="Arial"/>
      <family val="2"/>
      <charset val="134"/>
    </font>
    <font>
      <b/>
      <sz val="8"/>
      <color indexed="8"/>
      <name val="Arial"/>
      <family val="2"/>
      <charset val="134"/>
    </font>
    <font>
      <sz val="11"/>
      <name val="Calibri"/>
      <family val="2"/>
      <charset val="134"/>
    </font>
    <font>
      <b/>
      <sz val="11"/>
      <name val="Arial"/>
      <family val="2"/>
      <charset val="134"/>
    </font>
    <font>
      <sz val="6.5"/>
      <color indexed="8"/>
      <name val="Verdana"/>
      <family val="2"/>
      <charset val="134"/>
    </font>
    <font>
      <b/>
      <u/>
      <sz val="11"/>
      <color indexed="8"/>
      <name val="Arial"/>
      <family val="2"/>
      <charset val="134"/>
    </font>
    <font>
      <b/>
      <sz val="11"/>
      <color indexed="8"/>
      <name val="Arial"/>
      <family val="2"/>
      <charset val="134"/>
    </font>
    <font>
      <sz val="11"/>
      <color indexed="10"/>
      <name val="Arial"/>
      <family val="2"/>
      <charset val="134"/>
    </font>
    <font>
      <b/>
      <sz val="10"/>
      <color indexed="8"/>
      <name val="Arial"/>
      <family val="2"/>
      <charset val="134"/>
    </font>
    <font>
      <sz val="10"/>
      <name val="Calibri"/>
      <family val="2"/>
      <charset val="134"/>
    </font>
    <font>
      <sz val="10"/>
      <color indexed="9"/>
      <name val="Calibri"/>
      <family val="2"/>
      <charset val="134"/>
    </font>
    <font>
      <b/>
      <u/>
      <sz val="10"/>
      <color indexed="8"/>
      <name val="Calibri"/>
      <family val="2"/>
      <charset val="134"/>
    </font>
    <font>
      <b/>
      <sz val="11"/>
      <color indexed="9"/>
      <name val="Calibri"/>
      <family val="2"/>
      <charset val="134"/>
    </font>
    <font>
      <sz val="10"/>
      <color indexed="10"/>
      <name val="Calibri"/>
      <family val="2"/>
      <charset val="134"/>
    </font>
    <font>
      <b/>
      <u/>
      <sz val="8"/>
      <color indexed="8"/>
      <name val="Calibri"/>
      <family val="2"/>
      <charset val="134"/>
    </font>
    <font>
      <u/>
      <sz val="10"/>
      <color indexed="8"/>
      <name val="Calibri"/>
      <family val="2"/>
      <charset val="134"/>
    </font>
    <font>
      <b/>
      <sz val="11"/>
      <name val="Rupee Foradian"/>
      <family val="2"/>
      <charset val="134"/>
    </font>
    <font>
      <b/>
      <sz val="10"/>
      <color indexed="8"/>
      <name val="Rupee Foradian"/>
      <family val="2"/>
      <charset val="134"/>
    </font>
    <font>
      <b/>
      <sz val="10"/>
      <name val="Rupee Foradian"/>
      <family val="2"/>
      <charset val="134"/>
    </font>
    <font>
      <b/>
      <sz val="10"/>
      <name val="Arial"/>
      <family val="2"/>
      <charset val="134"/>
    </font>
  </fonts>
  <fills count="11">
    <fill>
      <patternFill patternType="none"/>
    </fill>
    <fill>
      <patternFill patternType="gray125"/>
    </fill>
    <fill>
      <patternFill patternType="solid">
        <fgColor indexed="9"/>
        <bgColor indexed="64"/>
      </patternFill>
    </fill>
    <fill>
      <patternFill patternType="solid">
        <fgColor indexed="46"/>
        <bgColor indexed="64"/>
      </patternFill>
    </fill>
    <fill>
      <patternFill patternType="solid">
        <fgColor indexed="13"/>
        <bgColor indexed="64"/>
      </patternFill>
    </fill>
    <fill>
      <patternFill patternType="solid">
        <fgColor indexed="42"/>
        <bgColor indexed="64"/>
      </patternFill>
    </fill>
    <fill>
      <patternFill patternType="solid">
        <fgColor indexed="29"/>
        <bgColor indexed="64"/>
      </patternFill>
    </fill>
    <fill>
      <patternFill patternType="solid">
        <fgColor indexed="57"/>
        <bgColor indexed="64"/>
      </patternFill>
    </fill>
    <fill>
      <patternFill patternType="solid">
        <fgColor indexed="23"/>
        <bgColor indexed="64"/>
      </patternFill>
    </fill>
    <fill>
      <patternFill patternType="solid">
        <fgColor indexed="11"/>
        <bgColor indexed="64"/>
      </patternFill>
    </fill>
    <fill>
      <patternFill patternType="solid">
        <fgColor indexed="43"/>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s>
  <cellStyleXfs count="9">
    <xf numFmtId="0" fontId="0" fillId="0" borderId="0">
      <alignment vertical="center"/>
    </xf>
    <xf numFmtId="43" fontId="1" fillId="0" borderId="0" applyFont="0" applyFill="0" applyBorder="0" applyAlignment="0" applyProtection="0">
      <alignment vertical="center"/>
    </xf>
    <xf numFmtId="0" fontId="0" fillId="0" borderId="0">
      <alignment vertical="center"/>
    </xf>
    <xf numFmtId="184" fontId="1" fillId="0" borderId="0" applyFont="0" applyFill="0" applyBorder="0" applyAlignment="0" applyProtection="0">
      <alignment vertical="center"/>
    </xf>
    <xf numFmtId="44" fontId="1" fillId="0" borderId="0" applyFont="0" applyFill="0" applyBorder="0" applyAlignment="0" applyProtection="0">
      <alignment vertical="center"/>
    </xf>
    <xf numFmtId="178" fontId="1" fillId="0" borderId="0" applyFont="0" applyFill="0" applyBorder="0" applyAlignment="0" applyProtection="0">
      <alignment vertical="center"/>
    </xf>
    <xf numFmtId="9" fontId="0"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lignment vertical="center"/>
    </xf>
  </cellStyleXfs>
  <cellXfs count="206">
    <xf numFmtId="0" fontId="0" fillId="0" borderId="0" xfId="0" applyAlignment="1"/>
    <xf numFmtId="0" fontId="3" fillId="2" borderId="0" xfId="0" applyFont="1" applyFill="1" applyAlignment="1">
      <alignment horizontal="center" vertical="center"/>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0" borderId="1" xfId="0" applyFont="1" applyFill="1" applyBorder="1" applyAlignment="1">
      <alignment horizontal="center" vertical="center"/>
    </xf>
    <xf numFmtId="9" fontId="3" fillId="0" borderId="1" xfId="6" applyFont="1" applyFill="1" applyBorder="1" applyAlignment="1">
      <alignment horizontal="center" vertical="center"/>
    </xf>
    <xf numFmtId="184" fontId="3" fillId="0" borderId="1" xfId="1" applyNumberFormat="1" applyFont="1" applyFill="1" applyBorder="1" applyAlignment="1">
      <alignment horizontal="center" vertical="center"/>
    </xf>
    <xf numFmtId="43" fontId="3" fillId="2" borderId="0" xfId="1" applyFont="1" applyFill="1" applyAlignment="1">
      <alignment horizontal="center" vertical="center"/>
    </xf>
    <xf numFmtId="0" fontId="4" fillId="3" borderId="1" xfId="0" applyFont="1" applyFill="1" applyBorder="1" applyAlignment="1">
      <alignment horizontal="center" vertical="center"/>
    </xf>
    <xf numFmtId="0" fontId="7" fillId="2" borderId="0" xfId="0" applyFont="1" applyFill="1" applyAlignment="1">
      <alignment horizontal="center" vertical="center"/>
    </xf>
    <xf numFmtId="9" fontId="3" fillId="0" borderId="1" xfId="6" applyNumberFormat="1" applyFont="1" applyFill="1" applyBorder="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179" fontId="3" fillId="0" borderId="1" xfId="6" applyNumberFormat="1" applyFont="1" applyFill="1" applyBorder="1" applyAlignment="1">
      <alignment horizontal="center" vertical="center" wrapText="1"/>
    </xf>
    <xf numFmtId="0" fontId="8" fillId="3" borderId="1"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8" fillId="0" borderId="1" xfId="0" applyFont="1" applyBorder="1" applyAlignment="1">
      <alignment horizontal="center" vertical="center"/>
    </xf>
    <xf numFmtId="9" fontId="0" fillId="0" borderId="1" xfId="0" applyNumberFormat="1" applyBorder="1" applyAlignment="1">
      <alignment horizontal="center" vertical="center"/>
    </xf>
    <xf numFmtId="0" fontId="3" fillId="0" borderId="0" xfId="0" applyFont="1" applyFill="1" applyBorder="1" applyAlignment="1">
      <alignment horizontal="center" vertical="center" wrapText="1"/>
    </xf>
    <xf numFmtId="179" fontId="3" fillId="0" borderId="0" xfId="6" applyNumberFormat="1" applyFont="1" applyFill="1" applyBorder="1" applyAlignment="1">
      <alignment horizontal="center" vertical="center" wrapText="1"/>
    </xf>
    <xf numFmtId="0" fontId="8" fillId="3" borderId="2" xfId="0" applyFont="1" applyFill="1" applyBorder="1" applyAlignment="1"/>
    <xf numFmtId="0" fontId="8" fillId="3" borderId="3" xfId="0" applyFont="1" applyFill="1" applyBorder="1" applyAlignment="1">
      <alignment horizontal="center"/>
    </xf>
    <xf numFmtId="0" fontId="8" fillId="3" borderId="4" xfId="0" applyFont="1" applyFill="1" applyBorder="1" applyAlignment="1">
      <alignment horizontal="center"/>
    </xf>
    <xf numFmtId="0" fontId="0" fillId="3" borderId="5" xfId="0" applyFill="1" applyBorder="1" applyAlignment="1">
      <alignment vertical="center" wrapText="1"/>
    </xf>
    <xf numFmtId="179" fontId="0" fillId="0" borderId="6" xfId="6" applyNumberFormat="1" applyFont="1" applyFill="1" applyBorder="1" applyAlignment="1">
      <alignment horizontal="center" vertical="center"/>
    </xf>
    <xf numFmtId="179" fontId="0" fillId="0" borderId="7" xfId="6" applyNumberFormat="1" applyFont="1" applyFill="1" applyBorder="1" applyAlignment="1">
      <alignment horizontal="center" vertical="center"/>
    </xf>
    <xf numFmtId="0" fontId="8" fillId="3" borderId="8" xfId="0" applyFont="1" applyFill="1" applyBorder="1" applyAlignment="1">
      <alignment horizontal="center" vertical="center"/>
    </xf>
    <xf numFmtId="0" fontId="8" fillId="3" borderId="9" xfId="0" applyFont="1" applyFill="1" applyBorder="1" applyAlignment="1">
      <alignment horizontal="center" vertical="center"/>
    </xf>
    <xf numFmtId="0" fontId="0" fillId="3" borderId="1" xfId="0" applyFill="1" applyBorder="1" applyAlignment="1">
      <alignment horizontal="center"/>
    </xf>
    <xf numFmtId="0" fontId="8" fillId="3" borderId="1" xfId="0" applyFont="1" applyFill="1" applyBorder="1" applyAlignment="1">
      <alignment horizontal="center"/>
    </xf>
    <xf numFmtId="9" fontId="0" fillId="0" borderId="10" xfId="0" applyNumberFormat="1" applyFill="1" applyBorder="1" applyAlignment="1">
      <alignment horizontal="center"/>
    </xf>
    <xf numFmtId="1" fontId="3" fillId="0" borderId="1" xfId="0" applyNumberFormat="1" applyFont="1" applyFill="1" applyBorder="1" applyAlignment="1">
      <alignment horizontal="center" vertical="center" wrapText="1"/>
    </xf>
    <xf numFmtId="0" fontId="9" fillId="0" borderId="0" xfId="0" applyFont="1" applyFill="1" applyAlignment="1"/>
    <xf numFmtId="0" fontId="0" fillId="0" borderId="0" xfId="0" applyFont="1" applyFill="1" applyAlignment="1"/>
    <xf numFmtId="0" fontId="8" fillId="2" borderId="0" xfId="0" applyFont="1" applyFill="1" applyAlignment="1"/>
    <xf numFmtId="0" fontId="8" fillId="0" borderId="0" xfId="0" applyFont="1" applyFill="1" applyAlignment="1">
      <alignment horizontal="center"/>
    </xf>
    <xf numFmtId="0" fontId="9" fillId="2" borderId="0" xfId="0" applyFont="1" applyFill="1" applyAlignment="1"/>
    <xf numFmtId="0" fontId="10" fillId="0" borderId="0" xfId="0" applyFont="1" applyFill="1" applyBorder="1" applyAlignment="1">
      <alignment horizontal="left" vertical="center"/>
    </xf>
    <xf numFmtId="0" fontId="11" fillId="0" borderId="0" xfId="0" applyFont="1" applyFill="1" applyBorder="1" applyAlignment="1">
      <alignment horizontal="left" vertical="center"/>
    </xf>
    <xf numFmtId="0" fontId="9" fillId="0" borderId="0" xfId="0" applyFont="1" applyFill="1" applyBorder="1" applyAlignment="1">
      <alignment horizontal="left" vertical="center"/>
    </xf>
    <xf numFmtId="182" fontId="9" fillId="0" borderId="0" xfId="0" applyNumberFormat="1" applyFont="1" applyFill="1" applyBorder="1" applyAlignment="1">
      <alignment horizontal="left" vertical="center"/>
    </xf>
    <xf numFmtId="0" fontId="9" fillId="0" borderId="0" xfId="0" applyNumberFormat="1" applyFont="1" applyFill="1" applyBorder="1" applyAlignment="1">
      <alignment horizontal="left" vertical="center"/>
    </xf>
    <xf numFmtId="183" fontId="9" fillId="0" borderId="0" xfId="0" applyNumberFormat="1" applyFont="1" applyFill="1" applyBorder="1" applyAlignment="1">
      <alignment horizontal="left" vertical="center"/>
    </xf>
    <xf numFmtId="0" fontId="9" fillId="0" borderId="0" xfId="0" applyFont="1" applyFill="1" applyAlignment="1">
      <alignment horizontal="left" vertical="center"/>
    </xf>
    <xf numFmtId="187" fontId="9" fillId="0" borderId="0" xfId="0" applyNumberFormat="1" applyFont="1" applyFill="1" applyBorder="1" applyAlignment="1">
      <alignment horizontal="left" vertical="center" wrapText="1"/>
    </xf>
    <xf numFmtId="184" fontId="9" fillId="0" borderId="0" xfId="3" applyNumberFormat="1" applyFont="1" applyFill="1" applyBorder="1" applyAlignment="1">
      <alignment horizontal="left" vertical="center"/>
    </xf>
    <xf numFmtId="0" fontId="9" fillId="0" borderId="0" xfId="0" applyFont="1" applyFill="1" applyBorder="1" applyAlignment="1">
      <alignment horizontal="right" vertical="center"/>
    </xf>
    <xf numFmtId="0" fontId="9" fillId="0" borderId="0" xfId="0" applyFont="1" applyFill="1" applyBorder="1" applyAlignment="1">
      <alignment horizontal="left" vertical="center" wrapText="1"/>
    </xf>
    <xf numFmtId="0" fontId="12" fillId="0" borderId="0" xfId="0" applyFont="1" applyFill="1" applyBorder="1" applyAlignment="1">
      <alignment horizontal="left" vertical="center"/>
    </xf>
    <xf numFmtId="0" fontId="12" fillId="0" borderId="0" xfId="0" applyFont="1" applyFill="1" applyAlignment="1"/>
    <xf numFmtId="9" fontId="0" fillId="0" borderId="0" xfId="6" applyFont="1" applyFill="1" applyAlignment="1"/>
    <xf numFmtId="0" fontId="13" fillId="0" borderId="0" xfId="0" applyFont="1" applyFill="1" applyBorder="1" applyAlignment="1">
      <alignment horizontal="center" vertical="center" wrapText="1"/>
    </xf>
    <xf numFmtId="0" fontId="12" fillId="0" borderId="11" xfId="0" applyFont="1" applyFill="1" applyBorder="1" applyAlignment="1"/>
    <xf numFmtId="0" fontId="12" fillId="0" borderId="12" xfId="0" applyFont="1" applyFill="1" applyBorder="1" applyAlignment="1"/>
    <xf numFmtId="0" fontId="14" fillId="0" borderId="12" xfId="0" applyFont="1" applyFill="1" applyBorder="1" applyAlignment="1"/>
    <xf numFmtId="0" fontId="15" fillId="0" borderId="13"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16" fillId="0" borderId="0" xfId="0" applyFont="1" applyFill="1" applyBorder="1" applyAlignment="1">
      <alignment horizontal="center"/>
    </xf>
    <xf numFmtId="0" fontId="15" fillId="0" borderId="11" xfId="0" applyFont="1" applyFill="1" applyBorder="1" applyAlignment="1">
      <alignment horizontal="center" vertical="center" wrapText="1"/>
    </xf>
    <xf numFmtId="0" fontId="15" fillId="0" borderId="15"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5" fillId="0" borderId="16" xfId="0" applyFont="1" applyFill="1" applyBorder="1" applyAlignment="1">
      <alignment horizontal="center" vertical="center" wrapText="1"/>
    </xf>
    <xf numFmtId="0" fontId="15" fillId="0" borderId="17" xfId="0" applyFont="1" applyFill="1" applyBorder="1" applyAlignment="1">
      <alignment horizontal="center" vertical="center" wrapText="1"/>
    </xf>
    <xf numFmtId="0" fontId="15" fillId="0" borderId="18" xfId="0" applyFont="1" applyFill="1" applyBorder="1" applyAlignment="1">
      <alignment horizontal="center" vertical="center" wrapText="1"/>
    </xf>
    <xf numFmtId="0" fontId="15" fillId="0" borderId="19" xfId="0" applyFont="1" applyFill="1" applyBorder="1" applyAlignment="1">
      <alignment horizontal="center" vertical="center" wrapText="1"/>
    </xf>
    <xf numFmtId="0" fontId="15" fillId="0" borderId="20" xfId="0" applyFont="1" applyFill="1" applyBorder="1" applyAlignment="1">
      <alignment horizontal="center" vertical="center" wrapText="1"/>
    </xf>
    <xf numFmtId="0" fontId="9" fillId="0" borderId="21" xfId="0" applyFont="1" applyFill="1" applyBorder="1" applyAlignment="1">
      <alignment horizontal="center"/>
    </xf>
    <xf numFmtId="184" fontId="9" fillId="0" borderId="22" xfId="1" applyNumberFormat="1" applyFont="1" applyFill="1" applyBorder="1" applyAlignment="1">
      <alignment horizontal="center"/>
    </xf>
    <xf numFmtId="181" fontId="9" fillId="0" borderId="10" xfId="0" applyNumberFormat="1" applyFont="1" applyFill="1" applyBorder="1" applyAlignment="1">
      <alignment horizontal="center"/>
    </xf>
    <xf numFmtId="181" fontId="9" fillId="0" borderId="1" xfId="0" applyNumberFormat="1" applyFont="1" applyFill="1" applyBorder="1" applyAlignment="1">
      <alignment horizontal="center"/>
    </xf>
    <xf numFmtId="0" fontId="17" fillId="0" borderId="0" xfId="0" applyFont="1" applyFill="1" applyAlignment="1"/>
    <xf numFmtId="184" fontId="0" fillId="0" borderId="0" xfId="3" applyNumberFormat="1" applyFont="1" applyFill="1" applyBorder="1" applyAlignment="1"/>
    <xf numFmtId="0" fontId="18" fillId="0" borderId="0" xfId="0" applyFont="1" applyFill="1" applyBorder="1" applyAlignment="1">
      <alignment horizontal="left" vertical="top"/>
    </xf>
    <xf numFmtId="184" fontId="9" fillId="0" borderId="0" xfId="3" applyNumberFormat="1" applyFont="1" applyFill="1" applyBorder="1" applyAlignment="1"/>
    <xf numFmtId="0" fontId="9" fillId="0" borderId="0" xfId="0" applyFont="1" applyFill="1" applyBorder="1" applyAlignment="1">
      <alignment horizontal="left" vertical="top" wrapText="1"/>
    </xf>
    <xf numFmtId="0" fontId="9" fillId="0" borderId="0" xfId="0" applyFont="1" applyFill="1" applyBorder="1" applyAlignment="1">
      <alignment horizontal="left" wrapText="1"/>
    </xf>
    <xf numFmtId="0" fontId="9" fillId="2" borderId="0" xfId="0" applyFont="1" applyFill="1" applyBorder="1" applyAlignment="1">
      <alignment horizontal="left" vertical="top" wrapText="1"/>
    </xf>
    <xf numFmtId="0" fontId="0" fillId="0" borderId="0" xfId="0" applyFill="1" applyAlignment="1"/>
    <xf numFmtId="0" fontId="9" fillId="0" borderId="0" xfId="0" applyFont="1" applyFill="1" applyBorder="1" applyAlignment="1">
      <alignment horizontal="center" vertical="center"/>
    </xf>
    <xf numFmtId="0" fontId="9" fillId="0" borderId="0" xfId="0" applyFont="1" applyFill="1" applyBorder="1" applyAlignment="1">
      <alignment horizontal="left" vertical="top"/>
    </xf>
    <xf numFmtId="0" fontId="9" fillId="0" borderId="0" xfId="0" applyFont="1" applyFill="1" applyAlignment="1">
      <alignment horizontal="center" vertical="center"/>
    </xf>
    <xf numFmtId="184" fontId="12" fillId="2" borderId="0" xfId="1" applyNumberFormat="1" applyFont="1" applyFill="1" applyBorder="1" applyAlignment="1">
      <alignment horizontal="center" vertical="center"/>
    </xf>
    <xf numFmtId="184" fontId="9" fillId="0" borderId="0" xfId="1" applyNumberFormat="1" applyFont="1" applyFill="1" applyAlignment="1"/>
    <xf numFmtId="0" fontId="12" fillId="0" borderId="0" xfId="0" applyFont="1" applyFill="1" applyAlignment="1">
      <alignment horizontal="center"/>
    </xf>
    <xf numFmtId="0" fontId="15" fillId="0" borderId="23" xfId="0" applyFont="1" applyFill="1" applyBorder="1" applyAlignment="1">
      <alignment horizontal="center" vertical="center" wrapText="1"/>
    </xf>
    <xf numFmtId="0" fontId="15" fillId="0" borderId="24" xfId="0" applyFont="1" applyFill="1" applyBorder="1" applyAlignment="1">
      <alignment horizontal="center" vertical="center" wrapText="1"/>
    </xf>
    <xf numFmtId="181" fontId="9" fillId="0" borderId="25" xfId="0" applyNumberFormat="1" applyFont="1" applyFill="1" applyBorder="1" applyAlignment="1">
      <alignment horizontal="center"/>
    </xf>
    <xf numFmtId="177" fontId="0" fillId="0" borderId="0" xfId="0" applyNumberFormat="1" applyFont="1" applyFill="1" applyAlignment="1"/>
    <xf numFmtId="0" fontId="18" fillId="0" borderId="18" xfId="0" applyFont="1" applyFill="1" applyBorder="1" applyAlignment="1">
      <alignment horizontal="center" vertical="center" wrapText="1"/>
    </xf>
    <xf numFmtId="181" fontId="9" fillId="2" borderId="18" xfId="3" applyNumberFormat="1" applyFont="1" applyFill="1" applyBorder="1" applyAlignment="1">
      <alignment horizontal="center" vertical="center"/>
    </xf>
    <xf numFmtId="0" fontId="18" fillId="0" borderId="26" xfId="0" applyFont="1" applyFill="1" applyBorder="1" applyAlignment="1">
      <alignment horizontal="center" vertical="center" wrapText="1"/>
    </xf>
    <xf numFmtId="181" fontId="9" fillId="2" borderId="27" xfId="3" applyNumberFormat="1" applyFont="1" applyFill="1" applyBorder="1" applyAlignment="1">
      <alignment horizontal="center" vertical="center"/>
    </xf>
    <xf numFmtId="0" fontId="9" fillId="0" borderId="0" xfId="0" applyFont="1" applyFill="1" applyBorder="1" applyAlignment="1"/>
    <xf numFmtId="0" fontId="9" fillId="0" borderId="0" xfId="0" applyFont="1" applyFill="1" applyAlignment="1">
      <alignment vertical="top" wrapText="1"/>
    </xf>
    <xf numFmtId="0" fontId="18" fillId="0" borderId="0" xfId="0" applyFont="1" applyFill="1" applyBorder="1" applyAlignment="1">
      <alignment horizontal="left"/>
    </xf>
    <xf numFmtId="0" fontId="18" fillId="0" borderId="0" xfId="0" applyNumberFormat="1" applyFont="1" applyFill="1" applyBorder="1" applyAlignment="1">
      <alignment horizontal="left" vertical="top" wrapText="1"/>
    </xf>
    <xf numFmtId="0" fontId="9" fillId="0" borderId="0" xfId="0" applyFont="1" applyFill="1" applyBorder="1" applyAlignment="1">
      <alignment horizontal="left"/>
    </xf>
    <xf numFmtId="0" fontId="19" fillId="0" borderId="0" xfId="0" applyFont="1" applyFill="1" applyAlignment="1"/>
    <xf numFmtId="0" fontId="9" fillId="0" borderId="0" xfId="0" applyFont="1" applyFill="1" applyBorder="1" applyAlignment="1">
      <alignment vertical="top"/>
    </xf>
    <xf numFmtId="0" fontId="10" fillId="0" borderId="0" xfId="0" applyFont="1" applyFill="1" applyAlignment="1"/>
    <xf numFmtId="0" fontId="12" fillId="0" borderId="0" xfId="0" applyFont="1" applyFill="1" applyAlignment="1">
      <alignment horizontal="left" vertical="top" wrapText="1"/>
    </xf>
    <xf numFmtId="0" fontId="19" fillId="0" borderId="0" xfId="0" applyFont="1" applyFill="1" applyAlignment="1">
      <alignment horizontal="left" vertical="top" wrapText="1"/>
    </xf>
    <xf numFmtId="0" fontId="9" fillId="0" borderId="0" xfId="0" applyFont="1" applyFill="1" applyAlignment="1">
      <alignment horizontal="left" wrapText="1"/>
    </xf>
    <xf numFmtId="0" fontId="20" fillId="0" borderId="0" xfId="0" applyFont="1" applyFill="1" applyAlignment="1"/>
    <xf numFmtId="0" fontId="21" fillId="2" borderId="0" xfId="0" applyFont="1" applyFill="1" applyBorder="1" applyAlignment="1"/>
    <xf numFmtId="9" fontId="4" fillId="3" borderId="1" xfId="6" applyFont="1" applyFill="1" applyBorder="1" applyAlignment="1">
      <alignment horizontal="center" vertical="center" wrapText="1"/>
    </xf>
    <xf numFmtId="0" fontId="6" fillId="3" borderId="1" xfId="0" applyFont="1" applyFill="1" applyBorder="1" applyAlignment="1">
      <alignment horizontal="center" vertical="center"/>
    </xf>
    <xf numFmtId="2" fontId="21" fillId="0" borderId="1" xfId="2" applyNumberFormat="1" applyFont="1" applyBorder="1" applyAlignment="1">
      <alignment horizontal="center" vertical="center"/>
    </xf>
    <xf numFmtId="2" fontId="21" fillId="0" borderId="1" xfId="2" applyNumberFormat="1" applyFont="1" applyFill="1" applyBorder="1" applyAlignment="1">
      <alignment horizontal="center" vertical="center"/>
    </xf>
    <xf numFmtId="10" fontId="21" fillId="2" borderId="0" xfId="6" applyNumberFormat="1" applyFont="1" applyFill="1" applyBorder="1" applyAlignment="1"/>
    <xf numFmtId="2" fontId="3" fillId="0" borderId="1" xfId="2" applyNumberFormat="1" applyFont="1" applyBorder="1" applyAlignment="1">
      <alignment horizontal="center" vertical="center"/>
    </xf>
    <xf numFmtId="0" fontId="4" fillId="4" borderId="1" xfId="0" applyFont="1" applyFill="1" applyBorder="1" applyAlignment="1">
      <alignment horizontal="center" vertical="center" wrapText="1"/>
    </xf>
    <xf numFmtId="9" fontId="6" fillId="3" borderId="1" xfId="6" applyFont="1" applyFill="1" applyBorder="1" applyAlignment="1">
      <alignment horizontal="center" vertical="center" wrapText="1"/>
    </xf>
    <xf numFmtId="184" fontId="3" fillId="0" borderId="1" xfId="1" applyNumberFormat="1" applyFont="1" applyBorder="1" applyAlignment="1">
      <alignment horizontal="center" vertical="center"/>
    </xf>
    <xf numFmtId="2" fontId="3" fillId="0" borderId="1" xfId="2" applyNumberFormat="1" applyFont="1" applyFill="1" applyBorder="1" applyAlignment="1">
      <alignment horizontal="center" vertical="center"/>
    </xf>
    <xf numFmtId="9" fontId="21" fillId="2" borderId="0" xfId="0" applyNumberFormat="1" applyFont="1" applyFill="1" applyBorder="1" applyAlignment="1"/>
    <xf numFmtId="9" fontId="4" fillId="4" borderId="1" xfId="6" applyFont="1" applyFill="1" applyBorder="1" applyAlignment="1">
      <alignment horizontal="center" vertical="center" wrapText="1"/>
    </xf>
    <xf numFmtId="1" fontId="3" fillId="0" borderId="1" xfId="1" applyNumberFormat="1" applyFont="1" applyBorder="1" applyAlignment="1">
      <alignment horizontal="center" vertical="center"/>
    </xf>
    <xf numFmtId="179" fontId="3" fillId="0" borderId="1" xfId="6" applyNumberFormat="1" applyFont="1" applyFill="1" applyBorder="1" applyAlignment="1">
      <alignment horizontal="center" vertical="center"/>
    </xf>
    <xf numFmtId="0" fontId="8" fillId="3" borderId="28" xfId="0" applyFont="1" applyFill="1" applyBorder="1" applyAlignment="1">
      <alignment horizontal="center"/>
    </xf>
    <xf numFmtId="0" fontId="0" fillId="0" borderId="10" xfId="0" applyBorder="1" applyAlignment="1">
      <alignment horizontal="left"/>
    </xf>
    <xf numFmtId="10" fontId="0" fillId="5" borderId="1" xfId="0" applyNumberFormat="1" applyFill="1" applyBorder="1" applyAlignment="1"/>
    <xf numFmtId="0" fontId="21" fillId="2" borderId="1" xfId="0" applyFont="1" applyFill="1" applyBorder="1" applyAlignment="1"/>
    <xf numFmtId="0" fontId="21" fillId="6" borderId="1" xfId="0" applyFont="1" applyFill="1" applyBorder="1" applyAlignment="1"/>
    <xf numFmtId="0" fontId="22" fillId="7" borderId="0" xfId="0" applyFont="1" applyFill="1" applyBorder="1" applyAlignment="1">
      <alignment horizontal="center" vertical="center"/>
    </xf>
    <xf numFmtId="9" fontId="3" fillId="3" borderId="1" xfId="6" applyFont="1" applyFill="1" applyBorder="1" applyAlignment="1">
      <alignment horizontal="left" vertical="center" wrapText="1"/>
    </xf>
    <xf numFmtId="2" fontId="3" fillId="6" borderId="1" xfId="2" applyNumberFormat="1" applyFont="1" applyFill="1" applyBorder="1" applyAlignment="1">
      <alignment horizontal="center" vertical="center"/>
    </xf>
    <xf numFmtId="2" fontId="3" fillId="5" borderId="9" xfId="2" applyNumberFormat="1" applyFont="1" applyFill="1" applyBorder="1" applyAlignment="1">
      <alignment horizontal="center" vertical="center"/>
    </xf>
    <xf numFmtId="0" fontId="21" fillId="2" borderId="0" xfId="0" applyFont="1" applyFill="1" applyBorder="1" applyAlignment="1">
      <alignment horizontal="right"/>
    </xf>
    <xf numFmtId="179" fontId="3" fillId="6" borderId="1" xfId="6" applyNumberFormat="1" applyFont="1" applyFill="1" applyBorder="1" applyAlignment="1">
      <alignment horizontal="center" vertical="center"/>
    </xf>
    <xf numFmtId="179" fontId="3" fillId="5" borderId="9" xfId="6" applyNumberFormat="1" applyFont="1" applyFill="1" applyBorder="1" applyAlignment="1">
      <alignment horizontal="center" vertical="center"/>
    </xf>
    <xf numFmtId="2" fontId="23" fillId="5" borderId="1" xfId="2" applyNumberFormat="1" applyFont="1" applyFill="1" applyBorder="1" applyAlignment="1">
      <alignment horizontal="center" vertical="center"/>
    </xf>
    <xf numFmtId="2" fontId="3" fillId="5" borderId="1" xfId="2" applyNumberFormat="1" applyFont="1" applyFill="1" applyBorder="1" applyAlignment="1">
      <alignment horizontal="center" vertical="center"/>
    </xf>
    <xf numFmtId="2" fontId="21" fillId="2" borderId="0" xfId="0" applyNumberFormat="1" applyFont="1" applyFill="1" applyBorder="1" applyAlignment="1"/>
    <xf numFmtId="2" fontId="3" fillId="5" borderId="29" xfId="2" applyNumberFormat="1" applyFont="1" applyFill="1" applyBorder="1" applyAlignment="1">
      <alignment horizontal="left" vertical="center"/>
    </xf>
    <xf numFmtId="2" fontId="3" fillId="5" borderId="30" xfId="2" applyNumberFormat="1" applyFont="1" applyFill="1" applyBorder="1" applyAlignment="1">
      <alignment horizontal="left" vertical="center"/>
    </xf>
    <xf numFmtId="43" fontId="21" fillId="2" borderId="0" xfId="1" applyFont="1" applyFill="1" applyBorder="1" applyAlignment="1"/>
    <xf numFmtId="9" fontId="4" fillId="3" borderId="1" xfId="6" applyFont="1" applyFill="1" applyBorder="1" applyAlignment="1">
      <alignment horizontal="left" vertical="center" wrapText="1"/>
    </xf>
    <xf numFmtId="43" fontId="3" fillId="6" borderId="1" xfId="1" applyNumberFormat="1" applyFont="1" applyFill="1" applyBorder="1" applyAlignment="1">
      <alignment horizontal="center" vertical="center"/>
    </xf>
    <xf numFmtId="43" fontId="21" fillId="2" borderId="0" xfId="0" applyNumberFormat="1" applyFont="1" applyFill="1" applyBorder="1" applyAlignment="1"/>
    <xf numFmtId="180" fontId="3" fillId="5" borderId="1" xfId="2" applyNumberFormat="1" applyFont="1" applyFill="1" applyBorder="1" applyAlignment="1">
      <alignment horizontal="center" vertical="center"/>
    </xf>
    <xf numFmtId="0" fontId="3" fillId="0" borderId="0" xfId="0" applyFont="1" applyAlignment="1"/>
    <xf numFmtId="0" fontId="24" fillId="8" borderId="1" xfId="0" applyFont="1" applyFill="1" applyBorder="1" applyAlignment="1">
      <alignment horizontal="center"/>
    </xf>
    <xf numFmtId="0" fontId="3" fillId="0" borderId="0" xfId="0" applyFont="1" applyAlignment="1">
      <alignment horizontal="center" vertical="center"/>
    </xf>
    <xf numFmtId="0" fontId="3" fillId="0" borderId="1" xfId="0" applyFont="1" applyBorder="1" applyAlignment="1">
      <alignment horizontal="right" vertical="center"/>
    </xf>
    <xf numFmtId="0" fontId="21" fillId="2" borderId="1" xfId="0" applyFont="1" applyFill="1" applyBorder="1" applyAlignment="1">
      <alignment horizontal="right"/>
    </xf>
    <xf numFmtId="186" fontId="21" fillId="2" borderId="1" xfId="0" applyNumberFormat="1" applyFont="1" applyFill="1" applyBorder="1" applyAlignment="1">
      <alignment horizontal="right"/>
    </xf>
    <xf numFmtId="0" fontId="3" fillId="0" borderId="0" xfId="0" applyFont="1" applyAlignment="1">
      <alignment horizontal="right" vertical="center"/>
    </xf>
    <xf numFmtId="0" fontId="4" fillId="0" borderId="13" xfId="0" applyFont="1" applyBorder="1" applyAlignment="1">
      <alignment horizontal="left" vertical="center"/>
    </xf>
    <xf numFmtId="0" fontId="3" fillId="0" borderId="23" xfId="0" applyFont="1" applyBorder="1" applyAlignment="1">
      <alignment horizontal="right" vertical="center"/>
    </xf>
    <xf numFmtId="0" fontId="4" fillId="0" borderId="0" xfId="0" applyFont="1" applyAlignment="1">
      <alignment horizontal="left" vertical="center"/>
    </xf>
    <xf numFmtId="0" fontId="3" fillId="9" borderId="0" xfId="0" applyFont="1" applyFill="1" applyAlignment="1">
      <alignment horizontal="left" vertical="center"/>
    </xf>
    <xf numFmtId="0" fontId="3" fillId="0" borderId="0" xfId="0" applyFont="1" applyAlignment="1">
      <alignment vertical="center"/>
    </xf>
    <xf numFmtId="0" fontId="0" fillId="6" borderId="0" xfId="0" applyFont="1" applyFill="1" applyBorder="1" applyAlignment="1">
      <alignment horizontal="left" vertical="center"/>
    </xf>
    <xf numFmtId="0" fontId="4" fillId="10" borderId="1" xfId="0" applyFont="1" applyFill="1" applyBorder="1" applyAlignment="1">
      <alignment horizontal="center" vertical="center"/>
    </xf>
    <xf numFmtId="0" fontId="4" fillId="3" borderId="1" xfId="0" applyFont="1" applyFill="1" applyBorder="1" applyAlignment="1">
      <alignment horizontal="center"/>
    </xf>
    <xf numFmtId="0" fontId="4" fillId="0" borderId="1" xfId="0" applyFont="1" applyFill="1" applyBorder="1" applyAlignment="1">
      <alignment horizontal="left" vertical="center"/>
    </xf>
    <xf numFmtId="184" fontId="3" fillId="0" borderId="1" xfId="1" applyNumberFormat="1" applyFont="1" applyFill="1" applyBorder="1" applyAlignment="1">
      <alignment horizontal="right" vertical="center"/>
    </xf>
    <xf numFmtId="0" fontId="5" fillId="0" borderId="0" xfId="0" applyFont="1" applyAlignment="1">
      <alignment horizontal="left" vertical="center"/>
    </xf>
    <xf numFmtId="0" fontId="3" fillId="0" borderId="1" xfId="0" applyFont="1" applyBorder="1" applyAlignment="1">
      <alignment vertical="center"/>
    </xf>
    <xf numFmtId="184" fontId="3" fillId="9" borderId="1" xfId="1" applyNumberFormat="1" applyFont="1" applyFill="1" applyBorder="1" applyAlignment="1">
      <alignment vertical="center"/>
    </xf>
    <xf numFmtId="0" fontId="3" fillId="9" borderId="1" xfId="0" applyFont="1" applyFill="1" applyBorder="1" applyAlignment="1">
      <alignment horizontal="right" vertical="center"/>
    </xf>
    <xf numFmtId="0" fontId="8" fillId="6" borderId="8" xfId="0" applyFont="1" applyFill="1" applyBorder="1" applyAlignment="1">
      <alignment vertical="center"/>
    </xf>
    <xf numFmtId="0" fontId="8" fillId="6" borderId="9" xfId="0" applyFont="1" applyFill="1" applyBorder="1" applyAlignment="1">
      <alignment vertical="center"/>
    </xf>
    <xf numFmtId="0" fontId="3" fillId="0" borderId="1" xfId="0" applyFont="1" applyFill="1" applyBorder="1" applyAlignment="1"/>
    <xf numFmtId="184" fontId="8" fillId="6" borderId="9" xfId="1" applyNumberFormat="1" applyFont="1" applyFill="1" applyBorder="1" applyAlignment="1">
      <alignment vertical="center"/>
    </xf>
    <xf numFmtId="0" fontId="25" fillId="0" borderId="0" xfId="0" applyFont="1" applyAlignment="1">
      <alignment horizontal="center" vertical="center" wrapText="1"/>
    </xf>
    <xf numFmtId="0" fontId="3" fillId="0" borderId="1" xfId="0" applyFont="1" applyFill="1" applyBorder="1" applyAlignment="1">
      <alignment horizontal="right" vertical="center"/>
    </xf>
    <xf numFmtId="184" fontId="3" fillId="4" borderId="1" xfId="1" applyNumberFormat="1" applyFont="1" applyFill="1" applyBorder="1" applyAlignment="1">
      <alignment horizontal="right" vertical="center"/>
    </xf>
    <xf numFmtId="0" fontId="5" fillId="0" borderId="0" xfId="0" applyFont="1" applyBorder="1" applyAlignment="1">
      <alignment horizontal="left" vertical="center"/>
    </xf>
    <xf numFmtId="184" fontId="3" fillId="0" borderId="0" xfId="0" applyNumberFormat="1" applyFont="1" applyAlignment="1">
      <alignment vertical="center"/>
    </xf>
    <xf numFmtId="0" fontId="3" fillId="4" borderId="1" xfId="0" applyFont="1" applyFill="1" applyBorder="1" applyAlignment="1">
      <alignment horizontal="right" vertical="center"/>
    </xf>
    <xf numFmtId="0" fontId="25" fillId="0" borderId="0" xfId="0" applyFont="1" applyAlignment="1">
      <alignment horizontal="left" vertical="center"/>
    </xf>
    <xf numFmtId="0" fontId="4" fillId="0" borderId="1" xfId="0" applyFont="1" applyFill="1" applyBorder="1" applyAlignment="1">
      <alignment horizontal="left" vertical="center" wrapText="1"/>
    </xf>
    <xf numFmtId="0" fontId="3" fillId="9" borderId="1" xfId="0" applyFont="1" applyFill="1" applyBorder="1" applyAlignment="1" applyProtection="1">
      <alignment horizontal="right" vertical="center"/>
      <protection locked="0"/>
    </xf>
    <xf numFmtId="9" fontId="26" fillId="5" borderId="0" xfId="0" applyNumberFormat="1" applyFont="1" applyFill="1" applyBorder="1" applyAlignment="1">
      <alignment horizontal="left" vertical="center"/>
    </xf>
    <xf numFmtId="0" fontId="3" fillId="5" borderId="0" xfId="0" applyFont="1" applyFill="1" applyAlignment="1">
      <alignment vertical="center"/>
    </xf>
    <xf numFmtId="0" fontId="3" fillId="5" borderId="0" xfId="0" applyFont="1" applyFill="1" applyAlignment="1">
      <alignment horizontal="center" vertical="center"/>
    </xf>
    <xf numFmtId="0" fontId="4" fillId="10" borderId="1" xfId="0" applyFont="1" applyFill="1" applyBorder="1" applyAlignment="1">
      <alignment horizontal="center" vertical="center" wrapText="1"/>
    </xf>
    <xf numFmtId="9" fontId="14" fillId="5" borderId="0" xfId="0" applyNumberFormat="1" applyFont="1" applyFill="1" applyBorder="1" applyAlignment="1">
      <alignment horizontal="left" vertical="center"/>
    </xf>
    <xf numFmtId="9" fontId="3" fillId="9" borderId="1" xfId="6" applyFont="1" applyFill="1" applyBorder="1" applyAlignment="1">
      <alignment horizontal="right" vertical="center"/>
    </xf>
    <xf numFmtId="2" fontId="3" fillId="9" borderId="1" xfId="0" applyNumberFormat="1" applyFont="1" applyFill="1" applyBorder="1" applyAlignment="1">
      <alignment horizontal="right" vertical="center"/>
    </xf>
    <xf numFmtId="0" fontId="22" fillId="0" borderId="0" xfId="0" applyFont="1" applyAlignment="1">
      <alignment horizontal="right" vertical="center"/>
    </xf>
    <xf numFmtId="2" fontId="3" fillId="0" borderId="1" xfId="0" applyNumberFormat="1" applyFont="1" applyBorder="1" applyAlignment="1">
      <alignment horizontal="right" vertical="center"/>
    </xf>
    <xf numFmtId="9" fontId="3" fillId="0" borderId="1" xfId="0" applyNumberFormat="1" applyFont="1" applyBorder="1" applyAlignment="1">
      <alignment horizontal="left" vertical="center" wrapText="1"/>
    </xf>
    <xf numFmtId="2" fontId="21" fillId="0" borderId="1" xfId="0" applyNumberFormat="1" applyFont="1" applyBorder="1" applyAlignment="1">
      <alignment horizontal="right" vertical="center"/>
    </xf>
    <xf numFmtId="1" fontId="21" fillId="0" borderId="0" xfId="0" applyNumberFormat="1" applyFont="1" applyAlignment="1">
      <alignment horizontal="right" vertical="center"/>
    </xf>
    <xf numFmtId="9" fontId="4" fillId="5" borderId="8" xfId="0" applyNumberFormat="1" applyFont="1" applyFill="1" applyBorder="1" applyAlignment="1">
      <alignment horizontal="center" vertical="center"/>
    </xf>
    <xf numFmtId="9" fontId="4" fillId="5" borderId="31" xfId="0" applyNumberFormat="1" applyFont="1" applyFill="1" applyBorder="1" applyAlignment="1">
      <alignment horizontal="center" vertical="center"/>
    </xf>
    <xf numFmtId="9" fontId="4" fillId="5" borderId="9" xfId="0" applyNumberFormat="1" applyFont="1" applyFill="1" applyBorder="1" applyAlignment="1">
      <alignment horizontal="center" vertical="center"/>
    </xf>
    <xf numFmtId="0" fontId="3" fillId="0" borderId="1" xfId="0" applyFont="1" applyBorder="1" applyAlignment="1">
      <alignment horizontal="left" vertical="center"/>
    </xf>
    <xf numFmtId="0" fontId="27" fillId="6" borderId="1" xfId="0" applyFont="1" applyFill="1" applyBorder="1" applyAlignment="1">
      <alignment horizontal="center" vertical="center"/>
    </xf>
    <xf numFmtId="0" fontId="27" fillId="5" borderId="1" xfId="0" applyFont="1" applyFill="1" applyBorder="1" applyAlignment="1">
      <alignment horizontal="center" vertical="center"/>
    </xf>
    <xf numFmtId="43" fontId="3" fillId="6" borderId="1" xfId="1" applyNumberFormat="1" applyFont="1" applyFill="1" applyBorder="1" applyAlignment="1">
      <alignment horizontal="right" vertical="center"/>
    </xf>
    <xf numFmtId="43" fontId="3" fillId="5" borderId="1" xfId="1" applyNumberFormat="1" applyFont="1" applyFill="1" applyBorder="1" applyAlignment="1">
      <alignment horizontal="right" vertical="center"/>
    </xf>
    <xf numFmtId="9" fontId="3" fillId="0" borderId="1" xfId="0" applyNumberFormat="1" applyFont="1" applyBorder="1" applyAlignment="1">
      <alignment horizontal="left" vertical="center"/>
    </xf>
    <xf numFmtId="176" fontId="3" fillId="6" borderId="1" xfId="1" applyNumberFormat="1" applyFont="1" applyFill="1" applyBorder="1" applyAlignment="1">
      <alignment horizontal="right" vertical="center"/>
    </xf>
    <xf numFmtId="176" fontId="3" fillId="5" borderId="1" xfId="1" applyNumberFormat="1" applyFont="1" applyFill="1" applyBorder="1" applyAlignment="1">
      <alignment horizontal="right" vertical="center"/>
    </xf>
    <xf numFmtId="0" fontId="4" fillId="3" borderId="8" xfId="0" applyFont="1" applyFill="1" applyBorder="1" applyAlignment="1">
      <alignment horizontal="center" vertical="center" wrapText="1"/>
    </xf>
    <xf numFmtId="185" fontId="3" fillId="0" borderId="1" xfId="6" applyNumberFormat="1" applyFont="1" applyFill="1" applyBorder="1" applyAlignment="1">
      <alignment horizontal="center" vertical="center"/>
    </xf>
    <xf numFmtId="1" fontId="3" fillId="4" borderId="0" xfId="0" applyNumberFormat="1" applyFont="1" applyFill="1" applyAlignment="1">
      <alignment horizontal="center" vertical="center"/>
    </xf>
    <xf numFmtId="0" fontId="4" fillId="0" borderId="0" xfId="0" applyFont="1" applyAlignment="1" applyProtection="1">
      <alignment horizontal="left" vertical="center"/>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8" fillId="3" borderId="3" xfId="0" applyFont="1" applyFill="1" applyBorder="1" applyAlignment="1" quotePrefix="1">
      <alignment horizontal="center"/>
    </xf>
    <xf numFmtId="0" fontId="8" fillId="3" borderId="4" xfId="0" applyFont="1" applyFill="1" applyBorder="1" applyAlignment="1" quotePrefix="1">
      <alignment horizontal="center"/>
    </xf>
    <xf numFmtId="0" fontId="8" fillId="3" borderId="1" xfId="0" applyFont="1" applyFill="1" applyBorder="1" applyAlignment="1" quotePrefix="1">
      <alignment horizontal="center"/>
    </xf>
  </cellXfs>
  <cellStyles count="9">
    <cellStyle name="Normal" xfId="0" builtinId="0"/>
    <cellStyle name="Comma" xfId="1" builtinId="3"/>
    <cellStyle name="Normal 2" xfId="2"/>
    <cellStyle name="Comma 2" xfId="3"/>
    <cellStyle name="Currency" xfId="4" builtinId="4"/>
    <cellStyle name="Comma[0]" xfId="5" builtinId="6"/>
    <cellStyle name="Percent" xfId="6" builtinId="5"/>
    <cellStyle name="Currency[0]" xfId="7" builtinId="7"/>
    <cellStyle name="Normal 3" xf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41"/>
  <sheetViews>
    <sheetView showGridLines="0" tabSelected="1" zoomScale="90" zoomScaleNormal="90" workbookViewId="0">
      <selection activeCell="E15" sqref="E15"/>
    </sheetView>
  </sheetViews>
  <sheetFormatPr defaultColWidth="9" defaultRowHeight="12.75"/>
  <cols>
    <col min="1" max="1" width="5.42857142857143" style="145" customWidth="1"/>
    <col min="2" max="2" width="27.7142857142857" style="149" customWidth="1"/>
    <col min="3" max="3" width="15.1428571428571" style="149" customWidth="1"/>
    <col min="4" max="4" width="15.5714285714286" style="149" customWidth="1"/>
    <col min="5" max="5" width="57.7142857142857" style="145" customWidth="1"/>
    <col min="6" max="6" width="14.2857142857143" style="145" customWidth="1"/>
    <col min="7" max="7" width="9.57142857142857" style="145" customWidth="1"/>
    <col min="8" max="8" width="11.5714285714286" style="145" customWidth="1"/>
    <col min="9" max="9" width="11.4285714285714" style="145" customWidth="1"/>
    <col min="10" max="10" width="9.57142857142857" style="145" customWidth="1"/>
    <col min="11" max="11" width="29.1428571428571" style="145" hidden="1" customWidth="1"/>
    <col min="12" max="16" width="9.57142857142857" style="145" hidden="1" customWidth="1"/>
    <col min="17" max="17" width="13.4285714285714" style="145" hidden="1" customWidth="1"/>
    <col min="18" max="18" width="7.28571428571429" style="145" hidden="1" customWidth="1"/>
    <col min="19" max="19" width="4.71428571428571" style="145" hidden="1" customWidth="1"/>
    <col min="20" max="24" width="9.14285714285714" style="145" hidden="1" customWidth="1"/>
    <col min="25" max="16384" width="9.14285714285714" style="145"/>
  </cols>
  <sheetData>
    <row r="1" s="145" customFormat="1" spans="2:4">
      <c r="B1" s="150" t="s">
        <v>0</v>
      </c>
      <c r="C1" s="151"/>
      <c r="D1" s="149"/>
    </row>
    <row r="2" s="145" customFormat="1" spans="2:4">
      <c r="B2" s="152"/>
      <c r="C2" s="149"/>
      <c r="D2" s="149"/>
    </row>
    <row r="3" spans="2:24">
      <c r="B3" s="153" t="s">
        <v>1</v>
      </c>
      <c r="C3" s="153"/>
      <c r="E3" s="154"/>
      <c r="F3" s="154"/>
      <c r="G3" s="154"/>
      <c r="Q3" s="154"/>
      <c r="R3" s="154"/>
      <c r="T3" s="204" t="s">
        <v>2</v>
      </c>
      <c r="U3" s="204" t="s">
        <v>3</v>
      </c>
      <c r="X3" s="205">
        <f>+VLOOKUP(C12,$T$4:$W$17,2,0)</f>
        <v>10</v>
      </c>
    </row>
    <row r="4" ht="15" spans="2:24">
      <c r="B4" s="155" t="s">
        <v>4</v>
      </c>
      <c r="C4" s="155"/>
      <c r="E4" s="154"/>
      <c r="F4" s="154"/>
      <c r="G4" s="154"/>
      <c r="Q4" s="154"/>
      <c r="R4" s="154"/>
      <c r="T4" s="205">
        <v>16</v>
      </c>
      <c r="U4" s="205">
        <v>10</v>
      </c>
      <c r="X4" s="205" t="str">
        <f>IF((VLOOKUP(C12,$T$4:$W$17,3,0))=0," ",(VLOOKUP(C12,$T$4:$W$17,3,0)))</f>
        <v> </v>
      </c>
    </row>
    <row r="5" ht="15" spans="2:24">
      <c r="B5" s="156" t="s">
        <v>5</v>
      </c>
      <c r="C5" s="156"/>
      <c r="E5" s="157" t="s">
        <v>6</v>
      </c>
      <c r="F5" s="157"/>
      <c r="G5" s="154"/>
      <c r="K5" s="192" t="s">
        <v>7</v>
      </c>
      <c r="Q5" s="154"/>
      <c r="R5" s="154"/>
      <c r="T5"/>
      <c r="U5"/>
      <c r="V5"/>
      <c r="W5"/>
      <c r="X5"/>
    </row>
    <row r="6" ht="15" spans="2:24">
      <c r="B6" s="158" t="s">
        <v>8</v>
      </c>
      <c r="C6" s="159">
        <f>+F9</f>
        <v>5474770</v>
      </c>
      <c r="D6" s="160"/>
      <c r="E6" s="161" t="str">
        <f>IF(ST_Indicator="No",CONCATENATE(K5,K7,K8),CONCATENATE(K5,K6,K8))</f>
        <v>Orig. Installment Premium (Rs.) INCLUDING Service Tax for Year 1: </v>
      </c>
      <c r="F6" s="162">
        <v>61814</v>
      </c>
      <c r="K6" s="192" t="s">
        <v>9</v>
      </c>
      <c r="Q6" s="154"/>
      <c r="R6" s="154"/>
      <c r="T6"/>
      <c r="U6"/>
      <c r="V6"/>
      <c r="W6"/>
      <c r="X6"/>
    </row>
    <row r="7" ht="15" spans="2:24">
      <c r="B7" s="158" t="s">
        <v>10</v>
      </c>
      <c r="C7" s="163">
        <v>44</v>
      </c>
      <c r="D7" s="160" t="str">
        <f>IF(AND(Prem_Mode="Monthly",Age&gt;45),"Maximum Entry Age allowed under Monthly Premium Mode is 45","")</f>
        <v/>
      </c>
      <c r="E7" s="154"/>
      <c r="F7" s="154"/>
      <c r="G7" s="154"/>
      <c r="K7" s="192" t="s">
        <v>11</v>
      </c>
      <c r="Q7" s="154"/>
      <c r="R7" s="154"/>
      <c r="T7"/>
      <c r="U7"/>
      <c r="V7"/>
      <c r="W7"/>
      <c r="X7"/>
    </row>
    <row r="8" ht="15" spans="2:24">
      <c r="B8" s="158" t="s">
        <v>12</v>
      </c>
      <c r="C8" s="163" t="s">
        <v>13</v>
      </c>
      <c r="E8" s="164" t="s">
        <v>14</v>
      </c>
      <c r="F8" s="165"/>
      <c r="G8" s="154"/>
      <c r="K8" s="192" t="s">
        <v>15</v>
      </c>
      <c r="Q8" s="154"/>
      <c r="R8" s="154"/>
      <c r="T8"/>
      <c r="U8"/>
      <c r="V8"/>
      <c r="W8"/>
      <c r="X8"/>
    </row>
    <row r="9" ht="15" spans="2:24">
      <c r="B9" s="158" t="s">
        <v>16</v>
      </c>
      <c r="C9" s="163" t="s">
        <v>17</v>
      </c>
      <c r="E9" s="166" t="s">
        <v>18</v>
      </c>
      <c r="F9" s="167">
        <f>+IFERROR('Product Data n Calcs'!Y1,0)</f>
        <v>5474770</v>
      </c>
      <c r="G9" s="168" t="str">
        <f>+IF(OR(AND(Prem_Mode="Monthly",F9&lt;500000),F9=0),"The calculated Sum Assured is LESS than the minimum allowed, Thus input a HIGHER Premium","")</f>
        <v/>
      </c>
      <c r="H9" s="168"/>
      <c r="I9" s="168"/>
      <c r="Q9" s="154"/>
      <c r="R9" s="154"/>
      <c r="T9"/>
      <c r="U9"/>
      <c r="V9"/>
      <c r="W9"/>
      <c r="X9"/>
    </row>
    <row r="10" customHeight="1" spans="2:24">
      <c r="B10" s="158" t="s">
        <v>19</v>
      </c>
      <c r="C10" s="169" t="s">
        <v>20</v>
      </c>
      <c r="E10" s="154"/>
      <c r="F10" s="154"/>
      <c r="G10" s="168"/>
      <c r="H10" s="168"/>
      <c r="I10" s="168"/>
      <c r="Q10" s="154"/>
      <c r="R10" s="154"/>
      <c r="T10"/>
      <c r="U10"/>
      <c r="V10"/>
      <c r="W10"/>
      <c r="X10"/>
    </row>
    <row r="11" ht="15" spans="2:24">
      <c r="B11" s="158" t="s">
        <v>21</v>
      </c>
      <c r="C11" s="163" t="s">
        <v>20</v>
      </c>
      <c r="D11" s="160" t="str">
        <f>IF(AND(Staff_Case="Yes",Direct_sale="Yes"),"Both Staff and Direct cannot be Yes","")</f>
        <v/>
      </c>
      <c r="E11"/>
      <c r="F11"/>
      <c r="G11" s="168"/>
      <c r="H11" s="168"/>
      <c r="I11" s="168"/>
      <c r="Q11" s="154"/>
      <c r="R11" s="154"/>
      <c r="T11"/>
      <c r="U11"/>
      <c r="V11"/>
      <c r="W11"/>
      <c r="X11"/>
    </row>
    <row r="12" ht="15" spans="2:24">
      <c r="B12" s="158" t="s">
        <v>2</v>
      </c>
      <c r="C12" s="170">
        <v>16</v>
      </c>
      <c r="D12" s="171"/>
      <c r="F12" s="172"/>
      <c r="G12" s="168"/>
      <c r="H12" s="168"/>
      <c r="I12" s="168"/>
      <c r="Q12" s="154"/>
      <c r="R12" s="154"/>
      <c r="T12"/>
      <c r="U12"/>
      <c r="V12"/>
      <c r="W12"/>
      <c r="X12"/>
    </row>
    <row r="13" ht="15" spans="2:24">
      <c r="B13" s="158" t="s">
        <v>3</v>
      </c>
      <c r="C13" s="173">
        <v>10</v>
      </c>
      <c r="D13" s="174"/>
      <c r="F13" s="154"/>
      <c r="G13" s="154"/>
      <c r="Q13" s="154"/>
      <c r="R13" s="154"/>
      <c r="T13"/>
      <c r="U13"/>
      <c r="V13"/>
      <c r="W13"/>
      <c r="X13"/>
    </row>
    <row r="14" ht="25.5" spans="2:24">
      <c r="B14" s="175" t="s">
        <v>22</v>
      </c>
      <c r="C14" s="176" t="s">
        <v>23</v>
      </c>
      <c r="Q14" s="154"/>
      <c r="R14" s="154"/>
      <c r="T14"/>
      <c r="U14"/>
      <c r="V14"/>
      <c r="W14"/>
      <c r="X14"/>
    </row>
    <row r="15" ht="15" spans="5:24">
      <c r="E15" s="177" t="s">
        <v>24</v>
      </c>
      <c r="F15" s="178"/>
      <c r="G15" s="178"/>
      <c r="H15" s="179"/>
      <c r="I15" s="179"/>
      <c r="Q15" s="154"/>
      <c r="R15" s="154"/>
      <c r="T15"/>
      <c r="U15"/>
      <c r="V15"/>
      <c r="W15"/>
      <c r="X15"/>
    </row>
    <row r="16" ht="15" spans="2:24">
      <c r="B16" s="180" t="s">
        <v>25</v>
      </c>
      <c r="C16" s="180"/>
      <c r="E16" s="181" t="s">
        <v>26</v>
      </c>
      <c r="F16" s="178"/>
      <c r="G16" s="178"/>
      <c r="H16" s="179"/>
      <c r="I16" s="179"/>
      <c r="Q16" s="154"/>
      <c r="R16" s="154"/>
      <c r="T16"/>
      <c r="U16"/>
      <c r="V16"/>
      <c r="W16"/>
      <c r="X16"/>
    </row>
    <row r="17" ht="15" spans="2:24">
      <c r="B17" s="158" t="s">
        <v>27</v>
      </c>
      <c r="C17" s="182">
        <v>0</v>
      </c>
      <c r="E17" s="181" t="s">
        <v>28</v>
      </c>
      <c r="F17" s="178"/>
      <c r="G17" s="178"/>
      <c r="H17" s="179"/>
      <c r="I17" s="179"/>
      <c r="Q17" s="154"/>
      <c r="R17" s="154"/>
      <c r="T17"/>
      <c r="U17"/>
      <c r="V17"/>
      <c r="W17"/>
      <c r="X17"/>
    </row>
    <row r="18" ht="16.5" customHeight="1" spans="2:24">
      <c r="B18" s="158" t="s">
        <v>29</v>
      </c>
      <c r="C18" s="183">
        <v>0</v>
      </c>
      <c r="E18" s="154"/>
      <c r="F18" s="154"/>
      <c r="G18" s="154"/>
      <c r="Q18" s="154"/>
      <c r="R18" s="154"/>
      <c r="T18"/>
      <c r="U18"/>
      <c r="V18"/>
      <c r="W18"/>
      <c r="X18"/>
    </row>
    <row r="19" spans="1:18">
      <c r="A19" s="184"/>
      <c r="B19" s="158" t="s">
        <v>30</v>
      </c>
      <c r="C19" s="185">
        <v>0</v>
      </c>
      <c r="E19" s="154"/>
      <c r="F19" s="154"/>
      <c r="G19" s="154"/>
      <c r="Q19" s="154"/>
      <c r="R19" s="154"/>
    </row>
    <row r="20" spans="1:18">
      <c r="A20" s="184"/>
      <c r="E20" s="154"/>
      <c r="F20" s="154"/>
      <c r="G20" s="154"/>
      <c r="Q20" s="154"/>
      <c r="R20" s="154"/>
    </row>
    <row r="21" ht="25.5" spans="1:18">
      <c r="A21" s="184"/>
      <c r="B21" s="186" t="s">
        <v>31</v>
      </c>
      <c r="C21" s="187">
        <f>+IF(ST_Indicator="No",'Product Data n Calcs'!S22,'Product Data n Calcs'!S24)</f>
        <v>61814</v>
      </c>
      <c r="D21" s="184"/>
      <c r="E21" s="154"/>
      <c r="F21" s="154"/>
      <c r="G21" s="154"/>
      <c r="Q21" s="154"/>
      <c r="R21" s="154"/>
    </row>
    <row r="22" s="145" customFormat="1" spans="1:18">
      <c r="A22" s="184"/>
      <c r="B22" s="188"/>
      <c r="C22" s="188"/>
      <c r="D22" s="184"/>
      <c r="E22" s="154"/>
      <c r="F22" s="154"/>
      <c r="G22" s="154"/>
      <c r="Q22" s="154"/>
      <c r="R22" s="154"/>
    </row>
    <row r="23" spans="1:18">
      <c r="A23" s="184"/>
      <c r="B23" s="189" t="str">
        <f>'Product Data n Calcs'!$R$21</f>
        <v>First Year Modal Prem Calcs</v>
      </c>
      <c r="C23" s="190"/>
      <c r="D23" s="191"/>
      <c r="E23" s="154"/>
      <c r="F23" s="154"/>
      <c r="G23" s="154"/>
      <c r="Q23" s="154"/>
      <c r="R23" s="154"/>
    </row>
    <row r="24" spans="1:18">
      <c r="A24" s="184"/>
      <c r="B24" s="192"/>
      <c r="C24" s="193" t="s">
        <v>32</v>
      </c>
      <c r="D24" s="194" t="s">
        <v>33</v>
      </c>
      <c r="E24" s="154"/>
      <c r="F24" s="154"/>
      <c r="G24" s="154"/>
      <c r="Q24" s="154"/>
      <c r="R24" s="154"/>
    </row>
    <row r="25" ht="25.5" spans="1:18">
      <c r="A25" s="143"/>
      <c r="B25" s="186" t="str">
        <f>'Product Data n Calcs'!R22</f>
        <v>Modal Premium (Basic Prem + Extra Prem, incl. Disc.)</v>
      </c>
      <c r="C25" s="195">
        <f>'Product Data n Calcs'!S22</f>
        <v>59152.15</v>
      </c>
      <c r="D25" s="196">
        <f>'Product Data n Calcs'!T22</f>
        <v>59152</v>
      </c>
      <c r="E25" s="154"/>
      <c r="F25" s="154"/>
      <c r="G25" s="154"/>
      <c r="Q25" s="154"/>
      <c r="R25" s="154"/>
    </row>
    <row r="26" spans="1:18">
      <c r="A26" s="143"/>
      <c r="B26" s="197" t="str">
        <f>'Product Data n Calcs'!R23</f>
        <v>Serv. Tax</v>
      </c>
      <c r="C26" s="198">
        <f>'Product Data n Calcs'!S23</f>
        <v>2661.85</v>
      </c>
      <c r="D26" s="199">
        <f>'Product Data n Calcs'!T23</f>
        <v>2661.84</v>
      </c>
      <c r="E26" s="154"/>
      <c r="F26" s="154"/>
      <c r="G26" s="154"/>
      <c r="Q26" s="154"/>
      <c r="R26" s="154"/>
    </row>
    <row r="27" spans="1:18">
      <c r="A27" s="143"/>
      <c r="B27" s="197" t="str">
        <f>'Product Data n Calcs'!R24</f>
        <v>Total Modal Premium</v>
      </c>
      <c r="C27" s="198">
        <f>'Product Data n Calcs'!S24</f>
        <v>61814</v>
      </c>
      <c r="D27" s="196">
        <f>'Product Data n Calcs'!T24</f>
        <v>61813.84</v>
      </c>
      <c r="E27" s="154"/>
      <c r="F27" s="154"/>
      <c r="G27" s="154"/>
      <c r="Q27" s="154"/>
      <c r="R27" s="154"/>
    </row>
    <row r="28" spans="1:18">
      <c r="A28" s="143"/>
      <c r="B28" s="197" t="str">
        <f>'Product Data n Calcs'!R25</f>
        <v>Annualized Premium</v>
      </c>
      <c r="C28" s="195">
        <f>'Product Data n Calcs'!S25</f>
        <v>709825.8</v>
      </c>
      <c r="D28" s="196">
        <f>'Product Data n Calcs'!T25</f>
        <v>709824</v>
      </c>
      <c r="E28" s="154"/>
      <c r="F28" s="154"/>
      <c r="G28" s="154"/>
      <c r="Q28" s="154"/>
      <c r="R28" s="154"/>
    </row>
    <row r="29" spans="1:18">
      <c r="A29" s="143"/>
      <c r="B29" s="145"/>
      <c r="C29" s="145"/>
      <c r="D29" s="145"/>
      <c r="E29" s="154"/>
      <c r="F29" s="154"/>
      <c r="G29" s="154"/>
      <c r="Q29" s="154"/>
      <c r="R29" s="154"/>
    </row>
    <row r="30" spans="1:7">
      <c r="A30" s="143"/>
      <c r="B30" s="189" t="s">
        <v>34</v>
      </c>
      <c r="C30" s="190"/>
      <c r="D30" s="191"/>
      <c r="E30" s="154"/>
      <c r="F30" s="154"/>
      <c r="G30" s="154"/>
    </row>
    <row r="31" spans="1:7">
      <c r="A31" s="143"/>
      <c r="B31" s="192"/>
      <c r="C31" s="193" t="s">
        <v>32</v>
      </c>
      <c r="D31" s="194" t="s">
        <v>33</v>
      </c>
      <c r="E31" s="154"/>
      <c r="F31" s="154"/>
      <c r="G31" s="154"/>
    </row>
    <row r="32" ht="25.5" spans="1:7">
      <c r="A32" s="143"/>
      <c r="B32" s="186" t="str">
        <f>'Product Data n Calcs'!R28</f>
        <v>Modal Premium (Basic Prem + Extra Prem, incl. Disc.)</v>
      </c>
      <c r="C32" s="195">
        <f>'Product Data n Calcs'!S28</f>
        <v>59152.15</v>
      </c>
      <c r="D32" s="196">
        <f>'Product Data n Calcs'!T28</f>
        <v>59152</v>
      </c>
      <c r="E32" s="154"/>
      <c r="F32" s="154"/>
      <c r="G32" s="154"/>
    </row>
    <row r="33" spans="1:7">
      <c r="A33" s="143"/>
      <c r="B33" s="197" t="str">
        <f>'Product Data n Calcs'!R29</f>
        <v>Serv. Tax</v>
      </c>
      <c r="C33" s="195">
        <f>'Product Data n Calcs'!S29</f>
        <v>1330.92</v>
      </c>
      <c r="D33" s="199">
        <f>'Product Data n Calcs'!T29</f>
        <v>1330.92</v>
      </c>
      <c r="E33" s="154"/>
      <c r="F33" s="154"/>
      <c r="G33" s="154"/>
    </row>
    <row r="34" spans="1:7">
      <c r="A34" s="143"/>
      <c r="B34" s="197" t="str">
        <f>'Product Data n Calcs'!R30</f>
        <v>Total Modal Premium</v>
      </c>
      <c r="C34" s="195">
        <f>'Product Data n Calcs'!S30</f>
        <v>60483.07</v>
      </c>
      <c r="D34" s="196">
        <f>'Product Data n Calcs'!T30</f>
        <v>60482.92</v>
      </c>
      <c r="E34" s="154"/>
      <c r="F34" s="154"/>
      <c r="G34" s="154"/>
    </row>
    <row r="35" spans="1:7">
      <c r="A35" s="143"/>
      <c r="B35" s="197" t="str">
        <f>'Product Data n Calcs'!R31</f>
        <v>Annualized Premium</v>
      </c>
      <c r="C35" s="195">
        <f>'Product Data n Calcs'!S31</f>
        <v>709825.8</v>
      </c>
      <c r="D35" s="196">
        <f>'Product Data n Calcs'!T31</f>
        <v>709824</v>
      </c>
      <c r="E35" s="154"/>
      <c r="F35" s="154"/>
      <c r="G35" s="154"/>
    </row>
    <row r="36" spans="1:7">
      <c r="A36" s="143"/>
      <c r="B36" s="143"/>
      <c r="C36" s="143"/>
      <c r="E36" s="154"/>
      <c r="F36" s="154"/>
      <c r="G36" s="154"/>
    </row>
    <row r="37" ht="24.75" customHeight="1" spans="1:7">
      <c r="A37" s="143"/>
      <c r="B37" s="200" t="s">
        <v>35</v>
      </c>
      <c r="C37" s="2" t="s">
        <v>36</v>
      </c>
      <c r="E37" s="154"/>
      <c r="F37" s="154"/>
      <c r="G37" s="154"/>
    </row>
    <row r="38" spans="2:7">
      <c r="B38" s="115" t="s">
        <v>37</v>
      </c>
      <c r="C38" s="201">
        <v>0.045</v>
      </c>
      <c r="E38" s="154"/>
      <c r="F38" s="154"/>
      <c r="G38" s="154"/>
    </row>
    <row r="39" spans="2:7">
      <c r="B39" s="115" t="s">
        <v>38</v>
      </c>
      <c r="C39" s="201">
        <f>STax_1/2</f>
        <v>0.0225</v>
      </c>
      <c r="E39" s="154"/>
      <c r="F39" s="154"/>
      <c r="G39" s="154"/>
    </row>
    <row r="41" spans="3:4">
      <c r="C41" s="202">
        <f>IF(C21=0,"NA",(C21-F6))</f>
        <v>0</v>
      </c>
      <c r="D41" s="203" t="s">
        <v>39</v>
      </c>
    </row>
  </sheetData>
  <protectedRanges>
    <protectedRange sqref="C17:C19" name="Range2" securityDescriptor=""/>
    <protectedRange sqref="C6:C11" name="Range1" securityDescriptor=""/>
    <protectedRange sqref="C14" name="Range1_1" securityDescriptor=""/>
  </protectedRanges>
  <sortState caseSensitive="0" columnSort="0" ref="T2:U24">
    <sortCondition descending="0" ref="T2:T24"/>
  </sortState>
  <mergeCells count="8">
    <mergeCell ref="B3:C3"/>
    <mergeCell ref="B4:C4"/>
    <mergeCell ref="B5:C5"/>
    <mergeCell ref="E5:F5"/>
    <mergeCell ref="B16:C16"/>
    <mergeCell ref="B23:D23"/>
    <mergeCell ref="B30:D30"/>
    <mergeCell ref="G9:I12"/>
  </mergeCells>
  <dataValidations count="7">
    <dataValidation type="decimal" operator="between" allowBlank="1" showInputMessage="1" showErrorMessage="1" prompt="Enter Decimal between 0 and 9." sqref="C18">
      <formula1>0</formula1>
      <formula2>9</formula2>
    </dataValidation>
    <dataValidation type="list" showInputMessage="1" showErrorMessage="1" sqref="C17">
      <formula1>"0%,25%,50%,75%,100%,125%,150%,175%,225%,275%,350%"</formula1>
    </dataValidation>
    <dataValidation type="list" showInputMessage="1" showErrorMessage="1" sqref="C9">
      <formula1>"M,F"</formula1>
    </dataValidation>
    <dataValidation type="list" allowBlank="1" showInputMessage="1" showErrorMessage="1" sqref="C8">
      <formula1>"Yearly,Monthly"</formula1>
    </dataValidation>
    <dataValidation type="whole" operator="between" allowBlank="1" showInputMessage="1" showErrorMessage="1" errorTitle="Entry Age not allowed" error="Enter age (last birthday) between 18 and 50 (For Annual mode) &amp; 40 (For Monthly Mode)." prompt="Enter age (last birthday) between 8 and 50 (For Annual mode and SA&lt;200000), 55(For Annual mode and SA&gt;200000) &amp; 45 (For Monthly Mode)." sqref="C7">
      <formula1>8</formula1>
      <formula2>55</formula2>
    </dataValidation>
    <dataValidation allowBlank="1" showInputMessage="1" showErrorMessage="1" prompt="If MMR is yes then &gt;1&#10;&#10;i.e 2,3,4....." sqref="C19"/>
    <dataValidation type="list" showInputMessage="1" showErrorMessage="1" sqref="C10:C11 C14">
      <formula1>"Yes,No"</formula1>
    </dataValidation>
  </dataValidations>
  <pageMargins left="0.699305555555556" right="0.699305555555556" top="0.75" bottom="0.75" header="0.3" footer="0.3"/>
  <pageSetup paperSize="9" orientation="portrait"/>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52"/>
  <sheetViews>
    <sheetView showGridLines="0" zoomScale="85" zoomScaleNormal="85" topLeftCell="B3" workbookViewId="0">
      <selection activeCell="G24" sqref="G24"/>
    </sheetView>
  </sheetViews>
  <sheetFormatPr defaultColWidth="9" defaultRowHeight="12.75"/>
  <cols>
    <col min="1" max="1" width="6.14285714285714" style="106" customWidth="1"/>
    <col min="2" max="2" width="9.85714285714286" style="106" customWidth="1"/>
    <col min="3" max="3" width="24.8571428571429" style="106" customWidth="1"/>
    <col min="4" max="4" width="7.71428571428571" style="106" customWidth="1"/>
    <col min="5" max="5" width="8.14285714285714" style="106" customWidth="1"/>
    <col min="6" max="6" width="8" style="106" customWidth="1"/>
    <col min="7" max="7" width="8.28571428571429" style="106" customWidth="1"/>
    <col min="8" max="8" width="7.57142857142857" style="106" customWidth="1"/>
    <col min="9" max="9" width="7.28571428571429" style="106" customWidth="1"/>
    <col min="10" max="12" width="7.57142857142857" style="106" customWidth="1"/>
    <col min="13" max="13" width="7" style="106" customWidth="1"/>
    <col min="14" max="14" width="6" style="106" customWidth="1"/>
    <col min="15" max="15" width="13.4285714285714" style="106" customWidth="1"/>
    <col min="16" max="16" width="17.8571428571429" style="106" customWidth="1"/>
    <col min="17" max="17" width="10.8571428571429" style="106" customWidth="1"/>
    <col min="18" max="18" width="34.2857142857143" style="106" customWidth="1"/>
    <col min="19" max="19" width="14.5714285714286" style="106" customWidth="1"/>
    <col min="20" max="20" width="12.7142857142857" style="106" customWidth="1"/>
    <col min="21" max="21" width="27.8571428571429" style="106" customWidth="1"/>
    <col min="22" max="22" width="19.8571428571429" style="106" customWidth="1"/>
    <col min="23" max="23" width="20.8571428571429" style="106" customWidth="1"/>
    <col min="24" max="24" width="9.14285714285714" style="106"/>
    <col min="25" max="26" width="13.7142857142857" style="106" customWidth="1"/>
    <col min="27" max="16384" width="9.14285714285714" style="106"/>
  </cols>
  <sheetData>
    <row r="1" spans="25:25">
      <c r="Y1" s="124">
        <f>+VLOOKUP("OK",$Y$5:$Z$18,2,0)</f>
        <v>5474770</v>
      </c>
    </row>
    <row r="2" spans="2:19">
      <c r="B2" s="2" t="s">
        <v>40</v>
      </c>
      <c r="C2" s="2"/>
      <c r="D2" s="2" t="s">
        <v>41</v>
      </c>
      <c r="E2" s="2"/>
      <c r="F2" s="2"/>
      <c r="G2" s="2"/>
      <c r="H2" s="2"/>
      <c r="I2" s="2"/>
      <c r="J2" s="2"/>
      <c r="K2" s="2"/>
      <c r="L2" s="2"/>
      <c r="M2" s="2"/>
      <c r="O2" s="113" t="s">
        <v>42</v>
      </c>
      <c r="P2" s="113"/>
      <c r="R2" s="107" t="s">
        <v>43</v>
      </c>
      <c r="S2" s="107"/>
    </row>
    <row r="3" ht="15" spans="2:26">
      <c r="B3" s="2" t="s">
        <v>44</v>
      </c>
      <c r="C3" s="2" t="s">
        <v>45</v>
      </c>
      <c r="D3" s="107">
        <v>0.25</v>
      </c>
      <c r="E3" s="107">
        <v>0.5</v>
      </c>
      <c r="F3" s="107">
        <v>0.75</v>
      </c>
      <c r="G3" s="107">
        <v>1</v>
      </c>
      <c r="H3" s="107">
        <v>1.25</v>
      </c>
      <c r="I3" s="107">
        <v>1.5</v>
      </c>
      <c r="J3" s="107">
        <v>1.75</v>
      </c>
      <c r="K3" s="107">
        <v>2.25</v>
      </c>
      <c r="L3" s="107">
        <v>2.75</v>
      </c>
      <c r="M3" s="107">
        <v>3.5</v>
      </c>
      <c r="O3" s="114" t="s">
        <v>46</v>
      </c>
      <c r="P3" s="107" t="s">
        <v>47</v>
      </c>
      <c r="R3" s="124"/>
      <c r="S3" s="125" t="s">
        <v>48</v>
      </c>
      <c r="T3" s="126" t="s">
        <v>49</v>
      </c>
      <c r="U3" s="126"/>
      <c r="Y3" s="144" t="s">
        <v>50</v>
      </c>
      <c r="Z3" s="144"/>
    </row>
    <row r="4" spans="2:25">
      <c r="B4" s="2"/>
      <c r="C4" s="2" t="str">
        <f>+CONCATENATE('Premium Calculation'!B13,PPT,'Premium Calculation'!B12,PT)</f>
        <v>PPT10PT16</v>
      </c>
      <c r="D4" s="107"/>
      <c r="E4" s="107"/>
      <c r="F4" s="107"/>
      <c r="G4" s="107"/>
      <c r="H4" s="107"/>
      <c r="I4" s="107"/>
      <c r="J4" s="107"/>
      <c r="K4" s="107"/>
      <c r="L4" s="107"/>
      <c r="M4" s="107"/>
      <c r="O4" s="115">
        <v>0</v>
      </c>
      <c r="P4" s="116">
        <v>0</v>
      </c>
      <c r="R4" s="124"/>
      <c r="S4" s="125"/>
      <c r="T4" s="126"/>
      <c r="U4" s="126"/>
      <c r="Y4" s="145"/>
    </row>
    <row r="5" spans="2:26">
      <c r="B5" s="108">
        <v>8</v>
      </c>
      <c r="C5" s="109">
        <v>127.49</v>
      </c>
      <c r="D5" s="110">
        <v>0.18</v>
      </c>
      <c r="E5" s="110">
        <v>0.37</v>
      </c>
      <c r="F5" s="110">
        <v>0.55</v>
      </c>
      <c r="G5" s="110">
        <v>0.73</v>
      </c>
      <c r="H5" s="110">
        <v>0.91</v>
      </c>
      <c r="I5" s="110">
        <v>1.1</v>
      </c>
      <c r="J5" s="110">
        <v>1.28</v>
      </c>
      <c r="K5" s="110">
        <v>1.64</v>
      </c>
      <c r="L5" s="110">
        <v>2</v>
      </c>
      <c r="M5" s="110">
        <v>2.55</v>
      </c>
      <c r="N5" s="117"/>
      <c r="O5" s="115">
        <v>200000</v>
      </c>
      <c r="P5" s="116">
        <v>6</v>
      </c>
      <c r="R5" s="127" t="s">
        <v>51</v>
      </c>
      <c r="S5" s="128">
        <f>VLOOKUP(Age,RATES,2,FALSE)</f>
        <v>131.55</v>
      </c>
      <c r="T5" s="129">
        <f>Base_Prem</f>
        <v>131.55</v>
      </c>
      <c r="U5" s="130"/>
      <c r="Z5" s="146">
        <f>+(((ROUND((VLOOKUP(Age,RATES,2,FALSE)-P9)*(1-Direct_Discount),2)*MAX(1,Tot_MMR_Extra)+IFERROR(VLOOKUP(Age,RATES,MATCH(EM_PC,RATES_HEADINGS),FALSE),0)+Tot_Flat_Extra)*VLOOKUP(Prem_Mode,'Product Data n Calcs'!$O$14:$P$15,2,0)))</f>
        <v>10.8045</v>
      </c>
    </row>
    <row r="6" spans="1:26">
      <c r="A6" s="111"/>
      <c r="B6" s="108">
        <v>9</v>
      </c>
      <c r="C6" s="109">
        <v>127.49</v>
      </c>
      <c r="D6" s="110">
        <v>0.19</v>
      </c>
      <c r="E6" s="110">
        <v>0.37</v>
      </c>
      <c r="F6" s="110">
        <v>0.55</v>
      </c>
      <c r="G6" s="110">
        <v>0.74</v>
      </c>
      <c r="H6" s="110">
        <v>0.92</v>
      </c>
      <c r="I6" s="110">
        <v>1.11</v>
      </c>
      <c r="J6" s="110">
        <v>1.29</v>
      </c>
      <c r="K6" s="110">
        <v>1.66</v>
      </c>
      <c r="L6" s="110">
        <v>2.03</v>
      </c>
      <c r="M6" s="110">
        <v>2.58</v>
      </c>
      <c r="N6" s="117"/>
      <c r="O6" s="115">
        <v>300000</v>
      </c>
      <c r="P6" s="116">
        <v>8.1</v>
      </c>
      <c r="R6" s="127" t="s">
        <v>52</v>
      </c>
      <c r="S6" s="128">
        <f>VLOOKUP(SA,$O$4:$P$9,2,TRUE)</f>
        <v>11.5</v>
      </c>
      <c r="T6" s="129">
        <f>SA_Rebate</f>
        <v>11.5</v>
      </c>
      <c r="Y6" s="124" t="str">
        <f>IF(Z6&gt;=O9,"OK","Not OK")</f>
        <v>OK</v>
      </c>
      <c r="Z6" s="147">
        <f>IFERROR(ROUND(IF(ST_Indicator="No",('Premium Calculation'!$F$6*1000/Z5),(('Premium Calculation'!$F$6/(1+STax_1))*1000/Z5)),0),0)</f>
        <v>5474770</v>
      </c>
    </row>
    <row r="7" spans="1:26">
      <c r="A7" s="111"/>
      <c r="B7" s="108">
        <v>10</v>
      </c>
      <c r="C7" s="109">
        <v>127.52</v>
      </c>
      <c r="D7" s="110">
        <v>0.19</v>
      </c>
      <c r="E7" s="110">
        <v>0.38</v>
      </c>
      <c r="F7" s="110">
        <v>0.58</v>
      </c>
      <c r="G7" s="110">
        <v>0.77</v>
      </c>
      <c r="H7" s="110">
        <v>0.96</v>
      </c>
      <c r="I7" s="110">
        <v>1.15</v>
      </c>
      <c r="J7" s="110">
        <v>1.34</v>
      </c>
      <c r="K7" s="110">
        <v>1.72</v>
      </c>
      <c r="L7" s="110">
        <v>2.1</v>
      </c>
      <c r="M7" s="110">
        <v>2.68</v>
      </c>
      <c r="N7" s="117"/>
      <c r="O7" s="115">
        <v>500000</v>
      </c>
      <c r="P7" s="116">
        <v>9.7</v>
      </c>
      <c r="R7" s="127" t="s">
        <v>53</v>
      </c>
      <c r="S7" s="131">
        <f>(Direct_sale="Yes")*P29</f>
        <v>0</v>
      </c>
      <c r="T7" s="132">
        <f>Direct_Discount</f>
        <v>0</v>
      </c>
      <c r="U7" s="133" t="s">
        <v>54</v>
      </c>
      <c r="Z7" s="148">
        <f>+IF(Y6="Not Ok",((ROUND((VLOOKUP(Age,RATES,2,FALSE)-P8)*(1-Direct_Discount),2)*MAX(1,Tot_MMR_Extra)+IFERROR(VLOOKUP(Age,RATES,MATCH(EM_PC,RATES_HEADINGS),FALSE),0)+Tot_Flat_Extra)*VLOOKUP(Prem_Mode,'Product Data n Calcs'!$O$14:$P$15,2,0)),0)</f>
        <v>0</v>
      </c>
    </row>
    <row r="8" spans="1:26">
      <c r="A8" s="111"/>
      <c r="B8" s="108">
        <v>11</v>
      </c>
      <c r="C8" s="112">
        <v>127.57</v>
      </c>
      <c r="D8" s="110">
        <v>0.2</v>
      </c>
      <c r="E8" s="110">
        <v>0.41</v>
      </c>
      <c r="F8" s="110">
        <v>0.61</v>
      </c>
      <c r="G8" s="110">
        <v>0.81</v>
      </c>
      <c r="H8" s="110">
        <v>1.01</v>
      </c>
      <c r="I8" s="110">
        <v>1.21</v>
      </c>
      <c r="J8" s="110">
        <v>1.42</v>
      </c>
      <c r="K8" s="110">
        <v>1.82</v>
      </c>
      <c r="L8" s="110">
        <v>2.22</v>
      </c>
      <c r="M8" s="110">
        <v>2.82</v>
      </c>
      <c r="N8" s="117"/>
      <c r="O8" s="115">
        <v>1000000</v>
      </c>
      <c r="P8" s="116">
        <v>10.9</v>
      </c>
      <c r="R8" s="127" t="s">
        <v>55</v>
      </c>
      <c r="S8" s="128">
        <f>(S5-S6)*(1-Direct_Discount)</f>
        <v>120.05</v>
      </c>
      <c r="T8" s="129">
        <f>(T5-T6)*(1-T7)</f>
        <v>120.05</v>
      </c>
      <c r="U8" s="134">
        <f>ROUND(T8*SA/1000*IF(Prem_Mode="Monthly",0.09,1),0)*IF(Prem_Mode="Monthly",12,1)</f>
        <v>709824</v>
      </c>
      <c r="Y8" s="124" t="str">
        <f>IF(Z8&gt;=O8,"OK","Not OK")</f>
        <v>Not OK</v>
      </c>
      <c r="Z8" s="147">
        <f>IFERROR(ROUND(IF(ST_Indicator="No",('Premium Calculation'!$F$6*1000/Z7),(('Premium Calculation'!$F$6/(1+STax_1))*1000/Z7)),0),0)</f>
        <v>0</v>
      </c>
    </row>
    <row r="9" spans="1:26">
      <c r="A9" s="111"/>
      <c r="B9" s="108">
        <v>12</v>
      </c>
      <c r="C9" s="112">
        <v>127.62</v>
      </c>
      <c r="D9" s="110">
        <v>0.22</v>
      </c>
      <c r="E9" s="110">
        <v>0.43</v>
      </c>
      <c r="F9" s="110">
        <v>0.65</v>
      </c>
      <c r="G9" s="110">
        <v>0.86</v>
      </c>
      <c r="H9" s="110">
        <v>1.07</v>
      </c>
      <c r="I9" s="110">
        <v>1.29</v>
      </c>
      <c r="J9" s="110">
        <v>1.5</v>
      </c>
      <c r="K9" s="110">
        <v>1.93</v>
      </c>
      <c r="L9" s="110">
        <v>2.36</v>
      </c>
      <c r="M9" s="110">
        <v>3</v>
      </c>
      <c r="N9" s="117"/>
      <c r="O9" s="115">
        <v>2000000</v>
      </c>
      <c r="P9" s="116">
        <v>11.5</v>
      </c>
      <c r="R9" s="127" t="s">
        <v>56</v>
      </c>
      <c r="S9" s="131">
        <f>IF(AND(Staff_Case="Yes",Direct_sale="Yes"),0,((Staff_Case="Yes")*VLOOKUP(PPT,$O$22:$P$22,2,TRUE)))</f>
        <v>0</v>
      </c>
      <c r="T9" s="132">
        <f>Staff_Discount</f>
        <v>0</v>
      </c>
      <c r="U9" s="135"/>
      <c r="Z9" s="148">
        <f>+IF(Y8="Not Ok",((ROUND((VLOOKUP(Age,RATES,2,FALSE)-P7)*(1-Direct_Discount),2)*MAX(1,Tot_MMR_Extra)+IFERROR(VLOOKUP(Age,RATES,MATCH(EM_PC,RATES_HEADINGS),FALSE),0)+Tot_Flat_Extra)*VLOOKUP(Prem_Mode,'Product Data n Calcs'!$O$14:$P$15,2,0)),0)</f>
        <v>10.9665</v>
      </c>
    </row>
    <row r="10" spans="1:26">
      <c r="A10" s="111"/>
      <c r="B10" s="108">
        <v>13</v>
      </c>
      <c r="C10" s="112">
        <v>127.67</v>
      </c>
      <c r="D10" s="110">
        <v>0.23</v>
      </c>
      <c r="E10" s="110">
        <v>0.46</v>
      </c>
      <c r="F10" s="110">
        <v>0.69</v>
      </c>
      <c r="G10" s="110">
        <v>0.91</v>
      </c>
      <c r="H10" s="110">
        <v>1.14</v>
      </c>
      <c r="I10" s="110">
        <v>1.37</v>
      </c>
      <c r="J10" s="110">
        <v>1.6</v>
      </c>
      <c r="K10" s="110">
        <v>2.05</v>
      </c>
      <c r="L10" s="110">
        <v>2.51</v>
      </c>
      <c r="M10" s="110">
        <v>3.19</v>
      </c>
      <c r="N10" s="117"/>
      <c r="O10" s="115"/>
      <c r="P10" s="116"/>
      <c r="R10" s="127" t="s">
        <v>57</v>
      </c>
      <c r="S10" s="128">
        <f>(Prem_after_rebate*(1-Staff_Discount))</f>
        <v>120.05</v>
      </c>
      <c r="T10" s="129">
        <f>T8*(1-T9)</f>
        <v>120.05</v>
      </c>
      <c r="U10" s="135"/>
      <c r="Y10" s="124" t="str">
        <f>IF(Z10&gt;=O7,"OK","Not OK")</f>
        <v>OK</v>
      </c>
      <c r="Z10" s="147">
        <f>IFERROR(ROUND(IF(ST_Indicator="No",('Premium Calculation'!$F$6*1000/Z9),(('Premium Calculation'!$F$6/(1+STax_1))*1000/Z9)),0),0)</f>
        <v>5393895</v>
      </c>
    </row>
    <row r="11" spans="1:26">
      <c r="A11" s="111"/>
      <c r="B11" s="108">
        <v>14</v>
      </c>
      <c r="C11" s="112">
        <v>127.72</v>
      </c>
      <c r="D11" s="110">
        <v>0.24</v>
      </c>
      <c r="E11" s="110">
        <v>0.48</v>
      </c>
      <c r="F11" s="110">
        <v>0.73</v>
      </c>
      <c r="G11" s="110">
        <v>0.97</v>
      </c>
      <c r="H11" s="110">
        <v>1.21</v>
      </c>
      <c r="I11" s="110">
        <v>1.45</v>
      </c>
      <c r="J11" s="110">
        <v>1.69</v>
      </c>
      <c r="K11" s="110">
        <v>2.18</v>
      </c>
      <c r="L11" s="110">
        <v>2.66</v>
      </c>
      <c r="M11" s="110">
        <v>3.38</v>
      </c>
      <c r="N11" s="117"/>
      <c r="O11" s="115"/>
      <c r="P11" s="116"/>
      <c r="R11" s="127" t="s">
        <v>29</v>
      </c>
      <c r="S11" s="128">
        <f>Flat_Extra</f>
        <v>0</v>
      </c>
      <c r="T11" s="129">
        <f>Tot_Flat_Extra</f>
        <v>0</v>
      </c>
      <c r="Z11" s="148">
        <f>+IF(Y10="Not Ok",((ROUND((VLOOKUP(Age,RATES,2,FALSE)-P6)*(1-Direct_Discount),2)*MAX(1,Tot_MMR_Extra)+IFERROR(VLOOKUP(Age,RATES,MATCH(EM_PC,RATES_HEADINGS),FALSE),0)+Tot_Flat_Extra)*VLOOKUP(Prem_Mode,'Product Data n Calcs'!$O$14:$P$15,2,0)),0)</f>
        <v>0</v>
      </c>
    </row>
    <row r="12" spans="1:26">
      <c r="A12" s="111"/>
      <c r="B12" s="108">
        <v>15</v>
      </c>
      <c r="C12" s="112">
        <v>127.78</v>
      </c>
      <c r="D12" s="110">
        <v>0.26</v>
      </c>
      <c r="E12" s="110">
        <v>0.51</v>
      </c>
      <c r="F12" s="110">
        <v>0.77</v>
      </c>
      <c r="G12" s="110">
        <v>1.02</v>
      </c>
      <c r="H12" s="110">
        <v>1.28</v>
      </c>
      <c r="I12" s="110">
        <v>1.53</v>
      </c>
      <c r="J12" s="110">
        <v>1.78</v>
      </c>
      <c r="K12" s="110">
        <v>2.29</v>
      </c>
      <c r="L12" s="110">
        <v>2.8</v>
      </c>
      <c r="M12" s="110">
        <v>3.56</v>
      </c>
      <c r="N12" s="117"/>
      <c r="R12" s="127" t="s">
        <v>58</v>
      </c>
      <c r="S12" s="128">
        <f>EM_PC</f>
        <v>0</v>
      </c>
      <c r="T12" s="129">
        <f>EMR_Rating</f>
        <v>0</v>
      </c>
      <c r="Y12" s="124" t="str">
        <f>IF(Z12&gt;=O6,"OK","Not OK")</f>
        <v>Not OK</v>
      </c>
      <c r="Z12" s="147">
        <f>IFERROR(ROUND(IF(ST_Indicator="No",('Premium Calculation'!$F$6*1000/Z11),(('Premium Calculation'!$F$6/(1+STax_1))*1000/Z11)),0),0)</f>
        <v>0</v>
      </c>
    </row>
    <row r="13" spans="1:26">
      <c r="A13" s="111"/>
      <c r="B13" s="108">
        <v>16</v>
      </c>
      <c r="C13" s="112">
        <v>127.82</v>
      </c>
      <c r="D13" s="110">
        <v>0.27</v>
      </c>
      <c r="E13" s="110">
        <v>0.53</v>
      </c>
      <c r="F13" s="110">
        <v>0.8</v>
      </c>
      <c r="G13" s="110">
        <v>1.07</v>
      </c>
      <c r="H13" s="110">
        <v>1.34</v>
      </c>
      <c r="I13" s="110">
        <v>1.6</v>
      </c>
      <c r="J13" s="110">
        <v>1.87</v>
      </c>
      <c r="K13" s="110">
        <v>2.4</v>
      </c>
      <c r="L13" s="110">
        <v>2.93</v>
      </c>
      <c r="M13" s="110">
        <v>3.73</v>
      </c>
      <c r="N13" s="117"/>
      <c r="O13" s="107" t="s">
        <v>12</v>
      </c>
      <c r="P13" s="107" t="s">
        <v>59</v>
      </c>
      <c r="R13" s="127" t="s">
        <v>60</v>
      </c>
      <c r="S13" s="128">
        <f>IFERROR(VLOOKUP(Age,RATES,MATCH(EM_PC,RATES_HEADINGS),FALSE),0)</f>
        <v>0</v>
      </c>
      <c r="T13" s="129">
        <f>EMR_Rate</f>
        <v>0</v>
      </c>
      <c r="Z13" s="148">
        <f>+IF(Y12="Not Ok",((ROUND((VLOOKUP(Age,RATES,2,FALSE)-P5)*(1-Direct_Discount),2)*MAX(1,Tot_MMR_Extra)+IFERROR(VLOOKUP(Age,RATES,MATCH(EM_PC,RATES_HEADINGS),FALSE),0)+Tot_Flat_Extra)*VLOOKUP(Prem_Mode,'Product Data n Calcs'!$O$14:$P$15,2,0)),0)</f>
        <v>11.2995</v>
      </c>
    </row>
    <row r="14" spans="1:26">
      <c r="A14" s="111"/>
      <c r="B14" s="108">
        <v>17</v>
      </c>
      <c r="C14" s="112">
        <v>127.87</v>
      </c>
      <c r="D14" s="110">
        <v>0.28</v>
      </c>
      <c r="E14" s="110">
        <v>0.56</v>
      </c>
      <c r="F14" s="110">
        <v>0.83</v>
      </c>
      <c r="G14" s="110">
        <v>1.11</v>
      </c>
      <c r="H14" s="110">
        <v>1.39</v>
      </c>
      <c r="I14" s="110">
        <v>1.67</v>
      </c>
      <c r="J14" s="110">
        <v>1.94</v>
      </c>
      <c r="K14" s="110">
        <v>2.5</v>
      </c>
      <c r="L14" s="110">
        <v>3.05</v>
      </c>
      <c r="M14" s="110">
        <v>3.88</v>
      </c>
      <c r="N14" s="117"/>
      <c r="O14" s="115" t="s">
        <v>61</v>
      </c>
      <c r="P14" s="112">
        <v>1</v>
      </c>
      <c r="R14" s="127" t="s">
        <v>30</v>
      </c>
      <c r="S14" s="128">
        <f>MMR_Extra</f>
        <v>0</v>
      </c>
      <c r="T14" s="129">
        <f>Tot_MMR_Extra</f>
        <v>0</v>
      </c>
      <c r="Y14" s="124" t="str">
        <f>IF(Z14&gt;=O5,"OK","Not OK")</f>
        <v>OK</v>
      </c>
      <c r="Z14" s="147">
        <f>IFERROR(ROUND(IF(ST_Indicator="No",('Premium Calculation'!$F$6*1000/Z13),(('Premium Calculation'!$F$6/(1+STax_1))*1000/Z13)),0),0)</f>
        <v>5234935</v>
      </c>
    </row>
    <row r="15" spans="1:26">
      <c r="A15" s="111"/>
      <c r="B15" s="108">
        <v>18</v>
      </c>
      <c r="C15" s="112">
        <v>127.91</v>
      </c>
      <c r="D15" s="110">
        <v>0.29</v>
      </c>
      <c r="E15" s="110">
        <v>0.58</v>
      </c>
      <c r="F15" s="110">
        <v>0.86</v>
      </c>
      <c r="G15" s="110">
        <v>1.15</v>
      </c>
      <c r="H15" s="110">
        <v>1.44</v>
      </c>
      <c r="I15" s="110">
        <v>1.72</v>
      </c>
      <c r="J15" s="110">
        <v>2.01</v>
      </c>
      <c r="K15" s="110">
        <v>2.58</v>
      </c>
      <c r="L15" s="110">
        <v>3.16</v>
      </c>
      <c r="M15" s="110">
        <v>4.02</v>
      </c>
      <c r="N15" s="117"/>
      <c r="O15" s="115" t="s">
        <v>13</v>
      </c>
      <c r="P15" s="116">
        <v>0.09</v>
      </c>
      <c r="R15" s="127" t="s">
        <v>62</v>
      </c>
      <c r="S15" s="128">
        <f>Tot_Flat_Extra+EMR_Rate+MAX(Tot_MMR_Extra-1,0)*Net_Prem_Rate</f>
        <v>0</v>
      </c>
      <c r="T15" s="129">
        <f>T13+T11+MAX(T14-1,0)*T10</f>
        <v>0</v>
      </c>
      <c r="Z15" s="148">
        <f>+IF(Y14="Not Ok",((ROUND((VLOOKUP(Age,RATES,2,FALSE)-P4)*(1-Direct_Discount),2)*MAX(1,Tot_MMR_Extra)+IFERROR(VLOOKUP(Age,RATES,MATCH(EM_PC,RATES_HEADINGS),FALSE),0)+Tot_Flat_Extra)*VLOOKUP(Prem_Mode,'Product Data n Calcs'!$O$14:$P$15,2,0)),0)</f>
        <v>0</v>
      </c>
    </row>
    <row r="16" spans="1:26">
      <c r="A16" s="111"/>
      <c r="B16" s="108">
        <v>19</v>
      </c>
      <c r="C16" s="112">
        <v>127.94</v>
      </c>
      <c r="D16" s="110">
        <v>0.3</v>
      </c>
      <c r="E16" s="110">
        <v>0.59</v>
      </c>
      <c r="F16" s="110">
        <v>0.89</v>
      </c>
      <c r="G16" s="110">
        <v>1.18</v>
      </c>
      <c r="H16" s="110">
        <v>1.48</v>
      </c>
      <c r="I16" s="110">
        <v>1.78</v>
      </c>
      <c r="J16" s="110">
        <v>2.07</v>
      </c>
      <c r="K16" s="110">
        <v>2.66</v>
      </c>
      <c r="L16" s="110">
        <v>3.25</v>
      </c>
      <c r="M16" s="110">
        <v>4.14</v>
      </c>
      <c r="R16" s="127" t="s">
        <v>63</v>
      </c>
      <c r="S16" s="128">
        <f>Tot_Flat_Extra+EMR_Rate+MAX(Tot_MMR_Extra-1,0)*Prem_after_rebate</f>
        <v>0</v>
      </c>
      <c r="T16" s="129">
        <f>T13+T11+MAX(T14-1,0)*T8</f>
        <v>0</v>
      </c>
      <c r="U16" s="133" t="s">
        <v>64</v>
      </c>
      <c r="Y16" s="124" t="str">
        <f>IF(Z16&gt;=O4,"OK","Not OK")</f>
        <v>OK</v>
      </c>
      <c r="Z16" s="147">
        <f>IFERROR(ROUND(IF(ST_Indicator="No",('Premium Calculation'!$F$6*1000/Z15),(('Premium Calculation'!$F$6/(1+STax_1))*1000/Z15)),0),0)</f>
        <v>0</v>
      </c>
    </row>
    <row r="17" spans="1:26">
      <c r="A17" s="111"/>
      <c r="B17" s="108">
        <v>20</v>
      </c>
      <c r="C17" s="112">
        <v>127.97</v>
      </c>
      <c r="D17" s="110">
        <v>0.3</v>
      </c>
      <c r="E17" s="110">
        <v>0.61</v>
      </c>
      <c r="F17" s="110">
        <v>0.91</v>
      </c>
      <c r="G17" s="110">
        <v>1.22</v>
      </c>
      <c r="H17" s="110">
        <v>1.52</v>
      </c>
      <c r="I17" s="110">
        <v>1.82</v>
      </c>
      <c r="J17" s="110">
        <v>2.13</v>
      </c>
      <c r="K17" s="110">
        <v>2.73</v>
      </c>
      <c r="L17" s="110">
        <v>3.34</v>
      </c>
      <c r="M17" s="110">
        <v>4.25</v>
      </c>
      <c r="R17" s="127" t="s">
        <v>65</v>
      </c>
      <c r="S17" s="128">
        <f>ROUND(Net_Prem_Rate+Net_EMR_Rate,2)</f>
        <v>120.05</v>
      </c>
      <c r="T17" s="129">
        <f>ROUND(T10+T15,2)</f>
        <v>120.05</v>
      </c>
      <c r="U17" s="134">
        <f>ROUND(T10*T19,0)</f>
        <v>59152</v>
      </c>
      <c r="V17" s="136" t="s">
        <v>66</v>
      </c>
      <c r="W17" s="137"/>
      <c r="Z17" s="148"/>
    </row>
    <row r="18" ht="16.5" customHeight="1" spans="1:26">
      <c r="A18" s="111"/>
      <c r="B18" s="108">
        <v>21</v>
      </c>
      <c r="C18" s="112">
        <v>128</v>
      </c>
      <c r="D18" s="110">
        <v>0.31</v>
      </c>
      <c r="E18" s="110">
        <v>0.62</v>
      </c>
      <c r="F18" s="110">
        <v>0.94</v>
      </c>
      <c r="G18" s="110">
        <v>1.25</v>
      </c>
      <c r="H18" s="110">
        <v>1.56</v>
      </c>
      <c r="I18" s="110">
        <v>1.87</v>
      </c>
      <c r="J18" s="110">
        <v>2.18</v>
      </c>
      <c r="K18" s="110">
        <v>2.8</v>
      </c>
      <c r="L18" s="110">
        <v>3.42</v>
      </c>
      <c r="M18" s="110">
        <v>4.36</v>
      </c>
      <c r="R18" s="127" t="s">
        <v>67</v>
      </c>
      <c r="S18" s="128">
        <f>ROUND(Prem_after_rebate+Net_EMR_rate_yr2,2)</f>
        <v>120.05</v>
      </c>
      <c r="T18" s="129">
        <f>T8+T16</f>
        <v>120.05</v>
      </c>
      <c r="U18" s="134">
        <f>ROUND(T8*T19,0)</f>
        <v>59152</v>
      </c>
      <c r="V18" s="136" t="s">
        <v>68</v>
      </c>
      <c r="W18" s="137"/>
      <c r="Y18" s="124"/>
      <c r="Z18" s="147"/>
    </row>
    <row r="19" spans="1:21">
      <c r="A19" s="111"/>
      <c r="B19" s="108">
        <v>22</v>
      </c>
      <c r="C19" s="112">
        <v>128.03</v>
      </c>
      <c r="D19" s="110">
        <v>0.32</v>
      </c>
      <c r="E19" s="110">
        <v>0.64</v>
      </c>
      <c r="F19" s="110">
        <v>0.96</v>
      </c>
      <c r="G19" s="110">
        <v>1.28</v>
      </c>
      <c r="H19" s="110">
        <v>1.6</v>
      </c>
      <c r="I19" s="110">
        <v>1.92</v>
      </c>
      <c r="J19" s="110">
        <v>2.23</v>
      </c>
      <c r="K19" s="110">
        <v>2.87</v>
      </c>
      <c r="L19" s="110">
        <v>3.51</v>
      </c>
      <c r="M19" s="110">
        <v>4.46</v>
      </c>
      <c r="R19" s="127" t="s">
        <v>69</v>
      </c>
      <c r="S19" s="128">
        <f>SA/1000*VLOOKUP(Prem_Mode,$O$14:$P$15,2,FALSE)</f>
        <v>492.7293</v>
      </c>
      <c r="T19" s="129">
        <f>SA_by_1000_n_Modal_Factor</f>
        <v>492.7293</v>
      </c>
      <c r="U19" s="130"/>
    </row>
    <row r="20" spans="1:13">
      <c r="A20" s="111"/>
      <c r="B20" s="108">
        <v>23</v>
      </c>
      <c r="C20" s="112">
        <v>128.07</v>
      </c>
      <c r="D20" s="110">
        <v>0.33</v>
      </c>
      <c r="E20" s="110">
        <v>0.66</v>
      </c>
      <c r="F20" s="110">
        <v>0.98</v>
      </c>
      <c r="G20" s="110">
        <v>1.31</v>
      </c>
      <c r="H20" s="110">
        <v>1.64</v>
      </c>
      <c r="I20" s="110">
        <v>1.97</v>
      </c>
      <c r="J20" s="110">
        <v>2.29</v>
      </c>
      <c r="K20" s="110">
        <v>2.94</v>
      </c>
      <c r="L20" s="110">
        <v>3.6</v>
      </c>
      <c r="M20" s="110">
        <v>4.58</v>
      </c>
    </row>
    <row r="21" spans="1:23">
      <c r="A21" s="111"/>
      <c r="B21" s="108">
        <v>24</v>
      </c>
      <c r="C21" s="112">
        <v>128.11</v>
      </c>
      <c r="D21" s="110">
        <v>0.34</v>
      </c>
      <c r="E21" s="110">
        <v>0.68</v>
      </c>
      <c r="F21" s="110">
        <v>1.01</v>
      </c>
      <c r="G21" s="110">
        <v>1.35</v>
      </c>
      <c r="H21" s="110">
        <v>1.69</v>
      </c>
      <c r="I21" s="110">
        <v>2.02</v>
      </c>
      <c r="J21" s="110">
        <v>2.36</v>
      </c>
      <c r="K21" s="110">
        <v>3.03</v>
      </c>
      <c r="L21" s="110">
        <v>3.7</v>
      </c>
      <c r="M21" s="110">
        <v>4.71</v>
      </c>
      <c r="O21" s="118" t="s">
        <v>3</v>
      </c>
      <c r="P21" s="118" t="s">
        <v>56</v>
      </c>
      <c r="R21" s="107" t="s">
        <v>70</v>
      </c>
      <c r="S21" s="107"/>
      <c r="T21" s="107"/>
      <c r="W21" s="138"/>
    </row>
    <row r="22" ht="25.5" spans="1:23">
      <c r="A22" s="111"/>
      <c r="B22" s="108">
        <v>25</v>
      </c>
      <c r="C22" s="112">
        <v>128.15</v>
      </c>
      <c r="D22" s="110">
        <v>0.35</v>
      </c>
      <c r="E22" s="110">
        <v>0.7</v>
      </c>
      <c r="F22" s="110">
        <v>1.04</v>
      </c>
      <c r="G22" s="110">
        <v>1.39</v>
      </c>
      <c r="H22" s="110">
        <v>1.74</v>
      </c>
      <c r="I22" s="110">
        <v>2.09</v>
      </c>
      <c r="J22" s="110">
        <v>2.43</v>
      </c>
      <c r="K22" s="110">
        <v>3.13</v>
      </c>
      <c r="L22" s="110">
        <v>3.82</v>
      </c>
      <c r="M22" s="110">
        <v>4.86</v>
      </c>
      <c r="O22" s="119">
        <v>10</v>
      </c>
      <c r="P22" s="120">
        <v>0.15</v>
      </c>
      <c r="R22" s="139" t="s">
        <v>71</v>
      </c>
      <c r="S22" s="140">
        <f>ROUND(Tot_Prem_Rate_Yr1*SA_by_1000_n_Modal_Factor,2)</f>
        <v>59152.15</v>
      </c>
      <c r="T22" s="134">
        <f>ROUND(Tot_Prem_Rate_Oasis_Yr1*T19,0)</f>
        <v>59152</v>
      </c>
      <c r="U22" s="141"/>
      <c r="W22" s="138"/>
    </row>
    <row r="23" ht="15" spans="1:23">
      <c r="A23" s="111"/>
      <c r="B23" s="108">
        <v>26</v>
      </c>
      <c r="C23" s="112">
        <v>128.2</v>
      </c>
      <c r="D23" s="110">
        <v>0.36</v>
      </c>
      <c r="E23" s="110">
        <v>0.72</v>
      </c>
      <c r="F23" s="110">
        <v>1.08</v>
      </c>
      <c r="G23" s="110">
        <v>1.44</v>
      </c>
      <c r="H23" s="110">
        <v>1.8</v>
      </c>
      <c r="I23" s="110">
        <v>2.16</v>
      </c>
      <c r="J23" s="110">
        <v>2.52</v>
      </c>
      <c r="K23" s="110">
        <v>3.24</v>
      </c>
      <c r="L23" s="110">
        <v>3.96</v>
      </c>
      <c r="M23" s="110">
        <v>5.04</v>
      </c>
      <c r="O23"/>
      <c r="P23"/>
      <c r="R23" s="139" t="s">
        <v>72</v>
      </c>
      <c r="S23" s="140">
        <f>ROUND((S22)*STax_1,2)</f>
        <v>2661.85</v>
      </c>
      <c r="T23" s="142">
        <f>T22*STax_1</f>
        <v>2661.84</v>
      </c>
      <c r="W23" s="138"/>
    </row>
    <row r="24" ht="16.5" customHeight="1" spans="1:23">
      <c r="A24" s="111"/>
      <c r="B24" s="108">
        <v>27</v>
      </c>
      <c r="C24" s="112">
        <v>128.21</v>
      </c>
      <c r="D24" s="110">
        <v>0.38</v>
      </c>
      <c r="E24" s="110">
        <v>0.75</v>
      </c>
      <c r="F24" s="110">
        <v>1.13</v>
      </c>
      <c r="G24" s="110">
        <v>1.5</v>
      </c>
      <c r="H24" s="110">
        <v>1.88</v>
      </c>
      <c r="I24" s="110">
        <v>2.25</v>
      </c>
      <c r="J24" s="110">
        <v>2.63</v>
      </c>
      <c r="K24" s="110">
        <v>3.38</v>
      </c>
      <c r="L24" s="110">
        <v>4.13</v>
      </c>
      <c r="M24" s="110">
        <v>5.25</v>
      </c>
      <c r="O24"/>
      <c r="P24"/>
      <c r="R24" s="139" t="s">
        <v>73</v>
      </c>
      <c r="S24" s="140">
        <f>S22+S23</f>
        <v>61814</v>
      </c>
      <c r="T24" s="134">
        <f>T22+T23</f>
        <v>61813.84</v>
      </c>
      <c r="W24" s="138"/>
    </row>
    <row r="25" ht="15" spans="1:23">
      <c r="A25" s="111"/>
      <c r="B25" s="108">
        <v>28</v>
      </c>
      <c r="C25" s="112">
        <v>128.23</v>
      </c>
      <c r="D25" s="110">
        <v>0.4</v>
      </c>
      <c r="E25" s="110">
        <v>0.79</v>
      </c>
      <c r="F25" s="110">
        <v>1.18</v>
      </c>
      <c r="G25" s="110">
        <v>1.58</v>
      </c>
      <c r="H25" s="110">
        <v>1.97</v>
      </c>
      <c r="I25" s="110">
        <v>2.36</v>
      </c>
      <c r="J25" s="110">
        <v>2.75</v>
      </c>
      <c r="K25" s="110">
        <v>3.54</v>
      </c>
      <c r="L25" s="110">
        <v>4.32</v>
      </c>
      <c r="M25" s="110">
        <v>5.51</v>
      </c>
      <c r="O25"/>
      <c r="P25"/>
      <c r="R25" s="139" t="s">
        <v>74</v>
      </c>
      <c r="S25" s="140">
        <f>S22*IF(Prem_Mode="Monthly",12,1)</f>
        <v>709825.8</v>
      </c>
      <c r="T25" s="134">
        <f>T22*IF(Prem_Mode="Monthly",12,1)</f>
        <v>709824</v>
      </c>
      <c r="W25" s="138"/>
    </row>
    <row r="26" ht="15" spans="1:19">
      <c r="A26" s="111"/>
      <c r="B26" s="108">
        <v>29</v>
      </c>
      <c r="C26" s="112">
        <v>128.26</v>
      </c>
      <c r="D26" s="110">
        <v>0.42</v>
      </c>
      <c r="E26" s="110">
        <v>0.83</v>
      </c>
      <c r="F26" s="110">
        <v>1.25</v>
      </c>
      <c r="G26" s="110">
        <v>1.66</v>
      </c>
      <c r="H26" s="110">
        <v>2.08</v>
      </c>
      <c r="I26" s="110">
        <v>2.49</v>
      </c>
      <c r="J26" s="110">
        <v>2.9</v>
      </c>
      <c r="K26" s="110">
        <v>3.73</v>
      </c>
      <c r="L26" s="110">
        <v>4.56</v>
      </c>
      <c r="M26" s="110">
        <v>5.81</v>
      </c>
      <c r="O26"/>
      <c r="P26"/>
      <c r="R26" s="143"/>
      <c r="S26" s="143"/>
    </row>
    <row r="27" ht="15" spans="1:22">
      <c r="A27" s="111"/>
      <c r="B27" s="108">
        <v>30</v>
      </c>
      <c r="C27" s="112">
        <v>128.31</v>
      </c>
      <c r="D27" s="110">
        <v>0.44</v>
      </c>
      <c r="E27" s="110">
        <v>0.88</v>
      </c>
      <c r="F27" s="110">
        <v>1.33</v>
      </c>
      <c r="G27" s="110">
        <v>1.77</v>
      </c>
      <c r="H27" s="110">
        <v>2.2</v>
      </c>
      <c r="I27" s="110">
        <v>2.64</v>
      </c>
      <c r="J27" s="110">
        <v>3.08</v>
      </c>
      <c r="K27" s="110">
        <v>3.96</v>
      </c>
      <c r="L27" s="110">
        <v>4.84</v>
      </c>
      <c r="M27" s="110">
        <v>6.17</v>
      </c>
      <c r="O27"/>
      <c r="P27"/>
      <c r="R27" s="107" t="s">
        <v>34</v>
      </c>
      <c r="S27" s="107"/>
      <c r="T27" s="107"/>
      <c r="U27" s="143"/>
      <c r="V27" s="143"/>
    </row>
    <row r="28" ht="25.5" spans="1:20">
      <c r="A28" s="111"/>
      <c r="B28" s="108">
        <v>31</v>
      </c>
      <c r="C28" s="112">
        <v>128.38</v>
      </c>
      <c r="D28" s="110">
        <v>0.47</v>
      </c>
      <c r="E28" s="110">
        <v>0.94</v>
      </c>
      <c r="F28" s="110">
        <v>1.42</v>
      </c>
      <c r="G28" s="110">
        <v>1.88</v>
      </c>
      <c r="H28" s="110">
        <v>2.35</v>
      </c>
      <c r="I28" s="110">
        <v>2.82</v>
      </c>
      <c r="J28" s="110">
        <v>3.29</v>
      </c>
      <c r="K28" s="110">
        <v>4.23</v>
      </c>
      <c r="L28" s="110">
        <v>5.17</v>
      </c>
      <c r="M28" s="110">
        <v>6.59</v>
      </c>
      <c r="R28" s="139" t="s">
        <v>71</v>
      </c>
      <c r="S28" s="140">
        <f>ROUND(Tot_Prem_Rate_Yr2*SA_by_1000_n_Modal_Factor,2)</f>
        <v>59152.15</v>
      </c>
      <c r="T28" s="134">
        <f>ROUND(Tot_Prem_Rate_Oasis_Yr2*T19,0)</f>
        <v>59152</v>
      </c>
    </row>
    <row r="29" spans="1:20">
      <c r="A29" s="111"/>
      <c r="B29" s="108">
        <v>32</v>
      </c>
      <c r="C29" s="112">
        <v>128.47</v>
      </c>
      <c r="D29" s="110">
        <v>0.51</v>
      </c>
      <c r="E29" s="110">
        <v>1.01</v>
      </c>
      <c r="F29" s="110">
        <v>1.52</v>
      </c>
      <c r="G29" s="110">
        <v>2.02</v>
      </c>
      <c r="H29" s="110">
        <v>2.53</v>
      </c>
      <c r="I29" s="110">
        <v>3.03</v>
      </c>
      <c r="J29" s="110">
        <v>3.53</v>
      </c>
      <c r="K29" s="110">
        <v>4.54</v>
      </c>
      <c r="L29" s="110">
        <v>5.55</v>
      </c>
      <c r="M29" s="110">
        <v>7.09</v>
      </c>
      <c r="O29" s="118" t="s">
        <v>53</v>
      </c>
      <c r="P29" s="120">
        <v>0.08</v>
      </c>
      <c r="R29" s="139" t="s">
        <v>72</v>
      </c>
      <c r="S29" s="140">
        <f>ROUND((S28)*Stax_2,2)</f>
        <v>1330.92</v>
      </c>
      <c r="T29" s="142">
        <f>T28*Stax_2</f>
        <v>1330.92</v>
      </c>
    </row>
    <row r="30" spans="1:20">
      <c r="A30" s="111"/>
      <c r="B30" s="108">
        <v>33</v>
      </c>
      <c r="C30" s="112">
        <v>128.57</v>
      </c>
      <c r="D30" s="110">
        <v>0.55</v>
      </c>
      <c r="E30" s="110">
        <v>1.1</v>
      </c>
      <c r="F30" s="110">
        <v>1.64</v>
      </c>
      <c r="G30" s="110">
        <v>2.19</v>
      </c>
      <c r="H30" s="110">
        <v>2.73</v>
      </c>
      <c r="I30" s="110">
        <v>3.27</v>
      </c>
      <c r="J30" s="110">
        <v>3.82</v>
      </c>
      <c r="K30" s="110">
        <v>4.91</v>
      </c>
      <c r="L30" s="110">
        <v>6.01</v>
      </c>
      <c r="M30" s="110">
        <v>7.68</v>
      </c>
      <c r="R30" s="139" t="s">
        <v>73</v>
      </c>
      <c r="S30" s="140">
        <f>S28+S29</f>
        <v>60483.07</v>
      </c>
      <c r="T30" s="134">
        <f>T28+T29</f>
        <v>60482.92</v>
      </c>
    </row>
    <row r="31" ht="15" spans="1:20">
      <c r="A31" s="111"/>
      <c r="B31" s="108">
        <v>34</v>
      </c>
      <c r="C31" s="112">
        <v>128.7</v>
      </c>
      <c r="D31" s="110">
        <v>0.6</v>
      </c>
      <c r="E31" s="110">
        <v>1.19</v>
      </c>
      <c r="F31" s="110">
        <v>1.78</v>
      </c>
      <c r="G31" s="110">
        <v>2.37</v>
      </c>
      <c r="H31" s="110">
        <v>2.96</v>
      </c>
      <c r="I31" s="110">
        <v>3.55</v>
      </c>
      <c r="J31" s="110">
        <v>4.15</v>
      </c>
      <c r="K31" s="110">
        <v>5.33</v>
      </c>
      <c r="L31" s="110">
        <v>6.53</v>
      </c>
      <c r="M31" s="110">
        <v>8.36</v>
      </c>
      <c r="O31" s="121" t="s">
        <v>75</v>
      </c>
      <c r="P31" s="121"/>
      <c r="R31" s="139" t="s">
        <v>74</v>
      </c>
      <c r="S31" s="140">
        <f>S28*IF(Prem_Mode="Monthly",12,1)</f>
        <v>709825.8</v>
      </c>
      <c r="T31" s="134">
        <f>T28*IF(Prem_Mode="Monthly",12,1)</f>
        <v>709824</v>
      </c>
    </row>
    <row r="32" ht="15" spans="1:16">
      <c r="A32" s="111"/>
      <c r="B32" s="108">
        <v>35</v>
      </c>
      <c r="C32" s="112">
        <v>128.86</v>
      </c>
      <c r="D32" s="110">
        <v>0.65</v>
      </c>
      <c r="E32" s="110">
        <v>1.3</v>
      </c>
      <c r="F32" s="110">
        <v>1.95</v>
      </c>
      <c r="G32" s="110">
        <v>2.59</v>
      </c>
      <c r="H32" s="110">
        <v>3.23</v>
      </c>
      <c r="I32" s="110">
        <v>3.88</v>
      </c>
      <c r="J32" s="110">
        <v>4.52</v>
      </c>
      <c r="K32" s="110">
        <v>5.82</v>
      </c>
      <c r="L32" s="110">
        <v>7.14</v>
      </c>
      <c r="M32" s="110">
        <v>9.16</v>
      </c>
      <c r="O32" s="31" t="s">
        <v>76</v>
      </c>
      <c r="P32" s="31" t="s">
        <v>77</v>
      </c>
    </row>
    <row r="33" ht="15" spans="1:19">
      <c r="A33" s="111"/>
      <c r="B33" s="108">
        <v>36</v>
      </c>
      <c r="C33" s="112">
        <v>129.04</v>
      </c>
      <c r="D33" s="110">
        <v>0.71</v>
      </c>
      <c r="E33" s="110">
        <v>1.42</v>
      </c>
      <c r="F33" s="110">
        <v>2.13</v>
      </c>
      <c r="G33" s="110">
        <v>2.83</v>
      </c>
      <c r="H33" s="110">
        <v>3.54</v>
      </c>
      <c r="I33" s="110">
        <v>4.24</v>
      </c>
      <c r="J33" s="110">
        <v>4.95</v>
      </c>
      <c r="K33" s="110">
        <v>6.38</v>
      </c>
      <c r="L33" s="110">
        <v>7.84</v>
      </c>
      <c r="M33" s="110">
        <v>10.09</v>
      </c>
      <c r="O33" s="122">
        <v>5</v>
      </c>
      <c r="P33" s="123">
        <v>0.15</v>
      </c>
      <c r="S33" s="141"/>
    </row>
    <row r="34" ht="15" spans="1:16">
      <c r="A34" s="111"/>
      <c r="B34" s="108">
        <v>37</v>
      </c>
      <c r="C34" s="112">
        <v>129.24</v>
      </c>
      <c r="D34" s="110">
        <v>0.78</v>
      </c>
      <c r="E34" s="110">
        <v>1.56</v>
      </c>
      <c r="F34" s="110">
        <v>2.34</v>
      </c>
      <c r="G34" s="110">
        <v>3.11</v>
      </c>
      <c r="H34" s="110">
        <v>3.89</v>
      </c>
      <c r="I34" s="110">
        <v>4.66</v>
      </c>
      <c r="J34" s="110">
        <v>5.44</v>
      </c>
      <c r="K34" s="110">
        <v>7.02</v>
      </c>
      <c r="L34" s="110">
        <v>8.64</v>
      </c>
      <c r="M34" s="110">
        <v>11.15</v>
      </c>
      <c r="O34" s="122">
        <v>9</v>
      </c>
      <c r="P34" s="123">
        <v>0.15</v>
      </c>
    </row>
    <row r="35" ht="15" spans="1:16">
      <c r="A35" s="111"/>
      <c r="B35" s="108">
        <v>38</v>
      </c>
      <c r="C35" s="112">
        <v>129.48</v>
      </c>
      <c r="D35" s="110">
        <v>0.86</v>
      </c>
      <c r="E35" s="110">
        <v>1.72</v>
      </c>
      <c r="F35" s="110">
        <v>2.57</v>
      </c>
      <c r="G35" s="110">
        <v>3.42</v>
      </c>
      <c r="H35" s="110">
        <v>4.28</v>
      </c>
      <c r="I35" s="110">
        <v>5.13</v>
      </c>
      <c r="J35" s="110">
        <v>6</v>
      </c>
      <c r="K35" s="110">
        <v>7.76</v>
      </c>
      <c r="L35" s="110">
        <v>9.57</v>
      </c>
      <c r="M35" s="110">
        <v>12.36</v>
      </c>
      <c r="O35" s="122">
        <v>13</v>
      </c>
      <c r="P35" s="123">
        <v>0.15</v>
      </c>
    </row>
    <row r="36" spans="1:13">
      <c r="A36" s="111"/>
      <c r="B36" s="108">
        <v>39</v>
      </c>
      <c r="C36" s="112">
        <v>129.74</v>
      </c>
      <c r="D36" s="110">
        <v>0.95</v>
      </c>
      <c r="E36" s="110">
        <v>1.89</v>
      </c>
      <c r="F36" s="110">
        <v>2.83</v>
      </c>
      <c r="G36" s="110">
        <v>3.77</v>
      </c>
      <c r="H36" s="110">
        <v>4.72</v>
      </c>
      <c r="I36" s="110">
        <v>5.67</v>
      </c>
      <c r="J36" s="110">
        <v>6.63</v>
      </c>
      <c r="K36" s="110">
        <v>8.59</v>
      </c>
      <c r="L36" s="110">
        <v>10.62</v>
      </c>
      <c r="M36" s="110">
        <v>13.73</v>
      </c>
    </row>
    <row r="37" spans="1:13">
      <c r="A37" s="111"/>
      <c r="B37" s="108">
        <v>40</v>
      </c>
      <c r="C37" s="112">
        <v>130.03</v>
      </c>
      <c r="D37" s="110">
        <v>1.05</v>
      </c>
      <c r="E37" s="110">
        <v>2.09</v>
      </c>
      <c r="F37" s="110">
        <v>3.12</v>
      </c>
      <c r="G37" s="110">
        <v>4.16</v>
      </c>
      <c r="H37" s="110">
        <v>5.21</v>
      </c>
      <c r="I37" s="110">
        <v>6.27</v>
      </c>
      <c r="J37" s="110">
        <v>7.34</v>
      </c>
      <c r="K37" s="110">
        <v>9.55</v>
      </c>
      <c r="L37" s="110">
        <v>11.81</v>
      </c>
      <c r="M37" s="110">
        <v>15.27</v>
      </c>
    </row>
    <row r="38" spans="2:13">
      <c r="B38" s="108">
        <v>41</v>
      </c>
      <c r="C38" s="112">
        <v>130.36</v>
      </c>
      <c r="D38" s="110">
        <v>1.16</v>
      </c>
      <c r="E38" s="110">
        <v>2.3</v>
      </c>
      <c r="F38" s="110">
        <v>3.45</v>
      </c>
      <c r="G38" s="110">
        <v>4.6</v>
      </c>
      <c r="H38" s="110">
        <v>5.76</v>
      </c>
      <c r="I38" s="110">
        <v>6.94</v>
      </c>
      <c r="J38" s="110">
        <v>8.14</v>
      </c>
      <c r="K38" s="110">
        <v>10.62</v>
      </c>
      <c r="L38" s="110">
        <v>13.15</v>
      </c>
      <c r="M38" s="110">
        <v>17.02</v>
      </c>
    </row>
    <row r="39" spans="2:13">
      <c r="B39" s="108">
        <v>42</v>
      </c>
      <c r="C39" s="112">
        <v>130.72</v>
      </c>
      <c r="D39" s="110">
        <v>1.28</v>
      </c>
      <c r="E39" s="110">
        <v>2.54</v>
      </c>
      <c r="F39" s="110">
        <v>3.81</v>
      </c>
      <c r="G39" s="110">
        <v>5.09</v>
      </c>
      <c r="H39" s="110">
        <v>6.38</v>
      </c>
      <c r="I39" s="110">
        <v>7.7</v>
      </c>
      <c r="J39" s="110">
        <v>9.05</v>
      </c>
      <c r="K39" s="110">
        <v>11.82</v>
      </c>
      <c r="L39" s="110">
        <v>14.65</v>
      </c>
      <c r="M39" s="110">
        <v>19.02</v>
      </c>
    </row>
    <row r="40" spans="2:13">
      <c r="B40" s="108">
        <v>43</v>
      </c>
      <c r="C40" s="112">
        <v>131.12</v>
      </c>
      <c r="D40" s="110">
        <v>1.41</v>
      </c>
      <c r="E40" s="110">
        <v>2.81</v>
      </c>
      <c r="F40" s="110">
        <v>4.21</v>
      </c>
      <c r="G40" s="110">
        <v>5.63</v>
      </c>
      <c r="H40" s="110">
        <v>7.08</v>
      </c>
      <c r="I40" s="110">
        <v>8.56</v>
      </c>
      <c r="J40" s="110">
        <v>10.08</v>
      </c>
      <c r="K40" s="110">
        <v>13.17</v>
      </c>
      <c r="L40" s="110">
        <v>16.32</v>
      </c>
      <c r="M40" s="110">
        <v>21.27</v>
      </c>
    </row>
    <row r="41" spans="2:13">
      <c r="B41" s="108">
        <v>44</v>
      </c>
      <c r="C41" s="112">
        <v>131.55</v>
      </c>
      <c r="D41" s="110">
        <v>1.56</v>
      </c>
      <c r="E41" s="110">
        <v>3.1</v>
      </c>
      <c r="F41" s="110">
        <v>4.66</v>
      </c>
      <c r="G41" s="110">
        <v>6.24</v>
      </c>
      <c r="H41" s="110">
        <v>7.86</v>
      </c>
      <c r="I41" s="110">
        <v>9.53</v>
      </c>
      <c r="J41" s="110">
        <v>11.22</v>
      </c>
      <c r="K41" s="110">
        <v>14.67</v>
      </c>
      <c r="L41" s="110">
        <v>18.23</v>
      </c>
      <c r="M41" s="110">
        <v>23.79</v>
      </c>
    </row>
    <row r="42" spans="2:13">
      <c r="B42" s="108">
        <v>45</v>
      </c>
      <c r="C42" s="112">
        <v>132.02</v>
      </c>
      <c r="D42" s="110">
        <v>1.72</v>
      </c>
      <c r="E42" s="110">
        <v>3.43</v>
      </c>
      <c r="F42" s="110">
        <v>5.15</v>
      </c>
      <c r="G42" s="110">
        <v>6.91</v>
      </c>
      <c r="H42" s="110">
        <v>8.73</v>
      </c>
      <c r="I42" s="110">
        <v>10.6</v>
      </c>
      <c r="J42" s="110">
        <v>12.5</v>
      </c>
      <c r="K42" s="110">
        <v>16.35</v>
      </c>
      <c r="L42" s="110">
        <v>20.37</v>
      </c>
      <c r="M42" s="110">
        <v>26.61</v>
      </c>
    </row>
    <row r="43" spans="2:13">
      <c r="B43" s="108">
        <v>46</v>
      </c>
      <c r="C43" s="112">
        <v>132.53</v>
      </c>
      <c r="D43" s="110">
        <v>1.89</v>
      </c>
      <c r="E43" s="110">
        <v>3.78</v>
      </c>
      <c r="F43" s="110">
        <v>5.7</v>
      </c>
      <c r="G43" s="110">
        <v>7.67</v>
      </c>
      <c r="H43" s="110">
        <v>9.72</v>
      </c>
      <c r="I43" s="110">
        <v>11.8</v>
      </c>
      <c r="J43" s="110">
        <v>13.91</v>
      </c>
      <c r="K43" s="110">
        <v>18.23</v>
      </c>
      <c r="L43" s="110">
        <v>22.75</v>
      </c>
      <c r="M43" s="110">
        <v>29.76</v>
      </c>
    </row>
    <row r="44" spans="2:13">
      <c r="B44" s="108">
        <v>47</v>
      </c>
      <c r="C44" s="112">
        <v>133.08</v>
      </c>
      <c r="D44" s="110">
        <v>2.09</v>
      </c>
      <c r="E44" s="110">
        <v>4.17</v>
      </c>
      <c r="F44" s="110">
        <v>6.3</v>
      </c>
      <c r="G44" s="110">
        <v>8.51</v>
      </c>
      <c r="H44" s="110">
        <v>10.8</v>
      </c>
      <c r="I44" s="110">
        <v>13.12</v>
      </c>
      <c r="J44" s="110">
        <v>15.47</v>
      </c>
      <c r="K44" s="110">
        <v>20.34</v>
      </c>
      <c r="L44" s="110">
        <v>25.4</v>
      </c>
      <c r="M44" s="110">
        <v>33.27</v>
      </c>
    </row>
    <row r="45" spans="2:13">
      <c r="B45" s="108">
        <v>48</v>
      </c>
      <c r="C45" s="112">
        <v>133.67</v>
      </c>
      <c r="D45" s="110">
        <v>2.29</v>
      </c>
      <c r="E45" s="110">
        <v>4.6</v>
      </c>
      <c r="F45" s="110">
        <v>6.97</v>
      </c>
      <c r="G45" s="110">
        <v>9.45</v>
      </c>
      <c r="H45" s="110">
        <v>12</v>
      </c>
      <c r="I45" s="110">
        <v>14.58</v>
      </c>
      <c r="J45" s="110">
        <v>17.2</v>
      </c>
      <c r="K45" s="110">
        <v>22.68</v>
      </c>
      <c r="L45" s="110">
        <v>28.35</v>
      </c>
      <c r="M45" s="110">
        <v>37.24</v>
      </c>
    </row>
    <row r="46" spans="2:13">
      <c r="B46" s="108">
        <v>49</v>
      </c>
      <c r="C46" s="112">
        <v>134.3</v>
      </c>
      <c r="D46" s="110">
        <v>2.52</v>
      </c>
      <c r="E46" s="110">
        <v>5.07</v>
      </c>
      <c r="F46" s="110">
        <v>7.71</v>
      </c>
      <c r="G46" s="110">
        <v>10.49</v>
      </c>
      <c r="H46" s="110">
        <v>13.31</v>
      </c>
      <c r="I46" s="110">
        <v>16.18</v>
      </c>
      <c r="J46" s="110">
        <v>19.14</v>
      </c>
      <c r="K46" s="110">
        <v>25.27</v>
      </c>
      <c r="L46" s="110">
        <v>31.61</v>
      </c>
      <c r="M46" s="110">
        <v>41.72</v>
      </c>
    </row>
    <row r="47" spans="2:13">
      <c r="B47" s="108">
        <v>50</v>
      </c>
      <c r="C47" s="112">
        <v>134.98</v>
      </c>
      <c r="D47" s="110">
        <v>2.77</v>
      </c>
      <c r="E47" s="110">
        <v>5.59</v>
      </c>
      <c r="F47" s="110">
        <v>8.54</v>
      </c>
      <c r="G47" s="110">
        <v>11.62</v>
      </c>
      <c r="H47" s="110">
        <v>14.75</v>
      </c>
      <c r="I47" s="110">
        <v>17.96</v>
      </c>
      <c r="J47" s="110">
        <v>21.29</v>
      </c>
      <c r="K47" s="110">
        <v>28.13</v>
      </c>
      <c r="L47" s="110">
        <v>35.22</v>
      </c>
      <c r="M47" s="110">
        <v>46.72</v>
      </c>
    </row>
    <row r="48" spans="2:13">
      <c r="B48" s="108">
        <v>51</v>
      </c>
      <c r="C48" s="112">
        <v>135.7</v>
      </c>
      <c r="D48" s="110">
        <v>3.04</v>
      </c>
      <c r="E48" s="110">
        <v>6.15</v>
      </c>
      <c r="F48" s="110">
        <v>9.45</v>
      </c>
      <c r="G48" s="110">
        <v>12.87</v>
      </c>
      <c r="H48" s="110">
        <v>16.34</v>
      </c>
      <c r="I48" s="110">
        <v>19.95</v>
      </c>
      <c r="J48" s="110">
        <v>23.66</v>
      </c>
      <c r="K48" s="110">
        <v>31.29</v>
      </c>
      <c r="L48" s="110">
        <v>39.35</v>
      </c>
      <c r="M48" s="110">
        <v>52.28</v>
      </c>
    </row>
    <row r="49" spans="2:13">
      <c r="B49" s="108">
        <v>52</v>
      </c>
      <c r="C49" s="112">
        <v>136.48</v>
      </c>
      <c r="D49" s="110">
        <v>3.33</v>
      </c>
      <c r="E49" s="110">
        <v>6.78</v>
      </c>
      <c r="F49" s="110">
        <v>10.46</v>
      </c>
      <c r="G49" s="110">
        <v>14.24</v>
      </c>
      <c r="H49" s="110">
        <v>18.12</v>
      </c>
      <c r="I49" s="110">
        <v>22.16</v>
      </c>
      <c r="J49" s="110">
        <v>26.29</v>
      </c>
      <c r="K49" s="110">
        <v>34.81</v>
      </c>
      <c r="L49" s="110">
        <v>43.96</v>
      </c>
      <c r="M49" s="110">
        <v>58.5</v>
      </c>
    </row>
    <row r="50" spans="2:13">
      <c r="B50" s="108">
        <v>53</v>
      </c>
      <c r="C50" s="112">
        <v>137.3</v>
      </c>
      <c r="D50" s="110">
        <v>3.65</v>
      </c>
      <c r="E50" s="110">
        <v>7.48</v>
      </c>
      <c r="F50" s="110">
        <v>11.57</v>
      </c>
      <c r="G50" s="110">
        <v>15.76</v>
      </c>
      <c r="H50" s="110">
        <v>20.11</v>
      </c>
      <c r="I50" s="110">
        <v>24.6</v>
      </c>
      <c r="J50" s="110">
        <v>29.21</v>
      </c>
      <c r="K50" s="110">
        <v>38.81</v>
      </c>
      <c r="L50" s="110">
        <v>49.12</v>
      </c>
      <c r="M50" s="110">
        <v>65.73</v>
      </c>
    </row>
    <row r="51" spans="2:13">
      <c r="B51" s="108">
        <v>54</v>
      </c>
      <c r="C51" s="112">
        <v>138.17</v>
      </c>
      <c r="D51" s="110">
        <v>4.01</v>
      </c>
      <c r="E51" s="110">
        <v>8.26</v>
      </c>
      <c r="F51" s="110">
        <v>12.8</v>
      </c>
      <c r="G51" s="110">
        <v>17.45</v>
      </c>
      <c r="H51" s="110">
        <v>22.33</v>
      </c>
      <c r="I51" s="110">
        <v>27.34</v>
      </c>
      <c r="J51" s="110">
        <v>32.47</v>
      </c>
      <c r="K51" s="110">
        <v>43.34</v>
      </c>
      <c r="L51" s="110">
        <v>54.92</v>
      </c>
      <c r="M51" s="110">
        <v>73.98</v>
      </c>
    </row>
    <row r="52" spans="2:13">
      <c r="B52" s="108">
        <v>55</v>
      </c>
      <c r="C52" s="112">
        <v>139.1</v>
      </c>
      <c r="D52" s="110">
        <v>4.4</v>
      </c>
      <c r="E52" s="110">
        <v>9.15</v>
      </c>
      <c r="F52" s="110">
        <v>14.18</v>
      </c>
      <c r="G52" s="110">
        <v>19.38</v>
      </c>
      <c r="H52" s="110">
        <v>24.82</v>
      </c>
      <c r="I52" s="110">
        <v>30.41</v>
      </c>
      <c r="J52" s="110">
        <v>36.14</v>
      </c>
      <c r="K52" s="110">
        <v>48.47</v>
      </c>
      <c r="L52" s="110">
        <v>61.51</v>
      </c>
      <c r="M52" s="110">
        <v>83.39</v>
      </c>
    </row>
  </sheetData>
  <mergeCells count="9">
    <mergeCell ref="B2:C2"/>
    <mergeCell ref="D2:M2"/>
    <mergeCell ref="O2:P2"/>
    <mergeCell ref="R2:S2"/>
    <mergeCell ref="T3:U3"/>
    <mergeCell ref="Y3:Z3"/>
    <mergeCell ref="R21:T21"/>
    <mergeCell ref="R27:T27"/>
    <mergeCell ref="O31:P31"/>
  </mergeCells>
  <pageMargins left="0.699305555555556" right="0.699305555555556" top="0.75" bottom="0.75" header="0.3" footer="0.3"/>
  <pageSetup paperSize="9" orientation="portrait"/>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118"/>
  <sheetViews>
    <sheetView showGridLines="0" view="pageBreakPreview" zoomScale="70" zoomScaleNormal="100" zoomScaleSheetLayoutView="70" topLeftCell="A25" workbookViewId="0">
      <selection activeCell="G41" sqref="G41"/>
    </sheetView>
  </sheetViews>
  <sheetFormatPr defaultColWidth="9" defaultRowHeight="15"/>
  <cols>
    <col min="1" max="1" width="9.14285714285714" style="35" customWidth="1"/>
    <col min="2" max="3" width="17.5714285714286" style="35" customWidth="1"/>
    <col min="4" max="4" width="19.7142857142857" style="35" customWidth="1"/>
    <col min="5" max="5" width="18" style="35" customWidth="1"/>
    <col min="6" max="6" width="19.5714285714286" style="35" customWidth="1"/>
    <col min="7" max="8" width="18.1428571428571" style="35" customWidth="1"/>
    <col min="9" max="9" width="18.7142857142857" style="35" customWidth="1"/>
    <col min="10" max="10" width="31.2857142857143" style="35" customWidth="1"/>
    <col min="11" max="11" width="30.1428571428571" style="35" customWidth="1"/>
    <col min="12" max="13" width="20" style="35" customWidth="1"/>
    <col min="14" max="14" width="2.28571428571429" style="35" customWidth="1"/>
    <col min="15" max="15" width="12.1428571428571" style="35" hidden="1" customWidth="1"/>
    <col min="16" max="16" width="9.14285714285714" style="35"/>
    <col min="17" max="17" width="11.2857142857143" style="35" customWidth="1"/>
    <col min="18" max="16384" width="9.14285714285714" style="35"/>
  </cols>
  <sheetData>
    <row r="1" spans="1:6">
      <c r="A1" s="36" t="s">
        <v>78</v>
      </c>
      <c r="F1" s="37" t="s">
        <v>79</v>
      </c>
    </row>
    <row r="4" spans="11:11">
      <c r="K4" s="79"/>
    </row>
    <row r="9" s="34" customFormat="1" ht="14.25" spans="1:1">
      <c r="A9" s="38" t="s">
        <v>80</v>
      </c>
    </row>
    <row r="10" s="34" customFormat="1" ht="14.25" spans="1:1">
      <c r="A10" s="38" t="s">
        <v>81</v>
      </c>
    </row>
    <row r="11" s="34" customFormat="1"/>
    <row r="12" s="34" customFormat="1"/>
    <row r="13" s="34" customFormat="1" ht="18" spans="1:11">
      <c r="A13" s="39" t="s">
        <v>82</v>
      </c>
      <c r="B13" s="40"/>
      <c r="C13" s="40"/>
      <c r="D13" s="40"/>
      <c r="E13" s="40"/>
      <c r="F13" s="39" t="s">
        <v>83</v>
      </c>
      <c r="G13" s="40"/>
      <c r="H13" s="40"/>
      <c r="I13" s="40"/>
      <c r="J13" s="40"/>
      <c r="K13" s="40"/>
    </row>
    <row r="14" s="34" customFormat="1" ht="14.25" spans="1:10">
      <c r="A14" s="41" t="s">
        <v>84</v>
      </c>
      <c r="B14" s="41"/>
      <c r="C14" s="41"/>
      <c r="D14" s="42">
        <v>29587</v>
      </c>
      <c r="E14" s="42"/>
      <c r="F14" s="41" t="s">
        <v>85</v>
      </c>
      <c r="G14" s="41"/>
      <c r="H14" s="41"/>
      <c r="J14" s="80" t="s">
        <v>86</v>
      </c>
    </row>
    <row r="15" s="34" customFormat="1" ht="14.25" spans="1:11">
      <c r="A15" s="41"/>
      <c r="B15" s="41"/>
      <c r="C15" s="41"/>
      <c r="D15" s="43"/>
      <c r="E15" s="41"/>
      <c r="F15" s="41"/>
      <c r="G15" s="41"/>
      <c r="H15" s="41"/>
      <c r="I15" s="41"/>
      <c r="J15" s="41"/>
      <c r="K15" s="41"/>
    </row>
    <row r="16" s="34" customFormat="1" ht="32.25" customHeight="1" spans="1:12">
      <c r="A16" s="41" t="s">
        <v>87</v>
      </c>
      <c r="B16" s="41"/>
      <c r="C16" s="41"/>
      <c r="D16" s="41">
        <f>Age</f>
        <v>44</v>
      </c>
      <c r="E16" s="41"/>
      <c r="F16" s="41" t="s">
        <v>88</v>
      </c>
      <c r="G16" s="41"/>
      <c r="H16" s="41"/>
      <c r="J16" s="78" t="s">
        <v>89</v>
      </c>
      <c r="K16" s="78"/>
      <c r="L16" s="81" t="s">
        <v>90</v>
      </c>
    </row>
    <row r="17" s="34" customFormat="1" ht="14.25" spans="1:11">
      <c r="A17" s="41" t="s">
        <v>91</v>
      </c>
      <c r="B17" s="41"/>
      <c r="C17" s="41"/>
      <c r="D17" s="41" t="s">
        <v>92</v>
      </c>
      <c r="E17" s="41"/>
      <c r="F17" s="41"/>
      <c r="G17" s="41"/>
      <c r="H17" s="41"/>
      <c r="I17" s="49"/>
      <c r="J17" s="49"/>
      <c r="K17" s="41"/>
    </row>
    <row r="18" s="34" customFormat="1" ht="14.25" spans="1:11">
      <c r="A18" s="41" t="s">
        <v>93</v>
      </c>
      <c r="B18" s="41"/>
      <c r="C18" s="41"/>
      <c r="D18" s="41" t="str">
        <f>IF(Sex="M","Male","Female")</f>
        <v>Male</v>
      </c>
      <c r="E18" s="41"/>
      <c r="F18" s="41"/>
      <c r="G18" s="41"/>
      <c r="H18" s="41"/>
      <c r="I18" s="41"/>
      <c r="J18" s="41"/>
      <c r="K18" s="41"/>
    </row>
    <row r="19" s="34" customFormat="1" ht="14.25" spans="1:11">
      <c r="A19" s="41"/>
      <c r="B19" s="41"/>
      <c r="C19" s="41"/>
      <c r="D19" s="41"/>
      <c r="E19" s="41"/>
      <c r="F19" s="41"/>
      <c r="G19" s="41"/>
      <c r="H19" s="41"/>
      <c r="I19" s="41"/>
      <c r="J19" s="41"/>
      <c r="K19" s="41"/>
    </row>
    <row r="20" s="34" customFormat="1" ht="14.25" spans="1:11">
      <c r="A20" s="41" t="s">
        <v>94</v>
      </c>
      <c r="B20" s="41"/>
      <c r="C20" s="41"/>
      <c r="D20" s="44">
        <f ca="1">TODAY()</f>
        <v>42907</v>
      </c>
      <c r="E20" s="41"/>
      <c r="F20" s="41" t="s">
        <v>95</v>
      </c>
      <c r="G20" s="41"/>
      <c r="H20" s="41"/>
      <c r="J20" s="80" t="str">
        <f>CONCATENATE(PT," ","years")</f>
        <v>16 years</v>
      </c>
      <c r="K20" s="41"/>
    </row>
    <row r="21" s="34" customFormat="1" ht="14.25" spans="1:11">
      <c r="A21" s="41"/>
      <c r="B21" s="45"/>
      <c r="C21" s="45"/>
      <c r="D21" s="41"/>
      <c r="E21" s="41"/>
      <c r="F21" s="41"/>
      <c r="G21" s="41"/>
      <c r="H21" s="41"/>
      <c r="J21" s="80"/>
      <c r="K21" s="41"/>
    </row>
    <row r="22" s="34" customFormat="1" ht="14.25" spans="1:11">
      <c r="A22" s="41" t="s">
        <v>96</v>
      </c>
      <c r="B22" s="41"/>
      <c r="D22" s="46">
        <f>SA</f>
        <v>5474770</v>
      </c>
      <c r="E22" s="41"/>
      <c r="F22" s="41" t="s">
        <v>97</v>
      </c>
      <c r="G22" s="41"/>
      <c r="H22" s="41"/>
      <c r="J22" s="80" t="str">
        <f>CONCATENATE(PPT," ","years")</f>
        <v>10 years</v>
      </c>
      <c r="K22" s="41"/>
    </row>
    <row r="23" s="34" customFormat="1" ht="14.25" spans="1:11">
      <c r="A23" s="41"/>
      <c r="B23" s="41"/>
      <c r="C23" s="41"/>
      <c r="D23" s="47"/>
      <c r="E23" s="41"/>
      <c r="F23" s="41"/>
      <c r="G23" s="41"/>
      <c r="H23" s="41"/>
      <c r="I23" s="41"/>
      <c r="J23" s="41"/>
      <c r="K23" s="41"/>
    </row>
    <row r="24" s="34" customFormat="1" ht="14.25" spans="1:10">
      <c r="A24" s="41"/>
      <c r="B24" s="41"/>
      <c r="C24" s="48"/>
      <c r="D24" s="49"/>
      <c r="E24" s="41"/>
      <c r="F24" s="41" t="s">
        <v>98</v>
      </c>
      <c r="G24" s="41"/>
      <c r="H24" s="41"/>
      <c r="J24" s="82" t="str">
        <f>+Prem_Mode</f>
        <v>Monthly</v>
      </c>
    </row>
    <row r="25" s="34" customFormat="1" ht="14.25" spans="1:9">
      <c r="A25" s="41"/>
      <c r="B25" s="41"/>
      <c r="D25" s="49"/>
      <c r="E25" s="41"/>
      <c r="F25" s="41"/>
      <c r="G25" s="41"/>
      <c r="H25" s="41"/>
      <c r="I25" s="41"/>
    </row>
    <row r="26" s="34" customFormat="1" ht="14.25" spans="1:11">
      <c r="A26" s="41"/>
      <c r="B26" s="41"/>
      <c r="C26" s="48"/>
      <c r="D26" s="49"/>
      <c r="E26" s="41"/>
      <c r="F26" s="50" t="s">
        <v>99</v>
      </c>
      <c r="G26" s="48"/>
      <c r="H26" s="48"/>
      <c r="J26" s="83" t="str">
        <f>+CONCATENATE("Rs.",Base_Ann_Prem_For_DB_Yr2)</f>
        <v>Rs.709824</v>
      </c>
      <c r="K26" s="84"/>
    </row>
    <row r="27" s="34" customFormat="1" ht="14.25" spans="1:10">
      <c r="A27" s="45"/>
      <c r="B27" s="45"/>
      <c r="C27" s="45"/>
      <c r="D27" s="45"/>
      <c r="E27" s="41"/>
      <c r="J27" s="51"/>
    </row>
    <row r="28" s="34" customFormat="1" spans="5:10">
      <c r="E28" s="41"/>
      <c r="F28" s="50" t="s">
        <v>100</v>
      </c>
      <c r="G28" s="48"/>
      <c r="H28" s="48"/>
      <c r="J28" s="83" t="str">
        <f>CONCATENATE("Rs.",ROUND('Product Data n Calcs'!S22,0))</f>
        <v>Rs.59152</v>
      </c>
    </row>
    <row r="29" s="34" customFormat="1" spans="5:10">
      <c r="E29" s="41"/>
      <c r="F29" s="50" t="s">
        <v>101</v>
      </c>
      <c r="J29" s="85" t="str">
        <f>CONCATENATE("Rs.",ROUND('Product Data n Calcs'!S28,0))</f>
        <v>Rs.59152</v>
      </c>
    </row>
    <row r="30" s="34" customFormat="1" spans="5:11">
      <c r="E30" s="41"/>
      <c r="F30" s="41" t="s">
        <v>102</v>
      </c>
      <c r="G30" s="48"/>
      <c r="H30" s="48"/>
      <c r="J30" s="83" t="str">
        <f>CONCATENATE("Rs.",ROUND(('Product Data n Calcs'!S24),0))</f>
        <v>Rs.61814</v>
      </c>
      <c r="K30" s="41"/>
    </row>
    <row r="31" s="34" customFormat="1" ht="14.25" spans="1:10">
      <c r="A31" s="51" t="s">
        <v>103</v>
      </c>
      <c r="F31" s="41" t="s">
        <v>104</v>
      </c>
      <c r="G31" s="48"/>
      <c r="H31" s="48"/>
      <c r="J31" s="83" t="str">
        <f>CONCATENATE("Rs.",ROUND(('Product Data n Calcs'!S30),0))</f>
        <v>Rs.60483</v>
      </c>
    </row>
    <row r="32" s="34" customFormat="1"/>
    <row r="34" spans="4:6">
      <c r="D34" s="52"/>
      <c r="F34" s="37" t="s">
        <v>105</v>
      </c>
    </row>
    <row r="36" spans="1:11">
      <c r="A36" s="53"/>
      <c r="B36" s="54"/>
      <c r="C36" s="54"/>
      <c r="D36" s="55"/>
      <c r="E36" s="56"/>
      <c r="F36" s="56"/>
      <c r="G36" s="57" t="s">
        <v>106</v>
      </c>
      <c r="H36" s="58"/>
      <c r="I36" s="61" t="s">
        <v>107</v>
      </c>
      <c r="J36" s="57" t="s">
        <v>108</v>
      </c>
      <c r="K36" s="86"/>
    </row>
    <row r="37" ht="55.5" customHeight="1" spans="1:11">
      <c r="A37" s="59"/>
      <c r="B37" s="60" t="s">
        <v>109</v>
      </c>
      <c r="C37" s="61" t="s">
        <v>110</v>
      </c>
      <c r="D37" s="62" t="s">
        <v>111</v>
      </c>
      <c r="E37" s="61" t="s">
        <v>112</v>
      </c>
      <c r="F37" s="63" t="s">
        <v>113</v>
      </c>
      <c r="G37" s="61" t="s">
        <v>114</v>
      </c>
      <c r="H37" s="62" t="s">
        <v>115</v>
      </c>
      <c r="I37" s="87"/>
      <c r="J37" s="61" t="s">
        <v>116</v>
      </c>
      <c r="K37" s="63" t="s">
        <v>117</v>
      </c>
    </row>
    <row r="38" ht="55.5" customHeight="1" spans="1:11">
      <c r="A38" s="59"/>
      <c r="B38" s="64"/>
      <c r="C38" s="65"/>
      <c r="D38" s="66"/>
      <c r="E38" s="65"/>
      <c r="F38" s="67"/>
      <c r="G38" s="65"/>
      <c r="H38" s="66"/>
      <c r="I38" s="65"/>
      <c r="J38" s="65"/>
      <c r="K38" s="67"/>
    </row>
    <row r="39" spans="1:17">
      <c r="A39" s="59"/>
      <c r="B39" s="68">
        <v>1</v>
      </c>
      <c r="C39" s="69">
        <f>Age</f>
        <v>44</v>
      </c>
      <c r="D39" s="70">
        <f>(Basic_Prem_Yr1_Annualized*(B39=1)+Basic_Prem_Yr2_Annualized*(B39&gt;1))*(B39&lt;=PPT)</f>
        <v>709824</v>
      </c>
      <c r="E39" s="70">
        <f>IF(B39=1,Stax_Oasis_Yr1,Stax_Oasis_Yr2)*IF(Prem_Mode="Monthly",12,1)*(D39&lt;&gt;0)</f>
        <v>31942.08</v>
      </c>
      <c r="F39" s="70">
        <f>(D39+E39)*(B39&lt;=PPT)</f>
        <v>741766.08</v>
      </c>
      <c r="G39" s="70">
        <f>MAX(Base_Ann_Prem_For_DB_Yr2*10,SA,105%*(B39&lt;=PPT)*D39)</f>
        <v>7098240</v>
      </c>
      <c r="H39" s="70">
        <f>(MB_TIME1=B39)*SA*MB_SA1+(MB_TIME2=B39)*SA*MB_SA2+(mb_time3=B39)*SA*MB_SA3+(PT=B39)*(1-MB_SA1-MB_SA2-MB_SA3)*SA</f>
        <v>0</v>
      </c>
      <c r="I39" s="70">
        <f>MAX('GSV for SSV Cal'!G7-(SUM($H$38:H38)),0)</f>
        <v>0</v>
      </c>
      <c r="J39" s="70">
        <f>('GSV for SSV Cal'!$J$4*SA*PT)*(B39=PT)</f>
        <v>0</v>
      </c>
      <c r="K39" s="88">
        <f>'GSV for SSV Cal'!$K$4*SA*'Par - BI'!B39</f>
        <v>136869.25</v>
      </c>
      <c r="N39" s="89"/>
      <c r="P39" s="89"/>
      <c r="Q39" s="89"/>
    </row>
    <row r="40" spans="1:17">
      <c r="A40" s="59"/>
      <c r="B40" s="68">
        <v>2</v>
      </c>
      <c r="C40" s="69">
        <f>+(C39+1)*(B40&lt;=PT)</f>
        <v>45</v>
      </c>
      <c r="D40" s="71">
        <f>(Basic_Prem_Yr1_Annualized*(B40=1)+Basic_Prem_Yr2_Annualized*(B40&gt;1))*(B40&lt;=PPT)</f>
        <v>709824</v>
      </c>
      <c r="E40" s="71">
        <f>IF(B40=1,Stax_Oasis_Yr1,Stax_Oasis_Yr2)*IF(Prem_Mode="Monthly",12,1)*(D40&lt;&gt;0)</f>
        <v>15971.04</v>
      </c>
      <c r="F40" s="71">
        <f>(D40+E40)*(B40&lt;=PPT)</f>
        <v>725795.04</v>
      </c>
      <c r="G40" s="71">
        <f>MAX(Base_Ann_Prem_For_DB_Yr2*10,SA,105%*(B40&lt;=PPT)*D40)</f>
        <v>7098240</v>
      </c>
      <c r="H40" s="71">
        <f>(MB_TIME1=B40)*SA*MB_SA1+(MB_TIME2=B40)*SA*MB_SA2+(mb_time3=B40)*SA*MB_SA3+(PT=B40)*(1-MB_SA1-MB_SA2-MB_SA3)*SA</f>
        <v>0</v>
      </c>
      <c r="I40" s="71">
        <f>MAX('GSV for SSV Cal'!G8-(SUM($H$38:H39)),0)</f>
        <v>0</v>
      </c>
      <c r="J40" s="70">
        <f>('GSV for SSV Cal'!$J$4*SA*PT)*(B40=PT)</f>
        <v>0</v>
      </c>
      <c r="K40" s="88">
        <f>'GSV for SSV Cal'!$K$4*SA*'Par - BI'!B40</f>
        <v>273738.5</v>
      </c>
      <c r="N40" s="89"/>
      <c r="P40" s="89"/>
      <c r="Q40" s="89"/>
    </row>
    <row r="41" spans="1:17">
      <c r="A41" s="59"/>
      <c r="B41" s="68">
        <v>3</v>
      </c>
      <c r="C41" s="69">
        <f>+(C40+1)*(B41&lt;=PT)</f>
        <v>46</v>
      </c>
      <c r="D41" s="71">
        <f>(Basic_Prem_Yr1_Annualized*(B41=1)+Basic_Prem_Yr2_Annualized*(B41&gt;1))*(B41&lt;=PPT)</f>
        <v>709824</v>
      </c>
      <c r="E41" s="71">
        <f>IF(B41=1,Stax_Oasis_Yr1,Stax_Oasis_Yr2)*IF(Prem_Mode="Monthly",12,1)*(D41&lt;&gt;0)</f>
        <v>15971.04</v>
      </c>
      <c r="F41" s="71">
        <f>(D41+E41)*(B41&lt;=PPT)</f>
        <v>725795.04</v>
      </c>
      <c r="G41" s="71">
        <f>MAX(Base_Ann_Prem_For_DB_Yr2*10,SA,105%*(B41&lt;=PPT)*D41)</f>
        <v>7098240</v>
      </c>
      <c r="H41" s="71">
        <f>(MB_TIME1=B41)*SA*MB_SA1+(MB_TIME2=B41)*SA*MB_SA2+(mb_time3=B41)*SA*MB_SA3+(PT=B41)*(1-MB_SA1-MB_SA2-MB_SA3)*SA</f>
        <v>0</v>
      </c>
      <c r="I41" s="71">
        <f>MAX('GSV for SSV Cal'!G9-(SUM($H$38:H40)),0)</f>
        <v>638841.6</v>
      </c>
      <c r="J41" s="70">
        <f>('GSV for SSV Cal'!$J$4*SA*PT)*(B41=PT)</f>
        <v>0</v>
      </c>
      <c r="K41" s="88">
        <f>'GSV for SSV Cal'!$K$4*SA*'Par - BI'!B41</f>
        <v>410607.75</v>
      </c>
      <c r="N41" s="89"/>
      <c r="P41" s="89"/>
      <c r="Q41" s="89"/>
    </row>
    <row r="42" spans="1:17">
      <c r="A42" s="59"/>
      <c r="B42" s="68">
        <v>4</v>
      </c>
      <c r="C42" s="69">
        <f>+(C41+1)*(B42&lt;=PT)</f>
        <v>47</v>
      </c>
      <c r="D42" s="71">
        <f>(Basic_Prem_Yr1_Annualized*(B42=1)+Basic_Prem_Yr2_Annualized*(B42&gt;1))*(B42&lt;=PPT)</f>
        <v>709824</v>
      </c>
      <c r="E42" s="71">
        <f>IF(B42=1,Stax_Oasis_Yr1,Stax_Oasis_Yr2)*IF(Prem_Mode="Monthly",12,1)*(D42&lt;&gt;0)</f>
        <v>15971.04</v>
      </c>
      <c r="F42" s="71">
        <f>(D42+E42)*(B42&lt;=PPT)</f>
        <v>725795.04</v>
      </c>
      <c r="G42" s="71">
        <f>MAX(Base_Ann_Prem_For_DB_Yr2*10,SA,105%*(B42&lt;=PPT)*D42)</f>
        <v>7098240</v>
      </c>
      <c r="H42" s="71">
        <f>(MB_TIME1=B42)*SA*MB_SA1+(MB_TIME2=B42)*SA*MB_SA2+(mb_time3=B42)*SA*MB_SA3+(PT=B42)*(1-MB_SA1-MB_SA2-MB_SA3)*SA</f>
        <v>0</v>
      </c>
      <c r="I42" s="71">
        <f>MAX('GSV for SSV Cal'!G10-(SUM($H$38:H41)),0)</f>
        <v>1419648</v>
      </c>
      <c r="J42" s="70">
        <f>('GSV for SSV Cal'!$J$4*SA*PT)*(B42=PT)</f>
        <v>0</v>
      </c>
      <c r="K42" s="88">
        <f>'GSV for SSV Cal'!$K$4*SA*'Par - BI'!B42</f>
        <v>547477</v>
      </c>
      <c r="N42" s="89"/>
      <c r="P42" s="89"/>
      <c r="Q42" s="89"/>
    </row>
    <row r="43" spans="1:17">
      <c r="A43" s="59"/>
      <c r="B43" s="68">
        <v>5</v>
      </c>
      <c r="C43" s="69">
        <f>+(C42+1)*(B43&lt;=PT)</f>
        <v>48</v>
      </c>
      <c r="D43" s="71">
        <f>(Basic_Prem_Yr1_Annualized*(B43=1)+Basic_Prem_Yr2_Annualized*(B43&gt;1))*(B43&lt;=PPT)</f>
        <v>709824</v>
      </c>
      <c r="E43" s="71">
        <f>IF(B43=1,Stax_Oasis_Yr1,Stax_Oasis_Yr2)*IF(Prem_Mode="Monthly",12,1)*(D43&lt;&gt;0)</f>
        <v>15971.04</v>
      </c>
      <c r="F43" s="71">
        <f>(D43+E43)*(B43&lt;=PPT)</f>
        <v>725795.04</v>
      </c>
      <c r="G43" s="71">
        <f>MAX(Base_Ann_Prem_For_DB_Yr2*10,SA,105%*(B43&lt;=PPT)*D43)</f>
        <v>7098240</v>
      </c>
      <c r="H43" s="71">
        <f>(MB_TIME1=B43)*SA*MB_SA1+(MB_TIME2=B43)*SA*MB_SA2+(mb_time3=B43)*SA*MB_SA3+(PT=B43)*(1-MB_SA1-MB_SA2-MB_SA3)*SA</f>
        <v>821215.5</v>
      </c>
      <c r="I43" s="71">
        <f>MAX('GSV for SSV Cal'!G11-(SUM($H$38:H42)),0)</f>
        <v>1774560</v>
      </c>
      <c r="J43" s="70">
        <f>('GSV for SSV Cal'!$J$4*SA*PT)*(B43=PT)</f>
        <v>0</v>
      </c>
      <c r="K43" s="88">
        <f>'GSV for SSV Cal'!$K$4*SA*'Par - BI'!B43</f>
        <v>684346.25</v>
      </c>
      <c r="N43" s="89"/>
      <c r="P43" s="89"/>
      <c r="Q43" s="89"/>
    </row>
    <row r="44" spans="1:17">
      <c r="A44" s="59"/>
      <c r="B44" s="68">
        <v>6</v>
      </c>
      <c r="C44" s="69">
        <f>+(C43+1)*(B44&lt;=PT)</f>
        <v>49</v>
      </c>
      <c r="D44" s="71">
        <f>(Basic_Prem_Yr1_Annualized*(B44=1)+Basic_Prem_Yr2_Annualized*(B44&gt;1))*(B44&lt;=PPT)</f>
        <v>709824</v>
      </c>
      <c r="E44" s="71">
        <f>IF(B44=1,Stax_Oasis_Yr1,Stax_Oasis_Yr2)*IF(Prem_Mode="Monthly",12,1)*(D44&lt;&gt;0)</f>
        <v>15971.04</v>
      </c>
      <c r="F44" s="71">
        <f>(D44+E44)*(B44&lt;=PPT)</f>
        <v>725795.04</v>
      </c>
      <c r="G44" s="71">
        <f>MAX(Base_Ann_Prem_For_DB_Yr2*10,SA,105%*(B44&lt;=PPT)*D44)</f>
        <v>7098240</v>
      </c>
      <c r="H44" s="71">
        <f>(MB_TIME1=B44)*SA*MB_SA1+(MB_TIME2=B44)*SA*MB_SA2+(mb_time3=B44)*SA*MB_SA3+(PT=B44)*(1-MB_SA1-MB_SA2-MB_SA3)*SA</f>
        <v>0</v>
      </c>
      <c r="I44" s="71">
        <f>MAX('GSV for SSV Cal'!G12-(SUM($H$38:H43)),0)</f>
        <v>1308256.5</v>
      </c>
      <c r="J44" s="70">
        <f>('GSV for SSV Cal'!$J$4*SA*PT)*(B44=PT)</f>
        <v>0</v>
      </c>
      <c r="K44" s="88">
        <f>'GSV for SSV Cal'!$K$4*SA*'Par - BI'!B44</f>
        <v>821215.5</v>
      </c>
      <c r="N44" s="89"/>
      <c r="P44" s="89"/>
      <c r="Q44" s="89"/>
    </row>
    <row r="45" spans="1:17">
      <c r="A45" s="59"/>
      <c r="B45" s="68">
        <v>7</v>
      </c>
      <c r="C45" s="69">
        <f>+(C44+1)*(B45&lt;=PT)</f>
        <v>50</v>
      </c>
      <c r="D45" s="71">
        <f>(Basic_Prem_Yr1_Annualized*(B45=1)+Basic_Prem_Yr2_Annualized*(B45&gt;1))*(B45&lt;=PPT)</f>
        <v>709824</v>
      </c>
      <c r="E45" s="71">
        <f>IF(B45=1,Stax_Oasis_Yr1,Stax_Oasis_Yr2)*IF(Prem_Mode="Monthly",12,1)*(D45&lt;&gt;0)</f>
        <v>15971.04</v>
      </c>
      <c r="F45" s="71">
        <f>(D45+E45)*(B45&lt;=PPT)</f>
        <v>725795.04</v>
      </c>
      <c r="G45" s="71">
        <f>MAX(Base_Ann_Prem_For_DB_Yr2*10,SA,105%*(B45&lt;=PPT)*D45)</f>
        <v>7098240</v>
      </c>
      <c r="H45" s="71">
        <f>(MB_TIME1=B45)*SA*MB_SA1+(MB_TIME2=B45)*SA*MB_SA2+(mb_time3=B45)*SA*MB_SA3+(PT=B45)*(1-MB_SA1-MB_SA2-MB_SA3)*SA</f>
        <v>0</v>
      </c>
      <c r="I45" s="71">
        <f>MAX('GSV for SSV Cal'!G13-(SUM($H$38:H44)),0)</f>
        <v>1663168.5</v>
      </c>
      <c r="J45" s="70">
        <f>('GSV for SSV Cal'!$J$4*SA*PT)*(B45=PT)</f>
        <v>0</v>
      </c>
      <c r="K45" s="88">
        <f>'GSV for SSV Cal'!$K$4*SA*'Par - BI'!B45</f>
        <v>958084.75</v>
      </c>
      <c r="N45" s="89"/>
      <c r="P45" s="89"/>
      <c r="Q45" s="89"/>
    </row>
    <row r="46" spans="1:17">
      <c r="A46" s="59"/>
      <c r="B46" s="68">
        <v>8</v>
      </c>
      <c r="C46" s="69">
        <f>+(C45+1)*(B46&lt;=PT)</f>
        <v>51</v>
      </c>
      <c r="D46" s="71">
        <f>(Basic_Prem_Yr1_Annualized*(B46=1)+Basic_Prem_Yr2_Annualized*(B46&gt;1))*(B46&lt;=PPT)</f>
        <v>709824</v>
      </c>
      <c r="E46" s="71">
        <f>IF(B46=1,Stax_Oasis_Yr1,Stax_Oasis_Yr2)*IF(Prem_Mode="Monthly",12,1)*(D46&lt;&gt;0)</f>
        <v>15971.04</v>
      </c>
      <c r="F46" s="71">
        <f>(D46+E46)*(B46&lt;=PPT)</f>
        <v>725795.04</v>
      </c>
      <c r="G46" s="71">
        <f>MAX(Base_Ann_Prem_For_DB_Yr2*10,SA,105%*(B46&lt;=PPT)*D46)</f>
        <v>7098240</v>
      </c>
      <c r="H46" s="71">
        <f>(MB_TIME1=B46)*SA*MB_SA1+(MB_TIME2=B46)*SA*MB_SA2+(mb_time3=B46)*SA*MB_SA3+(PT=B46)*(1-MB_SA1-MB_SA2-MB_SA3)*SA</f>
        <v>0</v>
      </c>
      <c r="I46" s="71">
        <f>MAX('GSV for SSV Cal'!G14-(SUM($H$38:H45)),0)</f>
        <v>2131652.34</v>
      </c>
      <c r="J46" s="70">
        <f>('GSV for SSV Cal'!$J$4*SA*PT)*(B46=PT)</f>
        <v>0</v>
      </c>
      <c r="K46" s="88">
        <f>'GSV for SSV Cal'!$K$4*SA*'Par - BI'!B46</f>
        <v>1094954</v>
      </c>
      <c r="N46" s="89"/>
      <c r="P46" s="89"/>
      <c r="Q46" s="89"/>
    </row>
    <row r="47" spans="1:17">
      <c r="A47" s="59"/>
      <c r="B47" s="68">
        <v>9</v>
      </c>
      <c r="C47" s="69">
        <f>+(C46+1)*(B47&lt;=PT)</f>
        <v>52</v>
      </c>
      <c r="D47" s="71">
        <f>(Basic_Prem_Yr1_Annualized*(B47=1)+Basic_Prem_Yr2_Annualized*(B47&gt;1))*(B47&lt;=PPT)</f>
        <v>709824</v>
      </c>
      <c r="E47" s="71">
        <f>IF(B47=1,Stax_Oasis_Yr1,Stax_Oasis_Yr2)*IF(Prem_Mode="Monthly",12,1)*(D47&lt;&gt;0)</f>
        <v>15971.04</v>
      </c>
      <c r="F47" s="71">
        <f>(D47+E47)*(B47&lt;=PPT)</f>
        <v>725795.04</v>
      </c>
      <c r="G47" s="71">
        <f>MAX(Base_Ann_Prem_For_DB_Yr2*10,SA,105%*(B47&lt;=PPT)*D47)</f>
        <v>7098240</v>
      </c>
      <c r="H47" s="71">
        <f>(MB_TIME1=B47)*SA*MB_SA1+(MB_TIME2=B47)*SA*MB_SA2+(mb_time3=B47)*SA*MB_SA3+(PT=B47)*(1-MB_SA1-MB_SA2-MB_SA3)*SA</f>
        <v>821215.5</v>
      </c>
      <c r="I47" s="71">
        <f>MAX('GSV for SSV Cal'!G15-(SUM($H$38:H46)),0)</f>
        <v>2628529.14</v>
      </c>
      <c r="J47" s="70">
        <f>('GSV for SSV Cal'!$J$4*SA*PT)*(B47=PT)</f>
        <v>0</v>
      </c>
      <c r="K47" s="88">
        <f>'GSV for SSV Cal'!$K$4*SA*'Par - BI'!B47</f>
        <v>1231823.25</v>
      </c>
      <c r="N47" s="89"/>
      <c r="P47" s="89"/>
      <c r="Q47" s="89"/>
    </row>
    <row r="48" spans="1:17">
      <c r="A48" s="59"/>
      <c r="B48" s="68">
        <v>10</v>
      </c>
      <c r="C48" s="69">
        <f>+(C47+1)*(B48&lt;=PT)</f>
        <v>53</v>
      </c>
      <c r="D48" s="71">
        <f>(Basic_Prem_Yr1_Annualized*(B48=1)+Basic_Prem_Yr2_Annualized*(B48&gt;1))*(B48&lt;=PPT)</f>
        <v>709824</v>
      </c>
      <c r="E48" s="71">
        <f>IF(B48=1,Stax_Oasis_Yr1,Stax_Oasis_Yr2)*IF(Prem_Mode="Monthly",12,1)*(D48&lt;&gt;0)</f>
        <v>15971.04</v>
      </c>
      <c r="F48" s="71">
        <f>(D48+E48)*(B48&lt;=PPT)</f>
        <v>725795.04</v>
      </c>
      <c r="G48" s="71">
        <f>MAX(Base_Ann_Prem_For_DB_Yr2*10,SA,105%*(B48&lt;=PPT)*D48)</f>
        <v>7098240</v>
      </c>
      <c r="H48" s="71">
        <f>(MB_TIME1=B48)*SA*MB_SA1+(MB_TIME2=B48)*SA*MB_SA2+(mb_time3=B48)*SA*MB_SA3+(PT=B48)*(1-MB_SA1-MB_SA2-MB_SA3)*SA</f>
        <v>0</v>
      </c>
      <c r="I48" s="71">
        <f>MAX('GSV for SSV Cal'!G16-(SUM($H$38:H47)),0)</f>
        <v>2332583.4</v>
      </c>
      <c r="J48" s="70">
        <f>('GSV for SSV Cal'!$J$4*SA*PT)*(B48=PT)</f>
        <v>0</v>
      </c>
      <c r="K48" s="88">
        <f>'GSV for SSV Cal'!$K$4*SA*'Par - BI'!B48</f>
        <v>1368692.5</v>
      </c>
      <c r="N48" s="89"/>
      <c r="P48" s="89"/>
      <c r="Q48" s="89"/>
    </row>
    <row r="49" spans="1:17">
      <c r="A49" s="59"/>
      <c r="B49" s="68">
        <v>11</v>
      </c>
      <c r="C49" s="69">
        <f>+(C48+1)*(B49&lt;=PT)</f>
        <v>54</v>
      </c>
      <c r="D49" s="71">
        <f>(Basic_Prem_Yr1_Annualized*(B49=1)+Basic_Prem_Yr2_Annualized*(B49&gt;1))*(B49&lt;=PPT)</f>
        <v>0</v>
      </c>
      <c r="E49" s="71">
        <f>IF(B49=1,Stax_Oasis_Yr1,Stax_Oasis_Yr2)*IF(Prem_Mode="Monthly",12,1)*(D49&lt;&gt;0)</f>
        <v>0</v>
      </c>
      <c r="F49" s="71">
        <f>(D49+E49)*(B49&lt;=PPT)</f>
        <v>0</v>
      </c>
      <c r="G49" s="71">
        <f>MAX(Base_Ann_Prem_For_DB_Yr2*10,SA,105%*(B49&lt;=PPT)*D49)</f>
        <v>7098240</v>
      </c>
      <c r="H49" s="71">
        <f>(MB_TIME1=B49)*SA*MB_SA1+(MB_TIME2=B49)*SA*MB_SA2+(mb_time3=B49)*SA*MB_SA3+(PT=B49)*(1-MB_SA1-MB_SA2-MB_SA3)*SA</f>
        <v>0</v>
      </c>
      <c r="I49" s="71">
        <f>MAX('GSV for SSV Cal'!G17-(SUM($H$38:H48)),0)</f>
        <v>2474548.2</v>
      </c>
      <c r="J49" s="70">
        <f>('GSV for SSV Cal'!$J$4*SA*PT)*(B49=PT)</f>
        <v>0</v>
      </c>
      <c r="K49" s="88">
        <f>'GSV for SSV Cal'!$K$4*SA*'Par - BI'!B49</f>
        <v>1505561.75</v>
      </c>
      <c r="N49" s="89"/>
      <c r="P49" s="89"/>
      <c r="Q49" s="89"/>
    </row>
    <row r="50" spans="1:17">
      <c r="A50" s="59"/>
      <c r="B50" s="68">
        <v>12</v>
      </c>
      <c r="C50" s="69">
        <f>+(C49+1)*(B50&lt;=PT)</f>
        <v>55</v>
      </c>
      <c r="D50" s="71">
        <f>(Basic_Prem_Yr1_Annualized*(B50=1)+Basic_Prem_Yr2_Annualized*(B50&gt;1))*(B50&lt;=PPT)</f>
        <v>0</v>
      </c>
      <c r="E50" s="71">
        <f>IF(B50=1,Stax_Oasis_Yr1,Stax_Oasis_Yr2)*IF(Prem_Mode="Monthly",12,1)*(D50&lt;&gt;0)</f>
        <v>0</v>
      </c>
      <c r="F50" s="71">
        <f>(D50+E50)*(B50&lt;=PPT)</f>
        <v>0</v>
      </c>
      <c r="G50" s="71">
        <f>MAX(Base_Ann_Prem_For_DB_Yr2*10,SA,105%*(B50&lt;=PPT)*D50)</f>
        <v>7098240</v>
      </c>
      <c r="H50" s="71">
        <f>(MB_TIME1=B50)*SA*MB_SA1+(MB_TIME2=B50)*SA*MB_SA2+(mb_time3=B50)*SA*MB_SA3+(PT=B50)*(1-MB_SA1-MB_SA2-MB_SA3)*SA</f>
        <v>0</v>
      </c>
      <c r="I50" s="71">
        <f>MAX('GSV for SSV Cal'!G18-(SUM($H$38:H49)),0)</f>
        <v>2687495.4</v>
      </c>
      <c r="J50" s="70">
        <f>('GSV for SSV Cal'!$J$4*SA*PT)*(B50=PT)</f>
        <v>0</v>
      </c>
      <c r="K50" s="88">
        <f>'GSV for SSV Cal'!$K$4*SA*'Par - BI'!B50</f>
        <v>1642431</v>
      </c>
      <c r="N50" s="89"/>
      <c r="P50" s="89"/>
      <c r="Q50" s="89"/>
    </row>
    <row r="51" spans="1:17">
      <c r="A51" s="59"/>
      <c r="B51" s="68">
        <v>13</v>
      </c>
      <c r="C51" s="69">
        <f>+(C50+1)*(B51&lt;=PT)</f>
        <v>56</v>
      </c>
      <c r="D51" s="71">
        <f>(Basic_Prem_Yr1_Annualized*(B51=1)+Basic_Prem_Yr2_Annualized*(B51&gt;1))*(B51&lt;=PPT)</f>
        <v>0</v>
      </c>
      <c r="E51" s="71">
        <f>IF(B51=1,Stax_Oasis_Yr1,Stax_Oasis_Yr2)*IF(Prem_Mode="Monthly",12,1)*(D51&lt;&gt;0)</f>
        <v>0</v>
      </c>
      <c r="F51" s="71">
        <f>(D51+E51)*(B51&lt;=PPT)</f>
        <v>0</v>
      </c>
      <c r="G51" s="71">
        <f>MAX(Base_Ann_Prem_For_DB_Yr2*10,SA,105%*(B51&lt;=PPT)*D51)</f>
        <v>7098240</v>
      </c>
      <c r="H51" s="71">
        <f>(MB_TIME1=B51)*SA*MB_SA1+(MB_TIME2=B51)*SA*MB_SA2+(mb_time3=B51)*SA*MB_SA3+(PT=B51)*(1-MB_SA1-MB_SA2-MB_SA3)*SA</f>
        <v>821215.5</v>
      </c>
      <c r="I51" s="71">
        <f>MAX('GSV for SSV Cal'!G19-(SUM($H$38:H50)),0)</f>
        <v>2829460.2</v>
      </c>
      <c r="J51" s="70">
        <f>('GSV for SSV Cal'!$J$4*SA*PT)*(B51=PT)</f>
        <v>0</v>
      </c>
      <c r="K51" s="88">
        <f>'GSV for SSV Cal'!$K$4*SA*'Par - BI'!B51</f>
        <v>1779300.25</v>
      </c>
      <c r="N51" s="89"/>
      <c r="P51" s="89"/>
      <c r="Q51" s="89"/>
    </row>
    <row r="52" spans="1:17">
      <c r="A52" s="59"/>
      <c r="B52" s="68">
        <v>14</v>
      </c>
      <c r="C52" s="69">
        <f>+(C51+1)*(B52&lt;=PT)</f>
        <v>57</v>
      </c>
      <c r="D52" s="71">
        <f>(Basic_Prem_Yr1_Annualized*(B52=1)+Basic_Prem_Yr2_Annualized*(B52&gt;1))*(B52&lt;=PPT)</f>
        <v>0</v>
      </c>
      <c r="E52" s="71">
        <f>IF(B52=1,Stax_Oasis_Yr1,Stax_Oasis_Yr2)*IF(Prem_Mode="Monthly",12,1)*(D52&lt;&gt;0)</f>
        <v>0</v>
      </c>
      <c r="F52" s="71">
        <f>(D52+E52)*(B52&lt;=PPT)</f>
        <v>0</v>
      </c>
      <c r="G52" s="71">
        <f>MAX(Base_Ann_Prem_For_DB_Yr2*10,SA,105%*(B52&lt;=PPT)*D52)</f>
        <v>7098240</v>
      </c>
      <c r="H52" s="71">
        <f>(MB_TIME1=B52)*SA*MB_SA1+(MB_TIME2=B52)*SA*MB_SA2+(mb_time3=B52)*SA*MB_SA3+(PT=B52)*(1-MB_SA1-MB_SA2-MB_SA3)*SA</f>
        <v>0</v>
      </c>
      <c r="I52" s="71">
        <f>MAX('GSV for SSV Cal'!G20-(SUM($H$38:H51)),0)</f>
        <v>2150209.5</v>
      </c>
      <c r="J52" s="70">
        <f>('GSV for SSV Cal'!$J$4*SA*PT)*(B52=PT)</f>
        <v>0</v>
      </c>
      <c r="K52" s="88">
        <f>'GSV for SSV Cal'!$K$4*SA*'Par - BI'!B52</f>
        <v>1916169.5</v>
      </c>
      <c r="N52" s="89"/>
      <c r="P52" s="89"/>
      <c r="Q52" s="89"/>
    </row>
    <row r="53" spans="1:17">
      <c r="A53" s="59"/>
      <c r="B53" s="68">
        <v>15</v>
      </c>
      <c r="C53" s="69">
        <f>+(C52+1)*(B53&lt;=PT)</f>
        <v>58</v>
      </c>
      <c r="D53" s="71">
        <f>(Basic_Prem_Yr1_Annualized*(B53=1)+Basic_Prem_Yr2_Annualized*(B53&gt;1))*(B53&lt;=PPT)</f>
        <v>0</v>
      </c>
      <c r="E53" s="71">
        <f>IF(B53=1,Stax_Oasis_Yr1,Stax_Oasis_Yr2)*IF(Prem_Mode="Monthly",12,1)*(D53&lt;&gt;0)</f>
        <v>0</v>
      </c>
      <c r="F53" s="71">
        <f>(D53+E53)*(B53&lt;=PPT)</f>
        <v>0</v>
      </c>
      <c r="G53" s="71">
        <f>MAX(Base_Ann_Prem_For_DB_Yr2*10,SA,105%*(B53&lt;=PPT)*D53)</f>
        <v>7098240</v>
      </c>
      <c r="H53" s="71">
        <f>(MB_TIME1=B53)*SA*MB_SA1+(MB_TIME2=B53)*SA*MB_SA2+(mb_time3=B53)*SA*MB_SA3+(PT=B53)*(1-MB_SA1-MB_SA2-MB_SA3)*SA</f>
        <v>0</v>
      </c>
      <c r="I53" s="71">
        <f>MAX('GSV for SSV Cal'!G21-(SUM($H$38:H52)),0)</f>
        <v>2292174.3</v>
      </c>
      <c r="J53" s="70">
        <f>('GSV for SSV Cal'!$J$4*SA*PT)*(B53=PT)</f>
        <v>0</v>
      </c>
      <c r="K53" s="88">
        <f>'GSV for SSV Cal'!$K$4*SA*'Par - BI'!B53</f>
        <v>2053038.75</v>
      </c>
      <c r="N53" s="89"/>
      <c r="P53" s="89"/>
      <c r="Q53" s="89"/>
    </row>
    <row r="54" spans="1:17">
      <c r="A54" s="59"/>
      <c r="B54" s="68">
        <v>16</v>
      </c>
      <c r="C54" s="69">
        <f>+(C53+1)*(B54&lt;=PT)</f>
        <v>59</v>
      </c>
      <c r="D54" s="71">
        <f>(Basic_Prem_Yr1_Annualized*(B54=1)+Basic_Prem_Yr2_Annualized*(B54&gt;1))*(B54&lt;=PPT)</f>
        <v>0</v>
      </c>
      <c r="E54" s="71">
        <f>IF(B54=1,Stax_Oasis_Yr1,Stax_Oasis_Yr2)*IF(Prem_Mode="Monthly",12,1)*(D54&lt;&gt;0)</f>
        <v>0</v>
      </c>
      <c r="F54" s="71">
        <f>(D54+E54)*(B54&lt;=PPT)</f>
        <v>0</v>
      </c>
      <c r="G54" s="71">
        <f>MAX(Base_Ann_Prem_For_DB_Yr2*10,SA,105%*(B54&lt;=PPT)*D54)</f>
        <v>7098240</v>
      </c>
      <c r="H54" s="71">
        <f>(MB_TIME1=B54)*SA*MB_SA1+(MB_TIME2=B54)*SA*MB_SA2+(mb_time3=B54)*SA*MB_SA3+(PT=B54)*(1-MB_SA1-MB_SA2-MB_SA3)*SA</f>
        <v>3011123.5</v>
      </c>
      <c r="I54" s="71">
        <f>MAX('GSV for SSV Cal'!G22-(SUM($H$38:H53)),0)</f>
        <v>2434139.1</v>
      </c>
      <c r="J54" s="70">
        <f>('GSV for SSV Cal'!$J$4*SA*PT)*(B54=PT)</f>
        <v>0</v>
      </c>
      <c r="K54" s="88">
        <f>'GSV for SSV Cal'!$K$4*SA*'Par - BI'!B54</f>
        <v>2189908</v>
      </c>
      <c r="N54" s="89"/>
      <c r="P54" s="89"/>
      <c r="Q54" s="89"/>
    </row>
    <row r="55" ht="30" spans="1:11">
      <c r="A55" s="72"/>
      <c r="B55" s="73"/>
      <c r="C55" s="73"/>
      <c r="I55" s="90" t="s">
        <v>118</v>
      </c>
      <c r="J55" s="91">
        <f>Termbonus1*SA</f>
        <v>1916169.5</v>
      </c>
      <c r="K55" s="91">
        <f>Termial_bonus2*SA</f>
        <v>2135160.3</v>
      </c>
    </row>
    <row r="56" spans="1:11">
      <c r="A56" s="72"/>
      <c r="B56" s="73"/>
      <c r="C56" s="73"/>
      <c r="I56" s="92" t="s">
        <v>119</v>
      </c>
      <c r="J56" s="93">
        <f>J55+VLOOKUP(PT,$B$39:$K$54,9,0)</f>
        <v>1916169.5</v>
      </c>
      <c r="K56" s="93">
        <f>K55+VLOOKUP(PT,$B$39:$K$54,10,0)</f>
        <v>4325068.3</v>
      </c>
    </row>
    <row r="57" spans="1:14">
      <c r="A57" s="74" t="s">
        <v>120</v>
      </c>
      <c r="B57" s="74"/>
      <c r="C57" s="75"/>
      <c r="D57" s="75"/>
      <c r="E57" s="75"/>
      <c r="F57" s="75"/>
      <c r="G57" s="75"/>
      <c r="H57" s="75"/>
      <c r="I57" s="75"/>
      <c r="J57" s="75"/>
      <c r="K57" s="75"/>
      <c r="L57" s="75"/>
      <c r="M57" s="75"/>
      <c r="N57" s="94"/>
    </row>
    <row r="58" spans="1:14">
      <c r="A58" s="76" t="s">
        <v>121</v>
      </c>
      <c r="B58" s="76"/>
      <c r="C58" s="76"/>
      <c r="D58" s="76"/>
      <c r="E58" s="76"/>
      <c r="F58" s="76"/>
      <c r="G58" s="76"/>
      <c r="H58" s="76"/>
      <c r="I58" s="76"/>
      <c r="J58" s="76"/>
      <c r="K58" s="76"/>
      <c r="L58" s="76"/>
      <c r="M58" s="76"/>
      <c r="N58" s="76"/>
    </row>
    <row r="59" ht="31.5" customHeight="1" spans="1:14">
      <c r="A59" s="76" t="s">
        <v>122</v>
      </c>
      <c r="B59" s="76"/>
      <c r="C59" s="76"/>
      <c r="D59" s="76"/>
      <c r="E59" s="76"/>
      <c r="F59" s="76"/>
      <c r="G59" s="76"/>
      <c r="H59" s="76"/>
      <c r="I59" s="76"/>
      <c r="J59" s="76"/>
      <c r="K59" s="76"/>
      <c r="L59" s="76"/>
      <c r="M59" s="76"/>
      <c r="N59" s="76"/>
    </row>
    <row r="60" ht="30" customHeight="1" spans="1:14">
      <c r="A60" s="76" t="s">
        <v>123</v>
      </c>
      <c r="B60" s="76"/>
      <c r="C60" s="76"/>
      <c r="D60" s="76"/>
      <c r="E60" s="76"/>
      <c r="F60" s="76"/>
      <c r="G60" s="76"/>
      <c r="H60" s="76"/>
      <c r="I60" s="76"/>
      <c r="J60" s="76"/>
      <c r="K60" s="76"/>
      <c r="L60" s="76"/>
      <c r="M60" s="76"/>
      <c r="N60" s="76"/>
    </row>
    <row r="61" customHeight="1" spans="1:14">
      <c r="A61" s="77" t="s">
        <v>124</v>
      </c>
      <c r="B61" s="77"/>
      <c r="C61" s="77"/>
      <c r="D61" s="77"/>
      <c r="E61" s="77"/>
      <c r="F61" s="77"/>
      <c r="G61" s="77"/>
      <c r="H61" s="77"/>
      <c r="I61" s="77"/>
      <c r="J61" s="77"/>
      <c r="K61" s="77"/>
      <c r="L61" s="77"/>
      <c r="M61" s="77"/>
      <c r="N61" s="77"/>
    </row>
    <row r="62" customHeight="1" spans="1:14">
      <c r="A62" s="77" t="s">
        <v>125</v>
      </c>
      <c r="B62" s="77"/>
      <c r="C62" s="77"/>
      <c r="D62" s="77"/>
      <c r="E62" s="77"/>
      <c r="F62" s="77"/>
      <c r="G62" s="77"/>
      <c r="H62" s="77"/>
      <c r="I62" s="77"/>
      <c r="J62" s="77"/>
      <c r="K62" s="77"/>
      <c r="L62" s="77"/>
      <c r="M62" s="77"/>
      <c r="N62" s="77"/>
    </row>
    <row r="63" customHeight="1" spans="1:14">
      <c r="A63" s="77" t="s">
        <v>126</v>
      </c>
      <c r="B63" s="77"/>
      <c r="C63" s="77"/>
      <c r="D63" s="77"/>
      <c r="E63" s="77"/>
      <c r="F63" s="77"/>
      <c r="G63" s="77"/>
      <c r="H63" s="77"/>
      <c r="I63" s="77"/>
      <c r="J63" s="77"/>
      <c r="K63" s="77"/>
      <c r="L63" s="77"/>
      <c r="M63" s="77"/>
      <c r="N63" s="77"/>
    </row>
    <row r="64" customHeight="1" spans="1:14">
      <c r="A64" s="78" t="s">
        <v>127</v>
      </c>
      <c r="B64" s="78"/>
      <c r="C64" s="78"/>
      <c r="D64" s="78"/>
      <c r="E64" s="78"/>
      <c r="F64" s="78"/>
      <c r="G64" s="78"/>
      <c r="H64" s="78"/>
      <c r="I64" s="78"/>
      <c r="J64" s="78"/>
      <c r="K64" s="78"/>
      <c r="L64" s="78"/>
      <c r="M64" s="78"/>
      <c r="N64" s="78"/>
    </row>
    <row r="65" spans="1:14">
      <c r="A65"/>
      <c r="B65"/>
      <c r="C65"/>
      <c r="D65"/>
      <c r="E65"/>
      <c r="F65"/>
      <c r="G65"/>
      <c r="H65"/>
      <c r="I65"/>
      <c r="J65"/>
      <c r="K65"/>
      <c r="L65"/>
      <c r="M65" s="102"/>
      <c r="N65" s="103"/>
    </row>
    <row r="66" spans="1:14">
      <c r="A66"/>
      <c r="B66"/>
      <c r="C66"/>
      <c r="D66"/>
      <c r="E66"/>
      <c r="F66"/>
      <c r="G66"/>
      <c r="H66"/>
      <c r="I66"/>
      <c r="J66"/>
      <c r="K66"/>
      <c r="L66"/>
      <c r="M66" s="103"/>
      <c r="N66" s="103"/>
    </row>
    <row r="67" spans="1:14">
      <c r="A67"/>
      <c r="B67"/>
      <c r="C67"/>
      <c r="D67"/>
      <c r="E67"/>
      <c r="F67"/>
      <c r="G67"/>
      <c r="H67"/>
      <c r="I67"/>
      <c r="J67"/>
      <c r="K67"/>
      <c r="L67"/>
      <c r="M67" s="103"/>
      <c r="N67" s="103"/>
    </row>
    <row r="68" spans="1:14">
      <c r="A68"/>
      <c r="B68"/>
      <c r="C68"/>
      <c r="D68"/>
      <c r="E68"/>
      <c r="F68"/>
      <c r="G68"/>
      <c r="H68"/>
      <c r="I68"/>
      <c r="J68"/>
      <c r="K68"/>
      <c r="L68"/>
      <c r="M68" s="103"/>
      <c r="N68" s="103"/>
    </row>
    <row r="69" spans="1:14">
      <c r="A69"/>
      <c r="B69"/>
      <c r="C69"/>
      <c r="D69"/>
      <c r="E69"/>
      <c r="F69"/>
      <c r="G69"/>
      <c r="H69"/>
      <c r="I69"/>
      <c r="J69"/>
      <c r="K69"/>
      <c r="L69"/>
      <c r="M69" s="103"/>
      <c r="N69" s="103"/>
    </row>
    <row r="70" spans="1:13">
      <c r="A70" s="95"/>
      <c r="B70" s="95"/>
      <c r="C70" s="95"/>
      <c r="D70" s="95"/>
      <c r="E70" s="95"/>
      <c r="F70" s="95"/>
      <c r="G70" s="95"/>
      <c r="H70" s="95"/>
      <c r="I70" s="95"/>
      <c r="J70" s="95"/>
      <c r="K70" s="95"/>
      <c r="L70" s="95"/>
      <c r="M70" s="95"/>
    </row>
    <row r="71" customHeight="1"/>
    <row r="72" customHeight="1" spans="6:6">
      <c r="F72" s="37" t="s">
        <v>128</v>
      </c>
    </row>
    <row r="73" spans="1:14">
      <c r="A73" s="96" t="s">
        <v>129</v>
      </c>
      <c r="B73" s="96"/>
      <c r="C73" s="96"/>
      <c r="D73" s="94"/>
      <c r="E73" s="94"/>
      <c r="F73" s="94"/>
      <c r="G73" s="94"/>
      <c r="H73" s="94"/>
      <c r="I73" s="94"/>
      <c r="J73" s="94"/>
      <c r="K73" s="94"/>
      <c r="L73" s="94"/>
      <c r="M73" s="94"/>
      <c r="N73" s="94"/>
    </row>
    <row r="74" ht="20.25" customHeight="1" spans="1:14">
      <c r="A74" s="97" t="s">
        <v>130</v>
      </c>
      <c r="B74" s="97"/>
      <c r="C74" s="97"/>
      <c r="D74" s="97"/>
      <c r="E74" s="97"/>
      <c r="F74" s="97"/>
      <c r="G74" s="97"/>
      <c r="H74" s="97"/>
      <c r="I74" s="97"/>
      <c r="J74" s="97"/>
      <c r="K74" s="97"/>
      <c r="L74" s="97"/>
      <c r="M74" s="97"/>
      <c r="N74" s="97"/>
    </row>
    <row r="75" ht="15.75" customHeight="1" spans="1:14">
      <c r="A75" s="97"/>
      <c r="B75" s="97"/>
      <c r="C75" s="97"/>
      <c r="D75" s="97"/>
      <c r="E75" s="97"/>
      <c r="F75" s="97"/>
      <c r="G75" s="97"/>
      <c r="H75" s="97"/>
      <c r="I75" s="97"/>
      <c r="J75" s="97"/>
      <c r="K75" s="97"/>
      <c r="L75" s="97"/>
      <c r="M75" s="97"/>
      <c r="N75" s="97"/>
    </row>
    <row r="76" ht="22.5" customHeight="1" spans="1:14">
      <c r="A76" s="97"/>
      <c r="B76" s="97"/>
      <c r="C76" s="97"/>
      <c r="D76" s="97"/>
      <c r="E76" s="97"/>
      <c r="F76" s="97"/>
      <c r="G76" s="97"/>
      <c r="H76" s="97"/>
      <c r="I76" s="97"/>
      <c r="J76" s="97"/>
      <c r="K76" s="97"/>
      <c r="L76" s="97"/>
      <c r="M76" s="97"/>
      <c r="N76" s="97"/>
    </row>
    <row r="77" ht="16.5" customHeight="1" spans="1:17">
      <c r="A77" s="77" t="s">
        <v>131</v>
      </c>
      <c r="B77" s="77"/>
      <c r="C77" s="77"/>
      <c r="D77" s="77"/>
      <c r="E77" s="77"/>
      <c r="F77" s="77"/>
      <c r="G77" s="77"/>
      <c r="H77" s="77"/>
      <c r="I77" s="77"/>
      <c r="J77" s="77"/>
      <c r="K77" s="77"/>
      <c r="L77" s="77"/>
      <c r="M77" s="77"/>
      <c r="N77" s="77"/>
      <c r="O77" s="104"/>
      <c r="P77" s="104"/>
      <c r="Q77" s="105"/>
    </row>
    <row r="78" ht="17.25" customHeight="1" spans="1:17">
      <c r="A78" s="77"/>
      <c r="B78" s="77"/>
      <c r="C78" s="77"/>
      <c r="D78" s="77"/>
      <c r="E78" s="77"/>
      <c r="F78" s="77"/>
      <c r="G78" s="77"/>
      <c r="H78" s="77"/>
      <c r="I78" s="77"/>
      <c r="J78" s="77"/>
      <c r="K78" s="77"/>
      <c r="L78" s="77"/>
      <c r="M78" s="77"/>
      <c r="N78" s="77"/>
      <c r="O78" s="104"/>
      <c r="P78" s="104"/>
      <c r="Q78" s="105"/>
    </row>
    <row r="79" spans="1:17">
      <c r="A79" s="78" t="s">
        <v>132</v>
      </c>
      <c r="B79" s="78"/>
      <c r="C79" s="78"/>
      <c r="D79" s="78"/>
      <c r="E79" s="78"/>
      <c r="F79" s="78"/>
      <c r="G79" s="78"/>
      <c r="H79" s="78"/>
      <c r="I79" s="78"/>
      <c r="J79" s="78"/>
      <c r="K79" s="78"/>
      <c r="L79" s="78"/>
      <c r="M79" s="78"/>
      <c r="N79" s="78"/>
      <c r="Q79" s="105"/>
    </row>
    <row r="80" spans="1:17">
      <c r="A80" s="78"/>
      <c r="B80" s="78"/>
      <c r="C80" s="78"/>
      <c r="D80" s="78"/>
      <c r="E80" s="78"/>
      <c r="F80" s="78"/>
      <c r="G80" s="78"/>
      <c r="H80" s="78"/>
      <c r="I80" s="78"/>
      <c r="J80" s="78"/>
      <c r="K80" s="78"/>
      <c r="L80" s="78"/>
      <c r="M80" s="78"/>
      <c r="N80" s="78"/>
      <c r="P80" s="105"/>
      <c r="Q80" s="105"/>
    </row>
    <row r="81" spans="1:17">
      <c r="A81" s="77" t="s">
        <v>133</v>
      </c>
      <c r="B81" s="77"/>
      <c r="C81" s="77"/>
      <c r="D81" s="77"/>
      <c r="E81" s="77"/>
      <c r="F81" s="77"/>
      <c r="G81" s="77"/>
      <c r="H81" s="77"/>
      <c r="I81" s="77"/>
      <c r="J81" s="77"/>
      <c r="K81" s="77"/>
      <c r="L81" s="77"/>
      <c r="M81" s="77"/>
      <c r="N81" s="77"/>
      <c r="P81" s="105"/>
      <c r="Q81" s="105"/>
    </row>
    <row r="82" ht="18" customHeight="1" spans="1:17">
      <c r="A82" s="77"/>
      <c r="B82" s="77"/>
      <c r="C82" s="77"/>
      <c r="D82" s="77"/>
      <c r="E82" s="77"/>
      <c r="F82" s="77"/>
      <c r="G82" s="77"/>
      <c r="H82" s="77"/>
      <c r="I82" s="77"/>
      <c r="J82" s="77"/>
      <c r="K82" s="77"/>
      <c r="L82" s="77"/>
      <c r="M82" s="77"/>
      <c r="N82" s="77"/>
      <c r="P82" s="105"/>
      <c r="Q82" s="105"/>
    </row>
    <row r="83" ht="18" customHeight="1" spans="1:17">
      <c r="A83" s="98" t="s">
        <v>134</v>
      </c>
      <c r="B83" s="98"/>
      <c r="C83" s="98"/>
      <c r="D83" s="98"/>
      <c r="E83" s="98"/>
      <c r="F83" s="98"/>
      <c r="G83" s="98"/>
      <c r="H83" s="98"/>
      <c r="I83" s="98"/>
      <c r="J83" s="98"/>
      <c r="K83" s="98"/>
      <c r="L83" s="98"/>
      <c r="M83" s="98"/>
      <c r="N83" s="98"/>
      <c r="P83" s="105"/>
      <c r="Q83" s="105"/>
    </row>
    <row r="84" spans="1:14">
      <c r="A84" s="98" t="s">
        <v>135</v>
      </c>
      <c r="B84" s="98"/>
      <c r="C84" s="98"/>
      <c r="D84" s="98"/>
      <c r="E84" s="98"/>
      <c r="F84" s="98"/>
      <c r="G84" s="98"/>
      <c r="H84" s="98"/>
      <c r="I84" s="98"/>
      <c r="J84" s="98"/>
      <c r="K84" s="98"/>
      <c r="L84" s="98"/>
      <c r="M84" s="98"/>
      <c r="N84" s="98"/>
    </row>
    <row r="85" spans="1:14">
      <c r="A85" s="98" t="s">
        <v>136</v>
      </c>
      <c r="B85" s="98"/>
      <c r="C85" s="98"/>
      <c r="D85" s="98"/>
      <c r="E85" s="98"/>
      <c r="F85" s="98"/>
      <c r="G85" s="98"/>
      <c r="H85" s="98"/>
      <c r="I85" s="98"/>
      <c r="J85" s="98"/>
      <c r="K85" s="98"/>
      <c r="L85" s="98"/>
      <c r="M85" s="98"/>
      <c r="N85" s="98"/>
    </row>
    <row r="86" spans="1:14">
      <c r="A86" s="98" t="s">
        <v>137</v>
      </c>
      <c r="B86" s="98"/>
      <c r="C86" s="98"/>
      <c r="D86" s="98"/>
      <c r="E86" s="98"/>
      <c r="F86" s="98"/>
      <c r="G86" s="98"/>
      <c r="H86" s="98"/>
      <c r="I86" s="98"/>
      <c r="J86" s="98"/>
      <c r="K86" s="98"/>
      <c r="L86" s="98"/>
      <c r="M86" s="98"/>
      <c r="N86" s="98"/>
    </row>
    <row r="87" spans="1:14">
      <c r="A87" s="99"/>
      <c r="B87" s="34"/>
      <c r="C87" s="34"/>
      <c r="D87" s="34"/>
      <c r="E87" s="34"/>
      <c r="F87" s="34"/>
      <c r="G87" s="34"/>
      <c r="H87" s="34"/>
      <c r="I87" s="34"/>
      <c r="J87" s="34"/>
      <c r="K87" s="34"/>
      <c r="L87" s="34"/>
      <c r="M87" s="34"/>
      <c r="N87" s="34"/>
    </row>
    <row r="88" spans="1:14">
      <c r="A88" s="96" t="s">
        <v>138</v>
      </c>
      <c r="B88" s="96"/>
      <c r="C88" s="94"/>
      <c r="D88" s="94"/>
      <c r="E88" s="94"/>
      <c r="F88" s="94"/>
      <c r="G88" s="94"/>
      <c r="H88" s="94"/>
      <c r="I88" s="94"/>
      <c r="J88" s="94"/>
      <c r="K88" s="94"/>
      <c r="L88" s="94"/>
      <c r="M88" s="94"/>
      <c r="N88" s="94"/>
    </row>
    <row r="89" spans="1:14">
      <c r="A89" s="98" t="s">
        <v>139</v>
      </c>
      <c r="B89" s="98"/>
      <c r="C89" s="98"/>
      <c r="D89" s="98"/>
      <c r="E89" s="98"/>
      <c r="F89" s="98"/>
      <c r="G89" s="98"/>
      <c r="H89" s="98"/>
      <c r="I89" s="98"/>
      <c r="J89" s="98"/>
      <c r="K89" s="98"/>
      <c r="L89" s="98"/>
      <c r="M89" s="98"/>
      <c r="N89" s="98"/>
    </row>
    <row r="90" spans="1:14">
      <c r="A90" s="34"/>
      <c r="B90" s="34"/>
      <c r="C90" s="34"/>
      <c r="D90" s="34"/>
      <c r="E90" s="34"/>
      <c r="F90" s="34"/>
      <c r="G90" s="34"/>
      <c r="H90" s="34"/>
      <c r="I90" s="34"/>
      <c r="J90" s="34"/>
      <c r="K90" s="34"/>
      <c r="L90" s="34"/>
      <c r="M90" s="34"/>
      <c r="N90" s="34"/>
    </row>
    <row r="91" spans="1:14">
      <c r="A91" s="34" t="s">
        <v>140</v>
      </c>
      <c r="B91" s="100"/>
      <c r="C91" s="100"/>
      <c r="D91" s="100"/>
      <c r="E91" s="100"/>
      <c r="F91" s="100"/>
      <c r="G91" s="100"/>
      <c r="H91" s="100"/>
      <c r="I91" s="100"/>
      <c r="J91" s="100"/>
      <c r="K91" s="100"/>
      <c r="L91" s="34"/>
      <c r="M91" s="34"/>
      <c r="N91" s="34"/>
    </row>
    <row r="92" spans="1:14">
      <c r="A92" s="34"/>
      <c r="B92" s="34"/>
      <c r="C92" s="34"/>
      <c r="D92" s="34"/>
      <c r="E92" s="34"/>
      <c r="F92" s="34"/>
      <c r="G92" s="34"/>
      <c r="H92" s="34"/>
      <c r="I92" s="34"/>
      <c r="J92" s="34"/>
      <c r="K92" s="34"/>
      <c r="L92" s="34"/>
      <c r="M92" s="34"/>
      <c r="N92" s="34"/>
    </row>
    <row r="93" ht="18" spans="1:14">
      <c r="A93" s="101" t="s">
        <v>141</v>
      </c>
      <c r="B93" s="34"/>
      <c r="C93" s="34"/>
      <c r="D93" s="34"/>
      <c r="E93" s="34"/>
      <c r="F93" s="34"/>
      <c r="G93" s="34"/>
      <c r="H93" s="34"/>
      <c r="I93" s="34"/>
      <c r="J93" s="34"/>
      <c r="K93" s="34"/>
      <c r="L93" s="34"/>
      <c r="M93" s="34"/>
      <c r="N93" s="34"/>
    </row>
    <row r="94" spans="1:14">
      <c r="A94" s="34" t="s">
        <v>142</v>
      </c>
      <c r="B94" s="34"/>
      <c r="C94" s="34"/>
      <c r="D94" s="34"/>
      <c r="E94" s="34"/>
      <c r="F94" s="34"/>
      <c r="G94" s="34"/>
      <c r="H94" s="34"/>
      <c r="I94" s="34"/>
      <c r="J94" s="34"/>
      <c r="K94" s="34"/>
      <c r="L94" s="34"/>
      <c r="M94" s="34"/>
      <c r="N94" s="34"/>
    </row>
    <row r="95" spans="1:14">
      <c r="A95" s="34"/>
      <c r="B95" s="34"/>
      <c r="C95" s="34"/>
      <c r="D95" s="34"/>
      <c r="E95" s="34"/>
      <c r="F95" s="34"/>
      <c r="G95" s="34"/>
      <c r="H95" s="34"/>
      <c r="I95" s="34"/>
      <c r="J95" s="34"/>
      <c r="K95" s="34"/>
      <c r="L95" s="34"/>
      <c r="M95" s="34"/>
      <c r="N95" s="34"/>
    </row>
    <row r="96" spans="1:14">
      <c r="A96" s="34"/>
      <c r="B96" s="34"/>
      <c r="C96" s="34"/>
      <c r="D96" s="34"/>
      <c r="E96" s="34"/>
      <c r="F96" s="34"/>
      <c r="G96" s="34"/>
      <c r="H96" s="34"/>
      <c r="I96" s="34"/>
      <c r="J96" s="34"/>
      <c r="K96" s="34"/>
      <c r="L96" s="34"/>
      <c r="M96" s="34"/>
      <c r="N96" s="34"/>
    </row>
    <row r="97" spans="1:14">
      <c r="A97" s="34" t="s">
        <v>143</v>
      </c>
      <c r="B97" s="34"/>
      <c r="C97" s="34"/>
      <c r="D97" s="34"/>
      <c r="E97" s="34"/>
      <c r="F97" s="34"/>
      <c r="G97" s="34"/>
      <c r="H97" s="34"/>
      <c r="I97" s="34"/>
      <c r="J97" s="34"/>
      <c r="K97" s="34"/>
      <c r="L97" s="34"/>
      <c r="M97" s="34"/>
      <c r="N97" s="34"/>
    </row>
    <row r="98" spans="1:14">
      <c r="A98" s="34"/>
      <c r="B98" s="34"/>
      <c r="C98" s="34"/>
      <c r="D98" s="34"/>
      <c r="E98" s="34"/>
      <c r="F98" s="34"/>
      <c r="G98" s="34"/>
      <c r="H98" s="34"/>
      <c r="I98" s="34"/>
      <c r="J98" s="34"/>
      <c r="K98" s="34"/>
      <c r="L98" s="34"/>
      <c r="M98" s="34"/>
      <c r="N98" s="34"/>
    </row>
    <row r="99" spans="1:14">
      <c r="A99" s="34" t="s">
        <v>144</v>
      </c>
      <c r="B99" s="34"/>
      <c r="C99" s="34"/>
      <c r="D99" s="34"/>
      <c r="E99" s="34"/>
      <c r="F99" s="34"/>
      <c r="G99" s="34"/>
      <c r="H99" s="34"/>
      <c r="I99" s="34"/>
      <c r="J99" s="34"/>
      <c r="K99" s="34"/>
      <c r="L99" s="34"/>
      <c r="M99" s="34"/>
      <c r="N99" s="34"/>
    </row>
    <row r="100" spans="1:14">
      <c r="A100" s="34"/>
      <c r="B100" s="34"/>
      <c r="C100" s="34"/>
      <c r="D100" s="34"/>
      <c r="E100" s="34"/>
      <c r="F100" s="34"/>
      <c r="G100" s="34"/>
      <c r="H100" s="34"/>
      <c r="I100" s="34"/>
      <c r="J100" s="34"/>
      <c r="K100" s="34"/>
      <c r="L100" s="34"/>
      <c r="M100" s="34"/>
      <c r="N100" s="34"/>
    </row>
    <row r="101" spans="1:14">
      <c r="A101" s="34" t="s">
        <v>145</v>
      </c>
      <c r="B101" s="34"/>
      <c r="C101" s="34"/>
      <c r="D101" s="34"/>
      <c r="E101" s="34"/>
      <c r="F101" s="34"/>
      <c r="G101" s="34"/>
      <c r="H101" s="34"/>
      <c r="I101" s="34"/>
      <c r="J101" s="34"/>
      <c r="K101" s="34"/>
      <c r="L101" s="34"/>
      <c r="M101" s="34"/>
      <c r="N101" s="34"/>
    </row>
    <row r="102" spans="1:14">
      <c r="A102" s="34"/>
      <c r="B102" s="34"/>
      <c r="C102" s="34"/>
      <c r="D102" s="34"/>
      <c r="E102" s="34"/>
      <c r="F102" s="34"/>
      <c r="G102" s="34"/>
      <c r="H102" s="34"/>
      <c r="I102" s="34"/>
      <c r="J102" s="34"/>
      <c r="K102" s="34"/>
      <c r="L102" s="34"/>
      <c r="M102" s="34"/>
      <c r="N102" s="34"/>
    </row>
    <row r="103" spans="1:14">
      <c r="A103" s="34" t="s">
        <v>146</v>
      </c>
      <c r="B103" s="34"/>
      <c r="C103" s="34"/>
      <c r="D103" s="34"/>
      <c r="E103" s="34"/>
      <c r="F103" s="34"/>
      <c r="G103" s="34"/>
      <c r="H103" s="34"/>
      <c r="I103" s="34"/>
      <c r="J103" s="34"/>
      <c r="K103" s="34"/>
      <c r="L103" s="34"/>
      <c r="M103" s="34"/>
      <c r="N103" s="34"/>
    </row>
    <row r="104" spans="1:14">
      <c r="A104" s="34"/>
      <c r="B104" s="34"/>
      <c r="C104" s="34"/>
      <c r="D104" s="34"/>
      <c r="E104" s="34"/>
      <c r="F104" s="34"/>
      <c r="G104" s="34"/>
      <c r="H104" s="34"/>
      <c r="I104" s="34"/>
      <c r="J104" s="34"/>
      <c r="K104" s="34"/>
      <c r="L104" s="34"/>
      <c r="M104" s="34"/>
      <c r="N104" s="34"/>
    </row>
    <row r="105" spans="1:14">
      <c r="A105" s="34" t="s">
        <v>147</v>
      </c>
      <c r="B105" s="34"/>
      <c r="C105" s="34"/>
      <c r="D105" s="34"/>
      <c r="G105" s="34"/>
      <c r="H105" s="34"/>
      <c r="I105" s="34"/>
      <c r="J105" s="34"/>
      <c r="K105" s="34"/>
      <c r="L105" s="34"/>
      <c r="M105" s="34"/>
      <c r="N105" s="34"/>
    </row>
    <row r="106" spans="1:14">
      <c r="A106" s="34"/>
      <c r="B106" s="34"/>
      <c r="C106" s="34"/>
      <c r="D106" s="34"/>
      <c r="E106" s="34"/>
      <c r="F106" s="34"/>
      <c r="G106" s="34"/>
      <c r="H106" s="34"/>
      <c r="I106" s="34"/>
      <c r="J106" s="34"/>
      <c r="K106" s="34"/>
      <c r="L106" s="34"/>
      <c r="M106" s="34"/>
      <c r="N106" s="34"/>
    </row>
    <row r="107" spans="1:14">
      <c r="A107" s="34" t="s">
        <v>144</v>
      </c>
      <c r="B107" s="34"/>
      <c r="C107" s="34"/>
      <c r="D107" s="34"/>
      <c r="E107" s="34"/>
      <c r="F107" s="34"/>
      <c r="G107" s="34"/>
      <c r="H107" s="34"/>
      <c r="I107" s="34"/>
      <c r="J107" s="34"/>
      <c r="K107" s="34"/>
      <c r="L107" s="34"/>
      <c r="M107" s="34"/>
      <c r="N107" s="34"/>
    </row>
    <row r="108" spans="1:14">
      <c r="A108" s="34"/>
      <c r="B108" s="34"/>
      <c r="C108" s="34"/>
      <c r="D108" s="34"/>
      <c r="E108" s="34"/>
      <c r="F108" s="34"/>
      <c r="G108" s="34"/>
      <c r="H108" s="34"/>
      <c r="I108" s="34"/>
      <c r="J108" s="34"/>
      <c r="K108" s="34"/>
      <c r="L108" s="34"/>
      <c r="M108" s="34"/>
      <c r="N108" s="34"/>
    </row>
    <row r="109" spans="1:14">
      <c r="A109" s="34" t="s">
        <v>145</v>
      </c>
      <c r="B109" s="34"/>
      <c r="C109" s="34"/>
      <c r="D109" s="34"/>
      <c r="E109" s="34"/>
      <c r="F109" s="34"/>
      <c r="G109" s="34"/>
      <c r="H109" s="34"/>
      <c r="I109" s="34"/>
      <c r="J109" s="34"/>
      <c r="K109" s="34"/>
      <c r="L109" s="34"/>
      <c r="M109" s="34"/>
      <c r="N109" s="34"/>
    </row>
    <row r="110" spans="1:14">
      <c r="A110"/>
      <c r="B110"/>
      <c r="C110"/>
      <c r="D110"/>
      <c r="E110"/>
      <c r="F110"/>
      <c r="G110"/>
      <c r="H110"/>
      <c r="I110"/>
      <c r="J110"/>
      <c r="K110"/>
      <c r="L110"/>
      <c r="M110"/>
      <c r="N110"/>
    </row>
    <row r="111" spans="1:14">
      <c r="A111"/>
      <c r="B111"/>
      <c r="C111"/>
      <c r="D111"/>
      <c r="E111"/>
      <c r="F111"/>
      <c r="G111"/>
      <c r="H111"/>
      <c r="I111"/>
      <c r="J111"/>
      <c r="K111"/>
      <c r="L111"/>
      <c r="M111"/>
      <c r="N111"/>
    </row>
    <row r="112" spans="1:14">
      <c r="A112"/>
      <c r="B112"/>
      <c r="C112"/>
      <c r="D112"/>
      <c r="E112"/>
      <c r="F112"/>
      <c r="G112"/>
      <c r="H112"/>
      <c r="I112"/>
      <c r="J112"/>
      <c r="K112"/>
      <c r="L112"/>
      <c r="M112"/>
      <c r="N112"/>
    </row>
    <row r="113" spans="1:14">
      <c r="A113"/>
      <c r="B113"/>
      <c r="C113"/>
      <c r="D113"/>
      <c r="E113"/>
      <c r="F113"/>
      <c r="G113"/>
      <c r="H113"/>
      <c r="I113"/>
      <c r="J113"/>
      <c r="K113"/>
      <c r="L113"/>
      <c r="M113"/>
      <c r="N113"/>
    </row>
    <row r="114" spans="1:14">
      <c r="A114"/>
      <c r="B114"/>
      <c r="C114"/>
      <c r="D114"/>
      <c r="E114"/>
      <c r="F114"/>
      <c r="G114"/>
      <c r="H114"/>
      <c r="I114"/>
      <c r="J114"/>
      <c r="K114"/>
      <c r="L114"/>
      <c r="M114"/>
      <c r="N114"/>
    </row>
    <row r="115" spans="1:14">
      <c r="A115"/>
      <c r="B115"/>
      <c r="C115"/>
      <c r="D115"/>
      <c r="E115"/>
      <c r="F115"/>
      <c r="G115"/>
      <c r="H115"/>
      <c r="I115"/>
      <c r="J115"/>
      <c r="K115"/>
      <c r="L115"/>
      <c r="M115"/>
      <c r="N115"/>
    </row>
    <row r="116" spans="1:14">
      <c r="A116"/>
      <c r="B116"/>
      <c r="C116"/>
      <c r="D116"/>
      <c r="E116"/>
      <c r="F116"/>
      <c r="G116"/>
      <c r="H116"/>
      <c r="I116"/>
      <c r="J116"/>
      <c r="K116"/>
      <c r="L116"/>
      <c r="M116"/>
      <c r="N116"/>
    </row>
    <row r="117" spans="1:14">
      <c r="A117"/>
      <c r="B117"/>
      <c r="C117"/>
      <c r="D117"/>
      <c r="E117"/>
      <c r="F117"/>
      <c r="G117"/>
      <c r="H117"/>
      <c r="I117"/>
      <c r="J117"/>
      <c r="K117"/>
      <c r="L117"/>
      <c r="M117"/>
      <c r="N117"/>
    </row>
    <row r="118" spans="1:14">
      <c r="A118"/>
      <c r="B118"/>
      <c r="C118"/>
      <c r="D118"/>
      <c r="E118"/>
      <c r="F118"/>
      <c r="G118"/>
      <c r="H118"/>
      <c r="I118"/>
      <c r="J118"/>
      <c r="K118"/>
      <c r="L118"/>
      <c r="M118"/>
      <c r="N118"/>
    </row>
  </sheetData>
  <mergeCells count="32">
    <mergeCell ref="J16:K16"/>
    <mergeCell ref="G36:H36"/>
    <mergeCell ref="J36:K36"/>
    <mergeCell ref="A57:B57"/>
    <mergeCell ref="A58:N58"/>
    <mergeCell ref="A59:N59"/>
    <mergeCell ref="A60:N60"/>
    <mergeCell ref="A61:N61"/>
    <mergeCell ref="A62:N62"/>
    <mergeCell ref="A63:N63"/>
    <mergeCell ref="A64:N64"/>
    <mergeCell ref="A73:C73"/>
    <mergeCell ref="A83:N83"/>
    <mergeCell ref="A84:N84"/>
    <mergeCell ref="A85:N85"/>
    <mergeCell ref="A86:N86"/>
    <mergeCell ref="A88:B88"/>
    <mergeCell ref="A89:N89"/>
    <mergeCell ref="B37:B38"/>
    <mergeCell ref="C37:C38"/>
    <mergeCell ref="D37:D38"/>
    <mergeCell ref="E37:E38"/>
    <mergeCell ref="F37:F38"/>
    <mergeCell ref="G37:G38"/>
    <mergeCell ref="H37:H38"/>
    <mergeCell ref="I36:I38"/>
    <mergeCell ref="J37:J38"/>
    <mergeCell ref="K37:K38"/>
    <mergeCell ref="A79:N80"/>
    <mergeCell ref="A81:N82"/>
    <mergeCell ref="A74:N76"/>
    <mergeCell ref="A77:N78"/>
  </mergeCells>
  <pageMargins left="0.3" right="0.3" top="0.3" bottom="0.3" header="0.3" footer="0.3"/>
  <pageSetup paperSize="1" scale="48" orientation="landscape"/>
  <headerFooter alignWithMargins="0"/>
  <rowBreaks count="2" manualBreakCount="2">
    <brk id="32" max="13" man="1"/>
    <brk id="70" max="13" man="1"/>
  </rowBreaks>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W31"/>
  <sheetViews>
    <sheetView showGridLines="0" zoomScale="90" zoomScaleNormal="90" topLeftCell="L1" workbookViewId="0">
      <selection activeCell="V4" sqref="V4"/>
    </sheetView>
  </sheetViews>
  <sheetFormatPr defaultColWidth="9" defaultRowHeight="12.75"/>
  <cols>
    <col min="1" max="1" width="4" style="1" customWidth="1"/>
    <col min="2" max="3" width="9.14285714285714" style="1"/>
    <col min="4" max="4" width="9.57142857142857" style="1" customWidth="1"/>
    <col min="5" max="5" width="25.1428571428571" style="1" customWidth="1"/>
    <col min="6" max="6" width="11.7142857142857" style="1" customWidth="1"/>
    <col min="7" max="7" width="11.8571428571429" style="1" customWidth="1"/>
    <col min="8" max="8" width="5" style="1" customWidth="1"/>
    <col min="9" max="9" width="10.2857142857143" style="1" customWidth="1"/>
    <col min="10" max="10" width="10.4285714285714" style="1" customWidth="1"/>
    <col min="11" max="11" width="11.1428571428571" style="1" customWidth="1"/>
    <col min="12" max="12" width="5.14285714285714" style="1" customWidth="1"/>
    <col min="13" max="13" width="6.71428571428571" style="1" customWidth="1"/>
    <col min="14" max="14" width="6.28571428571429" style="1" customWidth="1"/>
    <col min="15" max="15" width="4.42857142857143" style="1" customWidth="1"/>
    <col min="16" max="16" width="4" style="1" customWidth="1"/>
    <col min="17" max="17" width="7.14285714285714" style="1" customWidth="1"/>
    <col min="18" max="18" width="8.28571428571429" style="1" customWidth="1"/>
    <col min="19" max="19" width="7.85714285714286" style="1" customWidth="1"/>
    <col min="20" max="20" width="7.57142857142857" style="1" customWidth="1"/>
    <col min="21" max="21" width="9.14285714285714" style="1"/>
    <col min="22" max="22" width="16.5714285714286" style="1" customWidth="1"/>
    <col min="23" max="23" width="16.8571428571429" style="1" customWidth="1"/>
    <col min="24" max="16384" width="9.14285714285714" style="1"/>
  </cols>
  <sheetData>
    <row r="1" ht="15" spans="9:20">
      <c r="I1" s="10" t="s">
        <v>148</v>
      </c>
      <c r="J1" s="10"/>
      <c r="K1" s="10"/>
      <c r="R1" s="22" t="s">
        <v>149</v>
      </c>
      <c r="S1" s="206" t="s">
        <v>150</v>
      </c>
      <c r="T1" s="207" t="s">
        <v>151</v>
      </c>
    </row>
    <row r="2" ht="38.25" spans="9:20">
      <c r="I2" s="5"/>
      <c r="J2" s="2" t="s">
        <v>152</v>
      </c>
      <c r="K2" s="2" t="s">
        <v>153</v>
      </c>
      <c r="N2" s="11" t="str">
        <f>+CONCATENATE(N3,N4)</f>
        <v>1610</v>
      </c>
      <c r="R2" s="25" t="s">
        <v>154</v>
      </c>
      <c r="S2" s="26">
        <v>0.025</v>
      </c>
      <c r="T2" s="27">
        <v>0</v>
      </c>
    </row>
    <row r="3" ht="25.5" spans="9:14">
      <c r="I3" s="2" t="s">
        <v>155</v>
      </c>
      <c r="J3" s="12">
        <v>0.35</v>
      </c>
      <c r="K3" s="12">
        <v>0.39</v>
      </c>
      <c r="M3" s="13" t="s">
        <v>2</v>
      </c>
      <c r="N3" s="14">
        <v>16</v>
      </c>
    </row>
    <row r="4" ht="25.5" spans="9:14">
      <c r="I4" s="2" t="s">
        <v>156</v>
      </c>
      <c r="J4" s="15">
        <v>0</v>
      </c>
      <c r="K4" s="15">
        <v>0.025</v>
      </c>
      <c r="M4" s="16" t="s">
        <v>3</v>
      </c>
      <c r="N4" s="14">
        <v>10</v>
      </c>
    </row>
    <row r="5" ht="38.25" spans="2:23">
      <c r="B5" s="2" t="s">
        <v>157</v>
      </c>
      <c r="C5" s="3"/>
      <c r="D5" s="2" t="s">
        <v>158</v>
      </c>
      <c r="E5" s="4" t="s">
        <v>159</v>
      </c>
      <c r="F5" s="2" t="s">
        <v>160</v>
      </c>
      <c r="G5" s="2" t="s">
        <v>161</v>
      </c>
      <c r="I5" s="17"/>
      <c r="J5" s="17"/>
      <c r="K5" s="17"/>
      <c r="M5" s="16" t="s">
        <v>162</v>
      </c>
      <c r="N5" s="18" t="s">
        <v>163</v>
      </c>
      <c r="Q5"/>
      <c r="R5"/>
      <c r="S5" s="28" t="s">
        <v>164</v>
      </c>
      <c r="T5" s="29"/>
      <c r="V5" s="10" t="s">
        <v>165</v>
      </c>
      <c r="W5" s="10"/>
    </row>
    <row r="6" ht="13.5" customHeight="1" spans="2:23">
      <c r="B6" s="5"/>
      <c r="C6" s="5"/>
      <c r="D6" s="5"/>
      <c r="E6" s="5"/>
      <c r="F6" s="5"/>
      <c r="G6" s="5"/>
      <c r="I6" s="17"/>
      <c r="J6" s="17"/>
      <c r="K6" s="17"/>
      <c r="M6" s="14">
        <v>1</v>
      </c>
      <c r="N6" s="19">
        <v>0</v>
      </c>
      <c r="Q6" s="30" t="s">
        <v>2</v>
      </c>
      <c r="R6" s="30" t="s">
        <v>3</v>
      </c>
      <c r="S6" s="208" t="s">
        <v>150</v>
      </c>
      <c r="T6" s="208" t="s">
        <v>151</v>
      </c>
      <c r="V6" s="2" t="s">
        <v>166</v>
      </c>
      <c r="W6" s="2" t="s">
        <v>167</v>
      </c>
    </row>
    <row r="7" ht="15" spans="2:23">
      <c r="B7" s="6">
        <v>1</v>
      </c>
      <c r="C7" s="6">
        <v>1</v>
      </c>
      <c r="D7" s="7">
        <f>+INDEX($M$2:$N$30,MATCH(B7,$M$2:$M$30,0),MATCH(CONCATENATE(PT,PPT),$M$2:$N$2,0))</f>
        <v>0</v>
      </c>
      <c r="E7" s="8">
        <f>(IF(B7=1,Modal_Basic_Prem_Yr1,Modal_Basic_Prem_Yr2))*(B7&lt;=PPT)*IF(Prem_Mode="Monthly",12,1)</f>
        <v>709824</v>
      </c>
      <c r="F7" s="8">
        <f>SUM($E$7:E7)*(B7&lt;=PT)</f>
        <v>709824</v>
      </c>
      <c r="G7" s="8">
        <f>D7*F7</f>
        <v>0</v>
      </c>
      <c r="H7" s="9"/>
      <c r="I7" s="20"/>
      <c r="J7" s="21"/>
      <c r="K7" s="21"/>
      <c r="M7" s="14">
        <v>2</v>
      </c>
      <c r="N7" s="19">
        <v>0</v>
      </c>
      <c r="P7" s="11"/>
      <c r="Q7" s="30">
        <v>16</v>
      </c>
      <c r="R7" s="30">
        <v>10</v>
      </c>
      <c r="S7" s="32">
        <v>0.39</v>
      </c>
      <c r="T7" s="32">
        <v>0.35</v>
      </c>
      <c r="V7" s="2">
        <v>1</v>
      </c>
      <c r="W7" s="33">
        <f>ROUND(SUM($E$7)*10%,0)</f>
        <v>70982</v>
      </c>
    </row>
    <row r="8" ht="15" spans="2:23">
      <c r="B8" s="6">
        <f>B7+1</f>
        <v>2</v>
      </c>
      <c r="C8" s="6">
        <f>C7+1</f>
        <v>2</v>
      </c>
      <c r="D8" s="7">
        <f>+INDEX($M$2:$N$30,MATCH(B8,$M$2:$M$30,0),MATCH(CONCATENATE(PT,PPT),$M$2:$N$2,0))</f>
        <v>0</v>
      </c>
      <c r="E8" s="8">
        <f>(IF(B8=1,Modal_Basic_Prem_Yr1,Modal_Basic_Prem_Yr2))*(B8&lt;=PPT)*IF(Prem_Mode="Monthly",12,1)</f>
        <v>709824</v>
      </c>
      <c r="F8" s="8">
        <f>SUM($E$7:E8)*(B8&lt;=PT)</f>
        <v>1419648</v>
      </c>
      <c r="G8" s="8">
        <f t="shared" ref="G8:G31" si="0">D8*F8</f>
        <v>0</v>
      </c>
      <c r="H8" s="9"/>
      <c r="I8" s="20"/>
      <c r="J8" s="21"/>
      <c r="K8" s="21"/>
      <c r="M8" s="14">
        <v>3</v>
      </c>
      <c r="N8" s="19">
        <v>0.3</v>
      </c>
      <c r="P8" s="11" t="str">
        <f t="shared" ref="P8:P29" si="1">+CONCATENATE(Q8,R8)</f>
        <v/>
      </c>
      <c r="Q8"/>
      <c r="R8"/>
      <c r="S8"/>
      <c r="T8"/>
      <c r="V8" s="2">
        <v>2</v>
      </c>
      <c r="W8" s="33">
        <f>ROUND(SUM($E$7:$E$8)*20%,0)*(PPT&gt;=10)</f>
        <v>283930</v>
      </c>
    </row>
    <row r="9" ht="15" spans="2:20">
      <c r="B9" s="6">
        <f t="shared" ref="B9:B31" si="2">B8+1</f>
        <v>3</v>
      </c>
      <c r="C9" s="6">
        <f t="shared" ref="C9:C31" si="3">C8+1</f>
        <v>3</v>
      </c>
      <c r="D9" s="7">
        <f>+INDEX($M$2:$N$30,MATCH(B9,$M$2:$M$30,0),MATCH(CONCATENATE(PT,PPT),$M$2:$N$2,0))</f>
        <v>0.3</v>
      </c>
      <c r="E9" s="8">
        <f>(IF(B9=1,Modal_Basic_Prem_Yr1,Modal_Basic_Prem_Yr2))*(B9&lt;=PPT)*IF(Prem_Mode="Monthly",12,1)</f>
        <v>709824</v>
      </c>
      <c r="F9" s="8">
        <f>SUM($E$7:E9)*(B9&lt;=PT)</f>
        <v>2129472</v>
      </c>
      <c r="G9" s="8">
        <f>D9*F9</f>
        <v>638841.6</v>
      </c>
      <c r="H9" s="9"/>
      <c r="I9" s="20"/>
      <c r="J9" s="21"/>
      <c r="K9" s="21"/>
      <c r="M9" s="14">
        <v>4</v>
      </c>
      <c r="N9" s="19">
        <v>0.5</v>
      </c>
      <c r="P9" s="11" t="str">
        <f>+CONCATENATE(Q9,R9)</f>
        <v/>
      </c>
      <c r="Q9"/>
      <c r="R9"/>
      <c r="S9"/>
      <c r="T9"/>
    </row>
    <row r="10" ht="15" spans="2:20">
      <c r="B10" s="6">
        <f>B9+1</f>
        <v>4</v>
      </c>
      <c r="C10" s="6">
        <f>C9+1</f>
        <v>4</v>
      </c>
      <c r="D10" s="7">
        <f>+INDEX($M$2:$N$30,MATCH(B10,$M$2:$M$30,0),MATCH(CONCATENATE(PT,PPT),$M$2:$N$2,0))</f>
        <v>0.5</v>
      </c>
      <c r="E10" s="8">
        <f>(IF(B10=1,Modal_Basic_Prem_Yr1,Modal_Basic_Prem_Yr2))*(B10&lt;=PPT)*IF(Prem_Mode="Monthly",12,1)</f>
        <v>709824</v>
      </c>
      <c r="F10" s="8">
        <f>SUM($E$7:E10)*(B10&lt;=PT)</f>
        <v>2839296</v>
      </c>
      <c r="G10" s="8">
        <f>D10*F10</f>
        <v>1419648</v>
      </c>
      <c r="H10" s="9"/>
      <c r="I10" s="20"/>
      <c r="J10" s="21"/>
      <c r="K10" s="21"/>
      <c r="M10" s="14">
        <v>5</v>
      </c>
      <c r="N10" s="19">
        <v>0.5</v>
      </c>
      <c r="P10" s="11" t="str">
        <f>+CONCATENATE(Q10,R10)</f>
        <v/>
      </c>
      <c r="Q10"/>
      <c r="R10"/>
      <c r="S10"/>
      <c r="T10"/>
    </row>
    <row r="11" ht="15" spans="2:20">
      <c r="B11" s="6">
        <f>B10+1</f>
        <v>5</v>
      </c>
      <c r="C11" s="6">
        <f>C10+1</f>
        <v>5</v>
      </c>
      <c r="D11" s="7">
        <f>+INDEX($M$2:$N$30,MATCH(B11,$M$2:$M$30,0),MATCH(CONCATENATE(PT,PPT),$M$2:$N$2,0))</f>
        <v>0.5</v>
      </c>
      <c r="E11" s="8">
        <f>(IF(B11=1,Modal_Basic_Prem_Yr1,Modal_Basic_Prem_Yr2))*(B11&lt;=PPT)*IF(Prem_Mode="Monthly",12,1)</f>
        <v>709824</v>
      </c>
      <c r="F11" s="8">
        <f>SUM($E$7:E11)*(B11&lt;=PT)</f>
        <v>3549120</v>
      </c>
      <c r="G11" s="8">
        <f>D11*F11</f>
        <v>1774560</v>
      </c>
      <c r="H11" s="9"/>
      <c r="I11" s="20"/>
      <c r="J11" s="21"/>
      <c r="K11" s="21"/>
      <c r="M11" s="14">
        <v>6</v>
      </c>
      <c r="N11" s="19">
        <v>0.5</v>
      </c>
      <c r="P11" s="11" t="str">
        <f>+CONCATENATE(Q11,R11)</f>
        <v/>
      </c>
      <c r="Q11"/>
      <c r="R11"/>
      <c r="S11"/>
      <c r="T11"/>
    </row>
    <row r="12" ht="15" spans="2:20">
      <c r="B12" s="6">
        <f>B11+1</f>
        <v>6</v>
      </c>
      <c r="C12" s="6">
        <f>C11+1</f>
        <v>6</v>
      </c>
      <c r="D12" s="7">
        <f>+INDEX($M$2:$N$30,MATCH(B12,$M$2:$M$30,0),MATCH(CONCATENATE(PT,PPT),$M$2:$N$2,0))</f>
        <v>0.5</v>
      </c>
      <c r="E12" s="8">
        <f>(IF(B12=1,Modal_Basic_Prem_Yr1,Modal_Basic_Prem_Yr2))*(B12&lt;=PPT)*IF(Prem_Mode="Monthly",12,1)</f>
        <v>709824</v>
      </c>
      <c r="F12" s="8">
        <f>SUM($E$7:E12)*(B12&lt;=PT)</f>
        <v>4258944</v>
      </c>
      <c r="G12" s="8">
        <f>D12*F12</f>
        <v>2129472</v>
      </c>
      <c r="H12" s="9"/>
      <c r="I12" s="20"/>
      <c r="J12" s="21"/>
      <c r="K12" s="21"/>
      <c r="M12" s="14">
        <v>7</v>
      </c>
      <c r="N12" s="19">
        <v>0.5</v>
      </c>
      <c r="P12" s="11" t="str">
        <f>+CONCATENATE(Q12,R12)</f>
        <v/>
      </c>
      <c r="Q12"/>
      <c r="R12"/>
      <c r="S12"/>
      <c r="T12"/>
    </row>
    <row r="13" ht="15" spans="2:20">
      <c r="B13" s="6">
        <f>B12+1</f>
        <v>7</v>
      </c>
      <c r="C13" s="6">
        <f>C12+1</f>
        <v>7</v>
      </c>
      <c r="D13" s="7">
        <f>+INDEX($M$2:$N$30,MATCH(B13,$M$2:$M$30,0),MATCH(CONCATENATE(PT,PPT),$M$2:$N$2,0))</f>
        <v>0.5</v>
      </c>
      <c r="E13" s="8">
        <f>(IF(B13=1,Modal_Basic_Prem_Yr1,Modal_Basic_Prem_Yr2))*(B13&lt;=PPT)*IF(Prem_Mode="Monthly",12,1)</f>
        <v>709824</v>
      </c>
      <c r="F13" s="8">
        <f>SUM($E$7:E13)*(B13&lt;=PT)</f>
        <v>4968768</v>
      </c>
      <c r="G13" s="8">
        <f>D13*F13</f>
        <v>2484384</v>
      </c>
      <c r="H13" s="9"/>
      <c r="I13" s="20"/>
      <c r="J13" s="21"/>
      <c r="K13" s="21"/>
      <c r="M13" s="14">
        <v>8</v>
      </c>
      <c r="N13" s="19">
        <v>0.52</v>
      </c>
      <c r="P13" s="11" t="str">
        <f>+CONCATENATE(Q13,R13)</f>
        <v/>
      </c>
      <c r="Q13"/>
      <c r="R13"/>
      <c r="S13"/>
      <c r="T13"/>
    </row>
    <row r="14" ht="15" spans="2:20">
      <c r="B14" s="6">
        <f>B13+1</f>
        <v>8</v>
      </c>
      <c r="C14" s="6">
        <f>C13+1</f>
        <v>8</v>
      </c>
      <c r="D14" s="7">
        <f>+INDEX($M$2:$N$30,MATCH(B14,$M$2:$M$30,0),MATCH(CONCATENATE(PT,PPT),$M$2:$N$2,0))</f>
        <v>0.52</v>
      </c>
      <c r="E14" s="8">
        <f>(IF(B14=1,Modal_Basic_Prem_Yr1,Modal_Basic_Prem_Yr2))*(B14&lt;=PPT)*IF(Prem_Mode="Monthly",12,1)</f>
        <v>709824</v>
      </c>
      <c r="F14" s="8">
        <f>SUM($E$7:E14)*(B14&lt;=PT)</f>
        <v>5678592</v>
      </c>
      <c r="G14" s="8">
        <f>D14*F14</f>
        <v>2952867.84</v>
      </c>
      <c r="H14" s="9"/>
      <c r="I14" s="20"/>
      <c r="J14" s="21"/>
      <c r="K14" s="21"/>
      <c r="M14" s="14">
        <v>9</v>
      </c>
      <c r="N14" s="19">
        <v>0.54</v>
      </c>
      <c r="P14" s="11" t="str">
        <f>+CONCATENATE(Q14,R14)</f>
        <v/>
      </c>
      <c r="Q14"/>
      <c r="R14"/>
      <c r="S14"/>
      <c r="T14"/>
    </row>
    <row r="15" ht="15" spans="2:20">
      <c r="B15" s="6">
        <f>B14+1</f>
        <v>9</v>
      </c>
      <c r="C15" s="6">
        <f>C14+1</f>
        <v>9</v>
      </c>
      <c r="D15" s="7">
        <f>+INDEX($M$2:$N$30,MATCH(B15,$M$2:$M$30,0),MATCH(CONCATENATE(PT,PPT),$M$2:$N$2,0))</f>
        <v>0.54</v>
      </c>
      <c r="E15" s="8">
        <f>(IF(B15=1,Modal_Basic_Prem_Yr1,Modal_Basic_Prem_Yr2))*(B15&lt;=PPT)*IF(Prem_Mode="Monthly",12,1)</f>
        <v>709824</v>
      </c>
      <c r="F15" s="8">
        <f>SUM($E$7:E15)*(B15&lt;=PT)</f>
        <v>6388416</v>
      </c>
      <c r="G15" s="8">
        <f>D15*F15</f>
        <v>3449744.64</v>
      </c>
      <c r="H15" s="9"/>
      <c r="I15" s="20"/>
      <c r="J15" s="21"/>
      <c r="K15" s="21"/>
      <c r="M15" s="14">
        <v>10</v>
      </c>
      <c r="N15" s="19">
        <v>0.56</v>
      </c>
      <c r="P15" s="11" t="str">
        <f>+CONCATENATE(Q15,R15)</f>
        <v/>
      </c>
      <c r="Q15"/>
      <c r="R15"/>
      <c r="S15"/>
      <c r="T15"/>
    </row>
    <row r="16" ht="15" spans="2:20">
      <c r="B16" s="6">
        <f>B15+1</f>
        <v>10</v>
      </c>
      <c r="C16" s="6">
        <f>C15+1</f>
        <v>10</v>
      </c>
      <c r="D16" s="7">
        <f>+INDEX($M$2:$N$30,MATCH(B16,$M$2:$M$30,0),MATCH(CONCATENATE(PT,PPT),$M$2:$N$2,0))</f>
        <v>0.56</v>
      </c>
      <c r="E16" s="8">
        <f>(IF(B16=1,Modal_Basic_Prem_Yr1,Modal_Basic_Prem_Yr2))*(B16&lt;=PPT)*IF(Prem_Mode="Monthly",12,1)</f>
        <v>709824</v>
      </c>
      <c r="F16" s="8">
        <f>SUM($E$7:E16)*(B16&lt;=PT)</f>
        <v>7098240</v>
      </c>
      <c r="G16" s="8">
        <f>D16*F16</f>
        <v>3975014.4</v>
      </c>
      <c r="H16" s="9"/>
      <c r="I16" s="20"/>
      <c r="J16" s="21"/>
      <c r="K16" s="21"/>
      <c r="M16" s="14">
        <v>11</v>
      </c>
      <c r="N16" s="19">
        <v>0.58</v>
      </c>
      <c r="P16" s="11" t="str">
        <f>+CONCATENATE(Q16,R16)</f>
        <v/>
      </c>
      <c r="Q16"/>
      <c r="R16"/>
      <c r="S16"/>
      <c r="T16"/>
    </row>
    <row r="17" ht="15" spans="2:20">
      <c r="B17" s="6">
        <f>B16+1</f>
        <v>11</v>
      </c>
      <c r="C17" s="6">
        <f>C16+1</f>
        <v>11</v>
      </c>
      <c r="D17" s="7">
        <f>+INDEX($M$2:$N$30,MATCH(B17,$M$2:$M$30,0),MATCH(CONCATENATE(PT,PPT),$M$2:$N$2,0))</f>
        <v>0.58</v>
      </c>
      <c r="E17" s="8">
        <f>(IF(B17=1,Modal_Basic_Prem_Yr1,Modal_Basic_Prem_Yr2))*(B17&lt;=PPT)*IF(Prem_Mode="Monthly",12,1)</f>
        <v>0</v>
      </c>
      <c r="F17" s="8">
        <f>SUM($E$7:E17)*(B17&lt;=PT)</f>
        <v>7098240</v>
      </c>
      <c r="G17" s="8">
        <f>D17*F17</f>
        <v>4116979.2</v>
      </c>
      <c r="H17" s="9"/>
      <c r="I17" s="20"/>
      <c r="J17" s="21"/>
      <c r="K17" s="21"/>
      <c r="M17" s="14">
        <v>12</v>
      </c>
      <c r="N17" s="19">
        <v>0.61</v>
      </c>
      <c r="P17" s="11" t="str">
        <f>+CONCATENATE(Q17,R17)</f>
        <v/>
      </c>
      <c r="Q17"/>
      <c r="R17"/>
      <c r="S17"/>
      <c r="T17"/>
    </row>
    <row r="18" ht="15" spans="2:20">
      <c r="B18" s="6">
        <f>B17+1</f>
        <v>12</v>
      </c>
      <c r="C18" s="6">
        <f>C17+1</f>
        <v>12</v>
      </c>
      <c r="D18" s="7">
        <f>+INDEX($M$2:$N$30,MATCH(B18,$M$2:$M$30,0),MATCH(CONCATENATE(PT,PPT),$M$2:$N$2,0))</f>
        <v>0.61</v>
      </c>
      <c r="E18" s="8">
        <f>(IF(B18=1,Modal_Basic_Prem_Yr1,Modal_Basic_Prem_Yr2))*(B18&lt;=PPT)*IF(Prem_Mode="Monthly",12,1)</f>
        <v>0</v>
      </c>
      <c r="F18" s="8">
        <f>SUM($E$7:E18)*(B18&lt;=PT)</f>
        <v>7098240</v>
      </c>
      <c r="G18" s="8">
        <f>D18*F18</f>
        <v>4329926.4</v>
      </c>
      <c r="H18" s="9"/>
      <c r="I18" s="20"/>
      <c r="J18" s="21"/>
      <c r="K18" s="21"/>
      <c r="M18" s="14">
        <v>13</v>
      </c>
      <c r="N18" s="19">
        <v>0.63</v>
      </c>
      <c r="P18" s="11" t="str">
        <f>+CONCATENATE(Q18,R18)</f>
        <v/>
      </c>
      <c r="Q18"/>
      <c r="R18"/>
      <c r="S18"/>
      <c r="T18"/>
    </row>
    <row r="19" ht="15" spans="2:20">
      <c r="B19" s="6">
        <f>B18+1</f>
        <v>13</v>
      </c>
      <c r="C19" s="6">
        <f>C18+1</f>
        <v>13</v>
      </c>
      <c r="D19" s="7">
        <f>+INDEX($M$2:$N$30,MATCH(B19,$M$2:$M$30,0),MATCH(CONCATENATE(PT,PPT),$M$2:$N$2,0))</f>
        <v>0.63</v>
      </c>
      <c r="E19" s="8">
        <f>(IF(B19=1,Modal_Basic_Prem_Yr1,Modal_Basic_Prem_Yr2))*(B19&lt;=PPT)*IF(Prem_Mode="Monthly",12,1)</f>
        <v>0</v>
      </c>
      <c r="F19" s="8">
        <f>SUM($E$7:E19)*(B19&lt;=PT)</f>
        <v>7098240</v>
      </c>
      <c r="G19" s="8">
        <f>D19*F19</f>
        <v>4471891.2</v>
      </c>
      <c r="H19" s="9"/>
      <c r="I19" s="20"/>
      <c r="J19" s="21"/>
      <c r="K19" s="21"/>
      <c r="M19" s="14">
        <v>14</v>
      </c>
      <c r="N19" s="19">
        <v>0.65</v>
      </c>
      <c r="P19" s="11" t="str">
        <f>+CONCATENATE(Q19,R19)</f>
        <v/>
      </c>
      <c r="Q19"/>
      <c r="R19"/>
      <c r="S19"/>
      <c r="T19"/>
    </row>
    <row r="20" ht="15" spans="2:20">
      <c r="B20" s="6">
        <f>B19+1</f>
        <v>14</v>
      </c>
      <c r="C20" s="6">
        <f>C19+1</f>
        <v>14</v>
      </c>
      <c r="D20" s="7">
        <f>+INDEX($M$2:$N$30,MATCH(B20,$M$2:$M$30,0),MATCH(CONCATENATE(PT,PPT),$M$2:$N$2,0))</f>
        <v>0.65</v>
      </c>
      <c r="E20" s="8">
        <f>(IF(B20=1,Modal_Basic_Prem_Yr1,Modal_Basic_Prem_Yr2))*(B20&lt;=PPT)*IF(Prem_Mode="Monthly",12,1)</f>
        <v>0</v>
      </c>
      <c r="F20" s="8">
        <f>SUM($E$7:E20)*(B20&lt;=PT)</f>
        <v>7098240</v>
      </c>
      <c r="G20" s="8">
        <f>D20*F20</f>
        <v>4613856</v>
      </c>
      <c r="H20" s="9"/>
      <c r="I20" s="20"/>
      <c r="J20" s="21"/>
      <c r="K20" s="21"/>
      <c r="M20" s="14">
        <v>15</v>
      </c>
      <c r="N20" s="19">
        <v>0.67</v>
      </c>
      <c r="P20" s="11" t="str">
        <f>+CONCATENATE(Q20,R20)</f>
        <v/>
      </c>
      <c r="Q20"/>
      <c r="R20"/>
      <c r="S20"/>
      <c r="T20"/>
    </row>
    <row r="21" ht="15" spans="2:20">
      <c r="B21" s="6">
        <f>B20+1</f>
        <v>15</v>
      </c>
      <c r="C21" s="6">
        <f>C20+1</f>
        <v>15</v>
      </c>
      <c r="D21" s="7">
        <f>+INDEX($M$2:$N$30,MATCH(B21,$M$2:$M$30,0),MATCH(CONCATENATE(PT,PPT),$M$2:$N$2,0))</f>
        <v>0.67</v>
      </c>
      <c r="E21" s="8">
        <f>(IF(B21=1,Modal_Basic_Prem_Yr1,Modal_Basic_Prem_Yr2))*(B21&lt;=PPT)*IF(Prem_Mode="Monthly",12,1)</f>
        <v>0</v>
      </c>
      <c r="F21" s="8">
        <f>SUM($E$7:E21)*(B21&lt;=PT)</f>
        <v>7098240</v>
      </c>
      <c r="G21" s="8">
        <f>D21*F21</f>
        <v>4755820.8</v>
      </c>
      <c r="H21" s="9"/>
      <c r="I21" s="20"/>
      <c r="J21" s="21"/>
      <c r="K21" s="21"/>
      <c r="M21" s="14">
        <v>16</v>
      </c>
      <c r="N21" s="19">
        <v>0.69</v>
      </c>
      <c r="P21" s="11" t="str">
        <f>+CONCATENATE(Q21,R21)</f>
        <v/>
      </c>
      <c r="Q21"/>
      <c r="R21"/>
      <c r="S21"/>
      <c r="T21"/>
    </row>
    <row r="22" ht="15" spans="2:20">
      <c r="B22" s="6">
        <f>B21+1</f>
        <v>16</v>
      </c>
      <c r="C22" s="6">
        <f>C21+1</f>
        <v>16</v>
      </c>
      <c r="D22" s="7">
        <f>+INDEX($M$2:$N$30,MATCH(B22,$M$2:$M$30,0),MATCH(CONCATENATE(PT,PPT),$M$2:$N$2,0))</f>
        <v>0.69</v>
      </c>
      <c r="E22" s="8">
        <f>(IF(B22=1,Modal_Basic_Prem_Yr1,Modal_Basic_Prem_Yr2))*(B22&lt;=PPT)*IF(Prem_Mode="Monthly",12,1)</f>
        <v>0</v>
      </c>
      <c r="F22" s="8">
        <f>SUM($E$7:E22)*(B22&lt;=PT)</f>
        <v>7098240</v>
      </c>
      <c r="G22" s="8">
        <f>D22*F22</f>
        <v>4897785.6</v>
      </c>
      <c r="H22" s="9"/>
      <c r="I22" s="20"/>
      <c r="J22" s="21"/>
      <c r="K22" s="21"/>
      <c r="M22" s="14">
        <v>17</v>
      </c>
      <c r="N22" s="19">
        <v>0</v>
      </c>
      <c r="P22" s="11" t="str">
        <f>+CONCATENATE(Q22,R22)</f>
        <v/>
      </c>
      <c r="Q22"/>
      <c r="R22"/>
      <c r="S22"/>
      <c r="T22"/>
    </row>
    <row r="23" ht="15" spans="2:20">
      <c r="B23" s="6">
        <f>B22+1</f>
        <v>17</v>
      </c>
      <c r="C23" s="6">
        <f>C22+1</f>
        <v>17</v>
      </c>
      <c r="D23" s="7">
        <f>+INDEX($M$2:$N$30,MATCH(B23,$M$2:$M$30,0),MATCH(CONCATENATE(PT,PPT),$M$2:$N$2,0))</f>
        <v>0</v>
      </c>
      <c r="E23" s="8">
        <f>(IF(B23=1,Modal_Basic_Prem_Yr1,Modal_Basic_Prem_Yr2))*(B23&lt;=PPT)*IF(Prem_Mode="Monthly",12,1)</f>
        <v>0</v>
      </c>
      <c r="F23" s="8">
        <f>SUM($E$7:E23)*(B23&lt;=PT)</f>
        <v>0</v>
      </c>
      <c r="G23" s="8">
        <f>D23*F23</f>
        <v>0</v>
      </c>
      <c r="H23" s="9"/>
      <c r="I23" s="20"/>
      <c r="J23" s="21"/>
      <c r="K23" s="21"/>
      <c r="M23" s="14">
        <v>18</v>
      </c>
      <c r="N23" s="19">
        <v>0</v>
      </c>
      <c r="P23" s="11" t="str">
        <f>+CONCATENATE(Q23,R23)</f>
        <v/>
      </c>
      <c r="Q23"/>
      <c r="R23"/>
      <c r="S23"/>
      <c r="T23"/>
    </row>
    <row r="24" ht="15" spans="2:20">
      <c r="B24" s="6">
        <f>B23+1</f>
        <v>18</v>
      </c>
      <c r="C24" s="6">
        <f>C23+1</f>
        <v>18</v>
      </c>
      <c r="D24" s="7">
        <f>+INDEX($M$2:$N$30,MATCH(B24,$M$2:$M$30,0),MATCH(CONCATENATE(PT,PPT),$M$2:$N$2,0))</f>
        <v>0</v>
      </c>
      <c r="E24" s="8">
        <f>(IF(B24=1,Modal_Basic_Prem_Yr1,Modal_Basic_Prem_Yr2))*(B24&lt;=PPT)*IF(Prem_Mode="Monthly",12,1)</f>
        <v>0</v>
      </c>
      <c r="F24" s="8">
        <f>SUM($E$7:E24)*(B24&lt;=PT)</f>
        <v>0</v>
      </c>
      <c r="G24" s="8">
        <f>D24*F24</f>
        <v>0</v>
      </c>
      <c r="H24" s="9"/>
      <c r="I24" s="20"/>
      <c r="J24" s="21"/>
      <c r="K24" s="21"/>
      <c r="M24" s="14">
        <v>19</v>
      </c>
      <c r="N24" s="19">
        <v>0</v>
      </c>
      <c r="P24" s="11" t="str">
        <f>+CONCATENATE(Q24,R24)</f>
        <v/>
      </c>
      <c r="Q24"/>
      <c r="R24"/>
      <c r="S24"/>
      <c r="T24"/>
    </row>
    <row r="25" ht="15" spans="2:20">
      <c r="B25" s="6">
        <f>B24+1</f>
        <v>19</v>
      </c>
      <c r="C25" s="6">
        <f>C24+1</f>
        <v>19</v>
      </c>
      <c r="D25" s="7">
        <f>+INDEX($M$2:$N$30,MATCH(B25,$M$2:$M$30,0),MATCH(CONCATENATE(PT,PPT),$M$2:$N$2,0))</f>
        <v>0</v>
      </c>
      <c r="E25" s="8">
        <f>(IF(B25=1,Modal_Basic_Prem_Yr1,Modal_Basic_Prem_Yr2))*(B25&lt;=PPT)*IF(Prem_Mode="Monthly",12,1)</f>
        <v>0</v>
      </c>
      <c r="F25" s="8">
        <f>SUM($E$7:E25)*(B25&lt;=PT)</f>
        <v>0</v>
      </c>
      <c r="G25" s="8">
        <f>D25*F25</f>
        <v>0</v>
      </c>
      <c r="H25" s="9"/>
      <c r="I25" s="20"/>
      <c r="J25" s="21"/>
      <c r="K25" s="21"/>
      <c r="M25" s="14">
        <v>20</v>
      </c>
      <c r="N25" s="19">
        <v>0</v>
      </c>
      <c r="P25" s="11" t="str">
        <f>+CONCATENATE(Q25,R25)</f>
        <v/>
      </c>
      <c r="Q25"/>
      <c r="R25"/>
      <c r="S25"/>
      <c r="T25"/>
    </row>
    <row r="26" ht="15" spans="2:20">
      <c r="B26" s="6">
        <f>B25+1</f>
        <v>20</v>
      </c>
      <c r="C26" s="6">
        <f>C25+1</f>
        <v>20</v>
      </c>
      <c r="D26" s="7">
        <f>+INDEX($M$2:$N$30,MATCH(B26,$M$2:$M$30,0),MATCH(CONCATENATE(PT,PPT),$M$2:$N$2,0))</f>
        <v>0</v>
      </c>
      <c r="E26" s="8">
        <f>(IF(B26=1,Modal_Basic_Prem_Yr1,Modal_Basic_Prem_Yr2))*(B26&lt;=PPT)*IF(Prem_Mode="Monthly",12,1)</f>
        <v>0</v>
      </c>
      <c r="F26" s="8">
        <f>SUM($E$7:E26)*(B26&lt;=PT)</f>
        <v>0</v>
      </c>
      <c r="G26" s="8">
        <f>D26*F26</f>
        <v>0</v>
      </c>
      <c r="H26" s="9"/>
      <c r="I26" s="20"/>
      <c r="J26" s="21"/>
      <c r="K26" s="21"/>
      <c r="M26" s="14">
        <v>21</v>
      </c>
      <c r="N26" s="19">
        <v>0</v>
      </c>
      <c r="P26" s="11" t="str">
        <f>+CONCATENATE(Q26,R26)</f>
        <v/>
      </c>
      <c r="Q26"/>
      <c r="R26"/>
      <c r="S26"/>
      <c r="T26"/>
    </row>
    <row r="27" ht="15" spans="2:20">
      <c r="B27" s="6">
        <f>B26+1</f>
        <v>21</v>
      </c>
      <c r="C27" s="6">
        <f>C26+1</f>
        <v>21</v>
      </c>
      <c r="D27" s="7">
        <f>+INDEX($M$2:$N$30,MATCH(B27,$M$2:$M$30,0),MATCH(CONCATENATE(PT,PPT),$M$2:$N$2,0))</f>
        <v>0</v>
      </c>
      <c r="E27" s="8">
        <f>(IF(B27=1,Modal_Basic_Prem_Yr1,Modal_Basic_Prem_Yr2))*(B27&lt;=PPT)*IF(Prem_Mode="Monthly",12,1)</f>
        <v>0</v>
      </c>
      <c r="F27" s="8">
        <f>SUM($E$7:E27)*(B27&lt;=PT)</f>
        <v>0</v>
      </c>
      <c r="G27" s="8">
        <f>D27*F27</f>
        <v>0</v>
      </c>
      <c r="I27" s="20"/>
      <c r="J27" s="21"/>
      <c r="K27" s="21"/>
      <c r="M27" s="14">
        <v>22</v>
      </c>
      <c r="N27" s="19">
        <v>0</v>
      </c>
      <c r="P27" s="11" t="str">
        <f>+CONCATENATE(Q27,R27)</f>
        <v/>
      </c>
      <c r="Q27"/>
      <c r="R27"/>
      <c r="S27"/>
      <c r="T27"/>
    </row>
    <row r="28" ht="15" spans="2:20">
      <c r="B28" s="6">
        <f>B27+1</f>
        <v>22</v>
      </c>
      <c r="C28" s="6">
        <f>C27+1</f>
        <v>22</v>
      </c>
      <c r="D28" s="7">
        <f>+INDEX($M$2:$N$30,MATCH(B28,$M$2:$M$30,0),MATCH(CONCATENATE(PT,PPT),$M$2:$N$2,0))</f>
        <v>0</v>
      </c>
      <c r="E28" s="8">
        <f>(IF(B28=1,Modal_Basic_Prem_Yr1,Modal_Basic_Prem_Yr2))*(B28&lt;=PPT)*IF(Prem_Mode="Monthly",12,1)</f>
        <v>0</v>
      </c>
      <c r="F28" s="8">
        <f>SUM($E$7:E28)*(B28&lt;=PT)</f>
        <v>0</v>
      </c>
      <c r="G28" s="8">
        <f>D28*F28</f>
        <v>0</v>
      </c>
      <c r="I28" s="20"/>
      <c r="J28" s="21"/>
      <c r="K28" s="21"/>
      <c r="M28" s="14">
        <v>23</v>
      </c>
      <c r="N28" s="19">
        <v>0</v>
      </c>
      <c r="P28" s="11" t="str">
        <f>+CONCATENATE(Q28,R28)</f>
        <v/>
      </c>
      <c r="Q28"/>
      <c r="R28"/>
      <c r="S28"/>
      <c r="T28"/>
    </row>
    <row r="29" ht="15" spans="2:20">
      <c r="B29" s="6">
        <f>B28+1</f>
        <v>23</v>
      </c>
      <c r="C29" s="6">
        <f>C28+1</f>
        <v>23</v>
      </c>
      <c r="D29" s="7">
        <f>+INDEX($M$2:$N$30,MATCH(B29,$M$2:$M$30,0),MATCH(CONCATENATE(PT,PPT),$M$2:$N$2,0))</f>
        <v>0</v>
      </c>
      <c r="E29" s="8">
        <f>(IF(B29=1,Modal_Basic_Prem_Yr1,Modal_Basic_Prem_Yr2))*(B29&lt;=PPT)*IF(Prem_Mode="Monthly",12,1)</f>
        <v>0</v>
      </c>
      <c r="F29" s="8">
        <f>SUM($E$7:E29)*(B29&lt;=PT)</f>
        <v>0</v>
      </c>
      <c r="G29" s="8">
        <f>D29*F29</f>
        <v>0</v>
      </c>
      <c r="I29" s="20"/>
      <c r="J29" s="21"/>
      <c r="K29" s="21"/>
      <c r="M29" s="14">
        <v>24</v>
      </c>
      <c r="N29" s="19">
        <v>0</v>
      </c>
      <c r="P29" s="11" t="str">
        <f>+CONCATENATE(Q29,R29)</f>
        <v/>
      </c>
      <c r="Q29"/>
      <c r="R29"/>
      <c r="S29"/>
      <c r="T29"/>
    </row>
    <row r="30" ht="15" spans="2:14">
      <c r="B30" s="6">
        <f>B29+1</f>
        <v>24</v>
      </c>
      <c r="C30" s="6">
        <f>C29+1</f>
        <v>24</v>
      </c>
      <c r="D30" s="7">
        <f>+INDEX($M$2:$N$30,MATCH(B30,$M$2:$M$30,0),MATCH(CONCATENATE(PT,PPT),$M$2:$N$2,0))</f>
        <v>0</v>
      </c>
      <c r="E30" s="8">
        <f>(IF(B30=1,Modal_Basic_Prem_Yr1,Modal_Basic_Prem_Yr2))*(B30&lt;=PPT)*IF(Prem_Mode="Monthly",12,1)</f>
        <v>0</v>
      </c>
      <c r="F30" s="8">
        <f>SUM($E$7:E30)*(B30&lt;=PT)</f>
        <v>0</v>
      </c>
      <c r="G30" s="8">
        <f>D30*F30</f>
        <v>0</v>
      </c>
      <c r="I30" s="20"/>
      <c r="J30" s="21"/>
      <c r="K30" s="21"/>
      <c r="M30" s="14">
        <v>25</v>
      </c>
      <c r="N30" s="19">
        <v>0</v>
      </c>
    </row>
    <row r="31" spans="2:11">
      <c r="B31" s="6">
        <f>B30+1</f>
        <v>25</v>
      </c>
      <c r="C31" s="6">
        <f>C30+1</f>
        <v>25</v>
      </c>
      <c r="D31" s="7">
        <f>+INDEX($M$2:$N$30,MATCH(B31,$M$2:$M$30,0),MATCH(CONCATENATE(PT,PPT),$M$2:$N$2,0))</f>
        <v>0</v>
      </c>
      <c r="E31" s="8">
        <f>(IF(B31=1,Modal_Basic_Prem_Yr1,Modal_Basic_Prem_Yr2))*(B31&lt;=PPT)*IF(Prem_Mode="Monthly",12,1)</f>
        <v>0</v>
      </c>
      <c r="F31" s="8">
        <f>SUM($E$7:E31)*(B31&lt;=PT)</f>
        <v>0</v>
      </c>
      <c r="G31" s="8">
        <f>D31*F31</f>
        <v>0</v>
      </c>
      <c r="I31" s="20"/>
      <c r="J31" s="21"/>
      <c r="K31" s="21"/>
    </row>
  </sheetData>
  <mergeCells count="3">
    <mergeCell ref="I1:K1"/>
    <mergeCell ref="S5:T5"/>
    <mergeCell ref="V5:W5"/>
  </mergeCells>
  <pageMargins left="0.699305555555556" right="0.699305555555556" top="0.75" bottom="0.75" header="0.3" footer="0.3"/>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Premium Calculation</vt:lpstr>
      <vt:lpstr>Product Data n Calcs</vt:lpstr>
      <vt:lpstr>Par - BI</vt:lpstr>
      <vt:lpstr>GSV for SSV Cal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99002607</dc:creator>
  <cp:lastModifiedBy>Rajan</cp:lastModifiedBy>
  <dcterms:created xsi:type="dcterms:W3CDTF">2017-06-21T15:34:28Z</dcterms:created>
  <dcterms:modified xsi:type="dcterms:W3CDTF">2017-06-21T15:36:02Z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1033-9.1.0.4514</vt:lpwstr>
  </property>
</Properties>
</file>