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65" yWindow="165" windowWidth="19320" windowHeight="9795"/>
  </bookViews>
  <sheets>
    <sheet name="Premium Calculation" sheetId="5" r:id="rId1"/>
    <sheet name="SMIP-BI" sheetId="4" state="hidden" r:id="rId2"/>
    <sheet name="Product Data n Calcs" sheetId="6" r:id="rId3"/>
    <sheet name="GSV for SSV Cal" sheetId="7" state="hidden" r:id="rId4"/>
  </sheets>
  <definedNames>
    <definedName name="Age">'Premium Calculation'!$C$6</definedName>
    <definedName name="Base_Ann_Prem_For_DB_Yr2">'Product Data n Calcs'!$Y$6</definedName>
    <definedName name="Base_Prem">'Product Data n Calcs'!$W$4</definedName>
    <definedName name="Basic_Prem_Yr1_Annualized">'Premium Calculation'!$D$28</definedName>
    <definedName name="Basic_Prem_Yr2_Annualized">'Premium Calculation'!$D$35</definedName>
    <definedName name="Basic_Premium_1">'Premium Calculation'!$D$25</definedName>
    <definedName name="Basic_Premium_2">'Premium Calculation'!$D$32</definedName>
    <definedName name="BP_less_HSA" localSheetId="2">'Product Data n Calcs'!$J$14</definedName>
    <definedName name="EM_PC">'Premium Calculation'!$C$13</definedName>
    <definedName name="EMR_Bands" localSheetId="2">'Product Data n Calcs'!$E$5:$P$9</definedName>
    <definedName name="EMR_Rate">'Product Data n Calcs'!$W$10</definedName>
    <definedName name="EMR_Rating">'Product Data n Calcs'!$W$9</definedName>
    <definedName name="Flat_Extra">'Premium Calculation'!$C$14</definedName>
    <definedName name="HSA_Rebates" localSheetId="2">'Product Data n Calcs'!$B$11:$C$17</definedName>
    <definedName name="Modal_Basic_Prem_Yr1">'Product Data n Calcs'!$Y$13</definedName>
    <definedName name="Modal_Basic_Prem_Yr2">'Product Data n Calcs'!$Y$14</definedName>
    <definedName name="Net_EMR_Rate">'Product Data n Calcs'!$W$12</definedName>
    <definedName name="Net_Prem_Rate">'Product Data n Calcs'!$W$11</definedName>
    <definedName name="Prem_after_rebate">'Product Data n Calcs'!$W$6</definedName>
    <definedName name="Prem_Mode">'Premium Calculation'!$C$7</definedName>
    <definedName name="Prem_Modes" localSheetId="2">'Product Data n Calcs'!$B$20:$C$21</definedName>
    <definedName name="Prem_Rates" localSheetId="2">'Product Data n Calcs'!$B$4:$C$8</definedName>
    <definedName name="_xlnm.Print_Area" localSheetId="1">'SMIP-BI'!$A$1:$M$119</definedName>
    <definedName name="RATES">'Product Data n Calcs'!$B$3:$Q$41</definedName>
    <definedName name="RATES_HEADINGS">'Product Data n Calcs'!$B$3:$Q$3</definedName>
    <definedName name="Rev_Bon">'GSV for SSV Cal'!$Q$2</definedName>
    <definedName name="SA">'Premium Calculation'!$C$5</definedName>
    <definedName name="SA_by_1000_n_Modal_Factor">'Product Data n Calcs'!$W$15</definedName>
    <definedName name="SA_Rebate">'Product Data n Calcs'!$W$5</definedName>
    <definedName name="ST_Indicator">'Premium Calculation'!$C$10</definedName>
    <definedName name="Staff_Case">'Premium Calculation'!$C$9</definedName>
    <definedName name="Staff_Disc_PC" localSheetId="2">'Product Data n Calcs'!$J$15</definedName>
    <definedName name="Staff_Discount">'Product Data n Calcs'!$W$7</definedName>
    <definedName name="STax_1">'Premium Calculation'!$C$19</definedName>
    <definedName name="Stax_2">'Premium Calculation'!$C$20</definedName>
    <definedName name="Stax_Oasis_Yr1">'Premium Calculation'!$D$26</definedName>
    <definedName name="Stax_Oasis_Yr2">'Premium Calculation'!$D$33</definedName>
    <definedName name="Term_bon">'GSV for SSV Cal'!$T$2</definedName>
    <definedName name="Tot_Flat_Extra">'Product Data n Calcs'!$W$8</definedName>
    <definedName name="Tot_Prem_Rate_Oasis_Yr1">'Product Data n Calcs'!$X$13</definedName>
    <definedName name="Tot_Prem_Rate_Oasis_Yr2">'Product Data n Calcs'!$X$14</definedName>
    <definedName name="Tot_Prem_Rate_Yr1">'Product Data n Calcs'!$W$13</definedName>
    <definedName name="Tot_Prem_Rate_Yr2">'Product Data n Calcs'!$W$14</definedName>
  </definedNames>
  <calcPr calcId="125725"/>
</workbook>
</file>

<file path=xl/calcChain.xml><?xml version="1.0" encoding="utf-8"?>
<calcChain xmlns="http://schemas.openxmlformats.org/spreadsheetml/2006/main">
  <c r="E5" i="5"/>
  <c r="D62" i="4" l="1"/>
  <c r="D61"/>
  <c r="D60"/>
  <c r="D59"/>
  <c r="D58"/>
  <c r="D57"/>
  <c r="D56"/>
  <c r="D55"/>
  <c r="D54"/>
  <c r="D53"/>
  <c r="B35" i="5"/>
  <c r="B34"/>
  <c r="B33"/>
  <c r="B32"/>
  <c r="B28"/>
  <c r="B27"/>
  <c r="B26"/>
  <c r="B25"/>
  <c r="B23"/>
  <c r="W7" i="6"/>
  <c r="X7" s="1"/>
  <c r="F53" i="4"/>
  <c r="F54"/>
  <c r="F55"/>
  <c r="F56"/>
  <c r="F57"/>
  <c r="F58"/>
  <c r="F59"/>
  <c r="F60"/>
  <c r="F61"/>
  <c r="F62"/>
  <c r="H24" l="1"/>
  <c r="D18"/>
  <c r="D16"/>
  <c r="Q7" i="7"/>
  <c r="Q8"/>
  <c r="Q9"/>
  <c r="Q10"/>
  <c r="Q11"/>
  <c r="Q12"/>
  <c r="Q13"/>
  <c r="Q14"/>
  <c r="Q15"/>
  <c r="Q16"/>
  <c r="Q17"/>
  <c r="Q18"/>
  <c r="Q19"/>
  <c r="Q20"/>
  <c r="Q21"/>
  <c r="Q22"/>
  <c r="Q23"/>
  <c r="Q24"/>
  <c r="Q25"/>
  <c r="Q26"/>
  <c r="Q27"/>
  <c r="Q28"/>
  <c r="Q29"/>
  <c r="Q30"/>
  <c r="Q6"/>
  <c r="S7"/>
  <c r="S8"/>
  <c r="S9"/>
  <c r="S10"/>
  <c r="S11"/>
  <c r="S12"/>
  <c r="S13"/>
  <c r="S14"/>
  <c r="S15"/>
  <c r="S16"/>
  <c r="S17"/>
  <c r="S18"/>
  <c r="S19"/>
  <c r="S20"/>
  <c r="S21"/>
  <c r="S22"/>
  <c r="S23"/>
  <c r="S24"/>
  <c r="S25"/>
  <c r="S26"/>
  <c r="S27"/>
  <c r="S28"/>
  <c r="S29"/>
  <c r="S30"/>
  <c r="S6"/>
  <c r="C7"/>
  <c r="B19"/>
  <c r="B31" s="1"/>
  <c r="B20"/>
  <c r="H20" s="1"/>
  <c r="B21"/>
  <c r="B33" s="1"/>
  <c r="B22"/>
  <c r="D22" s="1"/>
  <c r="B23"/>
  <c r="B24"/>
  <c r="H24" s="1"/>
  <c r="B25"/>
  <c r="B37" s="1"/>
  <c r="B26"/>
  <c r="H26" s="1"/>
  <c r="B27"/>
  <c r="H27" s="1"/>
  <c r="B28"/>
  <c r="H28" s="1"/>
  <c r="B29"/>
  <c r="B41" s="1"/>
  <c r="B35"/>
  <c r="H35" s="1"/>
  <c r="B39"/>
  <c r="H39" s="1"/>
  <c r="B18"/>
  <c r="H18" s="1"/>
  <c r="C38" i="4"/>
  <c r="C39" s="1"/>
  <c r="C40" s="1"/>
  <c r="C41" s="1"/>
  <c r="C42" s="1"/>
  <c r="C43" s="1"/>
  <c r="C44" s="1"/>
  <c r="C45" s="1"/>
  <c r="C46" s="1"/>
  <c r="C47" s="1"/>
  <c r="C48" s="1"/>
  <c r="C49" s="1"/>
  <c r="C50" s="1"/>
  <c r="C51" s="1"/>
  <c r="C52" s="1"/>
  <c r="C53" s="1"/>
  <c r="C54" s="1"/>
  <c r="C55" s="1"/>
  <c r="C56" s="1"/>
  <c r="C57" s="1"/>
  <c r="C58" s="1"/>
  <c r="C59" s="1"/>
  <c r="C60" s="1"/>
  <c r="C61" s="1"/>
  <c r="C62" s="1"/>
  <c r="H25" i="7"/>
  <c r="H23"/>
  <c r="H21"/>
  <c r="H17"/>
  <c r="H16"/>
  <c r="H15"/>
  <c r="H14"/>
  <c r="H13"/>
  <c r="H12"/>
  <c r="H11"/>
  <c r="H10"/>
  <c r="H9"/>
  <c r="H8"/>
  <c r="H7"/>
  <c r="H6"/>
  <c r="W10" i="6"/>
  <c r="X10" s="1"/>
  <c r="W4"/>
  <c r="X4" s="1"/>
  <c r="W9"/>
  <c r="X9" s="1"/>
  <c r="W8"/>
  <c r="J64" i="4"/>
  <c r="D28" s="1"/>
  <c r="H47"/>
  <c r="H46"/>
  <c r="H45"/>
  <c r="H44"/>
  <c r="H43"/>
  <c r="H42"/>
  <c r="H41"/>
  <c r="H40"/>
  <c r="H39"/>
  <c r="H38"/>
  <c r="D20"/>
  <c r="B47" i="7"/>
  <c r="B38"/>
  <c r="B50" s="1"/>
  <c r="B36"/>
  <c r="H36" s="1"/>
  <c r="B34"/>
  <c r="D34" s="1"/>
  <c r="D6"/>
  <c r="D7"/>
  <c r="D8"/>
  <c r="D9"/>
  <c r="D10"/>
  <c r="D11"/>
  <c r="D12"/>
  <c r="D13"/>
  <c r="D14"/>
  <c r="D15"/>
  <c r="D16"/>
  <c r="D17"/>
  <c r="D18"/>
  <c r="D23"/>
  <c r="D24"/>
  <c r="D25"/>
  <c r="D26"/>
  <c r="D27"/>
  <c r="D28"/>
  <c r="D29"/>
  <c r="D35"/>
  <c r="D47"/>
  <c r="B46"/>
  <c r="H46" s="1"/>
  <c r="H34"/>
  <c r="B59"/>
  <c r="B71" s="1"/>
  <c r="H47"/>
  <c r="H59"/>
  <c r="X8" i="6" l="1"/>
  <c r="AI8"/>
  <c r="AI9" s="1"/>
  <c r="AI14"/>
  <c r="AI15" s="1"/>
  <c r="AI10"/>
  <c r="AI11" s="1"/>
  <c r="AI12"/>
  <c r="AI13" s="1"/>
  <c r="AI4"/>
  <c r="AI5" s="1"/>
  <c r="AI6"/>
  <c r="AI7" s="1"/>
  <c r="H31" i="7"/>
  <c r="B43"/>
  <c r="D31"/>
  <c r="D50"/>
  <c r="H50"/>
  <c r="B62"/>
  <c r="D19"/>
  <c r="H19"/>
  <c r="D20"/>
  <c r="H38"/>
  <c r="B51"/>
  <c r="D46"/>
  <c r="D38"/>
  <c r="H29"/>
  <c r="H22"/>
  <c r="B48"/>
  <c r="B58"/>
  <c r="D21"/>
  <c r="B32"/>
  <c r="B30"/>
  <c r="D36"/>
  <c r="D39"/>
  <c r="B40"/>
  <c r="X12" i="6"/>
  <c r="D71" i="7"/>
  <c r="H71"/>
  <c r="B83"/>
  <c r="H41"/>
  <c r="D41"/>
  <c r="B53"/>
  <c r="B45"/>
  <c r="D33"/>
  <c r="H33"/>
  <c r="H37"/>
  <c r="B49"/>
  <c r="D37"/>
  <c r="D59"/>
  <c r="D48"/>
  <c r="C8"/>
  <c r="W12" i="6"/>
  <c r="AH9" l="1"/>
  <c r="AH7"/>
  <c r="AH5"/>
  <c r="AH13"/>
  <c r="AH11"/>
  <c r="AH15"/>
  <c r="B60" i="7"/>
  <c r="H48"/>
  <c r="D43"/>
  <c r="H43"/>
  <c r="B55"/>
  <c r="D40"/>
  <c r="B52"/>
  <c r="H40"/>
  <c r="B44"/>
  <c r="D32"/>
  <c r="H32"/>
  <c r="H62"/>
  <c r="B74"/>
  <c r="D62"/>
  <c r="H58"/>
  <c r="D58"/>
  <c r="B70"/>
  <c r="D51"/>
  <c r="H51"/>
  <c r="B63"/>
  <c r="H30"/>
  <c r="B42"/>
  <c r="D30"/>
  <c r="D49"/>
  <c r="B61"/>
  <c r="H49"/>
  <c r="B65"/>
  <c r="D53"/>
  <c r="H53"/>
  <c r="H83"/>
  <c r="B95"/>
  <c r="D83"/>
  <c r="C9"/>
  <c r="H45"/>
  <c r="D45"/>
  <c r="B57"/>
  <c r="AI2" i="6" l="1"/>
  <c r="F8" i="5" s="1"/>
  <c r="F10" s="1"/>
  <c r="G8" s="1"/>
  <c r="B72" i="7"/>
  <c r="H60"/>
  <c r="D60"/>
  <c r="B82"/>
  <c r="H70"/>
  <c r="D70"/>
  <c r="B56"/>
  <c r="D44"/>
  <c r="H44"/>
  <c r="B75"/>
  <c r="D63"/>
  <c r="H63"/>
  <c r="B67"/>
  <c r="H55"/>
  <c r="D55"/>
  <c r="B86"/>
  <c r="H74"/>
  <c r="D74"/>
  <c r="D42"/>
  <c r="H42"/>
  <c r="B54"/>
  <c r="B64"/>
  <c r="H52"/>
  <c r="D52"/>
  <c r="C10"/>
  <c r="H57"/>
  <c r="B69"/>
  <c r="D57"/>
  <c r="H95"/>
  <c r="B107"/>
  <c r="D95"/>
  <c r="B77"/>
  <c r="D65"/>
  <c r="H65"/>
  <c r="B73"/>
  <c r="D61"/>
  <c r="H61"/>
  <c r="C5" i="5" l="1"/>
  <c r="I50" i="7" s="1"/>
  <c r="I12"/>
  <c r="I61"/>
  <c r="I38"/>
  <c r="K43" i="4"/>
  <c r="I27" i="7"/>
  <c r="D22" i="4"/>
  <c r="D26" s="1"/>
  <c r="H61" s="1"/>
  <c r="I31" i="7"/>
  <c r="K40" i="4"/>
  <c r="I29" i="7"/>
  <c r="I19"/>
  <c r="I11"/>
  <c r="I18"/>
  <c r="K38" i="4"/>
  <c r="K44"/>
  <c r="W5" i="6"/>
  <c r="X5" s="1"/>
  <c r="X6" s="1"/>
  <c r="K46" i="4"/>
  <c r="I43" i="7"/>
  <c r="I21"/>
  <c r="K51" i="4"/>
  <c r="I23" i="7"/>
  <c r="K57" i="4"/>
  <c r="I41" i="7"/>
  <c r="I53"/>
  <c r="I30"/>
  <c r="I33"/>
  <c r="I10"/>
  <c r="I59"/>
  <c r="I34"/>
  <c r="K55" i="4"/>
  <c r="I25" i="7"/>
  <c r="K61" i="4"/>
  <c r="K63"/>
  <c r="I62" i="7"/>
  <c r="D72"/>
  <c r="B84"/>
  <c r="H72"/>
  <c r="I72" s="1"/>
  <c r="B87"/>
  <c r="H75"/>
  <c r="D75"/>
  <c r="H82"/>
  <c r="D82"/>
  <c r="B94"/>
  <c r="H54"/>
  <c r="I54" s="1"/>
  <c r="B66"/>
  <c r="D54"/>
  <c r="D67"/>
  <c r="H67"/>
  <c r="I67" s="1"/>
  <c r="B79"/>
  <c r="D64"/>
  <c r="B76"/>
  <c r="H64"/>
  <c r="I64" s="1"/>
  <c r="B68"/>
  <c r="H56"/>
  <c r="D56"/>
  <c r="I86"/>
  <c r="B98"/>
  <c r="H86"/>
  <c r="D86"/>
  <c r="B89"/>
  <c r="H77"/>
  <c r="D77"/>
  <c r="D73"/>
  <c r="H73"/>
  <c r="I73" s="1"/>
  <c r="B85"/>
  <c r="H107"/>
  <c r="B119"/>
  <c r="D107"/>
  <c r="D69"/>
  <c r="H69"/>
  <c r="B81"/>
  <c r="C11"/>
  <c r="K58" i="4" l="1"/>
  <c r="I75" i="7"/>
  <c r="I45"/>
  <c r="K45" i="4"/>
  <c r="K39"/>
  <c r="I14" i="7"/>
  <c r="I35"/>
  <c r="I71"/>
  <c r="K41" i="4"/>
  <c r="W15" i="6"/>
  <c r="X15" s="1"/>
  <c r="Y14" s="1"/>
  <c r="I49" i="7"/>
  <c r="K53" i="4"/>
  <c r="K47"/>
  <c r="I20" i="7"/>
  <c r="I26"/>
  <c r="K42" i="4"/>
  <c r="I8" i="7"/>
  <c r="I83"/>
  <c r="I9"/>
  <c r="K49" i="4"/>
  <c r="I36" i="7"/>
  <c r="I57"/>
  <c r="I42"/>
  <c r="I65"/>
  <c r="I44"/>
  <c r="I77"/>
  <c r="I82"/>
  <c r="I69"/>
  <c r="I107"/>
  <c r="I56"/>
  <c r="K54" i="4"/>
  <c r="K52"/>
  <c r="I46" i="7"/>
  <c r="I7"/>
  <c r="I22"/>
  <c r="K50" i="4"/>
  <c r="K48"/>
  <c r="I47" i="7"/>
  <c r="K62" i="4"/>
  <c r="K60"/>
  <c r="I37" i="7"/>
  <c r="I6"/>
  <c r="I40"/>
  <c r="I13"/>
  <c r="I63"/>
  <c r="I16"/>
  <c r="I52"/>
  <c r="I24"/>
  <c r="I55"/>
  <c r="I48"/>
  <c r="I95"/>
  <c r="I74"/>
  <c r="I58"/>
  <c r="I39"/>
  <c r="I32"/>
  <c r="K59" i="4"/>
  <c r="I51" i="7"/>
  <c r="I15"/>
  <c r="I60"/>
  <c r="K56" i="4"/>
  <c r="I28" i="7"/>
  <c r="I70"/>
  <c r="I17"/>
  <c r="H55" i="4"/>
  <c r="H57"/>
  <c r="H52"/>
  <c r="H49"/>
  <c r="H62"/>
  <c r="H48"/>
  <c r="H60"/>
  <c r="H58"/>
  <c r="H53"/>
  <c r="H54"/>
  <c r="H51"/>
  <c r="H59"/>
  <c r="H56"/>
  <c r="H50"/>
  <c r="K64"/>
  <c r="D30" s="1"/>
  <c r="W6" i="6"/>
  <c r="W14" s="1"/>
  <c r="Y6"/>
  <c r="X14"/>
  <c r="X24" s="1"/>
  <c r="X11"/>
  <c r="H68" i="7"/>
  <c r="I68" s="1"/>
  <c r="D68"/>
  <c r="B80"/>
  <c r="B91"/>
  <c r="H79"/>
  <c r="I79" s="1"/>
  <c r="D79"/>
  <c r="D94"/>
  <c r="B106"/>
  <c r="H94"/>
  <c r="I94" s="1"/>
  <c r="H98"/>
  <c r="I98" s="1"/>
  <c r="D98"/>
  <c r="B110"/>
  <c r="B99"/>
  <c r="H87"/>
  <c r="I87" s="1"/>
  <c r="D87"/>
  <c r="B96"/>
  <c r="H84"/>
  <c r="I84" s="1"/>
  <c r="D84"/>
  <c r="H66"/>
  <c r="I66" s="1"/>
  <c r="D66"/>
  <c r="B78"/>
  <c r="B88"/>
  <c r="H76"/>
  <c r="I76" s="1"/>
  <c r="D76"/>
  <c r="D119"/>
  <c r="H119"/>
  <c r="I119" s="1"/>
  <c r="B131"/>
  <c r="B101"/>
  <c r="D89"/>
  <c r="H89"/>
  <c r="I89" s="1"/>
  <c r="C12"/>
  <c r="B93"/>
  <c r="D81"/>
  <c r="H81"/>
  <c r="I81" s="1"/>
  <c r="D85"/>
  <c r="B97"/>
  <c r="H85"/>
  <c r="I85" s="1"/>
  <c r="W24" i="6" l="1"/>
  <c r="W11"/>
  <c r="W13" s="1"/>
  <c r="W18" s="1"/>
  <c r="W21" s="1"/>
  <c r="C28" i="5" s="1"/>
  <c r="G62" i="4"/>
  <c r="G55"/>
  <c r="G41"/>
  <c r="G42"/>
  <c r="G61"/>
  <c r="G57"/>
  <c r="G43"/>
  <c r="G38"/>
  <c r="D24" s="1"/>
  <c r="G40"/>
  <c r="G51"/>
  <c r="G44"/>
  <c r="G48"/>
  <c r="G59"/>
  <c r="G46"/>
  <c r="G39"/>
  <c r="G49"/>
  <c r="G52"/>
  <c r="G45"/>
  <c r="G50"/>
  <c r="G54"/>
  <c r="G47"/>
  <c r="G56"/>
  <c r="G60"/>
  <c r="G53"/>
  <c r="G58"/>
  <c r="C32" i="5"/>
  <c r="W27" i="6"/>
  <c r="C35" i="5" s="1"/>
  <c r="W25" i="6"/>
  <c r="C33" i="5" s="1"/>
  <c r="X25" i="6"/>
  <c r="D33" i="5" s="1"/>
  <c r="D32"/>
  <c r="X27" i="6"/>
  <c r="D35" i="5" s="1"/>
  <c r="Y13" i="6"/>
  <c r="E12" i="7" s="1"/>
  <c r="X13" i="6"/>
  <c r="X18" s="1"/>
  <c r="D80" i="7"/>
  <c r="B92"/>
  <c r="H80"/>
  <c r="I80" s="1"/>
  <c r="H99"/>
  <c r="I99" s="1"/>
  <c r="D99"/>
  <c r="B111"/>
  <c r="D106"/>
  <c r="B118"/>
  <c r="H106"/>
  <c r="I106" s="1"/>
  <c r="D91"/>
  <c r="B103"/>
  <c r="H91"/>
  <c r="I91" s="1"/>
  <c r="D88"/>
  <c r="I88"/>
  <c r="B100"/>
  <c r="H88"/>
  <c r="H96"/>
  <c r="I96" s="1"/>
  <c r="D96"/>
  <c r="B108"/>
  <c r="D110"/>
  <c r="B122"/>
  <c r="H110"/>
  <c r="I110" s="1"/>
  <c r="B90"/>
  <c r="H78"/>
  <c r="I78" s="1"/>
  <c r="D78"/>
  <c r="H97"/>
  <c r="I97" s="1"/>
  <c r="B109"/>
  <c r="D97"/>
  <c r="B113"/>
  <c r="D101"/>
  <c r="H101"/>
  <c r="I101" s="1"/>
  <c r="B105"/>
  <c r="H93"/>
  <c r="I93" s="1"/>
  <c r="D93"/>
  <c r="C13"/>
  <c r="B143"/>
  <c r="H131"/>
  <c r="D131"/>
  <c r="I131"/>
  <c r="W19" i="6" l="1"/>
  <c r="C26" i="5" s="1"/>
  <c r="C25"/>
  <c r="E13" i="7"/>
  <c r="W26" i="6"/>
  <c r="C34" i="5" s="1"/>
  <c r="H28" i="4"/>
  <c r="H26"/>
  <c r="D48"/>
  <c r="D42"/>
  <c r="E42" s="1"/>
  <c r="F42" s="1"/>
  <c r="D43"/>
  <c r="D52"/>
  <c r="D40"/>
  <c r="E40" s="1"/>
  <c r="F40" s="1"/>
  <c r="D39"/>
  <c r="E39" s="1"/>
  <c r="F39" s="1"/>
  <c r="D45"/>
  <c r="D51"/>
  <c r="D49"/>
  <c r="E49" s="1"/>
  <c r="F49" s="1"/>
  <c r="D44"/>
  <c r="D41"/>
  <c r="D46"/>
  <c r="E46" s="1"/>
  <c r="F46" s="1"/>
  <c r="D47"/>
  <c r="E47" s="1"/>
  <c r="F47" s="1"/>
  <c r="D50"/>
  <c r="E50" s="1"/>
  <c r="F50" s="1"/>
  <c r="E9" i="7"/>
  <c r="E6"/>
  <c r="E8"/>
  <c r="E10"/>
  <c r="E7"/>
  <c r="E11"/>
  <c r="E60" i="4"/>
  <c r="E61"/>
  <c r="E57"/>
  <c r="E59"/>
  <c r="E62"/>
  <c r="E58"/>
  <c r="E55"/>
  <c r="E53"/>
  <c r="E54"/>
  <c r="E56"/>
  <c r="X19" i="6"/>
  <c r="D26" i="5" s="1"/>
  <c r="D25"/>
  <c r="X21" i="6"/>
  <c r="D28" i="5" s="1"/>
  <c r="D38" i="4" s="1"/>
  <c r="X26" i="6"/>
  <c r="D34" i="5" s="1"/>
  <c r="W20" i="6"/>
  <c r="B102" i="7"/>
  <c r="H90"/>
  <c r="I90" s="1"/>
  <c r="D90"/>
  <c r="D100"/>
  <c r="B112"/>
  <c r="H100"/>
  <c r="I100" s="1"/>
  <c r="D122"/>
  <c r="H122"/>
  <c r="I122" s="1"/>
  <c r="B134"/>
  <c r="H92"/>
  <c r="I92" s="1"/>
  <c r="D92"/>
  <c r="B104"/>
  <c r="D111"/>
  <c r="B123"/>
  <c r="H111"/>
  <c r="I111" s="1"/>
  <c r="D108"/>
  <c r="B120"/>
  <c r="H108"/>
  <c r="I108" s="1"/>
  <c r="B130"/>
  <c r="D118"/>
  <c r="H118"/>
  <c r="I118" s="1"/>
  <c r="H103"/>
  <c r="I103" s="1"/>
  <c r="D103"/>
  <c r="B115"/>
  <c r="H113"/>
  <c r="I113" s="1"/>
  <c r="B125"/>
  <c r="D113"/>
  <c r="B121"/>
  <c r="D109"/>
  <c r="H109"/>
  <c r="I109" s="1"/>
  <c r="H143"/>
  <c r="I143" s="1"/>
  <c r="B155"/>
  <c r="D143"/>
  <c r="C14"/>
  <c r="E14" s="1"/>
  <c r="B117"/>
  <c r="D105"/>
  <c r="H105"/>
  <c r="I105" s="1"/>
  <c r="X20" i="6" l="1"/>
  <c r="D27" i="5" s="1"/>
  <c r="C27"/>
  <c r="C16"/>
  <c r="F12" i="7"/>
  <c r="G12" s="1"/>
  <c r="J12" s="1"/>
  <c r="E38" i="4"/>
  <c r="F38" s="1"/>
  <c r="F6" i="7"/>
  <c r="G6" s="1"/>
  <c r="J6" s="1"/>
  <c r="F10"/>
  <c r="G10" s="1"/>
  <c r="J10" s="1"/>
  <c r="F7"/>
  <c r="G7" s="1"/>
  <c r="J7" s="1"/>
  <c r="F8"/>
  <c r="G8" s="1"/>
  <c r="J8" s="1"/>
  <c r="F9"/>
  <c r="G9" s="1"/>
  <c r="J9" s="1"/>
  <c r="F11"/>
  <c r="G11" s="1"/>
  <c r="J11" s="1"/>
  <c r="E51" i="4"/>
  <c r="F51" s="1"/>
  <c r="E52"/>
  <c r="F52" s="1"/>
  <c r="E48"/>
  <c r="F48" s="1"/>
  <c r="E44"/>
  <c r="F44" s="1"/>
  <c r="E41"/>
  <c r="F41" s="1"/>
  <c r="E45"/>
  <c r="F45" s="1"/>
  <c r="E43"/>
  <c r="F43" s="1"/>
  <c r="D134" i="7"/>
  <c r="B146"/>
  <c r="H134"/>
  <c r="I134" s="1"/>
  <c r="H130"/>
  <c r="D130"/>
  <c r="I130"/>
  <c r="B142"/>
  <c r="H104"/>
  <c r="I104" s="1"/>
  <c r="D104"/>
  <c r="B116"/>
  <c r="D120"/>
  <c r="B132"/>
  <c r="H120"/>
  <c r="I120" s="1"/>
  <c r="D123"/>
  <c r="B135"/>
  <c r="H123"/>
  <c r="I123" s="1"/>
  <c r="B124"/>
  <c r="H112"/>
  <c r="I112" s="1"/>
  <c r="D112"/>
  <c r="D102"/>
  <c r="B114"/>
  <c r="H102"/>
  <c r="I102" s="1"/>
  <c r="D115"/>
  <c r="H115"/>
  <c r="I115" s="1"/>
  <c r="B127"/>
  <c r="C15"/>
  <c r="E15" s="1"/>
  <c r="B167"/>
  <c r="D155"/>
  <c r="H155"/>
  <c r="I155" s="1"/>
  <c r="H121"/>
  <c r="I121" s="1"/>
  <c r="B133"/>
  <c r="D121"/>
  <c r="B129"/>
  <c r="H117"/>
  <c r="D117"/>
  <c r="I117"/>
  <c r="D125"/>
  <c r="H125"/>
  <c r="I125" s="1"/>
  <c r="B137"/>
  <c r="F13"/>
  <c r="G13" s="1"/>
  <c r="J13" s="1"/>
  <c r="F11" i="5" l="1"/>
  <c r="B136" i="7"/>
  <c r="H124"/>
  <c r="I124" s="1"/>
  <c r="D124"/>
  <c r="B154"/>
  <c r="H142"/>
  <c r="I142" s="1"/>
  <c r="D142"/>
  <c r="H127"/>
  <c r="I127" s="1"/>
  <c r="B139"/>
  <c r="D127"/>
  <c r="D146"/>
  <c r="B158"/>
  <c r="H146"/>
  <c r="I146" s="1"/>
  <c r="H132"/>
  <c r="I132" s="1"/>
  <c r="B144"/>
  <c r="D132"/>
  <c r="D114"/>
  <c r="B126"/>
  <c r="H114"/>
  <c r="I114" s="1"/>
  <c r="H135"/>
  <c r="I135" s="1"/>
  <c r="D135"/>
  <c r="B147"/>
  <c r="D116"/>
  <c r="B128"/>
  <c r="H116"/>
  <c r="I116" s="1"/>
  <c r="B149"/>
  <c r="D137"/>
  <c r="H137"/>
  <c r="I137" s="1"/>
  <c r="D133"/>
  <c r="B145"/>
  <c r="H133"/>
  <c r="I133" s="1"/>
  <c r="B179"/>
  <c r="H167"/>
  <c r="I167" s="1"/>
  <c r="D167"/>
  <c r="C16"/>
  <c r="E16" s="1"/>
  <c r="H129"/>
  <c r="I129" s="1"/>
  <c r="B141"/>
  <c r="D129"/>
  <c r="F14"/>
  <c r="G14" s="1"/>
  <c r="J14" s="1"/>
  <c r="H139" l="1"/>
  <c r="I139" s="1"/>
  <c r="D139"/>
  <c r="B151"/>
  <c r="H144"/>
  <c r="I144" s="1"/>
  <c r="D144"/>
  <c r="B156"/>
  <c r="H154"/>
  <c r="I154" s="1"/>
  <c r="D154"/>
  <c r="B166"/>
  <c r="H126"/>
  <c r="I126" s="1"/>
  <c r="D126"/>
  <c r="B138"/>
  <c r="H136"/>
  <c r="I136" s="1"/>
  <c r="D136"/>
  <c r="B148"/>
  <c r="B159"/>
  <c r="D147"/>
  <c r="H147"/>
  <c r="I147" s="1"/>
  <c r="H158"/>
  <c r="I158" s="1"/>
  <c r="B170"/>
  <c r="D158"/>
  <c r="H128"/>
  <c r="I128" s="1"/>
  <c r="D128"/>
  <c r="B140"/>
  <c r="H141"/>
  <c r="I141" s="1"/>
  <c r="B153"/>
  <c r="D141"/>
  <c r="C17"/>
  <c r="E17" s="1"/>
  <c r="H179"/>
  <c r="I179" s="1"/>
  <c r="B191"/>
  <c r="D179"/>
  <c r="B157"/>
  <c r="H145"/>
  <c r="I145" s="1"/>
  <c r="D145"/>
  <c r="F15"/>
  <c r="G15" s="1"/>
  <c r="J15" s="1"/>
  <c r="H149"/>
  <c r="I149" s="1"/>
  <c r="B161"/>
  <c r="D149"/>
  <c r="H138" l="1"/>
  <c r="I138" s="1"/>
  <c r="D138"/>
  <c r="B150"/>
  <c r="H140"/>
  <c r="I140" s="1"/>
  <c r="D140"/>
  <c r="B152"/>
  <c r="B182"/>
  <c r="D170"/>
  <c r="H170"/>
  <c r="I170" s="1"/>
  <c r="B160"/>
  <c r="H148"/>
  <c r="I148" s="1"/>
  <c r="D148"/>
  <c r="B178"/>
  <c r="H166"/>
  <c r="I166" s="1"/>
  <c r="D166"/>
  <c r="B163"/>
  <c r="H151"/>
  <c r="I151" s="1"/>
  <c r="D151"/>
  <c r="D156"/>
  <c r="H156"/>
  <c r="I156" s="1"/>
  <c r="B168"/>
  <c r="D159"/>
  <c r="H159"/>
  <c r="I159" s="1"/>
  <c r="B171"/>
  <c r="B173"/>
  <c r="D161"/>
  <c r="H161"/>
  <c r="I161" s="1"/>
  <c r="C18"/>
  <c r="E18" s="1"/>
  <c r="H153"/>
  <c r="I153" s="1"/>
  <c r="B165"/>
  <c r="D153"/>
  <c r="H157"/>
  <c r="I157" s="1"/>
  <c r="B169"/>
  <c r="D157"/>
  <c r="B203"/>
  <c r="D191"/>
  <c r="H191"/>
  <c r="I191" s="1"/>
  <c r="F16"/>
  <c r="G16" s="1"/>
  <c r="J16" s="1"/>
  <c r="D178" l="1"/>
  <c r="H178"/>
  <c r="I178" s="1"/>
  <c r="B190"/>
  <c r="H182"/>
  <c r="I182" s="1"/>
  <c r="B194"/>
  <c r="D182"/>
  <c r="H150"/>
  <c r="I150" s="1"/>
  <c r="D150"/>
  <c r="B162"/>
  <c r="B183"/>
  <c r="D171"/>
  <c r="H171"/>
  <c r="I171" s="1"/>
  <c r="D168"/>
  <c r="B180"/>
  <c r="H168"/>
  <c r="I168" s="1"/>
  <c r="B175"/>
  <c r="H163"/>
  <c r="I163" s="1"/>
  <c r="D163"/>
  <c r="B172"/>
  <c r="I160"/>
  <c r="H160"/>
  <c r="D160"/>
  <c r="B164"/>
  <c r="H152"/>
  <c r="I152" s="1"/>
  <c r="D152"/>
  <c r="B215"/>
  <c r="D203"/>
  <c r="H203"/>
  <c r="I203" s="1"/>
  <c r="H169"/>
  <c r="I169" s="1"/>
  <c r="B181"/>
  <c r="D169"/>
  <c r="F17"/>
  <c r="G17" s="1"/>
  <c r="J17" s="1"/>
  <c r="D173"/>
  <c r="H173"/>
  <c r="I173" s="1"/>
  <c r="B185"/>
  <c r="D165"/>
  <c r="H165"/>
  <c r="I165" s="1"/>
  <c r="B177"/>
  <c r="C19"/>
  <c r="E19" s="1"/>
  <c r="H164" l="1"/>
  <c r="I164" s="1"/>
  <c r="D164"/>
  <c r="B176"/>
  <c r="B174"/>
  <c r="H162"/>
  <c r="I162" s="1"/>
  <c r="D162"/>
  <c r="D190"/>
  <c r="B202"/>
  <c r="H190"/>
  <c r="I190" s="1"/>
  <c r="H172"/>
  <c r="I172" s="1"/>
  <c r="B184"/>
  <c r="D172"/>
  <c r="H175"/>
  <c r="I175" s="1"/>
  <c r="D175"/>
  <c r="B187"/>
  <c r="H183"/>
  <c r="I183" s="1"/>
  <c r="D183"/>
  <c r="B195"/>
  <c r="D194"/>
  <c r="H194"/>
  <c r="I194" s="1"/>
  <c r="B206"/>
  <c r="B192"/>
  <c r="D180"/>
  <c r="H180"/>
  <c r="I180" s="1"/>
  <c r="F19"/>
  <c r="G19" s="1"/>
  <c r="J19" s="1"/>
  <c r="C20"/>
  <c r="E20" s="1"/>
  <c r="B189"/>
  <c r="H177"/>
  <c r="I177" s="1"/>
  <c r="D177"/>
  <c r="F18"/>
  <c r="G18" s="1"/>
  <c r="J18" s="1"/>
  <c r="D185"/>
  <c r="H185"/>
  <c r="I185" s="1"/>
  <c r="B197"/>
  <c r="H181"/>
  <c r="I181" s="1"/>
  <c r="B193"/>
  <c r="D181"/>
  <c r="H215"/>
  <c r="I215" s="1"/>
  <c r="D215"/>
  <c r="B227"/>
  <c r="B207" l="1"/>
  <c r="D195"/>
  <c r="H195"/>
  <c r="I195" s="1"/>
  <c r="B214"/>
  <c r="H202"/>
  <c r="I202" s="1"/>
  <c r="D202"/>
  <c r="D176"/>
  <c r="H176"/>
  <c r="I176" s="1"/>
  <c r="B188"/>
  <c r="B218"/>
  <c r="H206"/>
  <c r="I206" s="1"/>
  <c r="D206"/>
  <c r="D187"/>
  <c r="B199"/>
  <c r="H187"/>
  <c r="I187" s="1"/>
  <c r="H174"/>
  <c r="I174" s="1"/>
  <c r="D174"/>
  <c r="B186"/>
  <c r="D184"/>
  <c r="H184"/>
  <c r="I184" s="1"/>
  <c r="B196"/>
  <c r="B204"/>
  <c r="D192"/>
  <c r="H192"/>
  <c r="I192" s="1"/>
  <c r="D197"/>
  <c r="H197"/>
  <c r="I197" s="1"/>
  <c r="B209"/>
  <c r="D189"/>
  <c r="H189"/>
  <c r="I189" s="1"/>
  <c r="B201"/>
  <c r="C21"/>
  <c r="E21" s="1"/>
  <c r="F20"/>
  <c r="G20" s="1"/>
  <c r="J20" s="1"/>
  <c r="B239"/>
  <c r="D227"/>
  <c r="H227"/>
  <c r="I227" s="1"/>
  <c r="D193"/>
  <c r="H193"/>
  <c r="I193" s="1"/>
  <c r="B205"/>
  <c r="B219" l="1"/>
  <c r="D207"/>
  <c r="H207"/>
  <c r="I207" s="1"/>
  <c r="B200"/>
  <c r="H188"/>
  <c r="I188" s="1"/>
  <c r="D188"/>
  <c r="H196"/>
  <c r="I196" s="1"/>
  <c r="B208"/>
  <c r="D196"/>
  <c r="B226"/>
  <c r="D214"/>
  <c r="H214"/>
  <c r="I214" s="1"/>
  <c r="D186"/>
  <c r="B198"/>
  <c r="H186"/>
  <c r="I186" s="1"/>
  <c r="D199"/>
  <c r="H199"/>
  <c r="I199" s="1"/>
  <c r="B211"/>
  <c r="B230"/>
  <c r="H218"/>
  <c r="I218" s="1"/>
  <c r="D218"/>
  <c r="D204"/>
  <c r="I204"/>
  <c r="B216"/>
  <c r="H204"/>
  <c r="H205"/>
  <c r="I205" s="1"/>
  <c r="B217"/>
  <c r="D205"/>
  <c r="H239"/>
  <c r="I239" s="1"/>
  <c r="B251"/>
  <c r="D239"/>
  <c r="F21"/>
  <c r="G21" s="1"/>
  <c r="J21" s="1"/>
  <c r="C22"/>
  <c r="E22" s="1"/>
  <c r="B213"/>
  <c r="D201"/>
  <c r="H201"/>
  <c r="I201" s="1"/>
  <c r="B221"/>
  <c r="D209"/>
  <c r="H209"/>
  <c r="I209" s="1"/>
  <c r="D211" l="1"/>
  <c r="B223"/>
  <c r="H211"/>
  <c r="I211" s="1"/>
  <c r="H216"/>
  <c r="I216" s="1"/>
  <c r="D216"/>
  <c r="B228"/>
  <c r="H200"/>
  <c r="I200" s="1"/>
  <c r="D200"/>
  <c r="B212"/>
  <c r="I219"/>
  <c r="B231"/>
  <c r="H219"/>
  <c r="D219"/>
  <c r="H230"/>
  <c r="B242"/>
  <c r="D230"/>
  <c r="I230"/>
  <c r="H208"/>
  <c r="I208" s="1"/>
  <c r="B220"/>
  <c r="D208"/>
  <c r="D198"/>
  <c r="B210"/>
  <c r="H198"/>
  <c r="I198" s="1"/>
  <c r="D226"/>
  <c r="B238"/>
  <c r="H226"/>
  <c r="I226" s="1"/>
  <c r="H213"/>
  <c r="I213" s="1"/>
  <c r="B225"/>
  <c r="D213"/>
  <c r="C23"/>
  <c r="E23" s="1"/>
  <c r="F22"/>
  <c r="G22" s="1"/>
  <c r="J22" s="1"/>
  <c r="B263"/>
  <c r="D251"/>
  <c r="H251"/>
  <c r="I251" s="1"/>
  <c r="D221"/>
  <c r="B233"/>
  <c r="H221"/>
  <c r="I221" s="1"/>
  <c r="H217"/>
  <c r="I217" s="1"/>
  <c r="B229"/>
  <c r="D217"/>
  <c r="B235" l="1"/>
  <c r="H223"/>
  <c r="I223" s="1"/>
  <c r="D223"/>
  <c r="H212"/>
  <c r="I212" s="1"/>
  <c r="D212"/>
  <c r="B224"/>
  <c r="B222"/>
  <c r="H210"/>
  <c r="I210" s="1"/>
  <c r="D210"/>
  <c r="H238"/>
  <c r="I238" s="1"/>
  <c r="D238"/>
  <c r="B250"/>
  <c r="H220"/>
  <c r="I220" s="1"/>
  <c r="B232"/>
  <c r="D220"/>
  <c r="B243"/>
  <c r="D231"/>
  <c r="H231"/>
  <c r="I231" s="1"/>
  <c r="H242"/>
  <c r="I242" s="1"/>
  <c r="D242"/>
  <c r="B254"/>
  <c r="H228"/>
  <c r="I228" s="1"/>
  <c r="D228"/>
  <c r="B240"/>
  <c r="B245"/>
  <c r="D233"/>
  <c r="H233"/>
  <c r="I233" s="1"/>
  <c r="D263"/>
  <c r="B275"/>
  <c r="H263"/>
  <c r="I263" s="1"/>
  <c r="F23"/>
  <c r="G23" s="1"/>
  <c r="J23" s="1"/>
  <c r="C24"/>
  <c r="E24" s="1"/>
  <c r="H225"/>
  <c r="I225" s="1"/>
  <c r="B237"/>
  <c r="D225"/>
  <c r="H229"/>
  <c r="I229" s="1"/>
  <c r="D229"/>
  <c r="B241"/>
  <c r="D240" l="1"/>
  <c r="H240"/>
  <c r="I240" s="1"/>
  <c r="B252"/>
  <c r="D222"/>
  <c r="H222"/>
  <c r="I222" s="1"/>
  <c r="B234"/>
  <c r="H235"/>
  <c r="I235" s="1"/>
  <c r="D235"/>
  <c r="B247"/>
  <c r="D232"/>
  <c r="H232"/>
  <c r="I232"/>
  <c r="B244"/>
  <c r="H254"/>
  <c r="I254" s="1"/>
  <c r="D254"/>
  <c r="B266"/>
  <c r="B255"/>
  <c r="H243"/>
  <c r="I243" s="1"/>
  <c r="D243"/>
  <c r="B262"/>
  <c r="H250"/>
  <c r="I250" s="1"/>
  <c r="D250"/>
  <c r="I224"/>
  <c r="B236"/>
  <c r="H224"/>
  <c r="D224"/>
  <c r="H241"/>
  <c r="B253"/>
  <c r="D241"/>
  <c r="I241"/>
  <c r="H237"/>
  <c r="I237" s="1"/>
  <c r="B249"/>
  <c r="D237"/>
  <c r="H275"/>
  <c r="I275" s="1"/>
  <c r="D275"/>
  <c r="B287"/>
  <c r="C25"/>
  <c r="E25" s="1"/>
  <c r="F24"/>
  <c r="G24" s="1"/>
  <c r="J24" s="1"/>
  <c r="H245"/>
  <c r="I245" s="1"/>
  <c r="B257"/>
  <c r="D245"/>
  <c r="H236" l="1"/>
  <c r="I236" s="1"/>
  <c r="B248"/>
  <c r="D236"/>
  <c r="D247"/>
  <c r="B259"/>
  <c r="H247"/>
  <c r="I247" s="1"/>
  <c r="D252"/>
  <c r="H252"/>
  <c r="I252" s="1"/>
  <c r="B264"/>
  <c r="D262"/>
  <c r="B274"/>
  <c r="H262"/>
  <c r="I262" s="1"/>
  <c r="H266"/>
  <c r="I266" s="1"/>
  <c r="D266"/>
  <c r="B278"/>
  <c r="D255"/>
  <c r="H255"/>
  <c r="I255" s="1"/>
  <c r="B267"/>
  <c r="B256"/>
  <c r="D244"/>
  <c r="H244"/>
  <c r="I244" s="1"/>
  <c r="D234"/>
  <c r="B246"/>
  <c r="H234"/>
  <c r="I234" s="1"/>
  <c r="F25"/>
  <c r="G25" s="1"/>
  <c r="J25" s="1"/>
  <c r="C26"/>
  <c r="E26" s="1"/>
  <c r="D287"/>
  <c r="H287"/>
  <c r="I287" s="1"/>
  <c r="B299"/>
  <c r="B265"/>
  <c r="D253"/>
  <c r="H253"/>
  <c r="I253" s="1"/>
  <c r="H257"/>
  <c r="I257" s="1"/>
  <c r="B269"/>
  <c r="D257"/>
  <c r="H249"/>
  <c r="I249" s="1"/>
  <c r="D249"/>
  <c r="B261"/>
  <c r="D248" l="1"/>
  <c r="I248"/>
  <c r="B260"/>
  <c r="H248"/>
  <c r="B268"/>
  <c r="D256"/>
  <c r="I256"/>
  <c r="H256"/>
  <c r="B290"/>
  <c r="H278"/>
  <c r="I278" s="1"/>
  <c r="D278"/>
  <c r="H264"/>
  <c r="I264" s="1"/>
  <c r="D264"/>
  <c r="B276"/>
  <c r="B286"/>
  <c r="H274"/>
  <c r="I274" s="1"/>
  <c r="D274"/>
  <c r="D259"/>
  <c r="H259"/>
  <c r="I259" s="1"/>
  <c r="B271"/>
  <c r="D246"/>
  <c r="B258"/>
  <c r="H246"/>
  <c r="I246" s="1"/>
  <c r="H267"/>
  <c r="I267" s="1"/>
  <c r="B279"/>
  <c r="D267"/>
  <c r="D299"/>
  <c r="H299"/>
  <c r="I299" s="1"/>
  <c r="C27"/>
  <c r="E27" s="1"/>
  <c r="F26"/>
  <c r="G26" s="1"/>
  <c r="J26" s="1"/>
  <c r="D261"/>
  <c r="B273"/>
  <c r="H261"/>
  <c r="I261" s="1"/>
  <c r="D269"/>
  <c r="B281"/>
  <c r="H269"/>
  <c r="I269" s="1"/>
  <c r="D265"/>
  <c r="B277"/>
  <c r="H265"/>
  <c r="I265" s="1"/>
  <c r="B288" l="1"/>
  <c r="H276"/>
  <c r="I276" s="1"/>
  <c r="D276"/>
  <c r="D279"/>
  <c r="B291"/>
  <c r="H279"/>
  <c r="I279" s="1"/>
  <c r="B283"/>
  <c r="D271"/>
  <c r="H271"/>
  <c r="I271" s="1"/>
  <c r="B298"/>
  <c r="D286"/>
  <c r="H286"/>
  <c r="I286" s="1"/>
  <c r="H290"/>
  <c r="I290" s="1"/>
  <c r="D290"/>
  <c r="B302"/>
  <c r="B272"/>
  <c r="D260"/>
  <c r="H260"/>
  <c r="I260" s="1"/>
  <c r="B270"/>
  <c r="D258"/>
  <c r="H258"/>
  <c r="I258" s="1"/>
  <c r="H268"/>
  <c r="I268" s="1"/>
  <c r="D268"/>
  <c r="B280"/>
  <c r="B289"/>
  <c r="D277"/>
  <c r="H277"/>
  <c r="I277" s="1"/>
  <c r="H281"/>
  <c r="I281" s="1"/>
  <c r="B293"/>
  <c r="D281"/>
  <c r="B285"/>
  <c r="D273"/>
  <c r="H273"/>
  <c r="I273" s="1"/>
  <c r="F27"/>
  <c r="G27" s="1"/>
  <c r="J27" s="1"/>
  <c r="C28"/>
  <c r="E28" s="1"/>
  <c r="D280" l="1"/>
  <c r="B292"/>
  <c r="H280"/>
  <c r="I280" s="1"/>
  <c r="B300"/>
  <c r="H288"/>
  <c r="I288" s="1"/>
  <c r="D288"/>
  <c r="D270"/>
  <c r="B282"/>
  <c r="H270"/>
  <c r="I270" s="1"/>
  <c r="H298"/>
  <c r="I298" s="1"/>
  <c r="D298"/>
  <c r="B303"/>
  <c r="D291"/>
  <c r="H291"/>
  <c r="I291" s="1"/>
  <c r="D283"/>
  <c r="B295"/>
  <c r="H283"/>
  <c r="I283" s="1"/>
  <c r="H302"/>
  <c r="I302" s="1"/>
  <c r="D302"/>
  <c r="B284"/>
  <c r="D272"/>
  <c r="H272"/>
  <c r="I272" s="1"/>
  <c r="C29"/>
  <c r="E29" s="1"/>
  <c r="F28"/>
  <c r="G28" s="1"/>
  <c r="J28" s="1"/>
  <c r="D285"/>
  <c r="H285"/>
  <c r="I285" s="1"/>
  <c r="B297"/>
  <c r="D293"/>
  <c r="H293"/>
  <c r="I293" s="1"/>
  <c r="B305"/>
  <c r="D289"/>
  <c r="H289"/>
  <c r="I289" s="1"/>
  <c r="B301"/>
  <c r="H282" l="1"/>
  <c r="I282" s="1"/>
  <c r="D282"/>
  <c r="B294"/>
  <c r="H292"/>
  <c r="I292" s="1"/>
  <c r="D292"/>
  <c r="B304"/>
  <c r="H303"/>
  <c r="I303" s="1"/>
  <c r="D303"/>
  <c r="D300"/>
  <c r="H300"/>
  <c r="I300" s="1"/>
  <c r="H284"/>
  <c r="I284" s="1"/>
  <c r="D284"/>
  <c r="B296"/>
  <c r="I295"/>
  <c r="H295"/>
  <c r="D295"/>
  <c r="F29"/>
  <c r="G29" s="1"/>
  <c r="J29" s="1"/>
  <c r="C30"/>
  <c r="E30" s="1"/>
  <c r="I301"/>
  <c r="H301"/>
  <c r="D301"/>
  <c r="H305"/>
  <c r="D305"/>
  <c r="I305"/>
  <c r="H297"/>
  <c r="I297" s="1"/>
  <c r="D297"/>
  <c r="H296" l="1"/>
  <c r="I296" s="1"/>
  <c r="D296"/>
  <c r="D294"/>
  <c r="H294"/>
  <c r="I294" s="1"/>
  <c r="H304"/>
  <c r="I304" s="1"/>
  <c r="D304"/>
  <c r="C31"/>
  <c r="E31" s="1"/>
  <c r="F30"/>
  <c r="G30" s="1"/>
  <c r="J30" s="1"/>
  <c r="F31" l="1"/>
  <c r="G31" s="1"/>
  <c r="J31" s="1"/>
  <c r="C32"/>
  <c r="E32" s="1"/>
  <c r="F32" l="1"/>
  <c r="G32" s="1"/>
  <c r="J32" s="1"/>
  <c r="C33"/>
  <c r="E33" s="1"/>
  <c r="F33" l="1"/>
  <c r="G33" s="1"/>
  <c r="J33" s="1"/>
  <c r="C34"/>
  <c r="E34" s="1"/>
  <c r="F34" l="1"/>
  <c r="G34" s="1"/>
  <c r="J34" s="1"/>
  <c r="C35"/>
  <c r="E35" s="1"/>
  <c r="F35" l="1"/>
  <c r="G35" s="1"/>
  <c r="J35" s="1"/>
  <c r="C36"/>
  <c r="E36" s="1"/>
  <c r="F36" l="1"/>
  <c r="G36" s="1"/>
  <c r="J36" s="1"/>
  <c r="C37"/>
  <c r="E37" s="1"/>
  <c r="F37" l="1"/>
  <c r="G37" s="1"/>
  <c r="J37" s="1"/>
  <c r="C38"/>
  <c r="E38" s="1"/>
  <c r="F38" l="1"/>
  <c r="G38" s="1"/>
  <c r="J38" s="1"/>
  <c r="C39"/>
  <c r="E39" s="1"/>
  <c r="F39" l="1"/>
  <c r="G39" s="1"/>
  <c r="J39" s="1"/>
  <c r="C40"/>
  <c r="E40" s="1"/>
  <c r="F40" l="1"/>
  <c r="G40" s="1"/>
  <c r="J40" s="1"/>
  <c r="C41"/>
  <c r="E41" s="1"/>
  <c r="F41" l="1"/>
  <c r="G41" s="1"/>
  <c r="J41" s="1"/>
  <c r="C42"/>
  <c r="E42" s="1"/>
  <c r="C43" l="1"/>
  <c r="E43" s="1"/>
  <c r="F42"/>
  <c r="G42" s="1"/>
  <c r="J42" s="1"/>
  <c r="F43" l="1"/>
  <c r="G43" s="1"/>
  <c r="J43" s="1"/>
  <c r="C44"/>
  <c r="E44" s="1"/>
  <c r="C45" l="1"/>
  <c r="E45" s="1"/>
  <c r="F44"/>
  <c r="G44" s="1"/>
  <c r="J44" s="1"/>
  <c r="F45" l="1"/>
  <c r="G45" s="1"/>
  <c r="J45" s="1"/>
  <c r="C46"/>
  <c r="E46" s="1"/>
  <c r="C47" l="1"/>
  <c r="E47" s="1"/>
  <c r="F46"/>
  <c r="G46" s="1"/>
  <c r="J46" s="1"/>
  <c r="F47" l="1"/>
  <c r="G47" s="1"/>
  <c r="J47" s="1"/>
  <c r="C48"/>
  <c r="E48" s="1"/>
  <c r="C49" l="1"/>
  <c r="E49" s="1"/>
  <c r="F48"/>
  <c r="G48" s="1"/>
  <c r="J48" s="1"/>
  <c r="F49" l="1"/>
  <c r="G49" s="1"/>
  <c r="J49" s="1"/>
  <c r="C50"/>
  <c r="E50" s="1"/>
  <c r="C51" l="1"/>
  <c r="E51" s="1"/>
  <c r="F50"/>
  <c r="G50" s="1"/>
  <c r="J50" s="1"/>
  <c r="F51" l="1"/>
  <c r="G51" s="1"/>
  <c r="J51" s="1"/>
  <c r="C52"/>
  <c r="E52" s="1"/>
  <c r="C53" l="1"/>
  <c r="E53" s="1"/>
  <c r="F52"/>
  <c r="G52" s="1"/>
  <c r="J52" s="1"/>
  <c r="F53" l="1"/>
  <c r="G53" s="1"/>
  <c r="J53" s="1"/>
  <c r="C54"/>
  <c r="E54" s="1"/>
  <c r="C55" l="1"/>
  <c r="E55" s="1"/>
  <c r="F54"/>
  <c r="G54" s="1"/>
  <c r="J54" s="1"/>
  <c r="F55" l="1"/>
  <c r="G55" s="1"/>
  <c r="J55" s="1"/>
  <c r="C56"/>
  <c r="E56" s="1"/>
  <c r="F56" l="1"/>
  <c r="G56" s="1"/>
  <c r="J56" s="1"/>
  <c r="C57"/>
  <c r="E57" s="1"/>
  <c r="F57" l="1"/>
  <c r="G57" s="1"/>
  <c r="J57" s="1"/>
  <c r="C58"/>
  <c r="E58" s="1"/>
  <c r="F58" l="1"/>
  <c r="G58" s="1"/>
  <c r="J58" s="1"/>
  <c r="C59"/>
  <c r="E59" s="1"/>
  <c r="F59" l="1"/>
  <c r="G59" s="1"/>
  <c r="J59" s="1"/>
  <c r="C60"/>
  <c r="E60" s="1"/>
  <c r="F60" l="1"/>
  <c r="G60" s="1"/>
  <c r="J60" s="1"/>
  <c r="C61"/>
  <c r="E61" s="1"/>
  <c r="F61" l="1"/>
  <c r="G61" s="1"/>
  <c r="J61" s="1"/>
  <c r="C62"/>
  <c r="E62" s="1"/>
  <c r="F62" l="1"/>
  <c r="G62" s="1"/>
  <c r="J62" s="1"/>
  <c r="C63"/>
  <c r="E63" s="1"/>
  <c r="F63" l="1"/>
  <c r="G63" s="1"/>
  <c r="J63" s="1"/>
  <c r="C64"/>
  <c r="E64" s="1"/>
  <c r="F64" l="1"/>
  <c r="G64" s="1"/>
  <c r="J64" s="1"/>
  <c r="C65"/>
  <c r="E65" s="1"/>
  <c r="F65" l="1"/>
  <c r="G65" s="1"/>
  <c r="J65" s="1"/>
  <c r="C66"/>
  <c r="E66" s="1"/>
  <c r="C67" l="1"/>
  <c r="E67" s="1"/>
  <c r="F66"/>
  <c r="G66" s="1"/>
  <c r="J66" s="1"/>
  <c r="F67" l="1"/>
  <c r="G67" s="1"/>
  <c r="J67" s="1"/>
  <c r="C68"/>
  <c r="E68" s="1"/>
  <c r="C69" l="1"/>
  <c r="E69" s="1"/>
  <c r="F68"/>
  <c r="G68" s="1"/>
  <c r="J68" s="1"/>
  <c r="F69" l="1"/>
  <c r="G69" s="1"/>
  <c r="J69" s="1"/>
  <c r="C70"/>
  <c r="E70" s="1"/>
  <c r="C71" l="1"/>
  <c r="E71" s="1"/>
  <c r="F70"/>
  <c r="G70" s="1"/>
  <c r="J70" s="1"/>
  <c r="F71" l="1"/>
  <c r="G71" s="1"/>
  <c r="J71" s="1"/>
  <c r="C72"/>
  <c r="E72" s="1"/>
  <c r="C73" l="1"/>
  <c r="E73" s="1"/>
  <c r="F72"/>
  <c r="G72" s="1"/>
  <c r="J72" s="1"/>
  <c r="F73" l="1"/>
  <c r="G73" s="1"/>
  <c r="J73" s="1"/>
  <c r="C74"/>
  <c r="E74" s="1"/>
  <c r="C75" l="1"/>
  <c r="E75" s="1"/>
  <c r="F74"/>
  <c r="G74" s="1"/>
  <c r="J74" s="1"/>
  <c r="F75" l="1"/>
  <c r="G75" s="1"/>
  <c r="J75" s="1"/>
  <c r="C76"/>
  <c r="E76" s="1"/>
  <c r="C77" l="1"/>
  <c r="E77" s="1"/>
  <c r="F76"/>
  <c r="G76" s="1"/>
  <c r="J76" s="1"/>
  <c r="F77" l="1"/>
  <c r="G77" s="1"/>
  <c r="J77" s="1"/>
  <c r="C78"/>
  <c r="E78" s="1"/>
  <c r="C79" l="1"/>
  <c r="E79" s="1"/>
  <c r="F78"/>
  <c r="G78" s="1"/>
  <c r="J78" s="1"/>
  <c r="F79" l="1"/>
  <c r="G79" s="1"/>
  <c r="J79" s="1"/>
  <c r="C80"/>
  <c r="E80" s="1"/>
  <c r="F80" l="1"/>
  <c r="G80" s="1"/>
  <c r="J80" s="1"/>
  <c r="C81"/>
  <c r="E81" s="1"/>
  <c r="F81" l="1"/>
  <c r="G81" s="1"/>
  <c r="J81" s="1"/>
  <c r="C82"/>
  <c r="E82" s="1"/>
  <c r="F82" l="1"/>
  <c r="G82" s="1"/>
  <c r="J82" s="1"/>
  <c r="C83"/>
  <c r="E83" s="1"/>
  <c r="F83" l="1"/>
  <c r="G83" s="1"/>
  <c r="J83" s="1"/>
  <c r="C84"/>
  <c r="E84" s="1"/>
  <c r="F84" l="1"/>
  <c r="G84" s="1"/>
  <c r="J84" s="1"/>
  <c r="C85"/>
  <c r="E85" s="1"/>
  <c r="F85" l="1"/>
  <c r="G85" s="1"/>
  <c r="J85" s="1"/>
  <c r="C86"/>
  <c r="E86" s="1"/>
  <c r="F86" l="1"/>
  <c r="G86" s="1"/>
  <c r="J86" s="1"/>
  <c r="C87"/>
  <c r="E87" s="1"/>
  <c r="F87" l="1"/>
  <c r="G87" s="1"/>
  <c r="J87" s="1"/>
  <c r="C88"/>
  <c r="E88" s="1"/>
  <c r="F88" l="1"/>
  <c r="G88" s="1"/>
  <c r="J88" s="1"/>
  <c r="C89"/>
  <c r="E89" s="1"/>
  <c r="F89" l="1"/>
  <c r="G89" s="1"/>
  <c r="J89" s="1"/>
  <c r="C90"/>
  <c r="E90" s="1"/>
  <c r="C91" l="1"/>
  <c r="E91" s="1"/>
  <c r="F90"/>
  <c r="G90" s="1"/>
  <c r="J90" s="1"/>
  <c r="F91" l="1"/>
  <c r="G91" s="1"/>
  <c r="J91" s="1"/>
  <c r="C92"/>
  <c r="E92" s="1"/>
  <c r="C93" l="1"/>
  <c r="E93" s="1"/>
  <c r="F92"/>
  <c r="G92" s="1"/>
  <c r="J92" s="1"/>
  <c r="F93" l="1"/>
  <c r="G93" s="1"/>
  <c r="J93" s="1"/>
  <c r="C94"/>
  <c r="E94" s="1"/>
  <c r="C95" l="1"/>
  <c r="E95" s="1"/>
  <c r="F94"/>
  <c r="G94" s="1"/>
  <c r="J94" s="1"/>
  <c r="F95" l="1"/>
  <c r="G95" s="1"/>
  <c r="J95" s="1"/>
  <c r="C96"/>
  <c r="E96" s="1"/>
  <c r="C97" l="1"/>
  <c r="E97" s="1"/>
  <c r="F96"/>
  <c r="G96" s="1"/>
  <c r="J96" s="1"/>
  <c r="F97" l="1"/>
  <c r="G97" s="1"/>
  <c r="J97" s="1"/>
  <c r="C98"/>
  <c r="E98" s="1"/>
  <c r="C99" l="1"/>
  <c r="E99" s="1"/>
  <c r="F98"/>
  <c r="G98" s="1"/>
  <c r="J98" s="1"/>
  <c r="F99" l="1"/>
  <c r="G99" s="1"/>
  <c r="J99" s="1"/>
  <c r="C100"/>
  <c r="E100" s="1"/>
  <c r="C101" l="1"/>
  <c r="E101" s="1"/>
  <c r="F100"/>
  <c r="G100" s="1"/>
  <c r="J100" s="1"/>
  <c r="F101" l="1"/>
  <c r="G101" s="1"/>
  <c r="J101" s="1"/>
  <c r="C102"/>
  <c r="E102" s="1"/>
  <c r="C103" l="1"/>
  <c r="E103" s="1"/>
  <c r="F102" l="1"/>
  <c r="G102" s="1"/>
  <c r="J102" s="1"/>
  <c r="F103"/>
  <c r="G103" s="1"/>
  <c r="J103" s="1"/>
  <c r="C104"/>
  <c r="E104" s="1"/>
  <c r="F104" l="1"/>
  <c r="G104" s="1"/>
  <c r="J104" s="1"/>
  <c r="C105"/>
  <c r="E105" s="1"/>
  <c r="C106" l="1"/>
  <c r="E106" s="1"/>
  <c r="F106" l="1"/>
  <c r="G106" s="1"/>
  <c r="J106" s="1"/>
  <c r="C107"/>
  <c r="E107" s="1"/>
  <c r="F105"/>
  <c r="G105" s="1"/>
  <c r="J105" s="1"/>
  <c r="C108" l="1"/>
  <c r="E108" s="1"/>
  <c r="F108" l="1"/>
  <c r="G108" s="1"/>
  <c r="J108" s="1"/>
  <c r="C109"/>
  <c r="E109" s="1"/>
  <c r="F107"/>
  <c r="G107" s="1"/>
  <c r="J107" s="1"/>
  <c r="C110" l="1"/>
  <c r="E110" s="1"/>
  <c r="F110" l="1"/>
  <c r="G110" s="1"/>
  <c r="J110" s="1"/>
  <c r="C111"/>
  <c r="E111" s="1"/>
  <c r="F109"/>
  <c r="G109" s="1"/>
  <c r="J109" s="1"/>
  <c r="C112" l="1"/>
  <c r="E112" s="1"/>
  <c r="F112" l="1"/>
  <c r="G112" s="1"/>
  <c r="J112" s="1"/>
  <c r="C113"/>
  <c r="E113" s="1"/>
  <c r="F111"/>
  <c r="G111" s="1"/>
  <c r="J111" s="1"/>
  <c r="F113" l="1"/>
  <c r="G113" s="1"/>
  <c r="J113" s="1"/>
  <c r="C114"/>
  <c r="E114" s="1"/>
  <c r="C115" l="1"/>
  <c r="E115" s="1"/>
  <c r="F114"/>
  <c r="G114" s="1"/>
  <c r="J114" s="1"/>
  <c r="F115" l="1"/>
  <c r="G115" s="1"/>
  <c r="J115" s="1"/>
  <c r="C116"/>
  <c r="E116" s="1"/>
  <c r="C117" l="1"/>
  <c r="E117" s="1"/>
  <c r="F116"/>
  <c r="G116" s="1"/>
  <c r="J116" s="1"/>
  <c r="F117" l="1"/>
  <c r="G117" s="1"/>
  <c r="J117" s="1"/>
  <c r="C118"/>
  <c r="E118" s="1"/>
  <c r="C119" l="1"/>
  <c r="E119" s="1"/>
  <c r="F118"/>
  <c r="G118" s="1"/>
  <c r="J118" s="1"/>
  <c r="F119" l="1"/>
  <c r="G119" s="1"/>
  <c r="J119" s="1"/>
  <c r="C120"/>
  <c r="E120" s="1"/>
  <c r="C121" l="1"/>
  <c r="E121" s="1"/>
  <c r="F120"/>
  <c r="G120" s="1"/>
  <c r="J120" s="1"/>
  <c r="F121" l="1"/>
  <c r="G121" s="1"/>
  <c r="J121" s="1"/>
  <c r="C122"/>
  <c r="E122" s="1"/>
  <c r="C123" l="1"/>
  <c r="E123" s="1"/>
  <c r="F122"/>
  <c r="G122" s="1"/>
  <c r="J122" s="1"/>
  <c r="F123" l="1"/>
  <c r="G123" s="1"/>
  <c r="J123" s="1"/>
  <c r="C124"/>
  <c r="E124" s="1"/>
  <c r="C125" l="1"/>
  <c r="E125" s="1"/>
  <c r="F124"/>
  <c r="G124" s="1"/>
  <c r="J124" s="1"/>
  <c r="F125" l="1"/>
  <c r="G125" s="1"/>
  <c r="J125" s="1"/>
  <c r="C126"/>
  <c r="E126" s="1"/>
  <c r="C127" l="1"/>
  <c r="E127" s="1"/>
  <c r="F126"/>
  <c r="G126" s="1"/>
  <c r="J126" s="1"/>
  <c r="F127" l="1"/>
  <c r="G127" s="1"/>
  <c r="J127" s="1"/>
  <c r="C128"/>
  <c r="E128" s="1"/>
  <c r="F128" l="1"/>
  <c r="G128" s="1"/>
  <c r="J128" s="1"/>
  <c r="C129"/>
  <c r="E129" s="1"/>
  <c r="F129" l="1"/>
  <c r="G129" s="1"/>
  <c r="J129" s="1"/>
  <c r="C130"/>
  <c r="E130" s="1"/>
  <c r="F130" l="1"/>
  <c r="G130" s="1"/>
  <c r="J130" s="1"/>
  <c r="C131"/>
  <c r="E131" s="1"/>
  <c r="F131" l="1"/>
  <c r="G131" s="1"/>
  <c r="J131" s="1"/>
  <c r="C132"/>
  <c r="E132" s="1"/>
  <c r="F132" l="1"/>
  <c r="G132" s="1"/>
  <c r="J132" s="1"/>
  <c r="C133"/>
  <c r="E133" s="1"/>
  <c r="F133" l="1"/>
  <c r="G133" s="1"/>
  <c r="J133" s="1"/>
  <c r="C134"/>
  <c r="E134" s="1"/>
  <c r="F134" l="1"/>
  <c r="G134" s="1"/>
  <c r="J134" s="1"/>
  <c r="C135"/>
  <c r="E135" s="1"/>
  <c r="F135" l="1"/>
  <c r="G135" s="1"/>
  <c r="J135" s="1"/>
  <c r="C136"/>
  <c r="E136" s="1"/>
  <c r="F136" l="1"/>
  <c r="G136" s="1"/>
  <c r="J136" s="1"/>
  <c r="C137"/>
  <c r="E137" s="1"/>
  <c r="F137" l="1"/>
  <c r="G137" s="1"/>
  <c r="J137" s="1"/>
  <c r="C138"/>
  <c r="E138" s="1"/>
  <c r="C139" l="1"/>
  <c r="E139" s="1"/>
  <c r="F138"/>
  <c r="G138" s="1"/>
  <c r="J138" s="1"/>
  <c r="F139" l="1"/>
  <c r="G139" s="1"/>
  <c r="J139" s="1"/>
  <c r="C140"/>
  <c r="E140" s="1"/>
  <c r="C141" l="1"/>
  <c r="E141" s="1"/>
  <c r="F140"/>
  <c r="G140" s="1"/>
  <c r="J140" s="1"/>
  <c r="F141" l="1"/>
  <c r="G141" s="1"/>
  <c r="J141" s="1"/>
  <c r="C142"/>
  <c r="E142" s="1"/>
  <c r="C143" l="1"/>
  <c r="E143" s="1"/>
  <c r="F142"/>
  <c r="G142" s="1"/>
  <c r="J142" s="1"/>
  <c r="F143" l="1"/>
  <c r="G143" s="1"/>
  <c r="J143" s="1"/>
  <c r="C144"/>
  <c r="E144" s="1"/>
  <c r="C145" l="1"/>
  <c r="E145" s="1"/>
  <c r="F144"/>
  <c r="G144" s="1"/>
  <c r="J144" s="1"/>
  <c r="F145" l="1"/>
  <c r="G145" s="1"/>
  <c r="J145" s="1"/>
  <c r="C146"/>
  <c r="E146" s="1"/>
  <c r="C147" l="1"/>
  <c r="E147" s="1"/>
  <c r="F146"/>
  <c r="G146" s="1"/>
  <c r="J146" s="1"/>
  <c r="F147" l="1"/>
  <c r="G147" s="1"/>
  <c r="J147" s="1"/>
  <c r="C148"/>
  <c r="E148" s="1"/>
  <c r="F148" l="1"/>
  <c r="G148" s="1"/>
  <c r="J148" s="1"/>
  <c r="C149"/>
  <c r="E149" s="1"/>
  <c r="F149" l="1"/>
  <c r="G149" s="1"/>
  <c r="C150"/>
  <c r="E150" s="1"/>
  <c r="T17" l="1"/>
  <c r="I49" i="4" s="1"/>
  <c r="J149" i="7"/>
  <c r="C151"/>
  <c r="E151" s="1"/>
  <c r="F150"/>
  <c r="G150" s="1"/>
  <c r="J150" s="1"/>
  <c r="F151" l="1"/>
  <c r="G151" s="1"/>
  <c r="J151" s="1"/>
  <c r="C152"/>
  <c r="E152" s="1"/>
  <c r="F152" l="1"/>
  <c r="G152" s="1"/>
  <c r="J152" s="1"/>
  <c r="C153"/>
  <c r="E153" s="1"/>
  <c r="F153" l="1"/>
  <c r="G153" s="1"/>
  <c r="J153" s="1"/>
  <c r="C154"/>
  <c r="E154" s="1"/>
  <c r="F154" l="1"/>
  <c r="G154" s="1"/>
  <c r="J154" s="1"/>
  <c r="C155"/>
  <c r="E155" s="1"/>
  <c r="F155" l="1"/>
  <c r="G155" s="1"/>
  <c r="J155" s="1"/>
  <c r="C156"/>
  <c r="E156" s="1"/>
  <c r="F156" l="1"/>
  <c r="G156" s="1"/>
  <c r="J156" s="1"/>
  <c r="C157"/>
  <c r="E157" s="1"/>
  <c r="F157" l="1"/>
  <c r="G157" s="1"/>
  <c r="J157" s="1"/>
  <c r="C158"/>
  <c r="E158" s="1"/>
  <c r="F158" l="1"/>
  <c r="G158" s="1"/>
  <c r="J158" s="1"/>
  <c r="C159"/>
  <c r="E159" s="1"/>
  <c r="F159" l="1"/>
  <c r="G159" s="1"/>
  <c r="J159" s="1"/>
  <c r="C160"/>
  <c r="E160" s="1"/>
  <c r="F160" l="1"/>
  <c r="G160" s="1"/>
  <c r="J160" s="1"/>
  <c r="C161"/>
  <c r="E161" s="1"/>
  <c r="F161" l="1"/>
  <c r="G161" s="1"/>
  <c r="C162"/>
  <c r="E162" s="1"/>
  <c r="C163" l="1"/>
  <c r="E163" s="1"/>
  <c r="F162"/>
  <c r="G162" s="1"/>
  <c r="J162" s="1"/>
  <c r="T18"/>
  <c r="I50" i="4" s="1"/>
  <c r="J161" i="7"/>
  <c r="F163" l="1"/>
  <c r="G163" s="1"/>
  <c r="J163" s="1"/>
  <c r="C164"/>
  <c r="E164" s="1"/>
  <c r="F164" l="1"/>
  <c r="G164" s="1"/>
  <c r="J164" s="1"/>
  <c r="C165"/>
  <c r="E165" s="1"/>
  <c r="F165" l="1"/>
  <c r="G165" s="1"/>
  <c r="J165" s="1"/>
  <c r="C166"/>
  <c r="E166" s="1"/>
  <c r="F166" l="1"/>
  <c r="G166" s="1"/>
  <c r="J166" s="1"/>
  <c r="C167"/>
  <c r="E167" s="1"/>
  <c r="F167" l="1"/>
  <c r="G167" s="1"/>
  <c r="J167" s="1"/>
  <c r="C168"/>
  <c r="E168" s="1"/>
  <c r="F168" l="1"/>
  <c r="G168" s="1"/>
  <c r="J168" s="1"/>
  <c r="C169"/>
  <c r="E169" s="1"/>
  <c r="F169" l="1"/>
  <c r="G169" s="1"/>
  <c r="J169" s="1"/>
  <c r="C170"/>
  <c r="E170" s="1"/>
  <c r="F170" l="1"/>
  <c r="G170" s="1"/>
  <c r="J170" s="1"/>
  <c r="C171"/>
  <c r="E171" s="1"/>
  <c r="F171" l="1"/>
  <c r="G171" s="1"/>
  <c r="J171" s="1"/>
  <c r="C172"/>
  <c r="E172" s="1"/>
  <c r="F172" l="1"/>
  <c r="G172" s="1"/>
  <c r="J172" s="1"/>
  <c r="C173"/>
  <c r="E173" s="1"/>
  <c r="F173" l="1"/>
  <c r="G173" s="1"/>
  <c r="J173" s="1"/>
  <c r="C174"/>
  <c r="E174" s="1"/>
  <c r="C175" l="1"/>
  <c r="E175" s="1"/>
  <c r="F174"/>
  <c r="G174" s="1"/>
  <c r="J174" s="1"/>
  <c r="F175" l="1"/>
  <c r="G175" s="1"/>
  <c r="J175" s="1"/>
  <c r="C176"/>
  <c r="E176" s="1"/>
  <c r="F176" l="1"/>
  <c r="G176" s="1"/>
  <c r="J176" s="1"/>
  <c r="C177"/>
  <c r="E177" s="1"/>
  <c r="F177" l="1"/>
  <c r="G177" s="1"/>
  <c r="J177" s="1"/>
  <c r="C178"/>
  <c r="E178" s="1"/>
  <c r="F178" l="1"/>
  <c r="G178" s="1"/>
  <c r="J178" s="1"/>
  <c r="C179"/>
  <c r="E179" s="1"/>
  <c r="F179" l="1"/>
  <c r="G179" s="1"/>
  <c r="J179" s="1"/>
  <c r="C180"/>
  <c r="E180" s="1"/>
  <c r="F180" l="1"/>
  <c r="G180" s="1"/>
  <c r="J180" s="1"/>
  <c r="C181"/>
  <c r="E181" s="1"/>
  <c r="F181" l="1"/>
  <c r="G181" s="1"/>
  <c r="J181" s="1"/>
  <c r="C182"/>
  <c r="E182" s="1"/>
  <c r="F182" l="1"/>
  <c r="G182" s="1"/>
  <c r="J182" s="1"/>
  <c r="C183"/>
  <c r="E183" s="1"/>
  <c r="F183" l="1"/>
  <c r="G183" s="1"/>
  <c r="J183" s="1"/>
  <c r="C184"/>
  <c r="E184" s="1"/>
  <c r="F184" l="1"/>
  <c r="G184" s="1"/>
  <c r="J184" s="1"/>
  <c r="C185"/>
  <c r="E185" s="1"/>
  <c r="F185" l="1"/>
  <c r="G185" s="1"/>
  <c r="C186"/>
  <c r="E186" s="1"/>
  <c r="F186" l="1"/>
  <c r="G186" s="1"/>
  <c r="J186" s="1"/>
  <c r="C187"/>
  <c r="E187" s="1"/>
  <c r="T20"/>
  <c r="I52" i="4" s="1"/>
  <c r="J185" i="7"/>
  <c r="F187" l="1"/>
  <c r="G187" s="1"/>
  <c r="J187" s="1"/>
  <c r="C188"/>
  <c r="E188" s="1"/>
  <c r="F188" l="1"/>
  <c r="G188" s="1"/>
  <c r="J188" s="1"/>
  <c r="C189"/>
  <c r="E189" s="1"/>
  <c r="F189" l="1"/>
  <c r="G189" s="1"/>
  <c r="J189" s="1"/>
  <c r="C190"/>
  <c r="E190" s="1"/>
  <c r="F190" l="1"/>
  <c r="G190" s="1"/>
  <c r="J190" s="1"/>
  <c r="C191"/>
  <c r="E191" s="1"/>
  <c r="F191" l="1"/>
  <c r="G191" s="1"/>
  <c r="J191" s="1"/>
  <c r="C192"/>
  <c r="E192" s="1"/>
  <c r="F192" l="1"/>
  <c r="G192" s="1"/>
  <c r="J192" s="1"/>
  <c r="C193"/>
  <c r="E193" s="1"/>
  <c r="F193" l="1"/>
  <c r="G193" s="1"/>
  <c r="J193" s="1"/>
  <c r="C194"/>
  <c r="E194" s="1"/>
  <c r="F194" l="1"/>
  <c r="G194" s="1"/>
  <c r="J194" s="1"/>
  <c r="C195"/>
  <c r="E195" s="1"/>
  <c r="F195" l="1"/>
  <c r="G195" s="1"/>
  <c r="J195" s="1"/>
  <c r="C196"/>
  <c r="E196" s="1"/>
  <c r="F196" l="1"/>
  <c r="G196" s="1"/>
  <c r="J196" s="1"/>
  <c r="C197"/>
  <c r="E197" s="1"/>
  <c r="F197" l="1"/>
  <c r="G197" s="1"/>
  <c r="J197" s="1"/>
  <c r="C198"/>
  <c r="E198" s="1"/>
  <c r="F198" l="1"/>
  <c r="G198" s="1"/>
  <c r="J198" s="1"/>
  <c r="C199"/>
  <c r="E199" s="1"/>
  <c r="F199" l="1"/>
  <c r="G199" s="1"/>
  <c r="J199" s="1"/>
  <c r="C200"/>
  <c r="E200" s="1"/>
  <c r="F200" l="1"/>
  <c r="G200" s="1"/>
  <c r="J200" s="1"/>
  <c r="C201"/>
  <c r="E201" s="1"/>
  <c r="F201" l="1"/>
  <c r="G201" s="1"/>
  <c r="J201" s="1"/>
  <c r="C202"/>
  <c r="E202" s="1"/>
  <c r="F202" l="1"/>
  <c r="G202" s="1"/>
  <c r="J202" s="1"/>
  <c r="C203"/>
  <c r="E203" s="1"/>
  <c r="F203" l="1"/>
  <c r="G203" s="1"/>
  <c r="J203" s="1"/>
  <c r="C204"/>
  <c r="E204" s="1"/>
  <c r="F204" l="1"/>
  <c r="G204" s="1"/>
  <c r="J204" s="1"/>
  <c r="C205"/>
  <c r="E205" s="1"/>
  <c r="F205" l="1"/>
  <c r="G205" s="1"/>
  <c r="J205" s="1"/>
  <c r="C206"/>
  <c r="E206" s="1"/>
  <c r="F206" l="1"/>
  <c r="G206" s="1"/>
  <c r="J206" s="1"/>
  <c r="C207"/>
  <c r="E207" s="1"/>
  <c r="F207" l="1"/>
  <c r="G207" s="1"/>
  <c r="J207" s="1"/>
  <c r="C208"/>
  <c r="E208" s="1"/>
  <c r="F208" l="1"/>
  <c r="G208" s="1"/>
  <c r="J208" s="1"/>
  <c r="C209"/>
  <c r="E209" s="1"/>
  <c r="F209" l="1"/>
  <c r="G209" s="1"/>
  <c r="C210"/>
  <c r="E210" s="1"/>
  <c r="F210" l="1"/>
  <c r="G210" s="1"/>
  <c r="J210" s="1"/>
  <c r="C211"/>
  <c r="E211" s="1"/>
  <c r="T22"/>
  <c r="I54" i="4" s="1"/>
  <c r="J209" i="7"/>
  <c r="F211" l="1"/>
  <c r="G211" s="1"/>
  <c r="J211" s="1"/>
  <c r="C212"/>
  <c r="E212" s="1"/>
  <c r="F212" l="1"/>
  <c r="G212" s="1"/>
  <c r="J212" s="1"/>
  <c r="C213"/>
  <c r="E213" s="1"/>
  <c r="F213" l="1"/>
  <c r="G213" s="1"/>
  <c r="J213" s="1"/>
  <c r="C214"/>
  <c r="E214" s="1"/>
  <c r="F214" l="1"/>
  <c r="G214" s="1"/>
  <c r="J214" s="1"/>
  <c r="C215"/>
  <c r="E215" s="1"/>
  <c r="F215" l="1"/>
  <c r="G215" s="1"/>
  <c r="J215" s="1"/>
  <c r="C216"/>
  <c r="E216" s="1"/>
  <c r="F216" l="1"/>
  <c r="G216" s="1"/>
  <c r="J216" s="1"/>
  <c r="C217"/>
  <c r="E217" s="1"/>
  <c r="F217" l="1"/>
  <c r="G217" s="1"/>
  <c r="J217" s="1"/>
  <c r="C218"/>
  <c r="E218" s="1"/>
  <c r="F218" l="1"/>
  <c r="G218" s="1"/>
  <c r="J218" s="1"/>
  <c r="C219"/>
  <c r="E219" s="1"/>
  <c r="F219" l="1"/>
  <c r="G219" s="1"/>
  <c r="J219" s="1"/>
  <c r="C220"/>
  <c r="E220" s="1"/>
  <c r="F220" l="1"/>
  <c r="G220" s="1"/>
  <c r="J220" s="1"/>
  <c r="C221"/>
  <c r="E221" s="1"/>
  <c r="F221" l="1"/>
  <c r="G221" s="1"/>
  <c r="J221" s="1"/>
  <c r="C222"/>
  <c r="E222" s="1"/>
  <c r="F222" l="1"/>
  <c r="G222" s="1"/>
  <c r="J222" s="1"/>
  <c r="C223"/>
  <c r="E223" s="1"/>
  <c r="F223" l="1"/>
  <c r="G223" s="1"/>
  <c r="J223" s="1"/>
  <c r="C224"/>
  <c r="E224" s="1"/>
  <c r="F224" l="1"/>
  <c r="G224" s="1"/>
  <c r="J224" s="1"/>
  <c r="C225"/>
  <c r="E225" s="1"/>
  <c r="F225" l="1"/>
  <c r="G225" s="1"/>
  <c r="J225" s="1"/>
  <c r="C226"/>
  <c r="E226" s="1"/>
  <c r="F226" l="1"/>
  <c r="G226" s="1"/>
  <c r="J226" s="1"/>
  <c r="C227"/>
  <c r="E227" s="1"/>
  <c r="F227" l="1"/>
  <c r="G227" s="1"/>
  <c r="J227" s="1"/>
  <c r="C228"/>
  <c r="E228" s="1"/>
  <c r="F228" l="1"/>
  <c r="G228" s="1"/>
  <c r="J228" s="1"/>
  <c r="C229"/>
  <c r="E229" s="1"/>
  <c r="F229" l="1"/>
  <c r="G229" s="1"/>
  <c r="J229" s="1"/>
  <c r="C230"/>
  <c r="E230" s="1"/>
  <c r="F230" l="1"/>
  <c r="G230" s="1"/>
  <c r="J230" s="1"/>
  <c r="C231"/>
  <c r="E231" s="1"/>
  <c r="F231" l="1"/>
  <c r="G231" s="1"/>
  <c r="J231" s="1"/>
  <c r="C232"/>
  <c r="E232" s="1"/>
  <c r="F232" l="1"/>
  <c r="G232" s="1"/>
  <c r="J232" s="1"/>
  <c r="C233"/>
  <c r="E233" s="1"/>
  <c r="F233" l="1"/>
  <c r="G233" s="1"/>
  <c r="J233" s="1"/>
  <c r="C234"/>
  <c r="E234" s="1"/>
  <c r="F234" l="1"/>
  <c r="G234" s="1"/>
  <c r="J234" s="1"/>
  <c r="C235"/>
  <c r="E235" s="1"/>
  <c r="F235" l="1"/>
  <c r="G235" s="1"/>
  <c r="J235" s="1"/>
  <c r="C236"/>
  <c r="E236" s="1"/>
  <c r="F236" l="1"/>
  <c r="G236" s="1"/>
  <c r="J236" s="1"/>
  <c r="C237"/>
  <c r="E237" s="1"/>
  <c r="F237" l="1"/>
  <c r="G237" s="1"/>
  <c r="J237" s="1"/>
  <c r="C238"/>
  <c r="E238" s="1"/>
  <c r="F238" l="1"/>
  <c r="G238" s="1"/>
  <c r="J238" s="1"/>
  <c r="C239"/>
  <c r="E239" s="1"/>
  <c r="F239" l="1"/>
  <c r="G239" s="1"/>
  <c r="J239" s="1"/>
  <c r="C240"/>
  <c r="E240" s="1"/>
  <c r="F240" l="1"/>
  <c r="G240" s="1"/>
  <c r="J240" s="1"/>
  <c r="C241"/>
  <c r="E241" s="1"/>
  <c r="F241" l="1"/>
  <c r="G241" s="1"/>
  <c r="J241" s="1"/>
  <c r="C242"/>
  <c r="E242" s="1"/>
  <c r="F242" l="1"/>
  <c r="G242" s="1"/>
  <c r="J242" s="1"/>
  <c r="C243"/>
  <c r="E243" s="1"/>
  <c r="F243" l="1"/>
  <c r="G243" s="1"/>
  <c r="J243" s="1"/>
  <c r="C244"/>
  <c r="E244" s="1"/>
  <c r="F244" l="1"/>
  <c r="G244" s="1"/>
  <c r="J244" s="1"/>
  <c r="C245"/>
  <c r="E245" s="1"/>
  <c r="F245" l="1"/>
  <c r="G245" s="1"/>
  <c r="J245" s="1"/>
  <c r="C246"/>
  <c r="E246" s="1"/>
  <c r="F246" l="1"/>
  <c r="G246" s="1"/>
  <c r="J246" s="1"/>
  <c r="C247"/>
  <c r="E247" s="1"/>
  <c r="F247" l="1"/>
  <c r="G247" s="1"/>
  <c r="J247" s="1"/>
  <c r="C248"/>
  <c r="E248" s="1"/>
  <c r="F248" l="1"/>
  <c r="G248" s="1"/>
  <c r="J248" s="1"/>
  <c r="C249"/>
  <c r="E249" s="1"/>
  <c r="F249" l="1"/>
  <c r="G249" s="1"/>
  <c r="J249" s="1"/>
  <c r="C250"/>
  <c r="E250" s="1"/>
  <c r="F250" l="1"/>
  <c r="G250" s="1"/>
  <c r="J250" s="1"/>
  <c r="C251"/>
  <c r="E251" s="1"/>
  <c r="F251" l="1"/>
  <c r="G251" s="1"/>
  <c r="J251" s="1"/>
  <c r="C252"/>
  <c r="E252" s="1"/>
  <c r="F252" l="1"/>
  <c r="G252" s="1"/>
  <c r="J252" s="1"/>
  <c r="C253"/>
  <c r="E253" s="1"/>
  <c r="F253" l="1"/>
  <c r="G253" s="1"/>
  <c r="J253" s="1"/>
  <c r="C254"/>
  <c r="E254" s="1"/>
  <c r="F254" l="1"/>
  <c r="G254" s="1"/>
  <c r="J254" s="1"/>
  <c r="C255"/>
  <c r="E255" s="1"/>
  <c r="F255" l="1"/>
  <c r="G255" s="1"/>
  <c r="J255" s="1"/>
  <c r="C256"/>
  <c r="E256" s="1"/>
  <c r="F256" l="1"/>
  <c r="G256" s="1"/>
  <c r="J256" s="1"/>
  <c r="C257"/>
  <c r="E257" s="1"/>
  <c r="F257" l="1"/>
  <c r="G257" s="1"/>
  <c r="J257" s="1"/>
  <c r="C258"/>
  <c r="E258" s="1"/>
  <c r="F258" l="1"/>
  <c r="G258" s="1"/>
  <c r="J258" s="1"/>
  <c r="C259"/>
  <c r="E259" s="1"/>
  <c r="F259" l="1"/>
  <c r="G259" s="1"/>
  <c r="J259" s="1"/>
  <c r="C260"/>
  <c r="E260" s="1"/>
  <c r="F260" l="1"/>
  <c r="G260" s="1"/>
  <c r="J260" s="1"/>
  <c r="C261"/>
  <c r="E261" s="1"/>
  <c r="F261" l="1"/>
  <c r="G261" s="1"/>
  <c r="J261" s="1"/>
  <c r="C262"/>
  <c r="E262" s="1"/>
  <c r="F262" l="1"/>
  <c r="G262" s="1"/>
  <c r="J262" s="1"/>
  <c r="C263"/>
  <c r="E263" s="1"/>
  <c r="F263" l="1"/>
  <c r="G263" s="1"/>
  <c r="J263" s="1"/>
  <c r="C264"/>
  <c r="E264" s="1"/>
  <c r="F264" l="1"/>
  <c r="G264" s="1"/>
  <c r="J264" s="1"/>
  <c r="C265"/>
  <c r="E265" s="1"/>
  <c r="F265" l="1"/>
  <c r="G265" s="1"/>
  <c r="J265" s="1"/>
  <c r="C266"/>
  <c r="E266" s="1"/>
  <c r="F266" l="1"/>
  <c r="G266" s="1"/>
  <c r="J266" s="1"/>
  <c r="C267"/>
  <c r="E267" s="1"/>
  <c r="F267" l="1"/>
  <c r="G267" s="1"/>
  <c r="J267" s="1"/>
  <c r="C268"/>
  <c r="E268" s="1"/>
  <c r="F268" l="1"/>
  <c r="G268" s="1"/>
  <c r="J268" s="1"/>
  <c r="C269"/>
  <c r="E269" s="1"/>
  <c r="F269" l="1"/>
  <c r="G269" s="1"/>
  <c r="C270"/>
  <c r="E270" s="1"/>
  <c r="F270" l="1"/>
  <c r="G270" s="1"/>
  <c r="J270" s="1"/>
  <c r="C271"/>
  <c r="E271" s="1"/>
  <c r="T27"/>
  <c r="I59" i="4" s="1"/>
  <c r="J269" i="7"/>
  <c r="F271" l="1"/>
  <c r="G271" s="1"/>
  <c r="J271" s="1"/>
  <c r="C272"/>
  <c r="E272" s="1"/>
  <c r="F272" l="1"/>
  <c r="G272" s="1"/>
  <c r="J272" s="1"/>
  <c r="C273"/>
  <c r="E273" s="1"/>
  <c r="F273" l="1"/>
  <c r="G273" s="1"/>
  <c r="J273" s="1"/>
  <c r="C274"/>
  <c r="E274" s="1"/>
  <c r="F274" l="1"/>
  <c r="G274" s="1"/>
  <c r="J274" s="1"/>
  <c r="C275"/>
  <c r="E275" s="1"/>
  <c r="F275" l="1"/>
  <c r="G275" s="1"/>
  <c r="J275" s="1"/>
  <c r="C276"/>
  <c r="E276" s="1"/>
  <c r="F276" l="1"/>
  <c r="G276" s="1"/>
  <c r="J276" s="1"/>
  <c r="C277"/>
  <c r="E277" s="1"/>
  <c r="F277" l="1"/>
  <c r="G277" s="1"/>
  <c r="J277" s="1"/>
  <c r="C278"/>
  <c r="E278" s="1"/>
  <c r="F278" l="1"/>
  <c r="G278" s="1"/>
  <c r="J278" s="1"/>
  <c r="C279"/>
  <c r="E279" s="1"/>
  <c r="F279" l="1"/>
  <c r="G279" s="1"/>
  <c r="J279" s="1"/>
  <c r="C280"/>
  <c r="E280" s="1"/>
  <c r="F280" l="1"/>
  <c r="G280" s="1"/>
  <c r="J280" s="1"/>
  <c r="C281"/>
  <c r="E281" s="1"/>
  <c r="F281" l="1"/>
  <c r="G281" s="1"/>
  <c r="J281" s="1"/>
  <c r="C282"/>
  <c r="E282" s="1"/>
  <c r="F282" l="1"/>
  <c r="G282" s="1"/>
  <c r="J282" s="1"/>
  <c r="C283"/>
  <c r="E283" s="1"/>
  <c r="F283" l="1"/>
  <c r="G283" s="1"/>
  <c r="J283" s="1"/>
  <c r="C284"/>
  <c r="E284" s="1"/>
  <c r="F284" l="1"/>
  <c r="G284" s="1"/>
  <c r="J284" s="1"/>
  <c r="C285"/>
  <c r="E285" s="1"/>
  <c r="F285" l="1"/>
  <c r="G285" s="1"/>
  <c r="J285" s="1"/>
  <c r="C286"/>
  <c r="E286" s="1"/>
  <c r="F286" l="1"/>
  <c r="G286" s="1"/>
  <c r="J286" s="1"/>
  <c r="C287"/>
  <c r="E287" s="1"/>
  <c r="F287" l="1"/>
  <c r="G287" s="1"/>
  <c r="J287" s="1"/>
  <c r="C288"/>
  <c r="E288" s="1"/>
  <c r="F288" l="1"/>
  <c r="G288" s="1"/>
  <c r="J288" s="1"/>
  <c r="C289"/>
  <c r="E289" s="1"/>
  <c r="F289" l="1"/>
  <c r="G289" s="1"/>
  <c r="J289" s="1"/>
  <c r="C290"/>
  <c r="E290" s="1"/>
  <c r="F290" l="1"/>
  <c r="G290" s="1"/>
  <c r="J290" s="1"/>
  <c r="C291"/>
  <c r="E291" s="1"/>
  <c r="F291" l="1"/>
  <c r="G291" s="1"/>
  <c r="J291" s="1"/>
  <c r="C292"/>
  <c r="E292" s="1"/>
  <c r="F292" l="1"/>
  <c r="G292" s="1"/>
  <c r="J292" s="1"/>
  <c r="C293"/>
  <c r="E293" s="1"/>
  <c r="F293" l="1"/>
  <c r="G293" s="1"/>
  <c r="J293" s="1"/>
  <c r="C294"/>
  <c r="E294" s="1"/>
  <c r="F294" l="1"/>
  <c r="G294" s="1"/>
  <c r="J294" s="1"/>
  <c r="C295"/>
  <c r="E295" s="1"/>
  <c r="F295" l="1"/>
  <c r="G295" s="1"/>
  <c r="J295" s="1"/>
  <c r="C296"/>
  <c r="E296" s="1"/>
  <c r="F296" l="1"/>
  <c r="G296" s="1"/>
  <c r="J296" s="1"/>
  <c r="C297"/>
  <c r="E297" s="1"/>
  <c r="F297" l="1"/>
  <c r="G297" s="1"/>
  <c r="J297" s="1"/>
  <c r="C298"/>
  <c r="E298" s="1"/>
  <c r="F298" l="1"/>
  <c r="G298" s="1"/>
  <c r="J298" s="1"/>
  <c r="C299"/>
  <c r="E299" s="1"/>
  <c r="F299" l="1"/>
  <c r="G299" s="1"/>
  <c r="J299" s="1"/>
  <c r="C300"/>
  <c r="E300" s="1"/>
  <c r="F300" l="1"/>
  <c r="G300" s="1"/>
  <c r="J300" s="1"/>
  <c r="C301"/>
  <c r="E301" s="1"/>
  <c r="F301" l="1"/>
  <c r="G301" s="1"/>
  <c r="J301" s="1"/>
  <c r="C302"/>
  <c r="E302" s="1"/>
  <c r="F302" l="1"/>
  <c r="G302" s="1"/>
  <c r="J302" s="1"/>
  <c r="C303"/>
  <c r="E303" s="1"/>
  <c r="F303" l="1"/>
  <c r="G303" s="1"/>
  <c r="J303" s="1"/>
  <c r="C304"/>
  <c r="E304" s="1"/>
  <c r="F304" l="1"/>
  <c r="G304" s="1"/>
  <c r="J304" s="1"/>
  <c r="C305"/>
  <c r="E305" s="1"/>
  <c r="F305" l="1"/>
  <c r="G305" s="1"/>
  <c r="T30" s="1"/>
  <c r="I62" i="4" s="1"/>
  <c r="J305" i="7" l="1"/>
  <c r="T6"/>
  <c r="I38" i="4" s="1"/>
  <c r="T14" i="7"/>
  <c r="I46" i="4" s="1"/>
  <c r="T12" i="7"/>
  <c r="I44" i="4" s="1"/>
  <c r="T10" i="7"/>
  <c r="I42" i="4" s="1"/>
  <c r="T23" i="7"/>
  <c r="I55" i="4" s="1"/>
  <c r="T25" i="7"/>
  <c r="I57" i="4" s="1"/>
  <c r="T8" i="7"/>
  <c r="I40" i="4" s="1"/>
  <c r="T21" i="7"/>
  <c r="I53" i="4" s="1"/>
  <c r="T11" i="7"/>
  <c r="I43" i="4" s="1"/>
  <c r="T13" i="7"/>
  <c r="I45" i="4" s="1"/>
  <c r="T19" i="7"/>
  <c r="I51" i="4" s="1"/>
  <c r="T16" i="7"/>
  <c r="I48" i="4" s="1"/>
  <c r="T9" i="7"/>
  <c r="I41" i="4" s="1"/>
  <c r="T28" i="7"/>
  <c r="I60" i="4" s="1"/>
  <c r="T15" i="7"/>
  <c r="I47" i="4" s="1"/>
  <c r="T24" i="7"/>
  <c r="I56" i="4" s="1"/>
  <c r="T7" i="7"/>
  <c r="I39" i="4" s="1"/>
  <c r="T29" i="7"/>
  <c r="I61" i="4" s="1"/>
  <c r="T26" i="7"/>
  <c r="I58" i="4" s="1"/>
</calcChain>
</file>

<file path=xl/sharedStrings.xml><?xml version="1.0" encoding="utf-8"?>
<sst xmlns="http://schemas.openxmlformats.org/spreadsheetml/2006/main" count="202" uniqueCount="177">
  <si>
    <t>Date:</t>
  </si>
  <si>
    <t>Place:</t>
  </si>
  <si>
    <t xml:space="preserve">Company Seal: </t>
  </si>
  <si>
    <t xml:space="preserve">Policyholder's Signature: </t>
  </si>
  <si>
    <t xml:space="preserve">Marketing officials' Signature: </t>
  </si>
  <si>
    <t>I .............................................. (Name), having received the information with respect to the above, have understood the above statement before entering into the contract.</t>
  </si>
  <si>
    <t>Declaration</t>
  </si>
  <si>
    <t xml:space="preserve">    </t>
  </si>
  <si>
    <t xml:space="preserve">    There is no guarantee on the amount of bonuses and these will be declared at the sole discretion of the company. Hence, the bonuses in this plan may vary from time to time.</t>
  </si>
  <si>
    <t>Risk Factors</t>
  </si>
  <si>
    <t>2. Insurance is the subject matter of the solicitation</t>
  </si>
  <si>
    <t xml:space="preserve">    any kind. (Sec 41 of the Insurance Act, 1938)</t>
  </si>
  <si>
    <t xml:space="preserve">    IRDA regulations do not permit Corporate Agent or its employees to pay such commission, whether in part or whole, as an inducement to any person to take out or renew or continue an insurance policy of</t>
  </si>
  <si>
    <r>
      <t xml:space="preserve">   &lt;&lt;</t>
    </r>
    <r>
      <rPr>
        <u/>
        <sz val="11"/>
        <color indexed="8"/>
        <rFont val="Arial"/>
        <family val="2"/>
      </rPr>
      <t xml:space="preserve">Staff policies only&gt;&gt;: </t>
    </r>
    <r>
      <rPr>
        <sz val="11"/>
        <color indexed="8"/>
        <rFont val="Arial"/>
        <family val="2"/>
      </rPr>
      <t xml:space="preserve">Corporate Agent will receive 15% commission on first year premium and 1% commission on renewal premiums during year 2nd to 4th from the Company for this transaction.
</t>
    </r>
  </si>
  <si>
    <t xml:space="preserve">    IRDA regulations do not permit Corporate Agent or its employees to pay such commission, whether in part or whole, as an inducement to any person to take out or renew or continue an insurance policy of </t>
  </si>
  <si>
    <r>
      <t>1. &lt;&lt;</t>
    </r>
    <r>
      <rPr>
        <u/>
        <sz val="11"/>
        <color indexed="8"/>
        <rFont val="Arial"/>
        <family val="2"/>
      </rPr>
      <t xml:space="preserve">Non Staff policies only&gt;&gt;: </t>
    </r>
    <r>
      <rPr>
        <sz val="11"/>
        <color indexed="8"/>
        <rFont val="Arial"/>
        <family val="2"/>
      </rPr>
      <t>Corporate Agent will receive 30% commission on first year premium and 1% commission on renewal premiums during year 2nd to 4th from the Company for this transaction.</t>
    </r>
  </si>
  <si>
    <t>Disclosures</t>
  </si>
  <si>
    <t>9. The above illustration does not take into account rider charges (if any).</t>
  </si>
  <si>
    <t>8. The above illustration takes into account currently applicable service tax &amp; cess. However, the applicable taxes may change from time to time and premium payable will change accordingly.</t>
  </si>
  <si>
    <t>7. If Set-Off option is selected, it will be applied as per product features. Please refer to the product brochure for further details.</t>
  </si>
  <si>
    <t>6.  The above premium is for a healthy individual. Your application will be assessed as per board approved underwriting guidelines of the company. Basis underwriting, it may result in an extra premium to be paid, which shall be borne by you.</t>
  </si>
  <si>
    <t xml:space="preserve">5.  Premiums payable and benefits receivable under this plan are eligible for tax benefits as per the prevailing tax laws subject to amendments from time to time. </t>
  </si>
  <si>
    <t xml:space="preserve">    paid on surrender. The Illustration above only shows the guaranteed surrender value payable.</t>
  </si>
  <si>
    <t>4. Your policy will acquire a guaranteed surrender value (GSV) after paying at least 3 full year's premium. However, the company may offer a special surrender value (SSV), and higher of GSV and SSV will be</t>
  </si>
  <si>
    <t xml:space="preserve">    after paying at least three years premiums, the policy will acquire a Paid-up value that you will receive on death or maturity, whichever is earlier, provided you have not surrendered the policy.</t>
  </si>
  <si>
    <t xml:space="preserve">    term to realise the full benefits. Early exit should not be opted for unless there is no other alternative available, as it will impact the policy value. If premiums are discontinued</t>
  </si>
  <si>
    <t xml:space="preserve">3. This is a traditional plan intended for long term savings and benefits. It is strongly advised that the policy should be continued throughout the defined policy </t>
  </si>
  <si>
    <t xml:space="preserve">    will be declared at the sole discretion of the company.</t>
  </si>
  <si>
    <t xml:space="preserve">2. Annual bonuses and Final bonus (if any) are shown at an assumed investment rate of 4% or 8% every year in this illustration.There is no guarantee on the amount of  bonuses and these </t>
  </si>
  <si>
    <t>1. Some benefits are guaranteed and some benefits are variable with returns based on the future performance of your Insurer carrying on life insurance business. If your policy  
    offers guaranteed returns then these will be clearly marked “guaranteed” in the illustration table. If your policy offers variable returns then the illustrations on this 
    page will show two different rates of assumed future investment returns. These assumed rates of return are not guaranteed and they are not the upper or lower limits of what you 
    might get back, as the value of your policy is dependent on a number of factors including future investment performance.</t>
  </si>
  <si>
    <t>Notes:</t>
  </si>
  <si>
    <t>&lt;&lt;Page 3&gt;&gt;</t>
  </si>
  <si>
    <t>* Annual Income = Chosen Monthly Income x 12</t>
  </si>
  <si>
    <t>On payment of death benefit, the policy will stand terminated.</t>
  </si>
  <si>
    <t>Total Bonus</t>
  </si>
  <si>
    <r>
      <t>Accumulated Bonus at an assumed investment return of 4% (</t>
    </r>
    <r>
      <rPr>
        <b/>
        <sz val="11"/>
        <color indexed="56"/>
        <rFont val="Rupee Foradian"/>
        <family val="2"/>
      </rPr>
      <t>`</t>
    </r>
    <r>
      <rPr>
        <b/>
        <sz val="11"/>
        <color indexed="56"/>
        <rFont val="Arial"/>
        <family val="2"/>
      </rPr>
      <t>)</t>
    </r>
  </si>
  <si>
    <r>
      <t>Surrender Value(</t>
    </r>
    <r>
      <rPr>
        <b/>
        <sz val="11"/>
        <color indexed="56"/>
        <rFont val="Rupee Foradian"/>
        <family val="2"/>
      </rPr>
      <t>`</t>
    </r>
    <r>
      <rPr>
        <b/>
        <sz val="11"/>
        <color indexed="56"/>
        <rFont val="Arial"/>
        <family val="2"/>
      </rPr>
      <t>)</t>
    </r>
  </si>
  <si>
    <r>
      <t>Annual Income* (</t>
    </r>
    <r>
      <rPr>
        <b/>
        <sz val="11"/>
        <color indexed="56"/>
        <rFont val="Rupee Foradian"/>
        <family val="2"/>
      </rPr>
      <t>`</t>
    </r>
    <r>
      <rPr>
        <b/>
        <sz val="11"/>
        <color indexed="56"/>
        <rFont val="Arial"/>
        <family val="2"/>
      </rPr>
      <t>)</t>
    </r>
  </si>
  <si>
    <r>
      <t>Death Benefit (</t>
    </r>
    <r>
      <rPr>
        <b/>
        <sz val="11"/>
        <color indexed="56"/>
        <rFont val="Rupee Foradian"/>
        <family val="2"/>
      </rPr>
      <t>`</t>
    </r>
    <r>
      <rPr>
        <b/>
        <sz val="11"/>
        <color indexed="56"/>
        <rFont val="Arial"/>
        <family val="2"/>
      </rPr>
      <t>)</t>
    </r>
  </si>
  <si>
    <r>
      <t>Total Premium (</t>
    </r>
    <r>
      <rPr>
        <b/>
        <sz val="11"/>
        <color indexed="56"/>
        <rFont val="Rupee Foradian"/>
        <family val="2"/>
      </rPr>
      <t>`</t>
    </r>
    <r>
      <rPr>
        <b/>
        <sz val="11"/>
        <color indexed="56"/>
        <rFont val="Arial"/>
        <family val="2"/>
      </rPr>
      <t>)</t>
    </r>
  </si>
  <si>
    <r>
      <t>Service Tax (</t>
    </r>
    <r>
      <rPr>
        <b/>
        <sz val="11"/>
        <color indexed="56"/>
        <rFont val="Rupee Foradian"/>
        <family val="2"/>
      </rPr>
      <t>`</t>
    </r>
    <r>
      <rPr>
        <b/>
        <sz val="11"/>
        <color indexed="56"/>
        <rFont val="Arial"/>
        <family val="2"/>
      </rPr>
      <t>)</t>
    </r>
  </si>
  <si>
    <r>
      <t>Annualized Premium (</t>
    </r>
    <r>
      <rPr>
        <b/>
        <sz val="11"/>
        <color indexed="56"/>
        <rFont val="Rupee Foradian"/>
        <family val="2"/>
      </rPr>
      <t>`</t>
    </r>
    <r>
      <rPr>
        <b/>
        <sz val="11"/>
        <color indexed="56"/>
        <rFont val="Arial"/>
        <family val="2"/>
      </rPr>
      <t>)</t>
    </r>
  </si>
  <si>
    <t>Age at the beginning of the year</t>
  </si>
  <si>
    <t>Year</t>
  </si>
  <si>
    <t>Non Guaranteed Benefits</t>
  </si>
  <si>
    <t>Guaranteed Benefits</t>
  </si>
  <si>
    <t>&lt;&lt;Page 2&gt;&gt;</t>
  </si>
  <si>
    <t>Illustration with Standard Mortality rates</t>
  </si>
  <si>
    <t>&lt;&lt;Yes/ No&gt;&gt;</t>
  </si>
  <si>
    <t>Set Off Option</t>
  </si>
  <si>
    <t>Maturity Value @8% :</t>
  </si>
  <si>
    <t xml:space="preserve">Instalment Premium: </t>
  </si>
  <si>
    <t>Maturity Value @4% :</t>
  </si>
  <si>
    <t xml:space="preserve">Annualised Premium: </t>
  </si>
  <si>
    <t>Rs.</t>
  </si>
  <si>
    <t>Monthly Income</t>
  </si>
  <si>
    <t>Premium Payment Frequency:</t>
  </si>
  <si>
    <t>Minimum Death Benefit:</t>
  </si>
  <si>
    <t>years</t>
  </si>
  <si>
    <t xml:space="preserve">Premium Payment Term: </t>
  </si>
  <si>
    <t xml:space="preserve">Base Sum Assured: </t>
  </si>
  <si>
    <t xml:space="preserve">Policy Term: </t>
  </si>
  <si>
    <t xml:space="preserve">Date of Illustration: </t>
  </si>
  <si>
    <t xml:space="preserve">Gender: </t>
  </si>
  <si>
    <t>&lt;&lt;Designation&gt;&gt;</t>
  </si>
  <si>
    <t>Designation</t>
  </si>
  <si>
    <t>Canara HSBC Oriental Bank of  
Commerce Life Insurance Smart Monthly Income Plan</t>
  </si>
  <si>
    <t xml:space="preserve">Name of the plan: </t>
  </si>
  <si>
    <t xml:space="preserve">Age: </t>
  </si>
  <si>
    <t xml:space="preserve"> UIN: </t>
  </si>
  <si>
    <t>NA</t>
  </si>
  <si>
    <t xml:space="preserve">Proposal Number: </t>
  </si>
  <si>
    <t>Date of Birth:</t>
  </si>
  <si>
    <t>Plan Details</t>
  </si>
  <si>
    <t>Personal details of life to be assured</t>
  </si>
  <si>
    <t>requirements is appended. Please note that this illustration is indicative and the actual values may vary depending on performance of the Participating fund managed by the company.</t>
  </si>
  <si>
    <t>Thank you for interest in our Canara HSBC Oriental Bank of Commerce Life Insurance Smart Monthly Income Plan. Based on the details provided by you, and reproduced below, the illustration customised to your</t>
  </si>
  <si>
    <t>&lt;&lt;Page 1&gt;&gt;</t>
  </si>
  <si>
    <t>Benefit Illustration - Smart Monthly Income Plan</t>
  </si>
  <si>
    <t>(1)  The Company shall ensure that the total maturity benefit (including the income benefits and bonus) is higher than the sum total of all due premiums paid by the policyholder across all ages at projected gross interest rates of 4% and 8%.</t>
  </si>
  <si>
    <r>
      <t>Accumulated Bonus at an assumed investment return of 8% (</t>
    </r>
    <r>
      <rPr>
        <b/>
        <sz val="11"/>
        <color indexed="56"/>
        <rFont val="Rupee Foradian"/>
        <family val="2"/>
      </rPr>
      <t>`</t>
    </r>
    <r>
      <rPr>
        <b/>
        <sz val="11"/>
        <color indexed="56"/>
        <rFont val="Arial"/>
        <family val="2"/>
      </rPr>
      <t>)</t>
    </r>
  </si>
  <si>
    <t>(2) The Death benefit payable on death of Life Assured is:
 "Higher of (Sum Assured chosen or 10 times of Annualised Premium) + Annual Bonuses added till date of death along with Final Bonus (if any at date of death)
Please note that the death benefit will be at least 105% of (all premiums paid less extra premiums paid, if any)".</t>
  </si>
  <si>
    <t>Final Bonus at maturity</t>
  </si>
  <si>
    <t>Enter desired plan details</t>
  </si>
  <si>
    <t>Mode</t>
  </si>
  <si>
    <t>Sex</t>
  </si>
  <si>
    <t>Staff</t>
  </si>
  <si>
    <t>Std/Non-Std</t>
  </si>
  <si>
    <t>EMR Ratings</t>
  </si>
  <si>
    <t>Sum Assured</t>
  </si>
  <si>
    <t>Annual</t>
  </si>
  <si>
    <t>M</t>
  </si>
  <si>
    <t>Staff Customer</t>
  </si>
  <si>
    <t>Standard Age Proof</t>
  </si>
  <si>
    <t>Monthly</t>
  </si>
  <si>
    <t>F</t>
  </si>
  <si>
    <t>Non-Staff Customer</t>
  </si>
  <si>
    <t>Non-Standard Age Proof</t>
  </si>
  <si>
    <t>Staff Discount</t>
  </si>
  <si>
    <t>Underwriting Extras</t>
  </si>
  <si>
    <t>Extra Mortality Rating</t>
  </si>
  <si>
    <t>Flat Extra</t>
  </si>
  <si>
    <t>PARTICULARS</t>
  </si>
  <si>
    <t>EMR Rates</t>
  </si>
  <si>
    <t>HAS Rebate</t>
  </si>
  <si>
    <t>Age (l.b.d.)</t>
  </si>
  <si>
    <r>
      <t xml:space="preserve">Premium Rate per </t>
    </r>
    <r>
      <rPr>
        <b/>
        <sz val="11"/>
        <color indexed="8"/>
        <rFont val="Rupee Foradian"/>
        <family val="2"/>
      </rPr>
      <t>`</t>
    </r>
    <r>
      <rPr>
        <b/>
        <sz val="11"/>
        <color indexed="8"/>
        <rFont val="Calibri"/>
        <family val="2"/>
      </rPr>
      <t xml:space="preserve"> 1,000 SA</t>
    </r>
  </si>
  <si>
    <r>
      <t xml:space="preserve">SA (in </t>
    </r>
    <r>
      <rPr>
        <b/>
        <sz val="10"/>
        <color indexed="62"/>
        <rFont val="Rupee Foradian"/>
        <family val="2"/>
      </rPr>
      <t>`</t>
    </r>
    <r>
      <rPr>
        <b/>
        <sz val="10"/>
        <color indexed="62"/>
        <rFont val="Arial"/>
        <family val="2"/>
      </rPr>
      <t>)</t>
    </r>
  </si>
  <si>
    <t>Rebate (per 1000 SA)</t>
  </si>
  <si>
    <t>Premium Calculation</t>
  </si>
  <si>
    <t>Base Premium Rate</t>
  </si>
  <si>
    <t>SA Rebate</t>
  </si>
  <si>
    <t>EMR Rating</t>
  </si>
  <si>
    <t>EMR Rate</t>
  </si>
  <si>
    <t>Modal Loading</t>
  </si>
  <si>
    <t>Extra Prem Rate</t>
  </si>
  <si>
    <t>SA/1000 * Modal_Factor</t>
  </si>
  <si>
    <t>Year 1</t>
  </si>
  <si>
    <t>Other Years</t>
  </si>
  <si>
    <t xml:space="preserve"> Year</t>
  </si>
  <si>
    <t>Month</t>
  </si>
  <si>
    <t>PREM %</t>
  </si>
  <si>
    <t>BONUS %</t>
  </si>
  <si>
    <t>Bonus</t>
  </si>
  <si>
    <t>GSV TABLE</t>
  </si>
  <si>
    <t>Bonus percentage</t>
  </si>
  <si>
    <t>YEARS</t>
  </si>
  <si>
    <t>PREM</t>
  </si>
  <si>
    <t>BON</t>
  </si>
  <si>
    <t>Months</t>
  </si>
  <si>
    <t>Terminal Bonus</t>
  </si>
  <si>
    <t>Reversionary Bonus</t>
  </si>
  <si>
    <t>Percentage</t>
  </si>
  <si>
    <t>Premium value</t>
  </si>
  <si>
    <t>GSV - without Bonus</t>
  </si>
  <si>
    <t>GSV - with Bonus</t>
  </si>
  <si>
    <t>Cumulative Premium</t>
  </si>
  <si>
    <t>Total Premium Annual without considering monthly mode for calculation purposes</t>
  </si>
  <si>
    <t>Guaranteed Surrender Value - without Bonus</t>
  </si>
  <si>
    <t>First Year Modal Prem Calcs</t>
  </si>
  <si>
    <t>Subsequent Year Modal Prem Calcs</t>
  </si>
  <si>
    <t>Ingenium Logic</t>
  </si>
  <si>
    <t>Annualized Premium</t>
  </si>
  <si>
    <t>Total Modal Premium</t>
  </si>
  <si>
    <t>Modal Premium (Basic Prem + Extra Prem, incl. Disc.)</t>
  </si>
  <si>
    <t>Total Premium Rate_Yr1</t>
  </si>
  <si>
    <t>Total Premium Rate_Yr2</t>
  </si>
  <si>
    <t>BP Rate less SA Rebate</t>
  </si>
  <si>
    <t>Oasis Logic</t>
  </si>
  <si>
    <t>Oasis</t>
  </si>
  <si>
    <t>Ingenium</t>
  </si>
  <si>
    <t>Basic Prem Rate (Yr1)</t>
  </si>
  <si>
    <t>Annualized Prem For DB calcs</t>
  </si>
  <si>
    <t>Modal Basic Prem For GSV calcs</t>
  </si>
  <si>
    <t>Modal Basic Prem Yr 1 excl. extra prem</t>
  </si>
  <si>
    <t>Modal Basic Prem Yr2 excl. extra prem</t>
  </si>
  <si>
    <t>Service Tax and applicable Cess</t>
  </si>
  <si>
    <t>Premium Input for Reverse Calculator</t>
  </si>
  <si>
    <t>Output of reverse calculator</t>
  </si>
  <si>
    <t>SA Out put for Reverse Calculator</t>
  </si>
  <si>
    <t>Note:</t>
  </si>
  <si>
    <t>Reverse Calculator will not work for Staff Cases</t>
  </si>
  <si>
    <t>Calculation Reverse Calculator</t>
  </si>
  <si>
    <t>Enter the details in Cells coloured Green</t>
  </si>
  <si>
    <t>Orig. Installment Premium "Including" Service Tax ( Cell F4)</t>
  </si>
  <si>
    <t>Yes</t>
  </si>
  <si>
    <t>Check for Premium basis Premium Calculator</t>
  </si>
  <si>
    <t xml:space="preserve">Orig. Installment Premium (Rs.) </t>
  </si>
  <si>
    <t xml:space="preserve">INCLUDING Service Tax </t>
  </si>
  <si>
    <t xml:space="preserve">EXCLUDING Service Tax </t>
  </si>
  <si>
    <t xml:space="preserve">for Year 1: </t>
  </si>
  <si>
    <t>Revised SA to be used for issuing the Policy</t>
  </si>
  <si>
    <t>New Revised Premium as per Revised SA</t>
  </si>
  <si>
    <t>The above obtained SA is rounded down in '0000, Since MI are to be in multiple of 100's and SA is 100 times MI. So the actual premium payable might be lower than premium opted to pay by Policyholder which is given by cell F10</t>
  </si>
  <si>
    <t>Age Last Birthday as on Date of Commencement</t>
  </si>
  <si>
    <t>If the Service Tax depicted here is different from the actual, get the Reverse Calculator updated from Actuarial Team.</t>
  </si>
  <si>
    <t>Output is in Cells coloured Pink</t>
  </si>
</sst>
</file>

<file path=xl/styles.xml><?xml version="1.0" encoding="utf-8"?>
<styleSheet xmlns="http://schemas.openxmlformats.org/spreadsheetml/2006/main">
  <numFmts count="10">
    <numFmt numFmtId="43" formatCode="_(* #,##0.00_);_(* \(#,##0.00\);_(* &quot;-&quot;??_);_(@_)"/>
    <numFmt numFmtId="164" formatCode="_(* #,##0_);_(* \(#,##0\);_(* &quot;-&quot;??_);_(@_)"/>
    <numFmt numFmtId="165" formatCode="_ * #,##0_ ;_ * \-#,##0_ ;_ * &quot;-&quot;??_ ;_ @_ "/>
    <numFmt numFmtId="166" formatCode="_ * #,##0.0_ ;_ * \-#,##0.0_ ;_ * &quot;-&quot;??_ ;_ @_ "/>
    <numFmt numFmtId="167" formatCode="0.000000%"/>
    <numFmt numFmtId="168" formatCode="[$-409]d\-mmm\-yy;@"/>
    <numFmt numFmtId="169" formatCode="0.000%"/>
    <numFmt numFmtId="170" formatCode="_(* #,##0.000_);_(* \(#,##0.000\);_(* &quot;-&quot;??_);_(@_)"/>
    <numFmt numFmtId="171" formatCode="0.000"/>
    <numFmt numFmtId="172" formatCode="0.0%"/>
  </numFmts>
  <fonts count="39">
    <font>
      <sz val="11"/>
      <color theme="1"/>
      <name val="Calibri"/>
      <family val="2"/>
      <scheme val="minor"/>
    </font>
    <font>
      <sz val="11"/>
      <color indexed="8"/>
      <name val="Arial"/>
      <family val="2"/>
    </font>
    <font>
      <u/>
      <sz val="11"/>
      <color indexed="8"/>
      <name val="Arial"/>
      <family val="2"/>
    </font>
    <font>
      <sz val="11"/>
      <name val="Arial"/>
      <family val="2"/>
    </font>
    <font>
      <b/>
      <sz val="11"/>
      <color indexed="56"/>
      <name val="Arial"/>
      <family val="2"/>
    </font>
    <font>
      <b/>
      <sz val="11"/>
      <color indexed="56"/>
      <name val="Rupee Foradian"/>
      <family val="2"/>
    </font>
    <font>
      <sz val="10"/>
      <name val="Arial"/>
      <family val="2"/>
    </font>
    <font>
      <b/>
      <sz val="11"/>
      <color indexed="8"/>
      <name val="Rupee Foradian"/>
      <family val="2"/>
    </font>
    <font>
      <b/>
      <sz val="11"/>
      <color indexed="8"/>
      <name val="Calibri"/>
      <family val="2"/>
    </font>
    <font>
      <b/>
      <sz val="10"/>
      <color indexed="62"/>
      <name val="Rupee Foradian"/>
      <family val="2"/>
    </font>
    <font>
      <b/>
      <sz val="10"/>
      <color indexed="62"/>
      <name val="Arial"/>
      <family val="2"/>
    </font>
    <font>
      <sz val="11"/>
      <color theme="1"/>
      <name val="Calibri"/>
      <family val="2"/>
      <scheme val="minor"/>
    </font>
    <font>
      <sz val="11"/>
      <color theme="1"/>
      <name val="Arial"/>
      <family val="2"/>
    </font>
    <font>
      <b/>
      <sz val="11"/>
      <color theme="1"/>
      <name val="Arial"/>
      <family val="2"/>
    </font>
    <font>
      <b/>
      <sz val="14"/>
      <color theme="1"/>
      <name val="Arial"/>
      <family val="2"/>
    </font>
    <font>
      <sz val="11"/>
      <color rgb="FF000000"/>
      <name val="Arial"/>
      <family val="2"/>
    </font>
    <font>
      <b/>
      <sz val="10"/>
      <color theme="1"/>
      <name val="Arial"/>
      <family val="2"/>
    </font>
    <font>
      <b/>
      <sz val="11"/>
      <color theme="1"/>
      <name val="Calibri"/>
      <family val="2"/>
      <scheme val="minor"/>
    </font>
    <font>
      <b/>
      <sz val="8"/>
      <color rgb="FF000000"/>
      <name val="Arial"/>
      <family val="2"/>
    </font>
    <font>
      <b/>
      <sz val="12"/>
      <color theme="1"/>
      <name val="Calibri"/>
      <family val="2"/>
      <scheme val="minor"/>
    </font>
    <font>
      <sz val="6.5"/>
      <color rgb="FF000000"/>
      <name val="Verdana"/>
      <family val="2"/>
    </font>
    <font>
      <b/>
      <sz val="8"/>
      <color rgb="FFFFFFFF"/>
      <name val="Arial"/>
      <family val="2"/>
    </font>
    <font>
      <sz val="10"/>
      <color rgb="FF000000"/>
      <name val="Arial"/>
      <family val="2"/>
    </font>
    <font>
      <b/>
      <sz val="14"/>
      <color rgb="FF000000"/>
      <name val="Arial"/>
      <family val="2"/>
    </font>
    <font>
      <sz val="10"/>
      <color rgb="FF17365D"/>
      <name val="Calibri"/>
      <family val="2"/>
      <scheme val="minor"/>
    </font>
    <font>
      <sz val="9"/>
      <color theme="1"/>
      <name val="Calibri"/>
      <family val="2"/>
      <scheme val="minor"/>
    </font>
    <font>
      <sz val="8"/>
      <color rgb="FF17365D"/>
      <name val="Calibri"/>
      <family val="2"/>
      <scheme val="minor"/>
    </font>
    <font>
      <sz val="8"/>
      <color theme="1"/>
      <name val="Calibri"/>
      <family val="2"/>
      <scheme val="minor"/>
    </font>
    <font>
      <sz val="11"/>
      <name val="Calibri"/>
      <family val="2"/>
      <scheme val="minor"/>
    </font>
    <font>
      <sz val="8"/>
      <name val="Calibri"/>
      <family val="2"/>
      <scheme val="minor"/>
    </font>
    <font>
      <sz val="11"/>
      <color theme="0"/>
      <name val="Calibri"/>
      <family val="2"/>
      <scheme val="minor"/>
    </font>
    <font>
      <b/>
      <u/>
      <sz val="10"/>
      <color theme="1"/>
      <name val="Calibri"/>
      <family val="2"/>
      <scheme val="minor"/>
    </font>
    <font>
      <sz val="10"/>
      <color theme="1"/>
      <name val="Calibri"/>
      <family val="2"/>
      <scheme val="minor"/>
    </font>
    <font>
      <u/>
      <sz val="11"/>
      <color theme="1"/>
      <name val="Calibri"/>
      <family val="2"/>
      <scheme val="minor"/>
    </font>
    <font>
      <b/>
      <sz val="11"/>
      <color theme="0"/>
      <name val="Calibri"/>
      <family val="2"/>
      <scheme val="minor"/>
    </font>
    <font>
      <b/>
      <sz val="10"/>
      <color theme="1"/>
      <name val="Calibri"/>
      <family val="2"/>
      <scheme val="minor"/>
    </font>
    <font>
      <b/>
      <sz val="12"/>
      <color rgb="FFFF0000"/>
      <name val="Calibri"/>
      <family val="2"/>
      <scheme val="minor"/>
    </font>
    <font>
      <sz val="11"/>
      <color rgb="FFFF0000"/>
      <name val="Calibri"/>
      <family val="2"/>
      <scheme val="minor"/>
    </font>
    <font>
      <b/>
      <u/>
      <sz val="8"/>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1" tint="0.499984740745262"/>
        <bgColor indexed="64"/>
      </patternFill>
    </fill>
  </fills>
  <borders count="3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s>
  <cellStyleXfs count="6">
    <xf numFmtId="0" fontId="0" fillId="0" borderId="0"/>
    <xf numFmtId="43" fontId="11" fillId="0" borderId="0" applyFont="0" applyFill="0" applyBorder="0" applyAlignment="0" applyProtection="0"/>
    <xf numFmtId="164" fontId="11" fillId="0" borderId="0" applyFont="0" applyFill="0" applyBorder="0" applyAlignment="0" applyProtection="0"/>
    <xf numFmtId="0" fontId="11" fillId="0" borderId="0"/>
    <xf numFmtId="0" fontId="6" fillId="0" borderId="0"/>
    <xf numFmtId="9" fontId="11" fillId="0" borderId="0" applyFont="0" applyFill="0" applyBorder="0" applyAlignment="0" applyProtection="0"/>
  </cellStyleXfs>
  <cellXfs count="258">
    <xf numFmtId="0" fontId="0" fillId="0" borderId="0" xfId="0"/>
    <xf numFmtId="0" fontId="0" fillId="2" borderId="0" xfId="0" applyFill="1"/>
    <xf numFmtId="0" fontId="12" fillId="2" borderId="0" xfId="0" applyFont="1" applyFill="1"/>
    <xf numFmtId="0" fontId="14" fillId="2" borderId="0" xfId="0" applyFont="1" applyFill="1"/>
    <xf numFmtId="0" fontId="15" fillId="2" borderId="0" xfId="0" applyFont="1" applyFill="1" applyBorder="1" applyAlignment="1">
      <alignment vertical="top"/>
    </xf>
    <xf numFmtId="0" fontId="0" fillId="2" borderId="0" xfId="0" applyFont="1" applyFill="1"/>
    <xf numFmtId="0" fontId="12" fillId="2" borderId="0" xfId="0" applyFont="1" applyFill="1" applyBorder="1" applyAlignment="1">
      <alignment vertical="top"/>
    </xf>
    <xf numFmtId="0" fontId="15" fillId="2" borderId="0" xfId="0" applyFont="1" applyFill="1" applyBorder="1" applyAlignment="1">
      <alignment vertical="top" wrapText="1"/>
    </xf>
    <xf numFmtId="0" fontId="12" fillId="2" borderId="0" xfId="2" applyNumberFormat="1" applyFont="1" applyFill="1" applyBorder="1" applyAlignment="1">
      <alignment horizontal="left" vertical="top"/>
    </xf>
    <xf numFmtId="0" fontId="12" fillId="2" borderId="0" xfId="2" applyNumberFormat="1" applyFont="1" applyFill="1" applyBorder="1" applyAlignment="1">
      <alignment vertical="top"/>
    </xf>
    <xf numFmtId="0" fontId="16" fillId="0" borderId="0" xfId="0" applyFont="1" applyAlignment="1"/>
    <xf numFmtId="0" fontId="16" fillId="2" borderId="0" xfId="0" applyFont="1" applyFill="1" applyAlignment="1"/>
    <xf numFmtId="0" fontId="3" fillId="2" borderId="0" xfId="0" applyNumberFormat="1" applyFont="1" applyFill="1"/>
    <xf numFmtId="0" fontId="13" fillId="2" borderId="0" xfId="0" applyFont="1" applyFill="1"/>
    <xf numFmtId="0" fontId="17" fillId="2" borderId="0" xfId="0" applyFont="1" applyFill="1" applyAlignment="1">
      <alignment horizontal="center"/>
    </xf>
    <xf numFmtId="3" fontId="18" fillId="2" borderId="0" xfId="0" applyNumberFormat="1" applyFont="1" applyFill="1" applyBorder="1" applyAlignment="1">
      <alignment horizontal="center" wrapText="1"/>
    </xf>
    <xf numFmtId="0" fontId="19" fillId="2" borderId="0" xfId="0" applyFont="1" applyFill="1" applyBorder="1" applyAlignment="1">
      <alignment horizontal="center"/>
    </xf>
    <xf numFmtId="164" fontId="11" fillId="2" borderId="0" xfId="2" applyNumberFormat="1" applyFont="1" applyFill="1" applyBorder="1"/>
    <xf numFmtId="165" fontId="12" fillId="2" borderId="1" xfId="2" applyNumberFormat="1" applyFont="1" applyFill="1" applyBorder="1" applyAlignment="1">
      <alignment horizontal="center" vertical="center"/>
    </xf>
    <xf numFmtId="166" fontId="12" fillId="2" borderId="1" xfId="2" applyNumberFormat="1" applyFont="1" applyFill="1" applyBorder="1" applyAlignment="1">
      <alignment horizontal="center" vertical="center"/>
    </xf>
    <xf numFmtId="165" fontId="0" fillId="2" borderId="0" xfId="0" applyNumberFormat="1" applyFill="1"/>
    <xf numFmtId="165" fontId="3" fillId="2" borderId="0" xfId="0" applyNumberFormat="1" applyFont="1" applyFill="1" applyBorder="1" applyAlignment="1">
      <alignment horizontal="center"/>
    </xf>
    <xf numFmtId="165" fontId="15" fillId="2" borderId="0" xfId="0" applyNumberFormat="1" applyFont="1" applyFill="1" applyBorder="1" applyAlignment="1">
      <alignment horizontal="center"/>
    </xf>
    <xf numFmtId="0" fontId="15" fillId="0" borderId="0" xfId="0" applyFont="1" applyFill="1" applyBorder="1" applyAlignment="1">
      <alignment horizontal="center"/>
    </xf>
    <xf numFmtId="0" fontId="20" fillId="2" borderId="0" xfId="0" applyFont="1" applyFill="1" applyBorder="1" applyAlignment="1">
      <alignment horizontal="center"/>
    </xf>
    <xf numFmtId="0" fontId="19" fillId="2" borderId="0" xfId="0" applyFont="1" applyFill="1" applyBorder="1" applyAlignment="1">
      <alignment horizontal="center" vertical="center"/>
    </xf>
    <xf numFmtId="9" fontId="0" fillId="2" borderId="0" xfId="0" applyNumberFormat="1" applyFill="1"/>
    <xf numFmtId="167" fontId="0" fillId="2" borderId="0" xfId="0" applyNumberFormat="1" applyFill="1"/>
    <xf numFmtId="0" fontId="21" fillId="2" borderId="0" xfId="0" applyFont="1" applyFill="1" applyBorder="1" applyAlignment="1">
      <alignment horizontal="center" vertical="center" wrapText="1"/>
    </xf>
    <xf numFmtId="0" fontId="15" fillId="2" borderId="0" xfId="0" applyFont="1" applyFill="1" applyBorder="1" applyAlignment="1">
      <alignment horizontal="left" vertical="center"/>
    </xf>
    <xf numFmtId="0" fontId="12" fillId="2" borderId="0" xfId="0" applyFont="1" applyFill="1" applyBorder="1" applyAlignment="1">
      <alignment vertical="center" wrapText="1"/>
    </xf>
    <xf numFmtId="0" fontId="15" fillId="2" borderId="0" xfId="0" applyFont="1" applyFill="1" applyBorder="1" applyAlignment="1">
      <alignment horizontal="right" vertical="center"/>
    </xf>
    <xf numFmtId="0" fontId="12" fillId="2" borderId="0" xfId="0" applyFont="1" applyFill="1" applyBorder="1" applyAlignment="1">
      <alignment horizontal="left" vertical="center"/>
    </xf>
    <xf numFmtId="164" fontId="15" fillId="2" borderId="0" xfId="2" applyNumberFormat="1" applyFont="1" applyFill="1" applyBorder="1" applyAlignment="1">
      <alignment horizontal="left" vertical="center"/>
    </xf>
    <xf numFmtId="0" fontId="12" fillId="2" borderId="0" xfId="0" applyFont="1" applyFill="1" applyAlignment="1">
      <alignment horizontal="left" vertical="center"/>
    </xf>
    <xf numFmtId="164" fontId="12" fillId="2" borderId="0" xfId="0" applyNumberFormat="1" applyFont="1" applyFill="1" applyAlignment="1">
      <alignment horizontal="left" vertical="center"/>
    </xf>
    <xf numFmtId="0" fontId="15" fillId="2" borderId="0" xfId="0" applyFont="1" applyFill="1" applyBorder="1" applyAlignment="1">
      <alignment horizontal="left" vertical="center" wrapText="1"/>
    </xf>
    <xf numFmtId="0" fontId="15" fillId="2" borderId="0" xfId="0" quotePrefix="1" applyNumberFormat="1" applyFont="1" applyFill="1" applyBorder="1" applyAlignment="1">
      <alignment horizontal="left" vertical="center"/>
    </xf>
    <xf numFmtId="15" fontId="15" fillId="2" borderId="0" xfId="0" applyNumberFormat="1" applyFont="1" applyFill="1" applyBorder="1" applyAlignment="1">
      <alignment horizontal="left" vertical="center"/>
    </xf>
    <xf numFmtId="15" fontId="15" fillId="2" borderId="0" xfId="0" quotePrefix="1" applyNumberFormat="1" applyFont="1" applyFill="1" applyBorder="1" applyAlignment="1">
      <alignment horizontal="left" vertical="center"/>
    </xf>
    <xf numFmtId="0" fontId="22" fillId="2" borderId="0" xfId="0" applyFont="1" applyFill="1" applyBorder="1" applyAlignment="1">
      <alignment horizontal="left" vertical="center"/>
    </xf>
    <xf numFmtId="0" fontId="23" fillId="2" borderId="0" xfId="0" applyFont="1" applyFill="1" applyBorder="1" applyAlignment="1">
      <alignment horizontal="left" vertical="center"/>
    </xf>
    <xf numFmtId="0" fontId="17" fillId="2" borderId="0" xfId="0" applyFont="1" applyFill="1"/>
    <xf numFmtId="0" fontId="0" fillId="0" borderId="0" xfId="0" applyFont="1" applyAlignment="1">
      <alignment horizontal="right" vertical="center"/>
    </xf>
    <xf numFmtId="0" fontId="0" fillId="0" borderId="0" xfId="0" applyFont="1" applyAlignment="1">
      <alignment horizontal="center" vertical="center"/>
    </xf>
    <xf numFmtId="0" fontId="24" fillId="3" borderId="2" xfId="0" applyFont="1" applyFill="1" applyBorder="1" applyAlignment="1">
      <alignment horizontal="center" vertical="center" wrapText="1"/>
    </xf>
    <xf numFmtId="0" fontId="24" fillId="3" borderId="3" xfId="0" applyFont="1" applyFill="1" applyBorder="1" applyAlignment="1">
      <alignment horizontal="center" vertical="center" wrapText="1"/>
    </xf>
    <xf numFmtId="0" fontId="24" fillId="3" borderId="4" xfId="0" applyFont="1" applyFill="1" applyBorder="1" applyAlignment="1">
      <alignment horizontal="center" vertical="center" wrapText="1"/>
    </xf>
    <xf numFmtId="0" fontId="24" fillId="3" borderId="5"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27" fillId="0" borderId="8" xfId="0" applyFont="1" applyBorder="1" applyAlignment="1">
      <alignment horizontal="center" vertical="center"/>
    </xf>
    <xf numFmtId="0" fontId="27" fillId="0" borderId="9" xfId="0" applyFont="1" applyBorder="1" applyAlignment="1">
      <alignment horizontal="center" vertical="center"/>
    </xf>
    <xf numFmtId="9" fontId="27" fillId="0" borderId="10" xfId="5" applyFont="1" applyBorder="1" applyAlignment="1">
      <alignment horizontal="center" vertical="center"/>
    </xf>
    <xf numFmtId="0" fontId="26" fillId="0" borderId="12" xfId="0" applyFont="1" applyFill="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0" xfId="0" applyFont="1" applyAlignment="1">
      <alignment horizontal="center" vertical="center"/>
    </xf>
    <xf numFmtId="0" fontId="25" fillId="0" borderId="0" xfId="0" applyFont="1" applyAlignment="1">
      <alignment horizontal="right" vertical="center"/>
    </xf>
    <xf numFmtId="9" fontId="27" fillId="0" borderId="15" xfId="5" applyFont="1" applyBorder="1" applyAlignment="1">
      <alignment horizontal="center" vertical="center"/>
    </xf>
    <xf numFmtId="0" fontId="28" fillId="2" borderId="0" xfId="0" applyFont="1" applyFill="1" applyBorder="1"/>
    <xf numFmtId="0" fontId="17" fillId="5" borderId="16" xfId="0" applyFont="1" applyFill="1" applyBorder="1" applyAlignment="1">
      <alignment horizontal="center" vertical="center" wrapText="1"/>
    </xf>
    <xf numFmtId="0" fontId="17" fillId="5" borderId="17" xfId="0" applyFont="1" applyFill="1" applyBorder="1" applyAlignment="1">
      <alignment horizontal="center" vertical="center" wrapText="1"/>
    </xf>
    <xf numFmtId="9" fontId="17" fillId="5" borderId="18" xfId="5" applyFont="1" applyFill="1" applyBorder="1" applyAlignment="1">
      <alignment horizontal="center" vertical="center" wrapText="1"/>
    </xf>
    <xf numFmtId="9" fontId="17" fillId="5" borderId="19" xfId="5" applyFont="1" applyFill="1" applyBorder="1" applyAlignment="1">
      <alignment horizontal="center" vertical="center" wrapText="1"/>
    </xf>
    <xf numFmtId="9" fontId="17" fillId="5" borderId="17" xfId="5" applyFont="1" applyFill="1" applyBorder="1" applyAlignment="1">
      <alignment horizontal="center" vertical="center" wrapText="1"/>
    </xf>
    <xf numFmtId="9" fontId="17" fillId="5" borderId="12" xfId="5" applyFont="1" applyFill="1" applyBorder="1" applyAlignment="1">
      <alignment horizontal="center" vertical="center" wrapText="1"/>
    </xf>
    <xf numFmtId="9" fontId="17" fillId="5" borderId="14" xfId="5" applyFont="1" applyFill="1" applyBorder="1" applyAlignment="1">
      <alignment horizontal="center" vertical="center" wrapText="1"/>
    </xf>
    <xf numFmtId="0" fontId="19" fillId="0" borderId="20" xfId="0" applyFont="1" applyBorder="1" applyAlignment="1">
      <alignment horizontal="center" vertical="center"/>
    </xf>
    <xf numFmtId="2" fontId="11" fillId="0" borderId="21" xfId="3" applyNumberFormat="1" applyBorder="1" applyAlignment="1">
      <alignment horizontal="center" vertical="center"/>
    </xf>
    <xf numFmtId="2" fontId="11" fillId="0" borderId="22" xfId="3" applyNumberFormat="1" applyBorder="1" applyAlignment="1">
      <alignment horizontal="center" vertical="center"/>
    </xf>
    <xf numFmtId="2" fontId="11" fillId="0" borderId="23" xfId="3" applyNumberFormat="1" applyBorder="1" applyAlignment="1">
      <alignment horizontal="center" vertical="center"/>
    </xf>
    <xf numFmtId="9" fontId="29" fillId="2" borderId="0" xfId="0" applyNumberFormat="1" applyFont="1" applyFill="1" applyBorder="1"/>
    <xf numFmtId="164" fontId="11" fillId="0" borderId="20" xfId="1" applyNumberFormat="1" applyBorder="1" applyAlignment="1">
      <alignment horizontal="center" vertical="center"/>
    </xf>
    <xf numFmtId="9" fontId="17" fillId="5" borderId="7" xfId="5" applyFont="1" applyFill="1" applyBorder="1" applyAlignment="1">
      <alignment horizontal="left" vertical="center" wrapText="1"/>
    </xf>
    <xf numFmtId="2" fontId="11" fillId="0" borderId="9" xfId="3" applyNumberFormat="1" applyBorder="1" applyAlignment="1">
      <alignment horizontal="center" vertical="center"/>
    </xf>
    <xf numFmtId="43" fontId="28" fillId="2" borderId="0" xfId="1" applyFont="1" applyFill="1" applyBorder="1"/>
    <xf numFmtId="0" fontId="19" fillId="0" borderId="7" xfId="0" applyFont="1" applyBorder="1" applyAlignment="1">
      <alignment horizontal="center" vertical="center"/>
    </xf>
    <xf numFmtId="2" fontId="11" fillId="0" borderId="24" xfId="3" applyNumberFormat="1" applyBorder="1" applyAlignment="1">
      <alignment horizontal="center" vertical="center"/>
    </xf>
    <xf numFmtId="2" fontId="11" fillId="0" borderId="8" xfId="3" applyNumberFormat="1" applyBorder="1" applyAlignment="1">
      <alignment horizontal="center" vertical="center"/>
    </xf>
    <xf numFmtId="164" fontId="11" fillId="0" borderId="7" xfId="1" applyNumberFormat="1" applyBorder="1" applyAlignment="1">
      <alignment horizontal="center" vertical="center"/>
    </xf>
    <xf numFmtId="164" fontId="11" fillId="0" borderId="12" xfId="1" applyNumberFormat="1" applyBorder="1" applyAlignment="1">
      <alignment horizontal="center" vertical="center"/>
    </xf>
    <xf numFmtId="2" fontId="11" fillId="0" borderId="14" xfId="3" applyNumberFormat="1" applyBorder="1" applyAlignment="1">
      <alignment horizontal="center" vertical="center"/>
    </xf>
    <xf numFmtId="9" fontId="17" fillId="5" borderId="16" xfId="5" applyFont="1" applyFill="1" applyBorder="1" applyAlignment="1">
      <alignment horizontal="center" vertical="center" wrapText="1"/>
    </xf>
    <xf numFmtId="9" fontId="17" fillId="5" borderId="12" xfId="5" applyFont="1" applyFill="1" applyBorder="1" applyAlignment="1">
      <alignment horizontal="left" vertical="center" wrapText="1"/>
    </xf>
    <xf numFmtId="9" fontId="17" fillId="5" borderId="16" xfId="5" applyFont="1" applyFill="1" applyBorder="1" applyAlignment="1">
      <alignment horizontal="left" vertical="center" wrapText="1"/>
    </xf>
    <xf numFmtId="9" fontId="17" fillId="5" borderId="20" xfId="5" applyFont="1" applyFill="1" applyBorder="1" applyAlignment="1">
      <alignment horizontal="left" vertical="center" wrapText="1"/>
    </xf>
    <xf numFmtId="0" fontId="19" fillId="0" borderId="12" xfId="0" applyFont="1" applyBorder="1" applyAlignment="1">
      <alignment horizontal="center" vertical="center"/>
    </xf>
    <xf numFmtId="2" fontId="11" fillId="0" borderId="25" xfId="3" applyNumberFormat="1" applyBorder="1" applyAlignment="1">
      <alignment horizontal="center" vertical="center"/>
    </xf>
    <xf numFmtId="2" fontId="11" fillId="0" borderId="13" xfId="3" applyNumberFormat="1" applyBorder="1" applyAlignment="1">
      <alignment horizontal="center" vertical="center"/>
    </xf>
    <xf numFmtId="0" fontId="17" fillId="5" borderId="2"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0" fillId="2" borderId="0" xfId="0" applyFill="1" applyAlignment="1">
      <alignment horizontal="center" vertical="center"/>
    </xf>
    <xf numFmtId="0" fontId="17" fillId="5" borderId="7" xfId="0" applyFont="1" applyFill="1" applyBorder="1" applyAlignment="1">
      <alignment horizontal="center" vertical="center" wrapText="1"/>
    </xf>
    <xf numFmtId="0" fontId="17" fillId="5" borderId="8" xfId="0" applyFont="1" applyFill="1" applyBorder="1" applyAlignment="1">
      <alignment horizontal="center" vertical="center" wrapText="1"/>
    </xf>
    <xf numFmtId="0" fontId="17" fillId="5" borderId="9" xfId="0" applyFont="1" applyFill="1" applyBorder="1" applyAlignment="1">
      <alignment horizontal="center" vertical="center" wrapText="1"/>
    </xf>
    <xf numFmtId="43" fontId="11" fillId="2" borderId="0" xfId="1" applyFont="1" applyFill="1" applyAlignment="1">
      <alignment horizontal="center" vertical="center"/>
    </xf>
    <xf numFmtId="9" fontId="17" fillId="5" borderId="8" xfId="5" applyFont="1" applyFill="1" applyBorder="1" applyAlignment="1">
      <alignment horizontal="center" vertical="center" wrapText="1"/>
    </xf>
    <xf numFmtId="9" fontId="17" fillId="5" borderId="9" xfId="5" applyFont="1" applyFill="1" applyBorder="1" applyAlignment="1">
      <alignment horizontal="center" vertical="center" wrapText="1"/>
    </xf>
    <xf numFmtId="10" fontId="17" fillId="5" borderId="9" xfId="5" applyNumberFormat="1" applyFont="1" applyFill="1" applyBorder="1" applyAlignment="1">
      <alignment horizontal="center" vertical="center" wrapText="1"/>
    </xf>
    <xf numFmtId="0" fontId="17" fillId="5" borderId="12" xfId="0" applyFont="1" applyFill="1" applyBorder="1" applyAlignment="1">
      <alignment horizontal="center" vertical="center" wrapText="1"/>
    </xf>
    <xf numFmtId="2" fontId="0" fillId="2" borderId="0" xfId="0" applyNumberFormat="1" applyFill="1" applyAlignment="1">
      <alignment horizontal="center" vertical="center"/>
    </xf>
    <xf numFmtId="165" fontId="11" fillId="2" borderId="0" xfId="5" applyNumberFormat="1" applyFont="1" applyFill="1"/>
    <xf numFmtId="43" fontId="0" fillId="2" borderId="0" xfId="0" applyNumberFormat="1" applyFill="1"/>
    <xf numFmtId="0" fontId="17" fillId="5" borderId="19" xfId="0" applyFont="1" applyFill="1" applyBorder="1" applyAlignment="1">
      <alignment horizontal="center" vertical="center" wrapText="1"/>
    </xf>
    <xf numFmtId="0" fontId="15" fillId="0" borderId="20" xfId="0" applyFont="1" applyFill="1" applyBorder="1" applyAlignment="1">
      <alignment horizontal="center" vertical="center"/>
    </xf>
    <xf numFmtId="0" fontId="15" fillId="0" borderId="23" xfId="0" applyNumberFormat="1" applyFont="1" applyFill="1" applyBorder="1" applyAlignment="1">
      <alignment horizontal="center" vertical="center"/>
    </xf>
    <xf numFmtId="0" fontId="15" fillId="5" borderId="7" xfId="0" applyFont="1" applyFill="1" applyBorder="1" applyAlignment="1">
      <alignment horizontal="center" vertical="center"/>
    </xf>
    <xf numFmtId="0" fontId="15" fillId="5" borderId="8" xfId="0" applyNumberFormat="1" applyFont="1" applyFill="1" applyBorder="1" applyAlignment="1">
      <alignment horizontal="center" vertical="center"/>
    </xf>
    <xf numFmtId="0" fontId="15" fillId="0" borderId="7" xfId="0" applyFont="1" applyFill="1" applyBorder="1" applyAlignment="1">
      <alignment horizontal="center" vertical="center"/>
    </xf>
    <xf numFmtId="0" fontId="15" fillId="0" borderId="8" xfId="0" applyNumberFormat="1" applyFont="1" applyFill="1" applyBorder="1" applyAlignment="1">
      <alignment horizontal="center" vertical="center"/>
    </xf>
    <xf numFmtId="0" fontId="15" fillId="0" borderId="12" xfId="0" applyFont="1" applyFill="1" applyBorder="1" applyAlignment="1">
      <alignment horizontal="center" vertical="center"/>
    </xf>
    <xf numFmtId="0" fontId="15" fillId="0" borderId="13" xfId="0" applyNumberFormat="1" applyFont="1" applyFill="1" applyBorder="1" applyAlignment="1">
      <alignment horizontal="center" vertical="center"/>
    </xf>
    <xf numFmtId="165" fontId="3" fillId="0" borderId="26" xfId="2" applyNumberFormat="1" applyFont="1" applyFill="1" applyBorder="1" applyAlignment="1">
      <alignment horizontal="center" vertical="center"/>
    </xf>
    <xf numFmtId="165" fontId="3" fillId="0" borderId="27" xfId="2"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9" fontId="11" fillId="0" borderId="3" xfId="5" applyFont="1" applyFill="1" applyBorder="1" applyAlignment="1">
      <alignment horizontal="center" vertical="center"/>
    </xf>
    <xf numFmtId="0" fontId="0" fillId="0" borderId="4"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9" fontId="11" fillId="5" borderId="8" xfId="5" applyFont="1" applyFill="1" applyBorder="1" applyAlignment="1">
      <alignment horizontal="center" vertical="center"/>
    </xf>
    <xf numFmtId="0" fontId="0" fillId="5" borderId="9" xfId="0" applyFill="1" applyBorder="1" applyAlignment="1">
      <alignment horizontal="center" vertical="center"/>
    </xf>
    <xf numFmtId="0" fontId="0" fillId="0" borderId="8" xfId="0" applyFill="1" applyBorder="1" applyAlignment="1">
      <alignment horizontal="center" vertical="center"/>
    </xf>
    <xf numFmtId="9" fontId="11" fillId="0" borderId="8" xfId="5" applyFont="1" applyFill="1" applyBorder="1" applyAlignment="1">
      <alignment horizontal="center"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9" fontId="11" fillId="5" borderId="13" xfId="5" applyFont="1" applyFill="1" applyBorder="1" applyAlignment="1">
      <alignment horizontal="center" vertical="center"/>
    </xf>
    <xf numFmtId="0" fontId="0" fillId="5" borderId="14" xfId="0" applyFill="1" applyBorder="1" applyAlignment="1">
      <alignment horizontal="center" vertical="center"/>
    </xf>
    <xf numFmtId="10" fontId="17" fillId="5" borderId="1" xfId="5" applyNumberFormat="1" applyFont="1" applyFill="1" applyBorder="1" applyAlignment="1">
      <alignment horizontal="center" vertical="center" wrapText="1"/>
    </xf>
    <xf numFmtId="0" fontId="17" fillId="5" borderId="28" xfId="0" applyFont="1" applyFill="1" applyBorder="1" applyAlignment="1">
      <alignment vertical="center"/>
    </xf>
    <xf numFmtId="0" fontId="17" fillId="5" borderId="1" xfId="0" applyFont="1" applyFill="1" applyBorder="1" applyAlignment="1">
      <alignment vertical="center"/>
    </xf>
    <xf numFmtId="168" fontId="15" fillId="2" borderId="0" xfId="0" quotePrefix="1" applyNumberFormat="1" applyFont="1" applyFill="1" applyBorder="1" applyAlignment="1">
      <alignment horizontal="right" vertical="center"/>
    </xf>
    <xf numFmtId="0" fontId="12" fillId="2" borderId="0" xfId="0" applyFont="1" applyFill="1" applyBorder="1" applyAlignment="1">
      <alignment horizontal="right" vertical="center"/>
    </xf>
    <xf numFmtId="0" fontId="12" fillId="2" borderId="0" xfId="0" applyFont="1" applyFill="1" applyBorder="1" applyAlignment="1">
      <alignment horizontal="right" vertical="center" wrapText="1"/>
    </xf>
    <xf numFmtId="0" fontId="12" fillId="2" borderId="0" xfId="0" applyFont="1" applyFill="1" applyAlignment="1">
      <alignment horizontal="right" vertical="center"/>
    </xf>
    <xf numFmtId="0" fontId="17" fillId="5" borderId="28" xfId="0" applyFont="1" applyFill="1" applyBorder="1" applyAlignment="1">
      <alignment horizontal="center" vertical="center" wrapText="1"/>
    </xf>
    <xf numFmtId="164" fontId="15" fillId="0" borderId="23" xfId="1" applyNumberFormat="1" applyFont="1" applyFill="1" applyBorder="1" applyAlignment="1">
      <alignment horizontal="center" vertical="center"/>
    </xf>
    <xf numFmtId="164" fontId="15" fillId="5" borderId="8" xfId="1" applyNumberFormat="1" applyFont="1" applyFill="1" applyBorder="1" applyAlignment="1">
      <alignment horizontal="center" vertical="center"/>
    </xf>
    <xf numFmtId="164" fontId="15" fillId="0" borderId="8" xfId="1" applyNumberFormat="1" applyFont="1" applyFill="1" applyBorder="1" applyAlignment="1">
      <alignment horizontal="center" vertical="center"/>
    </xf>
    <xf numFmtId="164" fontId="15" fillId="0" borderId="13" xfId="1" applyNumberFormat="1" applyFont="1" applyFill="1" applyBorder="1" applyAlignment="1">
      <alignment horizontal="center" vertical="center"/>
    </xf>
    <xf numFmtId="1" fontId="0" fillId="0" borderId="4" xfId="0" applyNumberFormat="1" applyFill="1" applyBorder="1" applyAlignment="1">
      <alignment horizontal="center" vertical="center"/>
    </xf>
    <xf numFmtId="1" fontId="0" fillId="5" borderId="9" xfId="0" applyNumberFormat="1" applyFill="1" applyBorder="1" applyAlignment="1">
      <alignment horizontal="center" vertical="center"/>
    </xf>
    <xf numFmtId="1" fontId="0" fillId="0" borderId="9" xfId="0" applyNumberFormat="1" applyFill="1" applyBorder="1" applyAlignment="1">
      <alignment horizontal="center" vertical="center"/>
    </xf>
    <xf numFmtId="1" fontId="0" fillId="5" borderId="14" xfId="0" applyNumberFormat="1" applyFill="1" applyBorder="1" applyAlignment="1">
      <alignment horizontal="center" vertical="center"/>
    </xf>
    <xf numFmtId="1" fontId="17" fillId="5" borderId="9" xfId="0" applyNumberFormat="1" applyFont="1" applyFill="1" applyBorder="1" applyAlignment="1">
      <alignment horizontal="center" vertical="center" wrapText="1"/>
    </xf>
    <xf numFmtId="0" fontId="12" fillId="2" borderId="0" xfId="0" applyNumberFormat="1" applyFont="1" applyFill="1"/>
    <xf numFmtId="164" fontId="15" fillId="0" borderId="0" xfId="1" applyNumberFormat="1" applyFont="1" applyFill="1" applyBorder="1" applyAlignment="1">
      <alignment horizontal="right" vertical="center"/>
    </xf>
    <xf numFmtId="164" fontId="3" fillId="0" borderId="23" xfId="1" applyNumberFormat="1" applyFont="1" applyFill="1" applyBorder="1" applyAlignment="1">
      <alignment horizontal="center" vertical="center"/>
    </xf>
    <xf numFmtId="164" fontId="3" fillId="5" borderId="8" xfId="1" applyNumberFormat="1" applyFont="1" applyFill="1" applyBorder="1" applyAlignment="1">
      <alignment horizontal="center" vertical="center"/>
    </xf>
    <xf numFmtId="164" fontId="3" fillId="0" borderId="8" xfId="1" applyNumberFormat="1" applyFont="1" applyFill="1" applyBorder="1" applyAlignment="1">
      <alignment horizontal="center" vertical="center"/>
    </xf>
    <xf numFmtId="164" fontId="3" fillId="0" borderId="13" xfId="1" applyNumberFormat="1" applyFont="1" applyFill="1" applyBorder="1" applyAlignment="1">
      <alignment horizontal="center" vertical="center"/>
    </xf>
    <xf numFmtId="164" fontId="0" fillId="2" borderId="0" xfId="0" applyNumberFormat="1" applyFill="1"/>
    <xf numFmtId="0" fontId="0" fillId="0" borderId="8" xfId="0" applyBorder="1" applyAlignment="1">
      <alignment horizontal="left" vertical="center"/>
    </xf>
    <xf numFmtId="0" fontId="28" fillId="2" borderId="11" xfId="0" applyFont="1" applyFill="1" applyBorder="1"/>
    <xf numFmtId="9" fontId="17" fillId="5" borderId="35" xfId="5" applyFont="1" applyFill="1" applyBorder="1" applyAlignment="1">
      <alignment horizontal="left" vertical="center" wrapText="1"/>
    </xf>
    <xf numFmtId="0" fontId="28" fillId="9" borderId="1" xfId="0" applyFont="1" applyFill="1" applyBorder="1"/>
    <xf numFmtId="2" fontId="11" fillId="8" borderId="21" xfId="3" applyNumberFormat="1" applyFill="1" applyBorder="1" applyAlignment="1">
      <alignment horizontal="center" vertical="center"/>
    </xf>
    <xf numFmtId="2" fontId="11" fillId="8" borderId="9" xfId="3" applyNumberFormat="1" applyFill="1" applyBorder="1" applyAlignment="1">
      <alignment horizontal="center" vertical="center"/>
    </xf>
    <xf numFmtId="171" fontId="11" fillId="8" borderId="9" xfId="3" applyNumberFormat="1" applyFill="1" applyBorder="1" applyAlignment="1">
      <alignment horizontal="center" vertical="center"/>
    </xf>
    <xf numFmtId="172" fontId="11" fillId="8" borderId="9" xfId="5" applyNumberFormat="1" applyFill="1" applyBorder="1" applyAlignment="1">
      <alignment horizontal="center" vertical="center"/>
    </xf>
    <xf numFmtId="171" fontId="11" fillId="8" borderId="9" xfId="1" applyNumberFormat="1" applyFont="1" applyFill="1" applyBorder="1" applyAlignment="1">
      <alignment horizontal="center" vertical="center"/>
    </xf>
    <xf numFmtId="171" fontId="11" fillId="8" borderId="14" xfId="3" applyNumberFormat="1" applyFill="1" applyBorder="1" applyAlignment="1">
      <alignment horizontal="center" vertical="center"/>
    </xf>
    <xf numFmtId="171" fontId="11" fillId="8" borderId="14" xfId="1" applyNumberFormat="1" applyFont="1" applyFill="1" applyBorder="1" applyAlignment="1">
      <alignment horizontal="center" vertical="center"/>
    </xf>
    <xf numFmtId="2" fontId="11" fillId="8" borderId="17" xfId="3" applyNumberFormat="1" applyFill="1" applyBorder="1" applyAlignment="1">
      <alignment horizontal="center" vertical="center"/>
    </xf>
    <xf numFmtId="2" fontId="11" fillId="7" borderId="21" xfId="3" applyNumberFormat="1" applyFill="1" applyBorder="1" applyAlignment="1">
      <alignment horizontal="center" vertical="center"/>
    </xf>
    <xf numFmtId="2" fontId="11" fillId="7" borderId="9" xfId="3" applyNumberFormat="1" applyFill="1" applyBorder="1" applyAlignment="1">
      <alignment horizontal="center" vertical="center"/>
    </xf>
    <xf numFmtId="171" fontId="11" fillId="7" borderId="9" xfId="3" applyNumberFormat="1" applyFill="1" applyBorder="1" applyAlignment="1">
      <alignment horizontal="center" vertical="center"/>
    </xf>
    <xf numFmtId="172" fontId="11" fillId="7" borderId="9" xfId="5" applyNumberFormat="1" applyFill="1" applyBorder="1" applyAlignment="1">
      <alignment horizontal="center" vertical="center"/>
    </xf>
    <xf numFmtId="171" fontId="11" fillId="7" borderId="9" xfId="1" applyNumberFormat="1" applyFont="1" applyFill="1" applyBorder="1" applyAlignment="1">
      <alignment horizontal="center" vertical="center"/>
    </xf>
    <xf numFmtId="171" fontId="11" fillId="7" borderId="14" xfId="3" applyNumberFormat="1" applyFill="1" applyBorder="1" applyAlignment="1">
      <alignment horizontal="center" vertical="center"/>
    </xf>
    <xf numFmtId="171" fontId="11" fillId="7" borderId="14" xfId="1" applyNumberFormat="1" applyFont="1" applyFill="1" applyBorder="1" applyAlignment="1">
      <alignment horizontal="center" vertical="center"/>
    </xf>
    <xf numFmtId="2" fontId="11" fillId="7" borderId="17" xfId="3" applyNumberFormat="1" applyFill="1" applyBorder="1" applyAlignment="1">
      <alignment horizontal="center" vertical="center"/>
    </xf>
    <xf numFmtId="9" fontId="27" fillId="0" borderId="8" xfId="0" applyNumberFormat="1" applyFont="1" applyBorder="1" applyAlignment="1">
      <alignment horizontal="right" vertical="center"/>
    </xf>
    <xf numFmtId="0" fontId="30" fillId="0" borderId="0" xfId="0" applyFont="1" applyAlignment="1">
      <alignment horizontal="right" vertical="center"/>
    </xf>
    <xf numFmtId="0" fontId="28" fillId="2" borderId="0" xfId="0" applyFont="1" applyFill="1" applyBorder="1" applyAlignment="1">
      <alignment horizontal="right"/>
    </xf>
    <xf numFmtId="170" fontId="28" fillId="2" borderId="0" xfId="1" applyNumberFormat="1" applyFont="1" applyFill="1" applyBorder="1" applyAlignment="1">
      <alignment horizontal="right"/>
    </xf>
    <xf numFmtId="43" fontId="28" fillId="2" borderId="0" xfId="0" applyNumberFormat="1" applyFont="1" applyFill="1" applyBorder="1" applyAlignment="1">
      <alignment horizontal="right"/>
    </xf>
    <xf numFmtId="43" fontId="0" fillId="0" borderId="0" xfId="0" applyNumberFormat="1"/>
    <xf numFmtId="43" fontId="15" fillId="0" borderId="0" xfId="1" applyNumberFormat="1" applyFont="1" applyFill="1" applyBorder="1" applyAlignment="1">
      <alignment horizontal="right" vertical="center"/>
    </xf>
    <xf numFmtId="2" fontId="11" fillId="7" borderId="9" xfId="3" applyNumberFormat="1" applyFill="1" applyBorder="1" applyAlignment="1">
      <alignment horizontal="left" vertical="center"/>
    </xf>
    <xf numFmtId="2" fontId="31" fillId="7" borderId="9" xfId="3" applyNumberFormat="1" applyFont="1" applyFill="1" applyBorder="1" applyAlignment="1">
      <alignment horizontal="center" vertical="center"/>
    </xf>
    <xf numFmtId="2" fontId="32" fillId="7" borderId="9" xfId="3" applyNumberFormat="1" applyFont="1" applyFill="1" applyBorder="1" applyAlignment="1">
      <alignment horizontal="left" vertical="center"/>
    </xf>
    <xf numFmtId="9" fontId="27" fillId="0" borderId="8" xfId="0" applyNumberFormat="1" applyFont="1" applyBorder="1" applyAlignment="1">
      <alignment horizontal="right" vertical="center" wrapText="1"/>
    </xf>
    <xf numFmtId="43" fontId="27" fillId="11" borderId="8" xfId="1" applyNumberFormat="1" applyFont="1" applyFill="1" applyBorder="1" applyAlignment="1">
      <alignment horizontal="right" vertical="center"/>
    </xf>
    <xf numFmtId="170" fontId="27" fillId="11" borderId="8" xfId="1" applyNumberFormat="1" applyFont="1" applyFill="1" applyBorder="1" applyAlignment="1">
      <alignment horizontal="right" vertical="center"/>
    </xf>
    <xf numFmtId="43" fontId="27" fillId="7" borderId="8" xfId="1" applyNumberFormat="1" applyFont="1" applyFill="1" applyBorder="1" applyAlignment="1">
      <alignment horizontal="right" vertical="center"/>
    </xf>
    <xf numFmtId="0" fontId="33" fillId="11" borderId="8" xfId="0" applyFont="1" applyFill="1" applyBorder="1" applyAlignment="1">
      <alignment horizontal="center" vertical="center"/>
    </xf>
    <xf numFmtId="0" fontId="33" fillId="7" borderId="8" xfId="0" applyFont="1" applyFill="1" applyBorder="1" applyAlignment="1">
      <alignment horizontal="center" vertical="center"/>
    </xf>
    <xf numFmtId="170" fontId="27" fillId="7" borderId="8" xfId="1" applyNumberFormat="1" applyFont="1" applyFill="1" applyBorder="1" applyAlignment="1">
      <alignment horizontal="right" vertical="center"/>
    </xf>
    <xf numFmtId="0" fontId="0" fillId="0" borderId="0" xfId="0" applyFont="1" applyAlignment="1">
      <alignment vertical="center"/>
    </xf>
    <xf numFmtId="0" fontId="32" fillId="0" borderId="0" xfId="0" applyFont="1" applyAlignment="1">
      <alignment horizontal="center" vertical="center"/>
    </xf>
    <xf numFmtId="0" fontId="32" fillId="0" borderId="12" xfId="0" applyFont="1" applyBorder="1"/>
    <xf numFmtId="43" fontId="32" fillId="12" borderId="14" xfId="1" applyNumberFormat="1" applyFont="1" applyFill="1" applyBorder="1" applyProtection="1">
      <protection locked="0"/>
    </xf>
    <xf numFmtId="0" fontId="32" fillId="0" borderId="12" xfId="0" applyFont="1" applyFill="1" applyBorder="1"/>
    <xf numFmtId="9" fontId="36" fillId="0" borderId="0" xfId="0" applyNumberFormat="1" applyFont="1" applyBorder="1" applyAlignment="1">
      <alignment horizontal="left" vertical="center"/>
    </xf>
    <xf numFmtId="164" fontId="28" fillId="2" borderId="0" xfId="0" applyNumberFormat="1" applyFont="1" applyFill="1" applyBorder="1"/>
    <xf numFmtId="164" fontId="28" fillId="2" borderId="38" xfId="1" applyNumberFormat="1" applyFont="1" applyFill="1" applyBorder="1"/>
    <xf numFmtId="0" fontId="28" fillId="2" borderId="8" xfId="0" applyFont="1" applyFill="1" applyBorder="1"/>
    <xf numFmtId="2" fontId="28" fillId="2" borderId="8" xfId="0" applyNumberFormat="1" applyFont="1" applyFill="1" applyBorder="1"/>
    <xf numFmtId="164" fontId="28" fillId="2" borderId="8" xfId="0" applyNumberFormat="1" applyFont="1" applyFill="1" applyBorder="1"/>
    <xf numFmtId="164" fontId="25" fillId="0" borderId="9" xfId="1" applyNumberFormat="1" applyFont="1" applyFill="1" applyBorder="1" applyAlignment="1">
      <alignment horizontal="right" vertical="center"/>
    </xf>
    <xf numFmtId="0" fontId="17" fillId="12" borderId="0" xfId="0" applyFont="1" applyFill="1" applyAlignment="1">
      <alignment vertical="center"/>
    </xf>
    <xf numFmtId="0" fontId="32" fillId="12" borderId="14" xfId="0" applyFont="1" applyFill="1" applyBorder="1" applyAlignment="1" applyProtection="1">
      <alignment horizontal="right" vertical="center"/>
      <protection locked="0"/>
    </xf>
    <xf numFmtId="9" fontId="32" fillId="0" borderId="8" xfId="0" applyNumberFormat="1" applyFont="1" applyBorder="1" applyAlignment="1">
      <alignment horizontal="left" vertical="center" wrapText="1"/>
    </xf>
    <xf numFmtId="164" fontId="32" fillId="0" borderId="8" xfId="1" applyNumberFormat="1" applyFont="1" applyBorder="1" applyAlignment="1">
      <alignment horizontal="right" vertical="center"/>
    </xf>
    <xf numFmtId="0" fontId="32" fillId="0" borderId="8" xfId="0" applyFont="1" applyBorder="1" applyAlignment="1">
      <alignment horizontal="left" vertical="center"/>
    </xf>
    <xf numFmtId="0" fontId="25" fillId="0" borderId="9" xfId="0" applyFont="1" applyFill="1" applyBorder="1" applyAlignment="1">
      <alignment horizontal="right" vertical="center"/>
    </xf>
    <xf numFmtId="0" fontId="0" fillId="0" borderId="8" xfId="0" applyBorder="1" applyAlignment="1">
      <alignment vertical="center"/>
    </xf>
    <xf numFmtId="9" fontId="38" fillId="0" borderId="0" xfId="0" applyNumberFormat="1" applyFont="1" applyBorder="1" applyAlignment="1">
      <alignment horizontal="left" vertical="center"/>
    </xf>
    <xf numFmtId="164" fontId="35" fillId="0" borderId="12" xfId="1" applyNumberFormat="1" applyFont="1" applyFill="1" applyBorder="1"/>
    <xf numFmtId="164" fontId="17" fillId="8" borderId="8" xfId="0" applyNumberFormat="1" applyFont="1" applyFill="1" applyBorder="1"/>
    <xf numFmtId="0" fontId="17" fillId="6" borderId="36" xfId="0" applyFont="1" applyFill="1" applyBorder="1" applyAlignment="1">
      <alignment vertical="center" wrapText="1"/>
    </xf>
    <xf numFmtId="0" fontId="17" fillId="6" borderId="37" xfId="0" applyFont="1" applyFill="1" applyBorder="1" applyAlignment="1">
      <alignment vertical="center" wrapText="1"/>
    </xf>
    <xf numFmtId="0" fontId="17" fillId="6" borderId="8" xfId="0" applyFont="1" applyFill="1" applyBorder="1" applyAlignment="1">
      <alignment horizontal="center" vertical="center" wrapText="1"/>
    </xf>
    <xf numFmtId="164" fontId="11" fillId="0" borderId="8" xfId="1" applyNumberFormat="1" applyBorder="1" applyAlignment="1">
      <alignment horizontal="center" vertical="center"/>
    </xf>
    <xf numFmtId="169" fontId="11" fillId="0" borderId="8" xfId="5" applyNumberFormat="1" applyFill="1" applyBorder="1" applyAlignment="1">
      <alignment horizontal="center" vertical="center"/>
    </xf>
    <xf numFmtId="0" fontId="25" fillId="12" borderId="9" xfId="0" applyFont="1" applyFill="1" applyBorder="1" applyAlignment="1" applyProtection="1">
      <alignment horizontal="right" vertical="center"/>
      <protection locked="0"/>
    </xf>
    <xf numFmtId="9" fontId="25" fillId="12" borderId="9" xfId="5" applyFont="1" applyFill="1" applyBorder="1" applyAlignment="1" applyProtection="1">
      <alignment horizontal="right" vertical="center"/>
      <protection locked="0"/>
    </xf>
    <xf numFmtId="2" fontId="25" fillId="12" borderId="14" xfId="0" applyNumberFormat="1" applyFont="1" applyFill="1" applyBorder="1" applyAlignment="1" applyProtection="1">
      <alignment horizontal="right" vertical="center"/>
      <protection locked="0"/>
    </xf>
    <xf numFmtId="0" fontId="17" fillId="0" borderId="7" xfId="0" applyFont="1" applyFill="1" applyBorder="1" applyAlignment="1">
      <alignment horizontal="left" vertical="center"/>
    </xf>
    <xf numFmtId="0" fontId="17" fillId="0" borderId="7" xfId="0" applyFont="1" applyFill="1" applyBorder="1" applyAlignment="1">
      <alignment horizontal="left" vertical="center" wrapText="1"/>
    </xf>
    <xf numFmtId="0" fontId="17" fillId="0" borderId="12" xfId="0" applyFont="1" applyFill="1" applyBorder="1" applyAlignment="1">
      <alignment horizontal="left" vertical="center"/>
    </xf>
    <xf numFmtId="0" fontId="17" fillId="8" borderId="0" xfId="0" applyFont="1" applyFill="1" applyBorder="1" applyAlignment="1" applyProtection="1">
      <alignment horizontal="left" vertical="center"/>
    </xf>
    <xf numFmtId="9" fontId="36" fillId="0" borderId="0" xfId="0" quotePrefix="1" applyNumberFormat="1" applyFont="1" applyBorder="1" applyAlignment="1">
      <alignment horizontal="left" vertical="center"/>
    </xf>
    <xf numFmtId="0" fontId="37" fillId="0" borderId="0" xfId="0" applyFont="1" applyAlignment="1">
      <alignment horizontal="left" vertical="center" wrapText="1"/>
    </xf>
    <xf numFmtId="9" fontId="17" fillId="4" borderId="32" xfId="0" applyNumberFormat="1" applyFont="1" applyFill="1" applyBorder="1" applyAlignment="1">
      <alignment horizontal="center" vertical="center"/>
    </xf>
    <xf numFmtId="9" fontId="17" fillId="4" borderId="33" xfId="0" applyNumberFormat="1" applyFont="1" applyFill="1" applyBorder="1" applyAlignment="1">
      <alignment horizontal="center" vertical="center"/>
    </xf>
    <xf numFmtId="9" fontId="17" fillId="4" borderId="24" xfId="0" applyNumberFormat="1" applyFont="1" applyFill="1" applyBorder="1" applyAlignment="1">
      <alignment horizontal="center" vertical="center"/>
    </xf>
    <xf numFmtId="0" fontId="19" fillId="6" borderId="2" xfId="0" applyFont="1" applyFill="1" applyBorder="1" applyAlignment="1">
      <alignment horizontal="right" vertical="center"/>
    </xf>
    <xf numFmtId="0" fontId="19" fillId="6" borderId="4" xfId="0" applyFont="1" applyFill="1" applyBorder="1" applyAlignment="1">
      <alignment horizontal="right" vertical="center"/>
    </xf>
    <xf numFmtId="0" fontId="35" fillId="13" borderId="2" xfId="0" applyFont="1" applyFill="1" applyBorder="1" applyAlignment="1">
      <alignment horizontal="center"/>
    </xf>
    <xf numFmtId="0" fontId="35" fillId="13" borderId="4" xfId="0" applyFont="1" applyFill="1" applyBorder="1" applyAlignment="1">
      <alignment horizontal="center"/>
    </xf>
    <xf numFmtId="0" fontId="17" fillId="8" borderId="2" xfId="0" applyFont="1" applyFill="1" applyBorder="1" applyAlignment="1">
      <alignment horizontal="center" vertical="center"/>
    </xf>
    <xf numFmtId="0" fontId="17" fillId="8" borderId="4" xfId="0" applyFont="1" applyFill="1" applyBorder="1" applyAlignment="1">
      <alignment horizontal="center" vertical="center"/>
    </xf>
    <xf numFmtId="0" fontId="13" fillId="2" borderId="0" xfId="0" applyNumberFormat="1" applyFont="1" applyFill="1" applyAlignment="1">
      <alignment horizontal="left" vertical="top" wrapText="1"/>
    </xf>
    <xf numFmtId="0" fontId="15" fillId="2" borderId="0" xfId="0" applyFont="1" applyFill="1" applyBorder="1" applyAlignment="1">
      <alignment horizontal="right" wrapText="1"/>
    </xf>
    <xf numFmtId="0" fontId="17" fillId="5" borderId="28" xfId="0" applyFont="1" applyFill="1" applyBorder="1" applyAlignment="1">
      <alignment horizontal="center" vertical="center" wrapText="1"/>
    </xf>
    <xf numFmtId="0" fontId="17" fillId="5" borderId="30" xfId="0" applyFont="1" applyFill="1" applyBorder="1" applyAlignment="1">
      <alignment horizontal="center" vertical="center" wrapText="1"/>
    </xf>
    <xf numFmtId="0" fontId="17" fillId="5" borderId="29" xfId="0" applyFont="1" applyFill="1" applyBorder="1" applyAlignment="1">
      <alignment horizontal="center" vertical="center" wrapText="1"/>
    </xf>
    <xf numFmtId="0" fontId="12" fillId="2" borderId="0" xfId="0" applyFont="1" applyFill="1" applyAlignment="1">
      <alignment horizontal="left" wrapText="1"/>
    </xf>
    <xf numFmtId="0" fontId="13" fillId="2" borderId="0" xfId="0" applyFont="1" applyFill="1" applyAlignment="1">
      <alignment horizontal="left" vertical="center" wrapText="1"/>
    </xf>
    <xf numFmtId="0" fontId="34" fillId="14" borderId="8" xfId="0" applyFont="1" applyFill="1" applyBorder="1" applyAlignment="1">
      <alignment horizontal="center"/>
    </xf>
    <xf numFmtId="9" fontId="17" fillId="5" borderId="28" xfId="5" applyFont="1" applyFill="1" applyBorder="1" applyAlignment="1">
      <alignment horizontal="center" vertical="center" wrapText="1"/>
    </xf>
    <xf numFmtId="9" fontId="17" fillId="5" borderId="30" xfId="5" applyFont="1" applyFill="1" applyBorder="1" applyAlignment="1">
      <alignment horizontal="center" vertical="center" wrapText="1"/>
    </xf>
    <xf numFmtId="9" fontId="17" fillId="5" borderId="29" xfId="5" applyFont="1" applyFill="1" applyBorder="1" applyAlignment="1">
      <alignment horizontal="center" vertical="center" wrapText="1"/>
    </xf>
    <xf numFmtId="0" fontId="30" fillId="10" borderId="11" xfId="0" applyFont="1" applyFill="1" applyBorder="1" applyAlignment="1">
      <alignment horizontal="center" vertical="center"/>
    </xf>
    <xf numFmtId="0" fontId="30" fillId="10" borderId="0" xfId="0" applyFont="1" applyFill="1" applyBorder="1" applyAlignment="1">
      <alignment horizontal="center" vertical="center"/>
    </xf>
    <xf numFmtId="0" fontId="17" fillId="5" borderId="6" xfId="0" applyFont="1" applyFill="1" applyBorder="1" applyAlignment="1">
      <alignment horizontal="center" vertical="center" wrapText="1"/>
    </xf>
    <xf numFmtId="0" fontId="17" fillId="5" borderId="31" xfId="0" applyFont="1" applyFill="1" applyBorder="1" applyAlignment="1">
      <alignment horizontal="center" vertical="center" wrapText="1"/>
    </xf>
    <xf numFmtId="0" fontId="17" fillId="5" borderId="2" xfId="0" applyFont="1" applyFill="1" applyBorder="1" applyAlignment="1">
      <alignment horizontal="center" vertical="center" wrapText="1"/>
    </xf>
    <xf numFmtId="0" fontId="17" fillId="5" borderId="4" xfId="0" applyFont="1" applyFill="1" applyBorder="1" applyAlignment="1">
      <alignment horizontal="center" vertical="center" wrapText="1"/>
    </xf>
    <xf numFmtId="9" fontId="17" fillId="5" borderId="2" xfId="5" applyFont="1" applyFill="1" applyBorder="1" applyAlignment="1">
      <alignment horizontal="center" vertical="center" wrapText="1"/>
    </xf>
    <xf numFmtId="9" fontId="17" fillId="5" borderId="34" xfId="5" applyFont="1" applyFill="1" applyBorder="1" applyAlignment="1">
      <alignment horizontal="center" vertical="center" wrapText="1"/>
    </xf>
    <xf numFmtId="0" fontId="17" fillId="5" borderId="3" xfId="0" applyFont="1" applyFill="1" applyBorder="1" applyAlignment="1">
      <alignment horizontal="center" vertical="center" wrapText="1"/>
    </xf>
    <xf numFmtId="0" fontId="17" fillId="5" borderId="28" xfId="0" applyFont="1" applyFill="1" applyBorder="1" applyAlignment="1">
      <alignment horizontal="center" vertical="center"/>
    </xf>
    <xf numFmtId="0" fontId="17" fillId="5" borderId="29" xfId="0" applyFont="1" applyFill="1" applyBorder="1" applyAlignment="1">
      <alignment horizontal="center" vertical="center"/>
    </xf>
  </cellXfs>
  <cellStyles count="6">
    <cellStyle name="Comma" xfId="1" builtinId="3"/>
    <cellStyle name="Comma 2" xfId="2"/>
    <cellStyle name="Normal" xfId="0" builtinId="0"/>
    <cellStyle name="Normal 2" xfId="3"/>
    <cellStyle name="Normal 3" xfId="4"/>
    <cellStyle name="Percent" xfId="5"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11</xdr:col>
      <xdr:colOff>1076325</xdr:colOff>
      <xdr:row>8</xdr:row>
      <xdr:rowOff>0</xdr:rowOff>
    </xdr:to>
    <xdr:pic>
      <xdr:nvPicPr>
        <xdr:cNvPr id="207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228600"/>
          <a:ext cx="14249400" cy="1295400"/>
        </a:xfrm>
        <a:prstGeom prst="rect">
          <a:avLst/>
        </a:prstGeom>
        <a:noFill/>
        <a:ln w="9525">
          <a:noFill/>
          <a:miter lim="800000"/>
          <a:headEnd/>
          <a:tailEnd/>
        </a:ln>
      </xdr:spPr>
    </xdr:pic>
    <xdr:clientData/>
  </xdr:twoCellAnchor>
  <xdr:twoCellAnchor editAs="oneCell">
    <xdr:from>
      <xdr:col>0</xdr:col>
      <xdr:colOff>0</xdr:colOff>
      <xdr:row>31</xdr:row>
      <xdr:rowOff>19050</xdr:rowOff>
    </xdr:from>
    <xdr:to>
      <xdr:col>11</xdr:col>
      <xdr:colOff>1143000</xdr:colOff>
      <xdr:row>32</xdr:row>
      <xdr:rowOff>123825</xdr:rowOff>
    </xdr:to>
    <xdr:pic>
      <xdr:nvPicPr>
        <xdr:cNvPr id="207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6600825"/>
          <a:ext cx="14316075" cy="285750"/>
        </a:xfrm>
        <a:prstGeom prst="rect">
          <a:avLst/>
        </a:prstGeom>
        <a:noFill/>
        <a:ln w="9525">
          <a:noFill/>
          <a:miter lim="800000"/>
          <a:headEnd/>
          <a:tailEnd/>
        </a:ln>
      </xdr:spPr>
    </xdr:pic>
    <xdr:clientData/>
  </xdr:twoCellAnchor>
  <xdr:twoCellAnchor editAs="oneCell">
    <xdr:from>
      <xdr:col>0</xdr:col>
      <xdr:colOff>19050</xdr:colOff>
      <xdr:row>70</xdr:row>
      <xdr:rowOff>285750</xdr:rowOff>
    </xdr:from>
    <xdr:to>
      <xdr:col>11</xdr:col>
      <xdr:colOff>1095375</xdr:colOff>
      <xdr:row>72</xdr:row>
      <xdr:rowOff>47625</xdr:rowOff>
    </xdr:to>
    <xdr:pic>
      <xdr:nvPicPr>
        <xdr:cNvPr id="2078" name="Picture 6"/>
        <xdr:cNvPicPr>
          <a:picLocks noChangeAspect="1" noChangeArrowheads="1"/>
        </xdr:cNvPicPr>
      </xdr:nvPicPr>
      <xdr:blipFill>
        <a:blip xmlns:r="http://schemas.openxmlformats.org/officeDocument/2006/relationships" r:embed="rId3" cstate="print"/>
        <a:srcRect/>
        <a:stretch>
          <a:fillRect/>
        </a:stretch>
      </xdr:blipFill>
      <xdr:spPr bwMode="auto">
        <a:xfrm>
          <a:off x="19050" y="16468725"/>
          <a:ext cx="14249400" cy="3333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R38"/>
  <sheetViews>
    <sheetView showGridLines="0" tabSelected="1" zoomScale="85" zoomScaleNormal="85" workbookViewId="0">
      <selection activeCell="C10" sqref="C10"/>
    </sheetView>
  </sheetViews>
  <sheetFormatPr defaultRowHeight="15"/>
  <cols>
    <col min="1" max="1" width="5.42578125" style="44" customWidth="1"/>
    <col min="2" max="2" width="44.28515625" style="43" bestFit="1" customWidth="1"/>
    <col min="3" max="3" width="16.140625" style="43" bestFit="1" customWidth="1"/>
    <col min="4" max="4" width="8.7109375" style="43" customWidth="1"/>
    <col min="5" max="5" width="52.85546875" style="44" customWidth="1"/>
    <col min="6" max="6" width="19.140625" style="44" customWidth="1"/>
    <col min="7" max="7" width="15.85546875" style="44" customWidth="1"/>
    <col min="8" max="10" width="9.140625" style="44"/>
    <col min="11" max="11" width="26.5703125" style="44" hidden="1" customWidth="1"/>
    <col min="12" max="13" width="9.140625" style="44"/>
    <col min="14" max="15" width="9.140625" style="44" hidden="1" customWidth="1"/>
    <col min="16" max="16" width="14.7109375" style="44" hidden="1" customWidth="1"/>
    <col min="17" max="17" width="17" style="44" hidden="1" customWidth="1"/>
    <col min="18" max="18" width="11.7109375" style="44" hidden="1" customWidth="1"/>
    <col min="19" max="16384" width="9.140625" style="44"/>
  </cols>
  <sheetData>
    <row r="1" spans="2:18">
      <c r="B1" s="203" t="s">
        <v>163</v>
      </c>
    </row>
    <row r="2" spans="2:18">
      <c r="B2" s="224" t="s">
        <v>176</v>
      </c>
    </row>
    <row r="3" spans="2:18" ht="15.75" thickBot="1"/>
    <row r="4" spans="2:18" ht="15.75">
      <c r="B4" s="230" t="s">
        <v>83</v>
      </c>
      <c r="C4" s="231"/>
      <c r="E4" s="232" t="s">
        <v>157</v>
      </c>
      <c r="F4" s="233"/>
      <c r="N4" s="45" t="s">
        <v>84</v>
      </c>
      <c r="O4" s="46" t="s">
        <v>85</v>
      </c>
      <c r="P4" s="46" t="s">
        <v>86</v>
      </c>
      <c r="Q4" s="47" t="s">
        <v>87</v>
      </c>
      <c r="R4" s="48" t="s">
        <v>88</v>
      </c>
    </row>
    <row r="5" spans="2:18" ht="15.75" thickBot="1">
      <c r="B5" s="221" t="s">
        <v>89</v>
      </c>
      <c r="C5" s="202">
        <f>F10</f>
        <v>220000</v>
      </c>
      <c r="E5" s="193" t="str">
        <f>IF(ST_Indicator="No",CONCATENATE(K5,K7,K8),CONCATENATE(K5,K6,K8))</f>
        <v xml:space="preserve">Orig. Installment Premium (Rs.) INCLUDING Service Tax for Year 1: </v>
      </c>
      <c r="F5" s="194">
        <v>25000</v>
      </c>
      <c r="K5" s="207" t="s">
        <v>167</v>
      </c>
      <c r="N5" s="49" t="s">
        <v>90</v>
      </c>
      <c r="O5" s="50" t="s">
        <v>91</v>
      </c>
      <c r="P5" s="50" t="s">
        <v>92</v>
      </c>
      <c r="Q5" s="51" t="s">
        <v>93</v>
      </c>
      <c r="R5" s="52">
        <v>0</v>
      </c>
    </row>
    <row r="6" spans="2:18" ht="15.75" thickBot="1">
      <c r="B6" s="221" t="s">
        <v>174</v>
      </c>
      <c r="C6" s="218">
        <v>35</v>
      </c>
      <c r="E6" s="192"/>
      <c r="F6" s="192"/>
      <c r="K6" s="207" t="s">
        <v>168</v>
      </c>
      <c r="N6" s="53" t="s">
        <v>94</v>
      </c>
      <c r="O6" s="54" t="s">
        <v>95</v>
      </c>
      <c r="P6" s="54" t="s">
        <v>96</v>
      </c>
      <c r="Q6" s="55" t="s">
        <v>97</v>
      </c>
      <c r="R6" s="52">
        <v>0.25</v>
      </c>
    </row>
    <row r="7" spans="2:18">
      <c r="B7" s="221" t="s">
        <v>84</v>
      </c>
      <c r="C7" s="218" t="s">
        <v>90</v>
      </c>
      <c r="E7" s="234" t="s">
        <v>158</v>
      </c>
      <c r="F7" s="235"/>
      <c r="K7" s="207" t="s">
        <v>169</v>
      </c>
      <c r="N7" s="56"/>
      <c r="O7" s="56"/>
      <c r="P7" s="56"/>
      <c r="Q7" s="56"/>
      <c r="R7" s="52">
        <v>0.5</v>
      </c>
    </row>
    <row r="8" spans="2:18" ht="15.75" thickBot="1">
      <c r="B8" s="221" t="s">
        <v>85</v>
      </c>
      <c r="C8" s="218" t="s">
        <v>91</v>
      </c>
      <c r="E8" s="195" t="s">
        <v>159</v>
      </c>
      <c r="F8" s="211">
        <f>'Product Data n Calcs'!AI2</f>
        <v>227842</v>
      </c>
      <c r="G8" s="226" t="str">
        <f>+IF(F10&lt;200000,"The Sum Assured is less than the minimum allowed. Thus input a higher premium.","")</f>
        <v/>
      </c>
      <c r="H8" s="226"/>
      <c r="I8" s="226"/>
      <c r="J8" s="226"/>
      <c r="K8" s="207" t="s">
        <v>170</v>
      </c>
      <c r="N8" s="56"/>
      <c r="O8" s="56"/>
      <c r="P8" s="56"/>
      <c r="Q8" s="56"/>
      <c r="R8" s="52">
        <v>0.75</v>
      </c>
    </row>
    <row r="9" spans="2:18">
      <c r="B9" s="221" t="s">
        <v>98</v>
      </c>
      <c r="C9" s="208" t="s">
        <v>96</v>
      </c>
      <c r="G9" s="226"/>
      <c r="H9" s="226"/>
      <c r="I9" s="226"/>
      <c r="J9" s="226"/>
      <c r="N9" s="56"/>
      <c r="O9" s="56"/>
      <c r="P9" s="56"/>
      <c r="Q9" s="56"/>
      <c r="R9" s="52">
        <v>1</v>
      </c>
    </row>
    <row r="10" spans="2:18" ht="45" customHeight="1" thickBot="1">
      <c r="B10" s="222" t="s">
        <v>164</v>
      </c>
      <c r="C10" s="204" t="s">
        <v>165</v>
      </c>
      <c r="E10" s="209" t="s">
        <v>171</v>
      </c>
      <c r="F10" s="212">
        <f>+ROUNDDOWN(F8,-4)</f>
        <v>220000</v>
      </c>
      <c r="G10" s="226" t="s">
        <v>173</v>
      </c>
      <c r="H10" s="226"/>
      <c r="I10" s="226"/>
      <c r="J10" s="226"/>
      <c r="N10" s="56"/>
      <c r="O10" s="56"/>
      <c r="P10" s="56"/>
      <c r="Q10" s="56"/>
      <c r="R10" s="52">
        <v>1.25</v>
      </c>
    </row>
    <row r="11" spans="2:18" ht="15.75" thickBot="1">
      <c r="C11" s="57"/>
      <c r="E11" s="154" t="s">
        <v>172</v>
      </c>
      <c r="F11" s="212">
        <f>+C16</f>
        <v>24139.5</v>
      </c>
      <c r="G11" s="226"/>
      <c r="H11" s="226"/>
      <c r="I11" s="226"/>
      <c r="J11" s="226"/>
      <c r="N11" s="56"/>
      <c r="O11" s="56"/>
      <c r="P11" s="56"/>
      <c r="Q11" s="56"/>
      <c r="R11" s="52">
        <v>1.5</v>
      </c>
    </row>
    <row r="12" spans="2:18">
      <c r="B12" s="213" t="s">
        <v>99</v>
      </c>
      <c r="C12" s="214"/>
      <c r="F12" s="191"/>
      <c r="G12" s="226"/>
      <c r="H12" s="226"/>
      <c r="I12" s="226"/>
      <c r="J12" s="226"/>
      <c r="N12" s="56"/>
      <c r="O12" s="56"/>
      <c r="P12" s="56"/>
      <c r="Q12" s="56"/>
      <c r="R12" s="52">
        <v>1.75</v>
      </c>
    </row>
    <row r="13" spans="2:18">
      <c r="B13" s="221" t="s">
        <v>100</v>
      </c>
      <c r="C13" s="219">
        <v>0</v>
      </c>
      <c r="F13" s="191"/>
      <c r="G13" s="226"/>
      <c r="H13" s="226"/>
      <c r="I13" s="226"/>
      <c r="J13" s="226"/>
      <c r="N13" s="56"/>
      <c r="O13" s="56"/>
      <c r="P13" s="56"/>
      <c r="Q13" s="56"/>
      <c r="R13" s="52">
        <v>2</v>
      </c>
    </row>
    <row r="14" spans="2:18" ht="15.75" thickBot="1">
      <c r="B14" s="223" t="s">
        <v>101</v>
      </c>
      <c r="C14" s="220">
        <v>0</v>
      </c>
      <c r="E14" s="210" t="s">
        <v>160</v>
      </c>
      <c r="N14" s="56"/>
      <c r="O14" s="56"/>
      <c r="P14" s="56"/>
      <c r="Q14" s="56"/>
      <c r="R14" s="52">
        <v>2.25</v>
      </c>
    </row>
    <row r="15" spans="2:18" ht="15.75">
      <c r="B15"/>
      <c r="C15"/>
      <c r="E15" s="196" t="s">
        <v>161</v>
      </c>
      <c r="N15" s="56"/>
      <c r="O15" s="56"/>
      <c r="P15" s="56"/>
      <c r="Q15" s="56"/>
      <c r="R15" s="52">
        <v>2.5</v>
      </c>
    </row>
    <row r="16" spans="2:18" ht="15.75">
      <c r="B16" s="205" t="s">
        <v>166</v>
      </c>
      <c r="C16" s="206">
        <f>IF(ST_Indicator="No",'Product Data n Calcs'!W18,'Product Data n Calcs'!W20)</f>
        <v>24139.5</v>
      </c>
      <c r="E16" s="225" t="s">
        <v>175</v>
      </c>
      <c r="N16" s="56"/>
      <c r="O16" s="56"/>
      <c r="P16" s="56"/>
      <c r="Q16" s="56"/>
      <c r="R16" s="52">
        <v>2.75</v>
      </c>
    </row>
    <row r="17" spans="1:18" ht="16.5" customHeight="1">
      <c r="N17" s="56"/>
      <c r="O17" s="56"/>
      <c r="P17" s="56"/>
      <c r="Q17" s="56"/>
      <c r="R17" s="52">
        <v>3</v>
      </c>
    </row>
    <row r="18" spans="1:18">
      <c r="B18" s="215" t="s">
        <v>156</v>
      </c>
      <c r="C18" s="215" t="s">
        <v>114</v>
      </c>
      <c r="N18" s="56"/>
      <c r="O18" s="56"/>
      <c r="P18" s="56"/>
      <c r="Q18" s="56"/>
      <c r="R18" s="52">
        <v>3.25</v>
      </c>
    </row>
    <row r="19" spans="1:18" ht="16.5" customHeight="1" thickBot="1">
      <c r="B19" s="216" t="s">
        <v>117</v>
      </c>
      <c r="C19" s="217">
        <v>4.4999999999999998E-2</v>
      </c>
      <c r="N19" s="56"/>
      <c r="O19" s="56"/>
      <c r="P19" s="56"/>
      <c r="Q19" s="56"/>
      <c r="R19" s="58">
        <v>3.5</v>
      </c>
    </row>
    <row r="20" spans="1:18" ht="16.5" customHeight="1">
      <c r="B20" s="216" t="s">
        <v>118</v>
      </c>
      <c r="C20" s="217">
        <v>2.2499999999999999E-2</v>
      </c>
      <c r="N20" s="56"/>
      <c r="O20" s="56"/>
      <c r="P20" s="56"/>
      <c r="Q20" s="56"/>
      <c r="R20" s="52"/>
    </row>
    <row r="21" spans="1:18" ht="16.5" customHeight="1">
      <c r="N21" s="56"/>
      <c r="O21" s="56"/>
      <c r="P21" s="56"/>
      <c r="Q21" s="56"/>
      <c r="R21" s="52"/>
    </row>
    <row r="22" spans="1:18">
      <c r="A22" s="175"/>
      <c r="B22" s="175"/>
      <c r="C22" s="175"/>
      <c r="D22" s="175"/>
    </row>
    <row r="23" spans="1:18" hidden="1">
      <c r="A23" s="175"/>
      <c r="B23" s="227" t="str">
        <f>'Product Data n Calcs'!$V$17</f>
        <v>First Year Modal Prem Calcs</v>
      </c>
      <c r="C23" s="228"/>
      <c r="D23" s="229"/>
    </row>
    <row r="24" spans="1:18" hidden="1">
      <c r="A24" s="175"/>
      <c r="B24" s="154"/>
      <c r="C24" s="188" t="s">
        <v>150</v>
      </c>
      <c r="D24" s="189" t="s">
        <v>149</v>
      </c>
    </row>
    <row r="25" spans="1:18" hidden="1">
      <c r="A25" s="175"/>
      <c r="B25" s="184" t="str">
        <f>'Product Data n Calcs'!V18</f>
        <v>Modal Premium (Basic Prem + Extra Prem, incl. Disc.)</v>
      </c>
      <c r="C25" s="185">
        <f>'Product Data n Calcs'!W18</f>
        <v>23100</v>
      </c>
      <c r="D25" s="187">
        <f>'Product Data n Calcs'!X18</f>
        <v>23100</v>
      </c>
    </row>
    <row r="26" spans="1:18" hidden="1">
      <c r="A26" s="175"/>
      <c r="B26" s="174" t="str">
        <f>'Product Data n Calcs'!V19</f>
        <v>Service Tax and applicable Cess</v>
      </c>
      <c r="C26" s="186">
        <f>'Product Data n Calcs'!W19</f>
        <v>1039.5</v>
      </c>
      <c r="D26" s="190">
        <f>'Product Data n Calcs'!X19</f>
        <v>1039.5</v>
      </c>
    </row>
    <row r="27" spans="1:18" hidden="1">
      <c r="A27"/>
      <c r="B27" s="174" t="str">
        <f>'Product Data n Calcs'!V20</f>
        <v>Total Modal Premium</v>
      </c>
      <c r="C27" s="186">
        <f>'Product Data n Calcs'!W20</f>
        <v>24139.5</v>
      </c>
      <c r="D27" s="187">
        <f>'Product Data n Calcs'!X20</f>
        <v>24139.5</v>
      </c>
    </row>
    <row r="28" spans="1:18" hidden="1">
      <c r="A28"/>
      <c r="B28" s="174" t="str">
        <f>'Product Data n Calcs'!V21</f>
        <v>Annualized Premium</v>
      </c>
      <c r="C28" s="185">
        <f>'Product Data n Calcs'!W21</f>
        <v>23100</v>
      </c>
      <c r="D28" s="187">
        <f>'Product Data n Calcs'!X21</f>
        <v>23100</v>
      </c>
    </row>
    <row r="29" spans="1:18" hidden="1">
      <c r="A29"/>
      <c r="B29" s="44"/>
      <c r="C29" s="44"/>
      <c r="D29" s="44"/>
    </row>
    <row r="30" spans="1:18" hidden="1">
      <c r="A30"/>
      <c r="B30" s="227" t="s">
        <v>140</v>
      </c>
      <c r="C30" s="228"/>
      <c r="D30" s="229"/>
    </row>
    <row r="31" spans="1:18" hidden="1">
      <c r="A31"/>
      <c r="B31" s="154"/>
      <c r="C31" s="188" t="s">
        <v>150</v>
      </c>
      <c r="D31" s="189" t="s">
        <v>149</v>
      </c>
    </row>
    <row r="32" spans="1:18" hidden="1">
      <c r="A32"/>
      <c r="B32" s="184" t="str">
        <f>'Product Data n Calcs'!V24</f>
        <v>Modal Premium (Basic Prem + Extra Prem, incl. Disc.)</v>
      </c>
      <c r="C32" s="185">
        <f>'Product Data n Calcs'!W24</f>
        <v>23100</v>
      </c>
      <c r="D32" s="187">
        <f>'Product Data n Calcs'!X24</f>
        <v>23100</v>
      </c>
    </row>
    <row r="33" spans="1:4" hidden="1">
      <c r="A33"/>
      <c r="B33" s="174" t="str">
        <f>'Product Data n Calcs'!V25</f>
        <v>Service Tax and applicable Cess</v>
      </c>
      <c r="C33" s="185">
        <f>'Product Data n Calcs'!W25</f>
        <v>519.75</v>
      </c>
      <c r="D33" s="190">
        <f>'Product Data n Calcs'!X25</f>
        <v>519.75</v>
      </c>
    </row>
    <row r="34" spans="1:4" hidden="1">
      <c r="A34"/>
      <c r="B34" s="174" t="str">
        <f>'Product Data n Calcs'!V26</f>
        <v>Total Modal Premium</v>
      </c>
      <c r="C34" s="185">
        <f>'Product Data n Calcs'!W26</f>
        <v>23619.75</v>
      </c>
      <c r="D34" s="187">
        <f>'Product Data n Calcs'!X26</f>
        <v>23619.75</v>
      </c>
    </row>
    <row r="35" spans="1:4" hidden="1">
      <c r="A35"/>
      <c r="B35" s="174" t="str">
        <f>'Product Data n Calcs'!V27</f>
        <v>Annualized Premium</v>
      </c>
      <c r="C35" s="185">
        <f>'Product Data n Calcs'!W27</f>
        <v>23100</v>
      </c>
      <c r="D35" s="187">
        <f>'Product Data n Calcs'!X27</f>
        <v>23100</v>
      </c>
    </row>
    <row r="36" spans="1:4">
      <c r="A36"/>
      <c r="B36"/>
      <c r="C36"/>
    </row>
    <row r="37" spans="1:4">
      <c r="A37"/>
      <c r="B37"/>
      <c r="C37"/>
    </row>
    <row r="38" spans="1:4">
      <c r="A38"/>
      <c r="B38"/>
      <c r="C38"/>
    </row>
  </sheetData>
  <sheetProtection password="C9A7" sheet="1" objects="1" scenarios="1" selectLockedCells="1"/>
  <protectedRanges>
    <protectedRange sqref="C13:C15" name="Range2"/>
    <protectedRange sqref="C5:C9" name="Range1"/>
    <protectedRange sqref="C10" name="Range1_1"/>
  </protectedRanges>
  <mergeCells count="7">
    <mergeCell ref="G10:J13"/>
    <mergeCell ref="B30:D30"/>
    <mergeCell ref="B4:C4"/>
    <mergeCell ref="B23:D23"/>
    <mergeCell ref="E4:F4"/>
    <mergeCell ref="E7:F7"/>
    <mergeCell ref="G8:J9"/>
  </mergeCells>
  <dataValidations xWindow="319" yWindow="281" count="8">
    <dataValidation type="decimal" allowBlank="1" showInputMessage="1" showErrorMessage="1" prompt="Enter Decimal between 0 and 9." sqref="C14">
      <formula1>0</formula1>
      <formula2>9</formula2>
    </dataValidation>
    <dataValidation type="list" showInputMessage="1" showErrorMessage="1" sqref="C13">
      <formula1>$R$5:$R$19</formula1>
    </dataValidation>
    <dataValidation type="list" showInputMessage="1" showErrorMessage="1" sqref="C9">
      <formula1>$P$5:$P$6</formula1>
    </dataValidation>
    <dataValidation type="list" showInputMessage="1" showErrorMessage="1" sqref="C8">
      <formula1>$O$5:$O$6</formula1>
    </dataValidation>
    <dataValidation type="list" allowBlank="1" showInputMessage="1" showErrorMessage="1" sqref="C7">
      <formula1>$N$5:$N$6</formula1>
    </dataValidation>
    <dataValidation type="whole" allowBlank="1" showInputMessage="1" showErrorMessage="1" prompt="Enter age (last birthday) between 18 and 55." sqref="C6">
      <formula1>18</formula1>
      <formula2>55</formula2>
    </dataValidation>
    <dataValidation type="whole" allowBlank="1" showInputMessage="1" showErrorMessage="1" prompt="SA should be between 0 &amp; 100 Cr." sqref="C5">
      <formula1>0</formula1>
      <formula2>1000000000</formula2>
    </dataValidation>
    <dataValidation type="list" showInputMessage="1" showErrorMessage="1" sqref="C10">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E119"/>
  <sheetViews>
    <sheetView topLeftCell="A55" zoomScaleSheetLayoutView="70" workbookViewId="0">
      <selection activeCell="E38" sqref="E38"/>
    </sheetView>
  </sheetViews>
  <sheetFormatPr defaultRowHeight="15"/>
  <cols>
    <col min="1" max="1" width="9.140625" style="1"/>
    <col min="2" max="3" width="17.5703125" customWidth="1"/>
    <col min="4" max="4" width="21.85546875" customWidth="1"/>
    <col min="5" max="5" width="14.28515625" customWidth="1"/>
    <col min="6" max="6" width="19.5703125" customWidth="1"/>
    <col min="7" max="7" width="18.28515625" customWidth="1"/>
    <col min="8" max="8" width="18.7109375" customWidth="1"/>
    <col min="9" max="9" width="18.28515625" customWidth="1"/>
    <col min="10" max="10" width="21" style="1" customWidth="1"/>
    <col min="11" max="11" width="21.28515625" style="1" customWidth="1"/>
    <col min="12" max="12" width="19" style="1" customWidth="1"/>
    <col min="13" max="13" width="17" style="1" customWidth="1"/>
    <col min="14" max="14" width="12.140625" style="1" hidden="1" customWidth="1"/>
    <col min="15" max="31" width="9.140625" style="1"/>
  </cols>
  <sheetData>
    <row r="1" spans="1:10" s="1" customFormat="1">
      <c r="A1" s="42" t="s">
        <v>78</v>
      </c>
      <c r="F1" s="14" t="s">
        <v>77</v>
      </c>
    </row>
    <row r="2" spans="1:10" s="1" customFormat="1"/>
    <row r="3" spans="1:10" s="1" customFormat="1"/>
    <row r="4" spans="1:10" s="1" customFormat="1"/>
    <row r="5" spans="1:10" s="1" customFormat="1"/>
    <row r="6" spans="1:10" s="1" customFormat="1"/>
    <row r="7" spans="1:10" s="1" customFormat="1"/>
    <row r="8" spans="1:10" s="1" customFormat="1"/>
    <row r="9" spans="1:10" s="2" customFormat="1" ht="14.25">
      <c r="A9" s="2" t="s">
        <v>76</v>
      </c>
    </row>
    <row r="10" spans="1:10" s="2" customFormat="1" ht="14.25">
      <c r="A10" s="2" t="s">
        <v>75</v>
      </c>
    </row>
    <row r="11" spans="1:10" s="2" customFormat="1" ht="14.25"/>
    <row r="12" spans="1:10" s="2" customFormat="1" ht="14.25"/>
    <row r="13" spans="1:10" s="2" customFormat="1" ht="18">
      <c r="A13" s="41" t="s">
        <v>74</v>
      </c>
      <c r="B13" s="40"/>
      <c r="C13" s="40"/>
      <c r="D13" s="40"/>
      <c r="E13" s="40"/>
      <c r="F13" s="41" t="s">
        <v>73</v>
      </c>
      <c r="G13" s="40"/>
      <c r="H13" s="40"/>
      <c r="I13" s="40"/>
      <c r="J13" s="40"/>
    </row>
    <row r="14" spans="1:10" s="2" customFormat="1" ht="14.25">
      <c r="A14" s="29" t="s">
        <v>72</v>
      </c>
      <c r="B14" s="29"/>
      <c r="C14" s="29"/>
      <c r="D14" s="39"/>
      <c r="E14" s="38"/>
      <c r="F14" s="29" t="s">
        <v>71</v>
      </c>
      <c r="G14" s="29"/>
      <c r="H14" s="29" t="s">
        <v>70</v>
      </c>
      <c r="I14" s="29"/>
      <c r="J14" s="29" t="s">
        <v>69</v>
      </c>
    </row>
    <row r="15" spans="1:10" s="2" customFormat="1" ht="14.25">
      <c r="A15" s="29"/>
      <c r="B15" s="29"/>
      <c r="C15" s="29"/>
      <c r="D15" s="37"/>
      <c r="E15" s="29"/>
      <c r="F15" s="29"/>
      <c r="G15" s="29"/>
      <c r="H15" s="29"/>
      <c r="I15" s="29"/>
      <c r="J15" s="29"/>
    </row>
    <row r="16" spans="1:10" s="2" customFormat="1" ht="52.5" customHeight="1">
      <c r="A16" s="29" t="s">
        <v>68</v>
      </c>
      <c r="B16" s="29"/>
      <c r="C16" s="29"/>
      <c r="D16" s="31">
        <f>Age</f>
        <v>35</v>
      </c>
      <c r="E16" s="29"/>
      <c r="F16" s="29" t="s">
        <v>67</v>
      </c>
      <c r="G16" s="29"/>
      <c r="H16" s="237" t="s">
        <v>66</v>
      </c>
      <c r="I16" s="237"/>
      <c r="J16" s="29"/>
    </row>
    <row r="17" spans="1:10" s="2" customFormat="1" ht="14.25">
      <c r="A17" s="32" t="s">
        <v>65</v>
      </c>
      <c r="B17" s="32"/>
      <c r="C17" s="32"/>
      <c r="D17" s="134" t="s">
        <v>64</v>
      </c>
      <c r="E17" s="29"/>
      <c r="F17" s="29"/>
      <c r="G17" s="29"/>
      <c r="H17" s="36"/>
      <c r="I17" s="36"/>
      <c r="J17" s="29"/>
    </row>
    <row r="18" spans="1:10" s="2" customFormat="1" ht="14.25">
      <c r="A18" s="29" t="s">
        <v>63</v>
      </c>
      <c r="B18" s="29"/>
      <c r="C18" s="29"/>
      <c r="D18" s="31" t="str">
        <f>IF('Premium Calculation'!C8="M", "Male","Female")</f>
        <v>Male</v>
      </c>
      <c r="E18" s="29"/>
      <c r="F18" s="29"/>
      <c r="G18" s="29"/>
      <c r="H18" s="29"/>
      <c r="I18" s="29"/>
      <c r="J18" s="29"/>
    </row>
    <row r="19" spans="1:10" s="2" customFormat="1" ht="14.25">
      <c r="A19" s="29"/>
      <c r="B19" s="29"/>
      <c r="C19" s="29"/>
      <c r="D19" s="29"/>
      <c r="E19" s="29"/>
      <c r="F19" s="29"/>
      <c r="G19" s="29"/>
      <c r="H19" s="29"/>
      <c r="I19" s="29"/>
      <c r="J19" s="29"/>
    </row>
    <row r="20" spans="1:10" s="2" customFormat="1" ht="14.25">
      <c r="A20" s="29" t="s">
        <v>62</v>
      </c>
      <c r="B20" s="29"/>
      <c r="C20" s="29"/>
      <c r="D20" s="133">
        <f ca="1">TODAY()</f>
        <v>42881</v>
      </c>
      <c r="E20" s="29"/>
      <c r="F20" s="29" t="s">
        <v>61</v>
      </c>
      <c r="G20" s="29"/>
      <c r="H20" s="31">
        <v>25</v>
      </c>
      <c r="I20" s="29" t="s">
        <v>58</v>
      </c>
      <c r="J20" s="29"/>
    </row>
    <row r="21" spans="1:10" s="2" customFormat="1" ht="14.25">
      <c r="A21" s="29"/>
      <c r="B21" s="34"/>
      <c r="C21" s="34"/>
      <c r="D21" s="29"/>
      <c r="E21" s="29"/>
      <c r="F21" s="29"/>
      <c r="G21" s="29"/>
      <c r="H21" s="29"/>
      <c r="I21" s="29"/>
      <c r="J21" s="29"/>
    </row>
    <row r="22" spans="1:10" s="2" customFormat="1" ht="14.25">
      <c r="A22" s="29" t="s">
        <v>60</v>
      </c>
      <c r="B22" s="29"/>
      <c r="C22" s="31" t="s">
        <v>54</v>
      </c>
      <c r="D22" s="33">
        <f>SA</f>
        <v>220000</v>
      </c>
      <c r="E22" s="29"/>
      <c r="F22" s="29" t="s">
        <v>59</v>
      </c>
      <c r="G22" s="29"/>
      <c r="H22" s="31">
        <v>15</v>
      </c>
      <c r="I22" s="29" t="s">
        <v>58</v>
      </c>
      <c r="J22" s="29"/>
    </row>
    <row r="23" spans="1:10" s="2" customFormat="1" ht="14.25">
      <c r="A23" s="29"/>
      <c r="B23" s="29"/>
      <c r="C23" s="29"/>
      <c r="D23" s="33"/>
      <c r="E23" s="29"/>
      <c r="F23" s="29"/>
      <c r="G23" s="29"/>
      <c r="H23" s="29"/>
      <c r="I23" s="29"/>
      <c r="J23" s="29"/>
    </row>
    <row r="24" spans="1:10" s="2" customFormat="1" ht="14.25">
      <c r="A24" s="32" t="s">
        <v>57</v>
      </c>
      <c r="B24" s="32"/>
      <c r="C24" s="32"/>
      <c r="D24" s="35">
        <f>G38</f>
        <v>231000</v>
      </c>
      <c r="E24" s="29"/>
      <c r="F24" s="29" t="s">
        <v>56</v>
      </c>
      <c r="G24" s="29"/>
      <c r="H24" s="136" t="str">
        <f>IF(Prem_Mode="Annual", "Yearly","Monthly")</f>
        <v>Yearly</v>
      </c>
    </row>
    <row r="25" spans="1:10" s="2" customFormat="1" ht="14.25">
      <c r="A25" s="32"/>
      <c r="B25" s="32"/>
      <c r="C25" s="32"/>
      <c r="D25" s="30"/>
      <c r="E25" s="29"/>
      <c r="F25" s="29"/>
      <c r="G25" s="29"/>
      <c r="H25" s="29"/>
    </row>
    <row r="26" spans="1:10" s="2" customFormat="1" ht="21.75" customHeight="1">
      <c r="A26" s="34" t="s">
        <v>55</v>
      </c>
      <c r="B26" s="34"/>
      <c r="C26" s="31" t="s">
        <v>54</v>
      </c>
      <c r="D26" s="35">
        <f>$D$22/100</f>
        <v>2200</v>
      </c>
      <c r="E26" s="29"/>
      <c r="F26" s="29" t="s">
        <v>53</v>
      </c>
      <c r="G26" s="31"/>
      <c r="H26" s="148" t="str">
        <f>CONCATENATE("Rs. ",Basic_Prem_Yr2_Annualized)</f>
        <v>Rs. 23100</v>
      </c>
    </row>
    <row r="27" spans="1:10" s="2" customFormat="1" ht="21.75" customHeight="1">
      <c r="A27" s="34"/>
      <c r="B27" s="34"/>
      <c r="C27" s="34"/>
      <c r="D27" s="34"/>
      <c r="E27" s="29"/>
      <c r="F27" s="29"/>
      <c r="G27" s="29"/>
      <c r="H27" s="33"/>
    </row>
    <row r="28" spans="1:10" s="2" customFormat="1" ht="21" customHeight="1">
      <c r="A28" s="32" t="s">
        <v>52</v>
      </c>
      <c r="B28" s="32"/>
      <c r="C28" s="31"/>
      <c r="D28" s="135" t="str">
        <f>CONCATENATE("Rs. ", J64)</f>
        <v>Rs. 0</v>
      </c>
      <c r="E28" s="29"/>
      <c r="F28" s="29" t="s">
        <v>51</v>
      </c>
      <c r="G28" s="31"/>
      <c r="H28" s="180" t="str">
        <f>CONCATENATE("Rs. ",ROUND(Basic_Premium_2+Stax_Oasis_Yr2,0))</f>
        <v>Rs. 23620</v>
      </c>
      <c r="I28" s="147"/>
    </row>
    <row r="29" spans="1:10" s="2" customFormat="1" ht="21" customHeight="1">
      <c r="A29" s="32"/>
      <c r="B29" s="32"/>
      <c r="D29" s="30"/>
      <c r="E29" s="29"/>
      <c r="F29" s="29"/>
      <c r="G29" s="29"/>
      <c r="H29" s="33"/>
    </row>
    <row r="30" spans="1:10" s="2" customFormat="1" ht="14.25">
      <c r="A30" s="32" t="s">
        <v>50</v>
      </c>
      <c r="B30" s="32"/>
      <c r="C30" s="31"/>
      <c r="D30" s="135" t="str">
        <f>CONCATENATE("Rs. ",K64)</f>
        <v>Rs. 341000</v>
      </c>
      <c r="E30" s="29"/>
      <c r="F30" s="29" t="s">
        <v>49</v>
      </c>
      <c r="G30" s="29"/>
      <c r="H30" s="29" t="s">
        <v>48</v>
      </c>
      <c r="I30" s="29"/>
      <c r="J30" s="29"/>
    </row>
    <row r="31" spans="1:10" s="2" customFormat="1" ht="14.25">
      <c r="A31" s="2" t="s">
        <v>47</v>
      </c>
    </row>
    <row r="32" spans="1:10" s="2" customFormat="1" ht="14.25"/>
    <row r="33" spans="1:16" s="1" customFormat="1"/>
    <row r="34" spans="1:16" s="1" customFormat="1">
      <c r="F34" s="14" t="s">
        <v>46</v>
      </c>
    </row>
    <row r="35" spans="1:16" s="1" customFormat="1" ht="15.75" thickBot="1"/>
    <row r="36" spans="1:16" s="1" customFormat="1" ht="15.75" customHeight="1" thickBot="1">
      <c r="A36" s="28"/>
      <c r="B36" s="2"/>
      <c r="C36" s="2"/>
      <c r="D36" s="2"/>
      <c r="E36" s="179"/>
      <c r="F36"/>
      <c r="G36" s="238" t="s">
        <v>45</v>
      </c>
      <c r="H36" s="239"/>
      <c r="I36" s="240"/>
      <c r="J36" s="238" t="s">
        <v>44</v>
      </c>
      <c r="K36" s="240"/>
    </row>
    <row r="37" spans="1:16" s="1" customFormat="1" ht="60.75" thickBot="1">
      <c r="A37" s="24"/>
      <c r="B37" s="60" t="s">
        <v>43</v>
      </c>
      <c r="C37" s="103" t="s">
        <v>42</v>
      </c>
      <c r="D37" s="103" t="s">
        <v>41</v>
      </c>
      <c r="E37" s="103" t="s">
        <v>40</v>
      </c>
      <c r="F37" s="103" t="s">
        <v>39</v>
      </c>
      <c r="G37" s="103" t="s">
        <v>38</v>
      </c>
      <c r="H37" s="103" t="s">
        <v>37</v>
      </c>
      <c r="I37" s="103" t="s">
        <v>36</v>
      </c>
      <c r="J37" s="103" t="s">
        <v>35</v>
      </c>
      <c r="K37" s="61" t="s">
        <v>80</v>
      </c>
      <c r="L37" s="27"/>
      <c r="M37" s="26"/>
    </row>
    <row r="38" spans="1:16" s="1" customFormat="1">
      <c r="A38" s="24"/>
      <c r="B38" s="104">
        <v>1</v>
      </c>
      <c r="C38" s="105">
        <f>Age</f>
        <v>35</v>
      </c>
      <c r="D38" s="138">
        <f t="shared" ref="D38:D62" si="0">IF(B38&gt;15,0, ( IF(B38=1,Basic_Prem_Yr1_Annualized,Basic_Prem_Yr2_Annualized) ))</f>
        <v>23100</v>
      </c>
      <c r="E38" s="138">
        <f t="shared" ref="E38:E62" si="1">IF(B38=1,Stax_Oasis_Yr1,Stax_Oasis_Yr2)*IF(Prem_Mode="Monthly",12,1)*(D38&lt;&gt;0)</f>
        <v>1039.5</v>
      </c>
      <c r="F38" s="138">
        <f>IF(B38&gt;15,0,D38+E38 )</f>
        <v>24139.5</v>
      </c>
      <c r="G38" s="138">
        <f t="shared" ref="G38:G62" si="2">MAX(Base_Ann_Prem_For_DB_Yr2*10,$D$26*100)</f>
        <v>231000</v>
      </c>
      <c r="H38" s="149">
        <f t="shared" ref="H38:H62" si="3">IF(B38&lt;=10,0,$D$26*12)</f>
        <v>0</v>
      </c>
      <c r="I38" s="149">
        <f>'GSV for SSV Cal'!T6</f>
        <v>0</v>
      </c>
      <c r="J38" s="149">
        <v>0</v>
      </c>
      <c r="K38" s="149">
        <f t="shared" ref="K38:K62" si="4">B38*SA*Rev_Bon</f>
        <v>6600</v>
      </c>
      <c r="L38" s="153"/>
      <c r="M38" s="101"/>
    </row>
    <row r="39" spans="1:16" s="1" customFormat="1">
      <c r="A39" s="24"/>
      <c r="B39" s="106">
        <v>2</v>
      </c>
      <c r="C39" s="107">
        <f>C38+1</f>
        <v>36</v>
      </c>
      <c r="D39" s="139">
        <f t="shared" si="0"/>
        <v>23100</v>
      </c>
      <c r="E39" s="139">
        <f t="shared" si="1"/>
        <v>519.75</v>
      </c>
      <c r="F39" s="139">
        <f t="shared" ref="F39:F62" si="5">IF(B39&gt;15,0,D39+E39 )</f>
        <v>23619.75</v>
      </c>
      <c r="G39" s="150">
        <f t="shared" si="2"/>
        <v>231000</v>
      </c>
      <c r="H39" s="150">
        <f t="shared" si="3"/>
        <v>0</v>
      </c>
      <c r="I39" s="150">
        <f>'GSV for SSV Cal'!T7</f>
        <v>0</v>
      </c>
      <c r="J39" s="150">
        <v>0</v>
      </c>
      <c r="K39" s="150">
        <f t="shared" si="4"/>
        <v>13200</v>
      </c>
      <c r="L39" s="153"/>
      <c r="M39" s="101"/>
    </row>
    <row r="40" spans="1:16" s="1" customFormat="1">
      <c r="A40" s="24"/>
      <c r="B40" s="108">
        <v>3</v>
      </c>
      <c r="C40" s="109">
        <f t="shared" ref="C40:C62" si="6">C39+1</f>
        <v>37</v>
      </c>
      <c r="D40" s="140">
        <f t="shared" si="0"/>
        <v>23100</v>
      </c>
      <c r="E40" s="140">
        <f t="shared" si="1"/>
        <v>519.75</v>
      </c>
      <c r="F40" s="140">
        <f t="shared" si="5"/>
        <v>23619.75</v>
      </c>
      <c r="G40" s="151">
        <f t="shared" si="2"/>
        <v>231000</v>
      </c>
      <c r="H40" s="151">
        <f t="shared" si="3"/>
        <v>0</v>
      </c>
      <c r="I40" s="151">
        <f>'GSV for SSV Cal'!T8</f>
        <v>20790</v>
      </c>
      <c r="J40" s="151">
        <v>0</v>
      </c>
      <c r="K40" s="151">
        <f t="shared" si="4"/>
        <v>19800</v>
      </c>
      <c r="M40" s="101"/>
      <c r="P40" s="20"/>
    </row>
    <row r="41" spans="1:16" s="1" customFormat="1">
      <c r="A41" s="24"/>
      <c r="B41" s="106">
        <v>4</v>
      </c>
      <c r="C41" s="107">
        <f t="shared" si="6"/>
        <v>38</v>
      </c>
      <c r="D41" s="139">
        <f t="shared" si="0"/>
        <v>23100</v>
      </c>
      <c r="E41" s="139">
        <f t="shared" si="1"/>
        <v>519.75</v>
      </c>
      <c r="F41" s="139">
        <f t="shared" si="5"/>
        <v>23619.75</v>
      </c>
      <c r="G41" s="150">
        <f t="shared" si="2"/>
        <v>231000</v>
      </c>
      <c r="H41" s="150">
        <f t="shared" si="3"/>
        <v>0</v>
      </c>
      <c r="I41" s="150">
        <f>'GSV for SSV Cal'!T9</f>
        <v>46200</v>
      </c>
      <c r="J41" s="150">
        <v>0</v>
      </c>
      <c r="K41" s="150">
        <f t="shared" si="4"/>
        <v>26400</v>
      </c>
      <c r="M41" s="101"/>
    </row>
    <row r="42" spans="1:16" s="1" customFormat="1">
      <c r="A42" s="24"/>
      <c r="B42" s="108">
        <v>5</v>
      </c>
      <c r="C42" s="109">
        <f t="shared" si="6"/>
        <v>39</v>
      </c>
      <c r="D42" s="140">
        <f t="shared" si="0"/>
        <v>23100</v>
      </c>
      <c r="E42" s="140">
        <f t="shared" si="1"/>
        <v>519.75</v>
      </c>
      <c r="F42" s="140">
        <f t="shared" si="5"/>
        <v>23619.75</v>
      </c>
      <c r="G42" s="151">
        <f t="shared" si="2"/>
        <v>231000</v>
      </c>
      <c r="H42" s="151">
        <f t="shared" si="3"/>
        <v>0</v>
      </c>
      <c r="I42" s="151">
        <f>'GSV for SSV Cal'!T10</f>
        <v>57750</v>
      </c>
      <c r="J42" s="151">
        <v>0</v>
      </c>
      <c r="K42" s="151">
        <f t="shared" si="4"/>
        <v>33000</v>
      </c>
      <c r="M42" s="101"/>
    </row>
    <row r="43" spans="1:16" s="1" customFormat="1">
      <c r="A43" s="24"/>
      <c r="B43" s="106">
        <v>6</v>
      </c>
      <c r="C43" s="107">
        <f t="shared" si="6"/>
        <v>40</v>
      </c>
      <c r="D43" s="139">
        <f t="shared" si="0"/>
        <v>23100</v>
      </c>
      <c r="E43" s="139">
        <f t="shared" si="1"/>
        <v>519.75</v>
      </c>
      <c r="F43" s="139">
        <f t="shared" si="5"/>
        <v>23619.75</v>
      </c>
      <c r="G43" s="150">
        <f t="shared" si="2"/>
        <v>231000</v>
      </c>
      <c r="H43" s="150">
        <f t="shared" si="3"/>
        <v>0</v>
      </c>
      <c r="I43" s="150">
        <f>'GSV for SSV Cal'!T11</f>
        <v>69300</v>
      </c>
      <c r="J43" s="150">
        <v>0</v>
      </c>
      <c r="K43" s="150">
        <f t="shared" si="4"/>
        <v>39600</v>
      </c>
      <c r="M43" s="101"/>
    </row>
    <row r="44" spans="1:16" s="1" customFormat="1">
      <c r="A44" s="24"/>
      <c r="B44" s="108">
        <v>7</v>
      </c>
      <c r="C44" s="109">
        <f t="shared" si="6"/>
        <v>41</v>
      </c>
      <c r="D44" s="140">
        <f t="shared" si="0"/>
        <v>23100</v>
      </c>
      <c r="E44" s="140">
        <f t="shared" si="1"/>
        <v>519.75</v>
      </c>
      <c r="F44" s="140">
        <f t="shared" si="5"/>
        <v>23619.75</v>
      </c>
      <c r="G44" s="151">
        <f t="shared" si="2"/>
        <v>231000</v>
      </c>
      <c r="H44" s="151">
        <f t="shared" si="3"/>
        <v>0</v>
      </c>
      <c r="I44" s="151">
        <f>'GSV for SSV Cal'!T12</f>
        <v>80850</v>
      </c>
      <c r="J44" s="151">
        <v>0</v>
      </c>
      <c r="K44" s="151">
        <f t="shared" si="4"/>
        <v>46200</v>
      </c>
      <c r="M44" s="101"/>
    </row>
    <row r="45" spans="1:16" s="1" customFormat="1">
      <c r="A45" s="24"/>
      <c r="B45" s="106">
        <v>8</v>
      </c>
      <c r="C45" s="107">
        <f t="shared" si="6"/>
        <v>42</v>
      </c>
      <c r="D45" s="139">
        <f t="shared" si="0"/>
        <v>23100</v>
      </c>
      <c r="E45" s="139">
        <f t="shared" si="1"/>
        <v>519.75</v>
      </c>
      <c r="F45" s="139">
        <f t="shared" si="5"/>
        <v>23619.75</v>
      </c>
      <c r="G45" s="150">
        <f t="shared" si="2"/>
        <v>231000</v>
      </c>
      <c r="H45" s="150">
        <f t="shared" si="3"/>
        <v>0</v>
      </c>
      <c r="I45" s="150">
        <f>'GSV for SSV Cal'!T13</f>
        <v>96096</v>
      </c>
      <c r="J45" s="150">
        <v>0</v>
      </c>
      <c r="K45" s="150">
        <f t="shared" si="4"/>
        <v>52800</v>
      </c>
      <c r="M45" s="101"/>
    </row>
    <row r="46" spans="1:16" s="1" customFormat="1">
      <c r="A46" s="24"/>
      <c r="B46" s="108">
        <v>9</v>
      </c>
      <c r="C46" s="109">
        <f t="shared" si="6"/>
        <v>43</v>
      </c>
      <c r="D46" s="140">
        <f t="shared" si="0"/>
        <v>23100</v>
      </c>
      <c r="E46" s="140">
        <f t="shared" si="1"/>
        <v>519.75</v>
      </c>
      <c r="F46" s="140">
        <f t="shared" si="5"/>
        <v>23619.75</v>
      </c>
      <c r="G46" s="151">
        <f t="shared" si="2"/>
        <v>231000</v>
      </c>
      <c r="H46" s="151">
        <f t="shared" si="3"/>
        <v>0</v>
      </c>
      <c r="I46" s="151">
        <f>'GSV for SSV Cal'!T14</f>
        <v>112266.00000000001</v>
      </c>
      <c r="J46" s="151">
        <v>0</v>
      </c>
      <c r="K46" s="151">
        <f t="shared" si="4"/>
        <v>59400</v>
      </c>
      <c r="M46" s="101"/>
    </row>
    <row r="47" spans="1:16" s="1" customFormat="1">
      <c r="A47" s="24"/>
      <c r="B47" s="106">
        <v>10</v>
      </c>
      <c r="C47" s="107">
        <f t="shared" si="6"/>
        <v>44</v>
      </c>
      <c r="D47" s="139">
        <f t="shared" si="0"/>
        <v>23100</v>
      </c>
      <c r="E47" s="139">
        <f t="shared" si="1"/>
        <v>519.75</v>
      </c>
      <c r="F47" s="139">
        <f t="shared" si="5"/>
        <v>23619.75</v>
      </c>
      <c r="G47" s="150">
        <f t="shared" si="2"/>
        <v>231000</v>
      </c>
      <c r="H47" s="150">
        <f t="shared" si="3"/>
        <v>0</v>
      </c>
      <c r="I47" s="150">
        <f>'GSV for SSV Cal'!T15</f>
        <v>129360.00000000001</v>
      </c>
      <c r="J47" s="150">
        <v>0</v>
      </c>
      <c r="K47" s="150">
        <f t="shared" si="4"/>
        <v>66000</v>
      </c>
      <c r="M47" s="101"/>
    </row>
    <row r="48" spans="1:16" s="1" customFormat="1">
      <c r="A48" s="24"/>
      <c r="B48" s="108">
        <v>11</v>
      </c>
      <c r="C48" s="109">
        <f t="shared" si="6"/>
        <v>45</v>
      </c>
      <c r="D48" s="140">
        <f t="shared" si="0"/>
        <v>23100</v>
      </c>
      <c r="E48" s="140">
        <f t="shared" si="1"/>
        <v>519.75</v>
      </c>
      <c r="F48" s="140">
        <f t="shared" si="5"/>
        <v>23619.75</v>
      </c>
      <c r="G48" s="151">
        <f t="shared" si="2"/>
        <v>231000</v>
      </c>
      <c r="H48" s="151">
        <f t="shared" si="3"/>
        <v>26400</v>
      </c>
      <c r="I48" s="151">
        <f>'GSV for SSV Cal'!T16</f>
        <v>120978</v>
      </c>
      <c r="J48" s="151">
        <v>0</v>
      </c>
      <c r="K48" s="151">
        <f t="shared" si="4"/>
        <v>72600</v>
      </c>
      <c r="M48" s="101"/>
    </row>
    <row r="49" spans="1:16" s="1" customFormat="1">
      <c r="A49" s="24"/>
      <c r="B49" s="106">
        <v>12</v>
      </c>
      <c r="C49" s="107">
        <f t="shared" si="6"/>
        <v>46</v>
      </c>
      <c r="D49" s="139">
        <f t="shared" si="0"/>
        <v>23100</v>
      </c>
      <c r="E49" s="139">
        <f t="shared" si="1"/>
        <v>519.75</v>
      </c>
      <c r="F49" s="139">
        <f t="shared" si="5"/>
        <v>23619.75</v>
      </c>
      <c r="G49" s="150">
        <f t="shared" si="2"/>
        <v>231000</v>
      </c>
      <c r="H49" s="150">
        <f t="shared" si="3"/>
        <v>26400</v>
      </c>
      <c r="I49" s="150">
        <f>'GSV for SSV Cal'!T17</f>
        <v>113520</v>
      </c>
      <c r="J49" s="150">
        <v>0</v>
      </c>
      <c r="K49" s="150">
        <f t="shared" si="4"/>
        <v>79200</v>
      </c>
      <c r="M49" s="101"/>
    </row>
    <row r="50" spans="1:16" s="1" customFormat="1">
      <c r="A50" s="24"/>
      <c r="B50" s="108">
        <v>13</v>
      </c>
      <c r="C50" s="109">
        <f t="shared" si="6"/>
        <v>47</v>
      </c>
      <c r="D50" s="140">
        <f t="shared" si="0"/>
        <v>23100</v>
      </c>
      <c r="E50" s="140">
        <f t="shared" si="1"/>
        <v>519.75</v>
      </c>
      <c r="F50" s="140">
        <f t="shared" si="5"/>
        <v>23619.75</v>
      </c>
      <c r="G50" s="151">
        <f t="shared" si="2"/>
        <v>231000</v>
      </c>
      <c r="H50" s="151">
        <f t="shared" si="3"/>
        <v>26400</v>
      </c>
      <c r="I50" s="151">
        <f>'GSV for SSV Cal'!T18</f>
        <v>106986</v>
      </c>
      <c r="J50" s="151">
        <v>0</v>
      </c>
      <c r="K50" s="151">
        <f t="shared" si="4"/>
        <v>85800</v>
      </c>
      <c r="M50" s="101"/>
    </row>
    <row r="51" spans="1:16" s="1" customFormat="1">
      <c r="A51" s="24"/>
      <c r="B51" s="106">
        <v>14</v>
      </c>
      <c r="C51" s="107">
        <f t="shared" si="6"/>
        <v>48</v>
      </c>
      <c r="D51" s="139">
        <f t="shared" si="0"/>
        <v>23100</v>
      </c>
      <c r="E51" s="139">
        <f t="shared" si="1"/>
        <v>519.75</v>
      </c>
      <c r="F51" s="139">
        <f t="shared" si="5"/>
        <v>23619.75</v>
      </c>
      <c r="G51" s="150">
        <f t="shared" si="2"/>
        <v>231000</v>
      </c>
      <c r="H51" s="150">
        <f t="shared" si="3"/>
        <v>26400</v>
      </c>
      <c r="I51" s="150">
        <f>'GSV for SSV Cal'!T19</f>
        <v>101376</v>
      </c>
      <c r="J51" s="150">
        <v>0</v>
      </c>
      <c r="K51" s="150">
        <f t="shared" si="4"/>
        <v>92400</v>
      </c>
      <c r="M51" s="101"/>
    </row>
    <row r="52" spans="1:16" s="1" customFormat="1">
      <c r="A52" s="24"/>
      <c r="B52" s="108">
        <v>15</v>
      </c>
      <c r="C52" s="109">
        <f t="shared" si="6"/>
        <v>49</v>
      </c>
      <c r="D52" s="140">
        <f t="shared" si="0"/>
        <v>23100</v>
      </c>
      <c r="E52" s="140">
        <f t="shared" si="1"/>
        <v>519.75</v>
      </c>
      <c r="F52" s="140">
        <f t="shared" si="5"/>
        <v>23619.75</v>
      </c>
      <c r="G52" s="151">
        <f t="shared" si="2"/>
        <v>231000</v>
      </c>
      <c r="H52" s="151">
        <f t="shared" si="3"/>
        <v>26400</v>
      </c>
      <c r="I52" s="151">
        <f>'GSV for SSV Cal'!T20</f>
        <v>96690</v>
      </c>
      <c r="J52" s="151">
        <v>0</v>
      </c>
      <c r="K52" s="151">
        <f t="shared" si="4"/>
        <v>99000</v>
      </c>
      <c r="M52" s="101"/>
    </row>
    <row r="53" spans="1:16" s="1" customFormat="1">
      <c r="A53" s="24"/>
      <c r="B53" s="106">
        <v>16</v>
      </c>
      <c r="C53" s="107">
        <f t="shared" si="6"/>
        <v>50</v>
      </c>
      <c r="D53" s="139">
        <f t="shared" si="0"/>
        <v>0</v>
      </c>
      <c r="E53" s="139">
        <f t="shared" si="1"/>
        <v>0</v>
      </c>
      <c r="F53" s="139">
        <f t="shared" si="5"/>
        <v>0</v>
      </c>
      <c r="G53" s="150">
        <f t="shared" si="2"/>
        <v>231000</v>
      </c>
      <c r="H53" s="150">
        <f t="shared" si="3"/>
        <v>26400</v>
      </c>
      <c r="I53" s="150">
        <f>'GSV for SSV Cal'!T21</f>
        <v>77220.000000000029</v>
      </c>
      <c r="J53" s="150">
        <v>0</v>
      </c>
      <c r="K53" s="150">
        <f t="shared" si="4"/>
        <v>105600</v>
      </c>
      <c r="M53" s="101"/>
    </row>
    <row r="54" spans="1:16" s="1" customFormat="1">
      <c r="A54" s="24"/>
      <c r="B54" s="108">
        <v>17</v>
      </c>
      <c r="C54" s="109">
        <f t="shared" si="6"/>
        <v>51</v>
      </c>
      <c r="D54" s="140">
        <f t="shared" si="0"/>
        <v>0</v>
      </c>
      <c r="E54" s="140">
        <f t="shared" si="1"/>
        <v>0</v>
      </c>
      <c r="F54" s="140">
        <f t="shared" si="5"/>
        <v>0</v>
      </c>
      <c r="G54" s="151">
        <f t="shared" si="2"/>
        <v>231000</v>
      </c>
      <c r="H54" s="151">
        <f t="shared" si="3"/>
        <v>26400</v>
      </c>
      <c r="I54" s="151">
        <f>'GSV for SSV Cal'!T22</f>
        <v>57749.999999999971</v>
      </c>
      <c r="J54" s="151">
        <v>0</v>
      </c>
      <c r="K54" s="151">
        <f t="shared" si="4"/>
        <v>112200</v>
      </c>
      <c r="M54" s="101"/>
    </row>
    <row r="55" spans="1:16" s="1" customFormat="1">
      <c r="A55" s="24"/>
      <c r="B55" s="106">
        <v>18</v>
      </c>
      <c r="C55" s="107">
        <f t="shared" si="6"/>
        <v>52</v>
      </c>
      <c r="D55" s="139">
        <f t="shared" si="0"/>
        <v>0</v>
      </c>
      <c r="E55" s="139">
        <f t="shared" si="1"/>
        <v>0</v>
      </c>
      <c r="F55" s="139">
        <f t="shared" si="5"/>
        <v>0</v>
      </c>
      <c r="G55" s="150">
        <f t="shared" si="2"/>
        <v>231000</v>
      </c>
      <c r="H55" s="150">
        <f t="shared" si="3"/>
        <v>26400</v>
      </c>
      <c r="I55" s="150">
        <f>'GSV for SSV Cal'!T23</f>
        <v>38280</v>
      </c>
      <c r="J55" s="150">
        <v>0</v>
      </c>
      <c r="K55" s="150">
        <f t="shared" si="4"/>
        <v>118800</v>
      </c>
      <c r="M55" s="101"/>
    </row>
    <row r="56" spans="1:16" s="1" customFormat="1">
      <c r="A56" s="24"/>
      <c r="B56" s="108">
        <v>19</v>
      </c>
      <c r="C56" s="109">
        <f t="shared" si="6"/>
        <v>53</v>
      </c>
      <c r="D56" s="140">
        <f t="shared" si="0"/>
        <v>0</v>
      </c>
      <c r="E56" s="140">
        <f t="shared" si="1"/>
        <v>0</v>
      </c>
      <c r="F56" s="140">
        <f t="shared" si="5"/>
        <v>0</v>
      </c>
      <c r="G56" s="151">
        <f t="shared" si="2"/>
        <v>231000</v>
      </c>
      <c r="H56" s="151">
        <f t="shared" si="3"/>
        <v>26400</v>
      </c>
      <c r="I56" s="151">
        <f>'GSV for SSV Cal'!T24</f>
        <v>18810</v>
      </c>
      <c r="J56" s="151">
        <v>0</v>
      </c>
      <c r="K56" s="151">
        <f t="shared" si="4"/>
        <v>125400</v>
      </c>
      <c r="M56" s="101"/>
    </row>
    <row r="57" spans="1:16" s="1" customFormat="1">
      <c r="A57" s="24"/>
      <c r="B57" s="106">
        <v>20</v>
      </c>
      <c r="C57" s="107">
        <f t="shared" si="6"/>
        <v>54</v>
      </c>
      <c r="D57" s="139">
        <f t="shared" si="0"/>
        <v>0</v>
      </c>
      <c r="E57" s="139">
        <f t="shared" si="1"/>
        <v>0</v>
      </c>
      <c r="F57" s="139">
        <f t="shared" si="5"/>
        <v>0</v>
      </c>
      <c r="G57" s="150">
        <f t="shared" si="2"/>
        <v>231000</v>
      </c>
      <c r="H57" s="150">
        <f t="shared" si="3"/>
        <v>26400</v>
      </c>
      <c r="I57" s="150">
        <f>'GSV for SSV Cal'!T25</f>
        <v>0</v>
      </c>
      <c r="J57" s="150">
        <v>0</v>
      </c>
      <c r="K57" s="150">
        <f t="shared" si="4"/>
        <v>132000</v>
      </c>
      <c r="M57" s="101"/>
    </row>
    <row r="58" spans="1:16" s="1" customFormat="1">
      <c r="A58" s="24"/>
      <c r="B58" s="108">
        <v>21</v>
      </c>
      <c r="C58" s="109">
        <f t="shared" si="6"/>
        <v>55</v>
      </c>
      <c r="D58" s="140">
        <f t="shared" si="0"/>
        <v>0</v>
      </c>
      <c r="E58" s="140">
        <f t="shared" si="1"/>
        <v>0</v>
      </c>
      <c r="F58" s="140">
        <f t="shared" si="5"/>
        <v>0</v>
      </c>
      <c r="G58" s="151">
        <f t="shared" si="2"/>
        <v>231000</v>
      </c>
      <c r="H58" s="151">
        <f t="shared" si="3"/>
        <v>26400</v>
      </c>
      <c r="I58" s="151">
        <f>'GSV for SSV Cal'!T26</f>
        <v>0</v>
      </c>
      <c r="J58" s="151">
        <v>0</v>
      </c>
      <c r="K58" s="151">
        <f t="shared" si="4"/>
        <v>138600</v>
      </c>
      <c r="M58" s="101"/>
    </row>
    <row r="59" spans="1:16" s="1" customFormat="1">
      <c r="A59" s="24"/>
      <c r="B59" s="106">
        <v>22</v>
      </c>
      <c r="C59" s="107">
        <f t="shared" si="6"/>
        <v>56</v>
      </c>
      <c r="D59" s="139">
        <f t="shared" si="0"/>
        <v>0</v>
      </c>
      <c r="E59" s="139">
        <f t="shared" si="1"/>
        <v>0</v>
      </c>
      <c r="F59" s="139">
        <f t="shared" si="5"/>
        <v>0</v>
      </c>
      <c r="G59" s="150">
        <f t="shared" si="2"/>
        <v>231000</v>
      </c>
      <c r="H59" s="150">
        <f t="shared" si="3"/>
        <v>26400</v>
      </c>
      <c r="I59" s="150">
        <f>'GSV for SSV Cal'!T27</f>
        <v>0</v>
      </c>
      <c r="J59" s="150">
        <v>0</v>
      </c>
      <c r="K59" s="150">
        <f t="shared" si="4"/>
        <v>145200</v>
      </c>
      <c r="M59" s="101"/>
    </row>
    <row r="60" spans="1:16" s="1" customFormat="1">
      <c r="A60" s="24"/>
      <c r="B60" s="108">
        <v>23</v>
      </c>
      <c r="C60" s="109">
        <f t="shared" si="6"/>
        <v>57</v>
      </c>
      <c r="D60" s="140">
        <f t="shared" si="0"/>
        <v>0</v>
      </c>
      <c r="E60" s="140">
        <f t="shared" si="1"/>
        <v>0</v>
      </c>
      <c r="F60" s="140">
        <f t="shared" si="5"/>
        <v>0</v>
      </c>
      <c r="G60" s="151">
        <f t="shared" si="2"/>
        <v>231000</v>
      </c>
      <c r="H60" s="151">
        <f t="shared" si="3"/>
        <v>26400</v>
      </c>
      <c r="I60" s="151">
        <f>'GSV for SSV Cal'!T28</f>
        <v>0</v>
      </c>
      <c r="J60" s="151">
        <v>0</v>
      </c>
      <c r="K60" s="151">
        <f t="shared" si="4"/>
        <v>151800</v>
      </c>
      <c r="M60" s="101"/>
    </row>
    <row r="61" spans="1:16" s="1" customFormat="1" ht="15.75">
      <c r="A61" s="24"/>
      <c r="B61" s="106">
        <v>24</v>
      </c>
      <c r="C61" s="107">
        <f t="shared" si="6"/>
        <v>58</v>
      </c>
      <c r="D61" s="139">
        <f t="shared" si="0"/>
        <v>0</v>
      </c>
      <c r="E61" s="139">
        <f t="shared" si="1"/>
        <v>0</v>
      </c>
      <c r="F61" s="139">
        <f t="shared" si="5"/>
        <v>0</v>
      </c>
      <c r="G61" s="150">
        <f t="shared" si="2"/>
        <v>231000</v>
      </c>
      <c r="H61" s="150">
        <f t="shared" si="3"/>
        <v>26400</v>
      </c>
      <c r="I61" s="150">
        <f>'GSV for SSV Cal'!T29</f>
        <v>0</v>
      </c>
      <c r="J61" s="150">
        <v>0</v>
      </c>
      <c r="K61" s="150">
        <f t="shared" si="4"/>
        <v>158400</v>
      </c>
      <c r="M61" s="101"/>
      <c r="P61" s="25"/>
    </row>
    <row r="62" spans="1:16" s="1" customFormat="1" ht="15.75" thickBot="1">
      <c r="A62" s="24"/>
      <c r="B62" s="110">
        <v>25</v>
      </c>
      <c r="C62" s="111">
        <f t="shared" si="6"/>
        <v>59</v>
      </c>
      <c r="D62" s="141">
        <f t="shared" si="0"/>
        <v>0</v>
      </c>
      <c r="E62" s="141">
        <f t="shared" si="1"/>
        <v>0</v>
      </c>
      <c r="F62" s="141">
        <f t="shared" si="5"/>
        <v>0</v>
      </c>
      <c r="G62" s="152">
        <f t="shared" si="2"/>
        <v>231000</v>
      </c>
      <c r="H62" s="152">
        <f t="shared" si="3"/>
        <v>26400</v>
      </c>
      <c r="I62" s="152">
        <f>'GSV for SSV Cal'!T30</f>
        <v>0</v>
      </c>
      <c r="J62" s="152">
        <v>0</v>
      </c>
      <c r="K62" s="152">
        <f t="shared" si="4"/>
        <v>165000</v>
      </c>
      <c r="M62" s="101"/>
    </row>
    <row r="63" spans="1:16" s="1" customFormat="1" ht="30.75" thickBot="1">
      <c r="A63" s="24"/>
      <c r="B63" s="23"/>
      <c r="C63" s="23"/>
      <c r="D63" s="22"/>
      <c r="G63" s="21"/>
      <c r="H63" s="21"/>
      <c r="I63" s="103" t="s">
        <v>82</v>
      </c>
      <c r="J63" s="112">
        <v>0</v>
      </c>
      <c r="K63" s="113">
        <f>Term_bon*SA</f>
        <v>176000</v>
      </c>
      <c r="L63" s="102"/>
      <c r="M63" s="20"/>
    </row>
    <row r="64" spans="1:16" s="1" customFormat="1" ht="46.5" customHeight="1" thickBot="1">
      <c r="A64" s="1" t="s">
        <v>30</v>
      </c>
      <c r="B64" s="17"/>
      <c r="C64" s="17"/>
      <c r="I64" s="103" t="s">
        <v>34</v>
      </c>
      <c r="J64" s="19">
        <f>J63+J62</f>
        <v>0</v>
      </c>
      <c r="K64" s="18">
        <f>K63+K62</f>
        <v>341000</v>
      </c>
    </row>
    <row r="65" spans="1:13" s="1" customFormat="1" ht="51" customHeight="1">
      <c r="A65" s="241"/>
      <c r="B65" s="241"/>
      <c r="C65" s="241"/>
      <c r="D65" s="241"/>
      <c r="E65" s="241"/>
      <c r="F65" s="241"/>
      <c r="G65" s="241"/>
      <c r="H65" s="241"/>
      <c r="I65" s="241"/>
      <c r="J65" s="241"/>
      <c r="K65" s="241"/>
      <c r="L65" s="241"/>
    </row>
    <row r="66" spans="1:13" s="1" customFormat="1" ht="15" customHeight="1">
      <c r="A66" s="242" t="s">
        <v>79</v>
      </c>
      <c r="B66" s="242"/>
      <c r="C66" s="242"/>
      <c r="D66" s="242"/>
      <c r="E66" s="242"/>
      <c r="F66" s="242"/>
      <c r="G66" s="242"/>
      <c r="H66" s="242"/>
      <c r="I66" s="242"/>
      <c r="J66" s="242"/>
      <c r="K66" s="242"/>
    </row>
    <row r="67" spans="1:13" s="1" customFormat="1" ht="15" customHeight="1">
      <c r="A67" s="242"/>
      <c r="B67" s="242"/>
      <c r="C67" s="242"/>
      <c r="D67" s="242"/>
      <c r="E67" s="242"/>
      <c r="F67" s="242"/>
      <c r="G67" s="242"/>
      <c r="H67" s="242"/>
      <c r="I67" s="242"/>
      <c r="J67" s="242"/>
      <c r="K67" s="242"/>
    </row>
    <row r="68" spans="1:13" s="1" customFormat="1" ht="50.25" customHeight="1">
      <c r="A68" s="241" t="s">
        <v>81</v>
      </c>
      <c r="B68" s="241"/>
      <c r="C68" s="241"/>
      <c r="D68" s="241"/>
      <c r="E68" s="241"/>
      <c r="F68" s="241"/>
      <c r="G68" s="241"/>
      <c r="H68" s="241"/>
      <c r="I68" s="241"/>
      <c r="J68" s="241"/>
      <c r="K68" s="241"/>
      <c r="L68" s="241"/>
    </row>
    <row r="69" spans="1:13" s="1" customFormat="1" ht="17.25" customHeight="1"/>
    <row r="70" spans="1:13" s="1" customFormat="1" ht="17.25" customHeight="1">
      <c r="A70" s="2" t="s">
        <v>33</v>
      </c>
    </row>
    <row r="71" spans="1:13" s="1" customFormat="1" ht="22.5" customHeight="1">
      <c r="A71" s="2" t="s">
        <v>32</v>
      </c>
      <c r="B71" s="17"/>
      <c r="C71" s="17"/>
      <c r="G71" s="16"/>
      <c r="H71" s="15"/>
      <c r="I71" s="15"/>
    </row>
    <row r="72" spans="1:13" s="1" customFormat="1" ht="22.5" customHeight="1">
      <c r="A72" s="2" t="s">
        <v>32</v>
      </c>
    </row>
    <row r="73" spans="1:13" s="1" customFormat="1"/>
    <row r="74" spans="1:13" s="1" customFormat="1"/>
    <row r="75" spans="1:13" s="1" customFormat="1">
      <c r="F75" s="14" t="s">
        <v>31</v>
      </c>
    </row>
    <row r="76" spans="1:13" s="1" customFormat="1" ht="18">
      <c r="A76" s="3" t="s">
        <v>30</v>
      </c>
      <c r="B76" s="2"/>
      <c r="C76" s="2"/>
      <c r="D76" s="2"/>
      <c r="E76" s="2"/>
      <c r="F76" s="2"/>
      <c r="G76" s="2"/>
      <c r="H76" s="2"/>
      <c r="I76" s="2"/>
      <c r="J76" s="2"/>
      <c r="K76" s="2"/>
      <c r="L76" s="2"/>
      <c r="M76" s="2"/>
    </row>
    <row r="77" spans="1:13" s="1" customFormat="1" ht="18" customHeight="1">
      <c r="A77" s="236" t="s">
        <v>29</v>
      </c>
      <c r="B77" s="236"/>
      <c r="C77" s="236"/>
      <c r="D77" s="236"/>
      <c r="E77" s="236"/>
      <c r="F77" s="236"/>
      <c r="G77" s="236"/>
      <c r="H77" s="236"/>
      <c r="I77" s="236"/>
      <c r="J77" s="236"/>
      <c r="K77" s="236"/>
      <c r="L77" s="236"/>
      <c r="M77" s="2"/>
    </row>
    <row r="78" spans="1:13" s="1" customFormat="1" ht="18" customHeight="1">
      <c r="A78" s="236"/>
      <c r="B78" s="236"/>
      <c r="C78" s="236"/>
      <c r="D78" s="236"/>
      <c r="E78" s="236"/>
      <c r="F78" s="236"/>
      <c r="G78" s="236"/>
      <c r="H78" s="236"/>
      <c r="I78" s="236"/>
      <c r="J78" s="236"/>
      <c r="K78" s="236"/>
      <c r="L78" s="236"/>
      <c r="M78" s="2"/>
    </row>
    <row r="79" spans="1:13" s="1" customFormat="1" ht="26.25" customHeight="1">
      <c r="A79" s="236"/>
      <c r="B79" s="236"/>
      <c r="C79" s="236"/>
      <c r="D79" s="236"/>
      <c r="E79" s="236"/>
      <c r="F79" s="236"/>
      <c r="G79" s="236"/>
      <c r="H79" s="236"/>
      <c r="I79" s="236"/>
      <c r="J79" s="236"/>
      <c r="K79" s="236"/>
      <c r="L79" s="236"/>
      <c r="M79" s="2"/>
    </row>
    <row r="80" spans="1:13" s="5" customFormat="1">
      <c r="A80" s="2" t="s">
        <v>28</v>
      </c>
      <c r="B80" s="2"/>
      <c r="C80" s="2"/>
      <c r="D80" s="2"/>
      <c r="E80" s="2"/>
      <c r="F80" s="2"/>
      <c r="G80" s="2"/>
      <c r="H80" s="2"/>
      <c r="I80" s="2"/>
      <c r="J80" s="2"/>
      <c r="K80" s="2"/>
      <c r="L80" s="2"/>
      <c r="M80" s="2"/>
    </row>
    <row r="81" spans="1:28" s="1" customFormat="1">
      <c r="A81" s="2" t="s">
        <v>27</v>
      </c>
      <c r="B81" s="2"/>
      <c r="C81" s="2"/>
      <c r="D81" s="2"/>
      <c r="E81" s="2"/>
      <c r="F81" s="2"/>
      <c r="G81" s="2"/>
      <c r="H81" s="2"/>
      <c r="I81" s="2"/>
      <c r="J81" s="2"/>
      <c r="K81" s="2"/>
      <c r="L81" s="2"/>
      <c r="M81" s="2"/>
    </row>
    <row r="82" spans="1:28" s="1" customFormat="1">
      <c r="A82" s="13" t="s">
        <v>26</v>
      </c>
      <c r="B82" s="2"/>
      <c r="C82" s="2"/>
      <c r="D82" s="2"/>
      <c r="E82" s="2"/>
      <c r="F82" s="2"/>
      <c r="G82" s="2"/>
      <c r="H82" s="2"/>
      <c r="I82" s="2"/>
      <c r="J82" s="2"/>
      <c r="K82" s="2"/>
      <c r="L82" s="2"/>
      <c r="M82" s="2"/>
      <c r="P82" s="10"/>
      <c r="Q82" s="10"/>
      <c r="R82" s="10"/>
      <c r="S82" s="10"/>
      <c r="T82" s="10"/>
      <c r="U82" s="10"/>
      <c r="V82" s="10"/>
      <c r="W82" s="10"/>
      <c r="X82" s="10"/>
      <c r="Y82" s="10"/>
      <c r="Z82" s="10"/>
      <c r="AA82" s="10"/>
      <c r="AB82" s="10"/>
    </row>
    <row r="83" spans="1:28" s="1" customFormat="1">
      <c r="A83" s="13" t="s">
        <v>25</v>
      </c>
      <c r="B83" s="2"/>
      <c r="C83" s="2"/>
      <c r="D83" s="2"/>
      <c r="E83" s="2"/>
      <c r="F83" s="2"/>
      <c r="G83" s="2"/>
      <c r="H83" s="2"/>
      <c r="I83" s="2"/>
      <c r="J83" s="2"/>
      <c r="K83" s="2"/>
      <c r="L83" s="2"/>
      <c r="M83" s="2"/>
      <c r="P83" s="10"/>
      <c r="Q83" s="10"/>
      <c r="R83" s="10"/>
      <c r="S83" s="10"/>
      <c r="T83" s="10"/>
      <c r="U83" s="10"/>
      <c r="V83" s="10"/>
      <c r="W83" s="10"/>
      <c r="X83" s="10"/>
      <c r="Y83" s="10"/>
      <c r="Z83" s="10"/>
      <c r="AA83" s="10"/>
      <c r="AB83" s="10"/>
    </row>
    <row r="84" spans="1:28" s="1" customFormat="1">
      <c r="A84" s="13" t="s">
        <v>24</v>
      </c>
      <c r="B84" s="2"/>
      <c r="C84" s="2"/>
      <c r="D84" s="2"/>
      <c r="E84" s="2"/>
      <c r="F84" s="2"/>
      <c r="G84" s="2"/>
      <c r="H84" s="2"/>
      <c r="I84" s="2"/>
      <c r="J84" s="2"/>
      <c r="K84" s="2"/>
      <c r="L84" s="2"/>
      <c r="M84" s="2"/>
      <c r="P84" s="11"/>
      <c r="Q84" s="11"/>
      <c r="R84" s="11"/>
      <c r="S84" s="11"/>
      <c r="T84" s="11"/>
      <c r="U84" s="11"/>
      <c r="V84" s="11"/>
      <c r="W84" s="11"/>
      <c r="X84" s="11"/>
      <c r="Y84" s="11"/>
      <c r="Z84" s="11"/>
      <c r="AA84" s="11"/>
      <c r="AB84" s="11"/>
    </row>
    <row r="85" spans="1:28" s="1" customFormat="1">
      <c r="A85" s="12" t="s">
        <v>23</v>
      </c>
      <c r="B85" s="2"/>
      <c r="C85" s="2"/>
      <c r="D85" s="2"/>
      <c r="E85" s="2"/>
      <c r="F85" s="2"/>
      <c r="G85" s="2"/>
      <c r="H85" s="2"/>
      <c r="I85" s="2"/>
      <c r="J85" s="2"/>
      <c r="K85" s="2"/>
      <c r="L85" s="2"/>
      <c r="M85" s="2"/>
      <c r="O85" s="10"/>
      <c r="P85" s="10"/>
      <c r="Q85" s="10"/>
      <c r="R85" s="10"/>
      <c r="S85" s="10"/>
      <c r="T85" s="10"/>
      <c r="U85" s="10"/>
      <c r="V85" s="10"/>
      <c r="W85" s="10"/>
      <c r="X85" s="10"/>
      <c r="Y85" s="10"/>
      <c r="Z85" s="10"/>
      <c r="AA85" s="10"/>
      <c r="AB85" s="10"/>
    </row>
    <row r="86" spans="1:28" s="1" customFormat="1">
      <c r="A86" s="2" t="s">
        <v>22</v>
      </c>
      <c r="B86" s="2"/>
      <c r="C86" s="2"/>
      <c r="D86" s="2"/>
      <c r="E86" s="2"/>
      <c r="F86" s="2"/>
      <c r="G86" s="2"/>
      <c r="H86" s="2"/>
      <c r="I86" s="2"/>
      <c r="J86" s="2"/>
      <c r="K86" s="2"/>
      <c r="L86" s="2"/>
      <c r="M86" s="2"/>
      <c r="O86" s="11"/>
      <c r="P86" s="11"/>
      <c r="Q86" s="11"/>
      <c r="R86" s="11"/>
      <c r="S86" s="11"/>
      <c r="T86" s="11"/>
      <c r="U86" s="11"/>
      <c r="V86" s="11"/>
      <c r="W86" s="11"/>
      <c r="X86" s="11"/>
      <c r="Y86" s="11"/>
      <c r="Z86" s="11"/>
      <c r="AA86" s="11"/>
      <c r="AB86" s="11"/>
    </row>
    <row r="87" spans="1:28" s="1" customFormat="1">
      <c r="A87" s="2" t="s">
        <v>21</v>
      </c>
      <c r="B87" s="2"/>
      <c r="C87" s="2"/>
      <c r="D87" s="2"/>
      <c r="E87" s="2"/>
      <c r="F87" s="2"/>
      <c r="G87" s="2"/>
      <c r="H87" s="2"/>
      <c r="I87" s="2"/>
      <c r="J87" s="2"/>
      <c r="K87" s="2"/>
      <c r="L87" s="2"/>
      <c r="M87" s="2"/>
      <c r="O87" s="10"/>
      <c r="P87" s="10"/>
      <c r="Q87" s="10"/>
      <c r="R87" s="10"/>
      <c r="S87" s="10"/>
      <c r="T87" s="10"/>
      <c r="U87" s="10"/>
      <c r="V87" s="10"/>
      <c r="W87" s="10"/>
      <c r="X87" s="10"/>
      <c r="Y87" s="10"/>
      <c r="Z87" s="10"/>
      <c r="AA87" s="10"/>
      <c r="AB87" s="10"/>
    </row>
    <row r="88" spans="1:28" s="5" customFormat="1">
      <c r="A88" s="2" t="s">
        <v>20</v>
      </c>
      <c r="B88" s="2"/>
      <c r="C88" s="2"/>
      <c r="D88" s="2"/>
      <c r="E88" s="2"/>
      <c r="F88" s="2"/>
      <c r="G88" s="2"/>
      <c r="H88" s="2"/>
      <c r="I88" s="2"/>
      <c r="J88" s="2"/>
      <c r="K88" s="2"/>
      <c r="L88" s="2"/>
      <c r="M88" s="2"/>
      <c r="O88" s="11"/>
      <c r="P88" s="11"/>
      <c r="Q88" s="11"/>
      <c r="R88" s="11"/>
      <c r="S88" s="11"/>
      <c r="T88" s="11"/>
      <c r="U88" s="11"/>
      <c r="V88" s="11"/>
      <c r="W88" s="11"/>
      <c r="X88" s="11"/>
      <c r="Y88" s="11"/>
      <c r="Z88" s="11"/>
      <c r="AA88" s="11"/>
      <c r="AB88" s="11"/>
    </row>
    <row r="89" spans="1:28" s="1" customFormat="1">
      <c r="A89" s="2" t="s">
        <v>19</v>
      </c>
      <c r="B89" s="2"/>
      <c r="C89" s="2"/>
      <c r="D89" s="2"/>
      <c r="E89" s="2"/>
      <c r="F89" s="2"/>
      <c r="G89" s="2"/>
      <c r="H89" s="2"/>
      <c r="I89" s="2"/>
      <c r="J89" s="2"/>
      <c r="K89" s="2"/>
      <c r="L89" s="2"/>
      <c r="M89" s="2"/>
      <c r="O89" s="10"/>
      <c r="P89" s="10"/>
      <c r="Q89" s="10"/>
      <c r="R89" s="10"/>
      <c r="S89" s="10"/>
      <c r="T89" s="10"/>
      <c r="U89" s="10"/>
      <c r="V89" s="10"/>
      <c r="W89" s="10"/>
      <c r="X89" s="10"/>
      <c r="Y89" s="10"/>
      <c r="Z89" s="10"/>
      <c r="AA89" s="10"/>
      <c r="AB89" s="10"/>
    </row>
    <row r="90" spans="1:28" s="5" customFormat="1">
      <c r="A90" s="2" t="s">
        <v>18</v>
      </c>
      <c r="B90" s="2"/>
      <c r="C90" s="2"/>
      <c r="D90" s="2"/>
      <c r="E90" s="2"/>
      <c r="F90" s="2"/>
      <c r="G90" s="2"/>
      <c r="H90" s="2"/>
      <c r="I90" s="2"/>
      <c r="J90" s="2"/>
      <c r="K90" s="2"/>
      <c r="L90" s="2"/>
      <c r="M90" s="2"/>
    </row>
    <row r="91" spans="1:28" s="1" customFormat="1">
      <c r="A91" s="2" t="s">
        <v>17</v>
      </c>
      <c r="B91" s="2"/>
      <c r="C91" s="2"/>
      <c r="D91" s="2"/>
      <c r="E91" s="2"/>
      <c r="F91" s="2"/>
      <c r="G91" s="2"/>
      <c r="H91" s="2"/>
      <c r="I91" s="2"/>
      <c r="J91" s="2"/>
      <c r="K91" s="2"/>
      <c r="L91" s="2"/>
      <c r="M91" s="2"/>
    </row>
    <row r="92" spans="1:28" s="5" customFormat="1">
      <c r="A92" s="2"/>
      <c r="B92" s="2"/>
      <c r="C92" s="2"/>
      <c r="D92" s="2"/>
      <c r="E92" s="2"/>
      <c r="F92" s="2"/>
      <c r="G92" s="2"/>
      <c r="H92" s="2"/>
      <c r="I92" s="2"/>
      <c r="J92" s="2"/>
      <c r="K92" s="2"/>
      <c r="L92" s="2"/>
      <c r="M92" s="2"/>
    </row>
    <row r="93" spans="1:28" s="1" customFormat="1" ht="18">
      <c r="A93" s="3" t="s">
        <v>16</v>
      </c>
      <c r="B93" s="2"/>
      <c r="C93" s="2"/>
      <c r="D93" s="2"/>
      <c r="E93" s="2"/>
      <c r="F93" s="2"/>
      <c r="G93" s="2"/>
      <c r="H93" s="2"/>
      <c r="I93" s="2"/>
      <c r="J93" s="2"/>
      <c r="K93" s="2"/>
      <c r="L93" s="2"/>
      <c r="M93" s="2"/>
    </row>
    <row r="94" spans="1:28" s="1" customFormat="1">
      <c r="A94" s="9" t="s">
        <v>15</v>
      </c>
      <c r="B94" s="9"/>
      <c r="C94" s="9"/>
      <c r="D94" s="9"/>
      <c r="E94" s="9"/>
      <c r="F94" s="9"/>
      <c r="G94" s="9"/>
      <c r="H94" s="9"/>
      <c r="I94" s="9"/>
      <c r="J94" s="9"/>
      <c r="K94" s="9"/>
      <c r="L94" s="9"/>
      <c r="M94" s="9"/>
    </row>
    <row r="95" spans="1:28" s="1" customFormat="1">
      <c r="A95" s="9" t="s">
        <v>14</v>
      </c>
      <c r="B95" s="9"/>
      <c r="C95" s="9"/>
      <c r="D95" s="9"/>
      <c r="E95" s="9"/>
      <c r="F95" s="9"/>
      <c r="G95" s="9"/>
      <c r="H95" s="9"/>
      <c r="I95" s="9"/>
      <c r="J95" s="9"/>
      <c r="K95" s="9"/>
      <c r="L95" s="9"/>
      <c r="M95" s="9"/>
    </row>
    <row r="96" spans="1:28" s="1" customFormat="1">
      <c r="A96" s="9" t="s">
        <v>11</v>
      </c>
      <c r="B96" s="9"/>
      <c r="C96" s="9"/>
      <c r="D96" s="9"/>
      <c r="E96" s="9"/>
      <c r="F96" s="9"/>
      <c r="G96" s="9"/>
      <c r="H96" s="9"/>
      <c r="I96" s="9"/>
      <c r="J96" s="9"/>
      <c r="K96" s="9"/>
      <c r="L96" s="9"/>
      <c r="M96" s="9"/>
    </row>
    <row r="97" spans="1:13" s="1" customFormat="1">
      <c r="A97" s="4" t="s">
        <v>13</v>
      </c>
      <c r="B97" s="4"/>
      <c r="C97" s="4"/>
      <c r="D97" s="4"/>
      <c r="E97" s="4"/>
      <c r="F97" s="4"/>
      <c r="G97" s="4"/>
      <c r="H97" s="4"/>
      <c r="I97" s="4"/>
      <c r="J97" s="4"/>
      <c r="K97" s="4"/>
      <c r="L97" s="4"/>
      <c r="M97" s="4"/>
    </row>
    <row r="98" spans="1:13" s="1" customFormat="1">
      <c r="A98" s="4" t="s">
        <v>12</v>
      </c>
      <c r="B98" s="4"/>
      <c r="C98" s="4"/>
      <c r="D98" s="4"/>
      <c r="E98" s="4"/>
      <c r="F98" s="4"/>
      <c r="G98" s="4"/>
      <c r="H98" s="4"/>
      <c r="I98" s="4"/>
      <c r="J98" s="4"/>
      <c r="K98" s="4"/>
      <c r="L98" s="4"/>
      <c r="M98" s="4"/>
    </row>
    <row r="99" spans="1:13" s="1" customFormat="1">
      <c r="A99" s="4" t="s">
        <v>11</v>
      </c>
      <c r="B99" s="4"/>
      <c r="C99" s="4"/>
      <c r="D99" s="4"/>
      <c r="E99" s="4"/>
      <c r="F99" s="4"/>
      <c r="G99" s="4"/>
      <c r="H99" s="4"/>
      <c r="I99" s="4"/>
      <c r="J99" s="4"/>
      <c r="K99" s="4"/>
      <c r="L99" s="4"/>
      <c r="M99" s="4"/>
    </row>
    <row r="100" spans="1:13" s="1" customFormat="1">
      <c r="A100" s="8" t="s">
        <v>10</v>
      </c>
      <c r="B100" s="7"/>
      <c r="C100" s="7"/>
      <c r="D100" s="7"/>
      <c r="E100" s="7"/>
      <c r="F100" s="7"/>
      <c r="G100" s="7"/>
      <c r="H100" s="7"/>
      <c r="I100" s="7"/>
      <c r="J100" s="7"/>
      <c r="K100" s="2"/>
      <c r="L100" s="2"/>
      <c r="M100" s="2"/>
    </row>
    <row r="101" spans="1:13" s="1" customFormat="1">
      <c r="A101" s="2"/>
      <c r="B101" s="2"/>
      <c r="C101" s="2"/>
      <c r="D101" s="2"/>
      <c r="E101" s="2"/>
      <c r="F101" s="2"/>
      <c r="G101" s="2"/>
      <c r="H101" s="2"/>
      <c r="I101" s="2"/>
      <c r="J101" s="2"/>
      <c r="K101" s="2"/>
      <c r="L101" s="2"/>
      <c r="M101" s="2"/>
    </row>
    <row r="102" spans="1:13" s="1" customFormat="1" ht="18">
      <c r="A102" s="3" t="s">
        <v>9</v>
      </c>
      <c r="B102" s="2"/>
      <c r="C102" s="2"/>
      <c r="D102" s="2"/>
      <c r="E102" s="2"/>
      <c r="F102" s="2"/>
      <c r="G102" s="2"/>
      <c r="H102" s="2"/>
      <c r="I102" s="2"/>
      <c r="J102" s="2"/>
      <c r="K102" s="2"/>
      <c r="L102" s="2"/>
      <c r="M102" s="2"/>
    </row>
    <row r="103" spans="1:13" s="5" customFormat="1">
      <c r="A103" s="2" t="s">
        <v>8</v>
      </c>
      <c r="B103" s="6"/>
      <c r="C103" s="6"/>
      <c r="D103" s="6"/>
      <c r="E103" s="6"/>
      <c r="F103" s="6"/>
      <c r="G103" s="6"/>
      <c r="H103" s="6"/>
      <c r="I103" s="6"/>
      <c r="J103" s="6"/>
      <c r="K103" s="2"/>
      <c r="L103" s="2"/>
      <c r="M103" s="2"/>
    </row>
    <row r="104" spans="1:13" s="1" customFormat="1">
      <c r="A104" s="2" t="s">
        <v>7</v>
      </c>
      <c r="B104" s="4"/>
      <c r="C104" s="4"/>
      <c r="D104" s="4"/>
      <c r="E104" s="4"/>
      <c r="F104" s="4"/>
      <c r="G104" s="4"/>
      <c r="H104" s="4"/>
      <c r="I104" s="4"/>
      <c r="J104" s="4"/>
      <c r="K104" s="2"/>
      <c r="L104" s="2"/>
      <c r="M104" s="2"/>
    </row>
    <row r="105" spans="1:13" s="1" customFormat="1">
      <c r="A105" s="2"/>
      <c r="B105" s="2"/>
      <c r="C105" s="2"/>
      <c r="D105" s="2"/>
      <c r="E105" s="2"/>
      <c r="F105" s="2"/>
      <c r="G105" s="2"/>
      <c r="H105" s="2"/>
      <c r="I105" s="2"/>
      <c r="J105" s="2"/>
      <c r="K105" s="2"/>
      <c r="L105" s="2"/>
      <c r="M105" s="2"/>
    </row>
    <row r="106" spans="1:13" s="1" customFormat="1" ht="18">
      <c r="A106" s="3" t="s">
        <v>6</v>
      </c>
      <c r="B106" s="2"/>
      <c r="C106" s="2"/>
      <c r="D106" s="2"/>
      <c r="E106" s="2"/>
      <c r="F106" s="2"/>
      <c r="G106" s="2"/>
      <c r="H106" s="2"/>
      <c r="I106" s="2"/>
      <c r="J106" s="2"/>
      <c r="K106" s="2"/>
      <c r="L106" s="2"/>
      <c r="M106" s="2"/>
    </row>
    <row r="107" spans="1:13" s="1" customFormat="1">
      <c r="A107" s="2" t="s">
        <v>5</v>
      </c>
      <c r="B107" s="2"/>
      <c r="C107" s="2"/>
      <c r="D107" s="2"/>
      <c r="E107" s="2"/>
      <c r="F107" s="2"/>
      <c r="G107" s="2"/>
      <c r="H107" s="2"/>
      <c r="I107" s="2"/>
      <c r="J107" s="2"/>
      <c r="K107" s="2"/>
      <c r="L107" s="2"/>
      <c r="M107" s="2"/>
    </row>
    <row r="108" spans="1:13" s="1" customFormat="1">
      <c r="A108" s="2"/>
      <c r="B108" s="2"/>
      <c r="C108" s="2"/>
      <c r="D108" s="2"/>
      <c r="E108" s="2"/>
      <c r="F108" s="2"/>
      <c r="G108" s="2"/>
      <c r="H108" s="2"/>
      <c r="I108" s="2"/>
      <c r="J108" s="2"/>
      <c r="K108" s="2"/>
      <c r="L108" s="2"/>
      <c r="M108" s="2"/>
    </row>
    <row r="109" spans="1:13" s="1" customFormat="1">
      <c r="A109" s="2" t="s">
        <v>4</v>
      </c>
      <c r="B109" s="2"/>
      <c r="C109" s="2"/>
      <c r="D109" s="2"/>
      <c r="E109" s="2"/>
      <c r="F109" s="2" t="s">
        <v>3</v>
      </c>
      <c r="G109" s="2"/>
      <c r="H109" s="2"/>
      <c r="I109" s="2"/>
      <c r="J109" s="2"/>
      <c r="K109" s="2"/>
      <c r="L109" s="2"/>
      <c r="M109" s="2"/>
    </row>
    <row r="110" spans="1:13" s="1" customFormat="1">
      <c r="A110" s="2"/>
      <c r="B110" s="2"/>
      <c r="C110" s="2"/>
      <c r="D110" s="2"/>
      <c r="E110" s="2"/>
      <c r="F110" s="2"/>
      <c r="G110" s="2"/>
      <c r="H110" s="2"/>
      <c r="I110" s="2"/>
      <c r="J110" s="2"/>
      <c r="K110" s="2"/>
      <c r="L110" s="2"/>
      <c r="M110" s="2"/>
    </row>
    <row r="111" spans="1:13" s="1" customFormat="1">
      <c r="A111" s="2"/>
      <c r="B111" s="2"/>
      <c r="C111" s="2"/>
      <c r="D111" s="2"/>
      <c r="E111" s="2"/>
      <c r="F111" s="2"/>
      <c r="G111" s="2"/>
      <c r="H111" s="2"/>
      <c r="I111" s="2"/>
      <c r="J111" s="2"/>
      <c r="K111" s="2"/>
      <c r="L111" s="2"/>
      <c r="M111" s="2"/>
    </row>
    <row r="112" spans="1:13" s="1" customFormat="1">
      <c r="A112" s="2" t="s">
        <v>2</v>
      </c>
      <c r="B112" s="2"/>
      <c r="C112" s="2"/>
      <c r="D112" s="2"/>
      <c r="E112" s="2"/>
      <c r="F112" s="2"/>
      <c r="G112" s="2"/>
      <c r="H112" s="2"/>
      <c r="I112" s="2"/>
      <c r="J112" s="2"/>
      <c r="K112" s="2"/>
      <c r="L112" s="2"/>
      <c r="M112" s="2"/>
    </row>
    <row r="113" spans="1:13" s="1" customFormat="1">
      <c r="A113" s="2"/>
      <c r="B113" s="2"/>
      <c r="C113" s="2"/>
      <c r="D113" s="2"/>
      <c r="E113" s="2"/>
      <c r="F113" s="2"/>
      <c r="G113" s="2"/>
      <c r="H113" s="2"/>
      <c r="I113" s="2"/>
      <c r="J113" s="2"/>
      <c r="K113" s="2"/>
      <c r="L113" s="2"/>
      <c r="M113" s="2"/>
    </row>
    <row r="114" spans="1:13" s="1" customFormat="1">
      <c r="A114" s="2"/>
      <c r="B114" s="2"/>
      <c r="C114" s="2"/>
      <c r="D114" s="2"/>
      <c r="E114" s="2"/>
      <c r="F114" s="2"/>
      <c r="G114" s="2"/>
      <c r="H114" s="2"/>
      <c r="I114" s="2"/>
      <c r="J114" s="2"/>
      <c r="K114" s="2"/>
      <c r="L114" s="2"/>
      <c r="M114" s="2"/>
    </row>
    <row r="115" spans="1:13" s="1" customFormat="1">
      <c r="A115" s="2" t="s">
        <v>1</v>
      </c>
      <c r="B115" s="2"/>
      <c r="C115" s="2"/>
      <c r="D115" s="2"/>
      <c r="E115" s="2"/>
      <c r="F115" s="2"/>
      <c r="G115" s="2"/>
      <c r="H115" s="2"/>
      <c r="I115" s="2"/>
      <c r="J115" s="2"/>
      <c r="K115" s="2"/>
      <c r="L115" s="2"/>
      <c r="M115" s="2"/>
    </row>
    <row r="116" spans="1:13" s="1" customFormat="1">
      <c r="A116" s="2"/>
      <c r="B116" s="2"/>
      <c r="C116" s="2"/>
      <c r="D116" s="2"/>
      <c r="E116" s="2"/>
      <c r="F116" s="2"/>
      <c r="G116" s="2"/>
      <c r="H116" s="2"/>
      <c r="I116" s="2"/>
      <c r="J116" s="2"/>
      <c r="K116" s="2"/>
      <c r="L116" s="2"/>
      <c r="M116" s="2"/>
    </row>
    <row r="117" spans="1:13" s="1" customFormat="1">
      <c r="A117" s="2" t="s">
        <v>0</v>
      </c>
      <c r="B117" s="2"/>
      <c r="C117" s="2"/>
      <c r="D117" s="2"/>
      <c r="E117" s="2"/>
      <c r="F117" s="2"/>
      <c r="G117" s="2"/>
      <c r="H117" s="2"/>
      <c r="I117" s="2"/>
      <c r="J117" s="2"/>
      <c r="K117" s="2"/>
      <c r="L117" s="2"/>
      <c r="M117" s="2"/>
    </row>
    <row r="118" spans="1:13" s="1" customFormat="1"/>
    <row r="119" spans="1:13" s="1" customFormat="1"/>
  </sheetData>
  <sheetProtection password="C9A7" sheet="1" objects="1" scenarios="1"/>
  <mergeCells count="7">
    <mergeCell ref="A77:L79"/>
    <mergeCell ref="H16:I16"/>
    <mergeCell ref="G36:I36"/>
    <mergeCell ref="J36:K36"/>
    <mergeCell ref="A65:L65"/>
    <mergeCell ref="A66:K67"/>
    <mergeCell ref="A68:L68"/>
  </mergeCells>
  <printOptions horizontalCentered="1" verticalCentered="1"/>
  <pageMargins left="0.17" right="0.17" top="0.31" bottom="0.75" header="0.3" footer="0.3"/>
  <pageSetup paperSize="9" scale="61" orientation="landscape" r:id="rId1"/>
  <rowBreaks count="2" manualBreakCount="2">
    <brk id="33" max="16383" man="1"/>
    <brk id="73" max="16383" man="1"/>
  </rowBreaks>
  <colBreaks count="1" manualBreakCount="1">
    <brk id="14" max="1048575" man="1"/>
  </colBreaks>
  <drawing r:id="rId2"/>
</worksheet>
</file>

<file path=xl/worksheets/sheet3.xml><?xml version="1.0" encoding="utf-8"?>
<worksheet xmlns="http://schemas.openxmlformats.org/spreadsheetml/2006/main" xmlns:r="http://schemas.openxmlformats.org/officeDocument/2006/relationships">
  <dimension ref="B1:AK41"/>
  <sheetViews>
    <sheetView zoomScale="85" zoomScaleNormal="85" workbookViewId="0">
      <pane xSplit="2" ySplit="3" topLeftCell="O4" activePane="bottomRight" state="frozen"/>
      <selection activeCell="C21" sqref="C21"/>
      <selection pane="topRight" activeCell="C21" sqref="C21"/>
      <selection pane="bottomLeft" activeCell="C21" sqref="C21"/>
      <selection pane="bottomRight" activeCell="AI2" sqref="AI2"/>
    </sheetView>
  </sheetViews>
  <sheetFormatPr defaultRowHeight="15"/>
  <cols>
    <col min="1" max="1" width="3.7109375" style="59" customWidth="1"/>
    <col min="2" max="2" width="14" style="59" bestFit="1" customWidth="1"/>
    <col min="3" max="3" width="27.140625" style="59" customWidth="1"/>
    <col min="4" max="8" width="9.140625" style="59"/>
    <col min="9" max="9" width="10.5703125" style="59" bestFit="1" customWidth="1"/>
    <col min="10" max="13" width="9.140625" style="59"/>
    <col min="14" max="14" width="10.5703125" style="59" bestFit="1" customWidth="1"/>
    <col min="15" max="18" width="9.140625" style="59"/>
    <col min="19" max="19" width="14.5703125" style="59" customWidth="1"/>
    <col min="20" max="20" width="24" style="59" customWidth="1"/>
    <col min="21" max="21" width="9.140625" style="59"/>
    <col min="22" max="22" width="23.140625" style="59" hidden="1" customWidth="1"/>
    <col min="23" max="23" width="14.42578125" style="59" hidden="1" customWidth="1"/>
    <col min="24" max="24" width="22.5703125" style="59" hidden="1" customWidth="1"/>
    <col min="25" max="25" width="28.42578125" style="59" hidden="1" customWidth="1"/>
    <col min="26" max="26" width="11.7109375" style="59" hidden="1" customWidth="1"/>
    <col min="27" max="27" width="5.5703125" style="59" hidden="1" customWidth="1"/>
    <col min="28" max="30" width="0" style="59" hidden="1" customWidth="1"/>
    <col min="31" max="33" width="9.140625" style="59"/>
    <col min="34" max="34" width="14.28515625" style="59" customWidth="1"/>
    <col min="35" max="35" width="15.140625" style="59" customWidth="1"/>
    <col min="36" max="36" width="10.5703125" style="59" bestFit="1" customWidth="1"/>
    <col min="37" max="37" width="9.7109375" style="59" bestFit="1" customWidth="1"/>
    <col min="38" max="16384" width="9.140625" style="59"/>
  </cols>
  <sheetData>
    <row r="1" spans="2:37" ht="15.75" thickBot="1"/>
    <row r="2" spans="2:37" ht="15.75" thickBot="1">
      <c r="B2" s="249" t="s">
        <v>102</v>
      </c>
      <c r="C2" s="250"/>
      <c r="D2" s="238" t="s">
        <v>103</v>
      </c>
      <c r="E2" s="239"/>
      <c r="F2" s="239"/>
      <c r="G2" s="239"/>
      <c r="H2" s="239"/>
      <c r="I2" s="239"/>
      <c r="J2" s="239"/>
      <c r="K2" s="239"/>
      <c r="L2" s="239"/>
      <c r="M2" s="239"/>
      <c r="N2" s="239"/>
      <c r="O2" s="239"/>
      <c r="P2" s="239"/>
      <c r="Q2" s="240"/>
      <c r="S2" s="251" t="s">
        <v>104</v>
      </c>
      <c r="T2" s="252"/>
      <c r="V2" s="253" t="s">
        <v>109</v>
      </c>
      <c r="W2" s="254"/>
      <c r="AI2" s="198">
        <f>VLOOKUP("OK",$AH$4:$AI$15,2,0)</f>
        <v>227842</v>
      </c>
    </row>
    <row r="3" spans="2:37" ht="15.75" thickBot="1">
      <c r="B3" s="60" t="s">
        <v>105</v>
      </c>
      <c r="C3" s="61" t="s">
        <v>106</v>
      </c>
      <c r="D3" s="62">
        <v>0.25</v>
      </c>
      <c r="E3" s="63">
        <v>0.5</v>
      </c>
      <c r="F3" s="63">
        <v>0.75</v>
      </c>
      <c r="G3" s="63">
        <v>1</v>
      </c>
      <c r="H3" s="63">
        <v>1.25</v>
      </c>
      <c r="I3" s="63">
        <v>1.5</v>
      </c>
      <c r="J3" s="63">
        <v>1.75</v>
      </c>
      <c r="K3" s="63">
        <v>2</v>
      </c>
      <c r="L3" s="63">
        <v>2.25</v>
      </c>
      <c r="M3" s="63">
        <v>2.5</v>
      </c>
      <c r="N3" s="63">
        <v>2.75</v>
      </c>
      <c r="O3" s="63">
        <v>3</v>
      </c>
      <c r="P3" s="63">
        <v>3.25</v>
      </c>
      <c r="Q3" s="64">
        <v>3.5</v>
      </c>
      <c r="S3" s="65" t="s">
        <v>107</v>
      </c>
      <c r="T3" s="66" t="s">
        <v>108</v>
      </c>
      <c r="V3" s="155"/>
      <c r="W3" s="157" t="s">
        <v>141</v>
      </c>
      <c r="X3" s="247" t="s">
        <v>148</v>
      </c>
      <c r="Y3" s="248"/>
      <c r="AH3" s="243" t="s">
        <v>162</v>
      </c>
      <c r="AI3" s="243"/>
    </row>
    <row r="4" spans="2:37" ht="15.75">
      <c r="B4" s="67">
        <v>18</v>
      </c>
      <c r="C4" s="68">
        <v>101.63</v>
      </c>
      <c r="D4" s="69">
        <v>2.11</v>
      </c>
      <c r="E4" s="70">
        <v>2.38</v>
      </c>
      <c r="F4" s="70">
        <v>2.63</v>
      </c>
      <c r="G4" s="70">
        <v>2.89</v>
      </c>
      <c r="H4" s="70">
        <v>3.15</v>
      </c>
      <c r="I4" s="70">
        <v>3.43</v>
      </c>
      <c r="J4" s="70">
        <v>3.68</v>
      </c>
      <c r="K4" s="70">
        <v>3.94</v>
      </c>
      <c r="L4" s="70">
        <v>4.2</v>
      </c>
      <c r="M4" s="70">
        <v>4.46</v>
      </c>
      <c r="N4" s="70">
        <v>4.72</v>
      </c>
      <c r="O4" s="70">
        <v>4.9800000000000004</v>
      </c>
      <c r="P4" s="70">
        <v>5.24</v>
      </c>
      <c r="Q4" s="68">
        <v>5.5</v>
      </c>
      <c r="R4" s="71"/>
      <c r="S4" s="72">
        <v>0</v>
      </c>
      <c r="T4" s="68">
        <v>0</v>
      </c>
      <c r="V4" s="73" t="s">
        <v>110</v>
      </c>
      <c r="W4" s="158">
        <f>VLOOKUP(Age,RATES,2,FALSE)</f>
        <v>105</v>
      </c>
      <c r="X4" s="166">
        <f>Base_Prem</f>
        <v>105</v>
      </c>
      <c r="Y4" s="176"/>
      <c r="AH4" s="199"/>
      <c r="AI4" s="200">
        <f>(VLOOKUP(Age,RATES,2,FALSE)-T9+IFERROR(VLOOKUP(Age,RATES,MATCH(EM_PC,RATES_HEADINGS),FALSE),0)+Tot_Flat_Extra)*VLOOKUP(Prem_Mode,$S$13:$T$14,2,FALSE)</f>
        <v>98</v>
      </c>
    </row>
    <row r="5" spans="2:37" ht="15.75">
      <c r="B5" s="76">
        <v>19</v>
      </c>
      <c r="C5" s="74">
        <v>101.65</v>
      </c>
      <c r="D5" s="77">
        <v>2.16</v>
      </c>
      <c r="E5" s="78">
        <v>2.44</v>
      </c>
      <c r="F5" s="78">
        <v>2.72</v>
      </c>
      <c r="G5" s="78">
        <v>2.99</v>
      </c>
      <c r="H5" s="78">
        <v>3.27</v>
      </c>
      <c r="I5" s="78">
        <v>3.54</v>
      </c>
      <c r="J5" s="78">
        <v>3.82</v>
      </c>
      <c r="K5" s="78">
        <v>4.0999999999999996</v>
      </c>
      <c r="L5" s="78">
        <v>4.37</v>
      </c>
      <c r="M5" s="78">
        <v>4.6500000000000004</v>
      </c>
      <c r="N5" s="78">
        <v>4.92</v>
      </c>
      <c r="O5" s="78">
        <v>5.2</v>
      </c>
      <c r="P5" s="78">
        <v>5.47</v>
      </c>
      <c r="Q5" s="74">
        <v>5.75</v>
      </c>
      <c r="R5" s="71"/>
      <c r="S5" s="79">
        <v>300000</v>
      </c>
      <c r="T5" s="74">
        <v>3</v>
      </c>
      <c r="V5" s="73" t="s">
        <v>111</v>
      </c>
      <c r="W5" s="159">
        <f>VLOOKUP(SA,$S$4:$T$10,2,TRUE)</f>
        <v>0</v>
      </c>
      <c r="X5" s="167">
        <f>SA_Rebate</f>
        <v>0</v>
      </c>
      <c r="Y5" s="182" t="s">
        <v>152</v>
      </c>
      <c r="AH5" s="199" t="str">
        <f>IF(AI5&gt;=S9,"OK","Not OK")</f>
        <v>Not OK</v>
      </c>
      <c r="AI5" s="201">
        <f>IFERROR(ROUNDDOWN(IF(ST_Indicator="No",('Premium Calculation'!$F$5*1000/AI4),(('Premium Calculation'!$F$5/(1+STax_1))*1000/AI4)),0),0)</f>
        <v>244116</v>
      </c>
      <c r="AJ5" s="197"/>
      <c r="AK5" s="197"/>
    </row>
    <row r="6" spans="2:37" ht="15.75">
      <c r="B6" s="76">
        <v>20</v>
      </c>
      <c r="C6" s="74">
        <v>101.7</v>
      </c>
      <c r="D6" s="77">
        <v>2.2000000000000002</v>
      </c>
      <c r="E6" s="78">
        <v>2.4900000000000002</v>
      </c>
      <c r="F6" s="78">
        <v>2.78</v>
      </c>
      <c r="G6" s="78">
        <v>3.07</v>
      </c>
      <c r="H6" s="78">
        <v>3.36</v>
      </c>
      <c r="I6" s="78">
        <v>3.66</v>
      </c>
      <c r="J6" s="78">
        <v>3.95</v>
      </c>
      <c r="K6" s="78">
        <v>4.24</v>
      </c>
      <c r="L6" s="78">
        <v>4.53</v>
      </c>
      <c r="M6" s="78">
        <v>4.82</v>
      </c>
      <c r="N6" s="78">
        <v>5.1100000000000003</v>
      </c>
      <c r="O6" s="78">
        <v>5.4</v>
      </c>
      <c r="P6" s="78">
        <v>5.69</v>
      </c>
      <c r="Q6" s="74">
        <v>5.98</v>
      </c>
      <c r="R6" s="71"/>
      <c r="S6" s="79">
        <v>400000</v>
      </c>
      <c r="T6" s="74">
        <v>4</v>
      </c>
      <c r="V6" s="73" t="s">
        <v>147</v>
      </c>
      <c r="W6" s="160">
        <f>W4-W5</f>
        <v>105</v>
      </c>
      <c r="X6" s="168">
        <f>X4-X5</f>
        <v>105</v>
      </c>
      <c r="Y6" s="167">
        <f>ROUND(X6*SA/1000*IF(Prem_Mode="Monthly",0.09,1),0)*IF(Prem_Mode="Monthly",12,1)</f>
        <v>23100</v>
      </c>
      <c r="AH6" s="199"/>
      <c r="AI6" s="199">
        <f>(VLOOKUP(Age,RATES,2,FALSE)-T8+IFERROR(VLOOKUP(Age,RATES,MATCH(EM_PC,RATES_HEADINGS),FALSE),0)+Tot_Flat_Extra)*VLOOKUP(Prem_Mode,$S$13:$T$14,2,FALSE)</f>
        <v>99</v>
      </c>
    </row>
    <row r="7" spans="2:37" ht="15.75">
      <c r="B7" s="76">
        <v>21</v>
      </c>
      <c r="C7" s="74">
        <v>101.76</v>
      </c>
      <c r="D7" s="77">
        <v>2.23</v>
      </c>
      <c r="E7" s="78">
        <v>2.54</v>
      </c>
      <c r="F7" s="78">
        <v>2.85</v>
      </c>
      <c r="G7" s="78">
        <v>3.16</v>
      </c>
      <c r="H7" s="78">
        <v>3.46</v>
      </c>
      <c r="I7" s="78">
        <v>3.77</v>
      </c>
      <c r="J7" s="78">
        <v>4.08</v>
      </c>
      <c r="K7" s="78">
        <v>4.3899999999999997</v>
      </c>
      <c r="L7" s="78">
        <v>4.7</v>
      </c>
      <c r="M7" s="78">
        <v>5</v>
      </c>
      <c r="N7" s="78">
        <v>5.31</v>
      </c>
      <c r="O7" s="78">
        <v>5.62</v>
      </c>
      <c r="P7" s="78">
        <v>5.93</v>
      </c>
      <c r="Q7" s="74">
        <v>6.23</v>
      </c>
      <c r="R7" s="71"/>
      <c r="S7" s="79">
        <v>500000</v>
      </c>
      <c r="T7" s="74">
        <v>5</v>
      </c>
      <c r="V7" s="73" t="s">
        <v>98</v>
      </c>
      <c r="W7" s="161">
        <f>IF(Staff_Case='Premium Calculation'!$P$5,15%,0)</f>
        <v>0</v>
      </c>
      <c r="X7" s="169">
        <f>Staff_Discount</f>
        <v>0</v>
      </c>
      <c r="Y7" s="178"/>
      <c r="AH7" s="199" t="str">
        <f>IF(AI5&gt;=S8,"OK","Not OK")</f>
        <v>Not OK</v>
      </c>
      <c r="AI7" s="201">
        <f>IFERROR(ROUNDDOWN(IF(ST_Indicator="No",('Premium Calculation'!$F$5*1000/AI6),(('Premium Calculation'!$F$5/(1+STax_1))*1000/AI6)),0),0)</f>
        <v>241650</v>
      </c>
    </row>
    <row r="8" spans="2:37" ht="15.75">
      <c r="B8" s="76">
        <v>22</v>
      </c>
      <c r="C8" s="74">
        <v>101.85</v>
      </c>
      <c r="D8" s="77">
        <v>2.2400000000000002</v>
      </c>
      <c r="E8" s="78">
        <v>2.57</v>
      </c>
      <c r="F8" s="78">
        <v>2.9</v>
      </c>
      <c r="G8" s="78">
        <v>3.23</v>
      </c>
      <c r="H8" s="78">
        <v>3.55</v>
      </c>
      <c r="I8" s="78">
        <v>3.88</v>
      </c>
      <c r="J8" s="78">
        <v>4.21</v>
      </c>
      <c r="K8" s="78">
        <v>4.54</v>
      </c>
      <c r="L8" s="78">
        <v>4.8600000000000003</v>
      </c>
      <c r="M8" s="78">
        <v>5.19</v>
      </c>
      <c r="N8" s="78">
        <v>5.51</v>
      </c>
      <c r="O8" s="78">
        <v>5.84</v>
      </c>
      <c r="P8" s="78">
        <v>6.16</v>
      </c>
      <c r="Q8" s="74">
        <v>6.49</v>
      </c>
      <c r="R8" s="71"/>
      <c r="S8" s="79">
        <v>600000</v>
      </c>
      <c r="T8" s="74">
        <v>6</v>
      </c>
      <c r="V8" s="73" t="s">
        <v>101</v>
      </c>
      <c r="W8" s="159">
        <f>Flat_Extra</f>
        <v>0</v>
      </c>
      <c r="X8" s="167">
        <f>Tot_Flat_Extra</f>
        <v>0</v>
      </c>
      <c r="AH8" s="199"/>
      <c r="AI8" s="199">
        <f>(VLOOKUP(Age,RATES,2,FALSE)-T7+IFERROR(VLOOKUP(Age,RATES,MATCH(EM_PC,RATES_HEADINGS),FALSE),0)+Tot_Flat_Extra)*VLOOKUP(Prem_Mode,$S$13:$T$14,2,FALSE)</f>
        <v>100</v>
      </c>
    </row>
    <row r="9" spans="2:37" ht="15.75">
      <c r="B9" s="76">
        <v>23</v>
      </c>
      <c r="C9" s="74">
        <v>101.96</v>
      </c>
      <c r="D9" s="77">
        <v>2.2400000000000002</v>
      </c>
      <c r="E9" s="78">
        <v>2.59</v>
      </c>
      <c r="F9" s="78">
        <v>2.95</v>
      </c>
      <c r="G9" s="78">
        <v>3.3</v>
      </c>
      <c r="H9" s="78">
        <v>3.65</v>
      </c>
      <c r="I9" s="78">
        <v>3.99</v>
      </c>
      <c r="J9" s="78">
        <v>4.34</v>
      </c>
      <c r="K9" s="78">
        <v>4.6900000000000004</v>
      </c>
      <c r="L9" s="78">
        <v>5.04</v>
      </c>
      <c r="M9" s="78">
        <v>5.38</v>
      </c>
      <c r="N9" s="78">
        <v>5.73</v>
      </c>
      <c r="O9" s="78">
        <v>6.08</v>
      </c>
      <c r="P9" s="78">
        <v>6.42</v>
      </c>
      <c r="Q9" s="74">
        <v>6.76</v>
      </c>
      <c r="R9" s="71"/>
      <c r="S9" s="79">
        <v>900000</v>
      </c>
      <c r="T9" s="74">
        <v>7</v>
      </c>
      <c r="V9" s="73" t="s">
        <v>112</v>
      </c>
      <c r="W9" s="161">
        <f>EM_PC</f>
        <v>0</v>
      </c>
      <c r="X9" s="169">
        <f>EMR_Rating</f>
        <v>0</v>
      </c>
      <c r="AH9" s="199" t="str">
        <f>IF(AI5&gt;=S7,"OK","Not OK")</f>
        <v>Not OK</v>
      </c>
      <c r="AI9" s="201">
        <f>IFERROR(ROUNDDOWN(IF(ST_Indicator="No",('Premium Calculation'!$F$5*1000/AI8),(('Premium Calculation'!$F$5/(1+STax_1))*1000/AI8)),0),0)</f>
        <v>239234</v>
      </c>
    </row>
    <row r="10" spans="2:37" ht="16.5" thickBot="1">
      <c r="B10" s="76">
        <v>24</v>
      </c>
      <c r="C10" s="74">
        <v>102.09</v>
      </c>
      <c r="D10" s="77">
        <v>2.2400000000000002</v>
      </c>
      <c r="E10" s="78">
        <v>2.62</v>
      </c>
      <c r="F10" s="78">
        <v>3</v>
      </c>
      <c r="G10" s="78">
        <v>3.37</v>
      </c>
      <c r="H10" s="78">
        <v>3.75</v>
      </c>
      <c r="I10" s="78">
        <v>4.12</v>
      </c>
      <c r="J10" s="78">
        <v>4.49</v>
      </c>
      <c r="K10" s="78">
        <v>4.8600000000000003</v>
      </c>
      <c r="L10" s="78">
        <v>5.23</v>
      </c>
      <c r="M10" s="78">
        <v>5.6</v>
      </c>
      <c r="N10" s="78">
        <v>5.97</v>
      </c>
      <c r="O10" s="78">
        <v>6.34</v>
      </c>
      <c r="P10" s="78">
        <v>6.71</v>
      </c>
      <c r="Q10" s="74">
        <v>7.07</v>
      </c>
      <c r="R10" s="71"/>
      <c r="S10" s="80">
        <v>1000000000</v>
      </c>
      <c r="T10" s="81">
        <v>7</v>
      </c>
      <c r="V10" s="73" t="s">
        <v>113</v>
      </c>
      <c r="W10" s="160">
        <f>IFERROR(VLOOKUP(Age,RATES,MATCH(EM_PC,RATES_HEADINGS),FALSE),0)</f>
        <v>0</v>
      </c>
      <c r="X10" s="168">
        <f>EMR_Rate</f>
        <v>0</v>
      </c>
      <c r="AH10" s="199"/>
      <c r="AI10" s="199">
        <f>(VLOOKUP(Age,RATES,2,FALSE)-T6+IFERROR(VLOOKUP(Age,RATES,MATCH(EM_PC,RATES_HEADINGS),FALSE),0)+Tot_Flat_Extra)*VLOOKUP(Prem_Mode,$S$13:$T$14,2,FALSE)</f>
        <v>101</v>
      </c>
    </row>
    <row r="11" spans="2:37" ht="16.5" thickBot="1">
      <c r="B11" s="76">
        <v>25</v>
      </c>
      <c r="C11" s="74">
        <v>102.25</v>
      </c>
      <c r="D11" s="77">
        <v>2.23</v>
      </c>
      <c r="E11" s="78">
        <v>2.64</v>
      </c>
      <c r="F11" s="78">
        <v>3.04</v>
      </c>
      <c r="G11" s="78">
        <v>3.44</v>
      </c>
      <c r="H11" s="78">
        <v>3.85</v>
      </c>
      <c r="I11" s="78">
        <v>4.25</v>
      </c>
      <c r="J11" s="78">
        <v>4.6500000000000004</v>
      </c>
      <c r="K11" s="78">
        <v>5.04</v>
      </c>
      <c r="L11" s="78">
        <v>5.44</v>
      </c>
      <c r="M11" s="78">
        <v>5.84</v>
      </c>
      <c r="N11" s="78">
        <v>6.23</v>
      </c>
      <c r="O11" s="78">
        <v>6.62</v>
      </c>
      <c r="P11" s="78">
        <v>7.02</v>
      </c>
      <c r="Q11" s="74">
        <v>7.41</v>
      </c>
      <c r="R11" s="71"/>
      <c r="V11" s="73" t="s">
        <v>151</v>
      </c>
      <c r="W11" s="162">
        <f>(Prem_after_rebate*(1-Staff_Discount))</f>
        <v>105</v>
      </c>
      <c r="X11" s="170">
        <f>X6*(1-X7)</f>
        <v>105</v>
      </c>
      <c r="Y11" s="177"/>
      <c r="AH11" s="199" t="str">
        <f>IF(AI5&gt;=S6,"OK","Not OK")</f>
        <v>Not OK</v>
      </c>
      <c r="AI11" s="201">
        <f>IFERROR(ROUNDDOWN(IF(ST_Indicator="No",('Premium Calculation'!$F$5*1000/AI10),(('Premium Calculation'!$F$5/(1+STax_1))*1000/AI10)),0),0)</f>
        <v>236865</v>
      </c>
    </row>
    <row r="12" spans="2:37" ht="16.5" thickBot="1">
      <c r="B12" s="76">
        <v>26</v>
      </c>
      <c r="C12" s="74">
        <v>102.42</v>
      </c>
      <c r="D12" s="77">
        <v>2.23</v>
      </c>
      <c r="E12" s="78">
        <v>2.67</v>
      </c>
      <c r="F12" s="78">
        <v>3.1</v>
      </c>
      <c r="G12" s="78">
        <v>3.54</v>
      </c>
      <c r="H12" s="78">
        <v>3.97</v>
      </c>
      <c r="I12" s="78">
        <v>4.4000000000000004</v>
      </c>
      <c r="J12" s="78">
        <v>4.83</v>
      </c>
      <c r="K12" s="78">
        <v>5.26</v>
      </c>
      <c r="L12" s="78">
        <v>5.69</v>
      </c>
      <c r="M12" s="78">
        <v>6.11</v>
      </c>
      <c r="N12" s="78">
        <v>6.53</v>
      </c>
      <c r="O12" s="78">
        <v>6.96</v>
      </c>
      <c r="P12" s="78">
        <v>7.38</v>
      </c>
      <c r="Q12" s="74">
        <v>7.79</v>
      </c>
      <c r="R12" s="71"/>
      <c r="S12" s="82" t="s">
        <v>84</v>
      </c>
      <c r="T12" s="64" t="s">
        <v>114</v>
      </c>
      <c r="V12" s="83" t="s">
        <v>115</v>
      </c>
      <c r="W12" s="163">
        <f xml:space="preserve"> Tot_Flat_Extra + EMR_Rate</f>
        <v>0</v>
      </c>
      <c r="X12" s="171">
        <f>X10+X8</f>
        <v>0</v>
      </c>
      <c r="Y12" s="182" t="s">
        <v>153</v>
      </c>
      <c r="AH12" s="199"/>
      <c r="AI12" s="199">
        <f>(VLOOKUP(Age,RATES,2,FALSE)-T5+IFERROR(VLOOKUP(Age,RATES,MATCH(EM_PC,RATES_HEADINGS),FALSE),0)+Tot_Flat_Extra)*VLOOKUP(Prem_Mode,$S$13:$T$14,2,FALSE)</f>
        <v>102</v>
      </c>
    </row>
    <row r="13" spans="2:37" ht="16.5" thickBot="1">
      <c r="B13" s="76">
        <v>27</v>
      </c>
      <c r="C13" s="74">
        <v>102.62</v>
      </c>
      <c r="D13" s="77">
        <v>2.2200000000000002</v>
      </c>
      <c r="E13" s="78">
        <v>2.7</v>
      </c>
      <c r="F13" s="78">
        <v>3.17</v>
      </c>
      <c r="G13" s="78">
        <v>3.64</v>
      </c>
      <c r="H13" s="78">
        <v>4.1100000000000003</v>
      </c>
      <c r="I13" s="78">
        <v>4.57</v>
      </c>
      <c r="J13" s="78">
        <v>5.03</v>
      </c>
      <c r="K13" s="78">
        <v>5.49</v>
      </c>
      <c r="L13" s="78">
        <v>5.95</v>
      </c>
      <c r="M13" s="78">
        <v>6.41</v>
      </c>
      <c r="N13" s="78">
        <v>6.87</v>
      </c>
      <c r="O13" s="78">
        <v>7.32</v>
      </c>
      <c r="P13" s="78">
        <v>7.77</v>
      </c>
      <c r="Q13" s="74">
        <v>8.2200000000000006</v>
      </c>
      <c r="R13" s="71"/>
      <c r="S13" s="72" t="s">
        <v>90</v>
      </c>
      <c r="T13" s="68">
        <v>1</v>
      </c>
      <c r="V13" s="156" t="s">
        <v>145</v>
      </c>
      <c r="W13" s="164">
        <f>TRUNC(Net_Prem_Rate+Net_EMR_Rate,2)</f>
        <v>105</v>
      </c>
      <c r="X13" s="172">
        <f>ROUND(X11+X12,2)</f>
        <v>105</v>
      </c>
      <c r="Y13" s="167">
        <f>ROUND(ROUND(X11,2)*X15,0)</f>
        <v>23100</v>
      </c>
      <c r="Z13" s="183" t="s">
        <v>154</v>
      </c>
      <c r="AA13" s="181"/>
      <c r="AB13" s="181"/>
      <c r="AC13" s="181"/>
      <c r="AH13" s="199" t="str">
        <f>IF(AI5&gt;=S5,"OK","Not OK")</f>
        <v>Not OK</v>
      </c>
      <c r="AI13" s="201">
        <f>IFERROR(ROUNDDOWN(IF(ST_Indicator="No",('Premium Calculation'!$F$5*1000/AI12),(('Premium Calculation'!$F$5/(1+STax_1))*1000/AI12)),0),0)</f>
        <v>234543</v>
      </c>
    </row>
    <row r="14" spans="2:37" ht="16.5" thickBot="1">
      <c r="B14" s="76">
        <v>28</v>
      </c>
      <c r="C14" s="74">
        <v>102.84</v>
      </c>
      <c r="D14" s="77">
        <v>2.21</v>
      </c>
      <c r="E14" s="78">
        <v>2.73</v>
      </c>
      <c r="F14" s="78">
        <v>3.24</v>
      </c>
      <c r="G14" s="78">
        <v>3.75</v>
      </c>
      <c r="H14" s="78">
        <v>4.26</v>
      </c>
      <c r="I14" s="78">
        <v>4.76</v>
      </c>
      <c r="J14" s="78">
        <v>5.26</v>
      </c>
      <c r="K14" s="78">
        <v>5.76</v>
      </c>
      <c r="L14" s="78">
        <v>6.25</v>
      </c>
      <c r="M14" s="78">
        <v>6.75</v>
      </c>
      <c r="N14" s="78">
        <v>7.23</v>
      </c>
      <c r="O14" s="78">
        <v>7.72</v>
      </c>
      <c r="P14" s="78">
        <v>8.2100000000000009</v>
      </c>
      <c r="Q14" s="74">
        <v>8.69</v>
      </c>
      <c r="R14" s="71"/>
      <c r="S14" s="80" t="s">
        <v>94</v>
      </c>
      <c r="T14" s="81">
        <v>0.09</v>
      </c>
      <c r="V14" s="156" t="s">
        <v>146</v>
      </c>
      <c r="W14" s="164">
        <f>TRUNC(Prem_after_rebate+Net_EMR_Rate,2)</f>
        <v>105</v>
      </c>
      <c r="X14" s="172">
        <f>X6+X12</f>
        <v>105</v>
      </c>
      <c r="Y14" s="167">
        <f>ROUND(X6*X15,0)</f>
        <v>23100</v>
      </c>
      <c r="Z14" s="183" t="s">
        <v>155</v>
      </c>
      <c r="AA14" s="181"/>
      <c r="AB14" s="181"/>
      <c r="AC14" s="181"/>
      <c r="AH14" s="199"/>
      <c r="AI14" s="199">
        <f>(VLOOKUP(Age,RATES,2,FALSE)-T4+IFERROR(VLOOKUP(Age,RATES,MATCH(EM_PC,RATES_HEADINGS),FALSE),0)+Tot_Flat_Extra)*VLOOKUP(Prem_Mode,$S$13:$T$14,2,FALSE)</f>
        <v>105</v>
      </c>
    </row>
    <row r="15" spans="2:37" ht="16.5" thickBot="1">
      <c r="B15" s="76">
        <v>29</v>
      </c>
      <c r="C15" s="74">
        <v>103.08</v>
      </c>
      <c r="D15" s="77">
        <v>2.21</v>
      </c>
      <c r="E15" s="78">
        <v>2.77</v>
      </c>
      <c r="F15" s="78">
        <v>3.33</v>
      </c>
      <c r="G15" s="78">
        <v>3.88</v>
      </c>
      <c r="H15" s="78">
        <v>4.43</v>
      </c>
      <c r="I15" s="78">
        <v>4.97</v>
      </c>
      <c r="J15" s="78">
        <v>5.51</v>
      </c>
      <c r="K15" s="78">
        <v>6.05</v>
      </c>
      <c r="L15" s="78">
        <v>6.59</v>
      </c>
      <c r="M15" s="78">
        <v>7.12</v>
      </c>
      <c r="N15" s="78">
        <v>7.64</v>
      </c>
      <c r="O15" s="78">
        <v>8.17</v>
      </c>
      <c r="P15" s="78">
        <v>8.69</v>
      </c>
      <c r="Q15" s="74">
        <v>9.2100000000000009</v>
      </c>
      <c r="V15" s="84" t="s">
        <v>116</v>
      </c>
      <c r="W15" s="165">
        <f>SA/1000*VLOOKUP(Prem_Mode,$S$13:$T$14,2,FALSE)</f>
        <v>220</v>
      </c>
      <c r="X15" s="173">
        <f>SA_by_1000_n_Modal_Factor</f>
        <v>220</v>
      </c>
      <c r="Y15" s="176"/>
      <c r="AH15" s="199" t="str">
        <f>IF(AI5&gt;=S4,"OK","Not OK")</f>
        <v>OK</v>
      </c>
      <c r="AI15" s="201">
        <f>IFERROR(ROUNDDOWN(IF(ST_Indicator="No",('Premium Calculation'!$F$5*1000/AI14),(('Premium Calculation'!$F$5/(1+STax_1))*1000/AI14)),0),0)</f>
        <v>227842</v>
      </c>
    </row>
    <row r="16" spans="2:37" ht="16.5" thickBot="1">
      <c r="B16" s="76">
        <v>30</v>
      </c>
      <c r="C16" s="74">
        <v>103.35</v>
      </c>
      <c r="D16" s="77">
        <v>2.2000000000000002</v>
      </c>
      <c r="E16" s="78">
        <v>2.81</v>
      </c>
      <c r="F16" s="78">
        <v>3.42</v>
      </c>
      <c r="G16" s="78">
        <v>4.01</v>
      </c>
      <c r="H16" s="78">
        <v>4.6100000000000003</v>
      </c>
      <c r="I16" s="78">
        <v>5.2</v>
      </c>
      <c r="J16" s="78">
        <v>5.78</v>
      </c>
      <c r="K16" s="78">
        <v>6.36</v>
      </c>
      <c r="L16" s="78">
        <v>6.94</v>
      </c>
      <c r="M16" s="78">
        <v>7.51</v>
      </c>
      <c r="N16" s="78">
        <v>8.08</v>
      </c>
      <c r="O16" s="78">
        <v>8.65</v>
      </c>
      <c r="P16" s="78">
        <v>9.2100000000000009</v>
      </c>
      <c r="Q16" s="74">
        <v>9.76</v>
      </c>
      <c r="X16" s="75"/>
    </row>
    <row r="17" spans="2:27" ht="16.5" customHeight="1" thickBot="1">
      <c r="B17" s="76">
        <v>31</v>
      </c>
      <c r="C17" s="74">
        <v>103.63</v>
      </c>
      <c r="D17" s="77">
        <v>2.21</v>
      </c>
      <c r="E17" s="78">
        <v>2.87</v>
      </c>
      <c r="F17" s="78">
        <v>3.52</v>
      </c>
      <c r="G17" s="78">
        <v>4.17</v>
      </c>
      <c r="H17" s="78">
        <v>4.82</v>
      </c>
      <c r="I17" s="78">
        <v>5.46</v>
      </c>
      <c r="J17" s="78">
        <v>6.09</v>
      </c>
      <c r="K17" s="78">
        <v>6.72</v>
      </c>
      <c r="L17" s="78">
        <v>7.34</v>
      </c>
      <c r="M17" s="78">
        <v>7.96</v>
      </c>
      <c r="N17" s="78">
        <v>8.57</v>
      </c>
      <c r="O17" s="78">
        <v>9.18</v>
      </c>
      <c r="P17" s="78">
        <v>9.7799999999999994</v>
      </c>
      <c r="Q17" s="74">
        <v>10.37</v>
      </c>
      <c r="V17" s="244" t="s">
        <v>139</v>
      </c>
      <c r="W17" s="245"/>
      <c r="X17" s="246"/>
      <c r="AA17" s="75"/>
    </row>
    <row r="18" spans="2:27" ht="45">
      <c r="B18" s="76">
        <v>32</v>
      </c>
      <c r="C18" s="74">
        <v>103.94</v>
      </c>
      <c r="D18" s="77">
        <v>2.21</v>
      </c>
      <c r="E18" s="78">
        <v>2.93</v>
      </c>
      <c r="F18" s="78">
        <v>3.64</v>
      </c>
      <c r="G18" s="78">
        <v>4.34</v>
      </c>
      <c r="H18" s="78">
        <v>5.04</v>
      </c>
      <c r="I18" s="78">
        <v>5.73</v>
      </c>
      <c r="J18" s="78">
        <v>6.41</v>
      </c>
      <c r="K18" s="78">
        <v>7.09</v>
      </c>
      <c r="L18" s="78">
        <v>7.76</v>
      </c>
      <c r="M18" s="78">
        <v>8.43</v>
      </c>
      <c r="N18" s="78">
        <v>9.08</v>
      </c>
      <c r="O18" s="78">
        <v>9.74</v>
      </c>
      <c r="P18" s="78">
        <v>10.38</v>
      </c>
      <c r="Q18" s="74">
        <v>11.02</v>
      </c>
      <c r="V18" s="85" t="s">
        <v>144</v>
      </c>
      <c r="W18" s="158">
        <f>ROUND(Tot_Prem_Rate_Yr1*SA_by_1000_n_Modal_Factor,2)</f>
        <v>23100</v>
      </c>
      <c r="X18" s="166">
        <f>ROUND(Tot_Prem_Rate_Oasis_Yr1*X15,0)</f>
        <v>23100</v>
      </c>
      <c r="AA18" s="75"/>
    </row>
    <row r="19" spans="2:27" ht="30">
      <c r="B19" s="76">
        <v>33</v>
      </c>
      <c r="C19" s="74">
        <v>104.27</v>
      </c>
      <c r="D19" s="77">
        <v>2.21</v>
      </c>
      <c r="E19" s="78">
        <v>2.99</v>
      </c>
      <c r="F19" s="78">
        <v>3.76</v>
      </c>
      <c r="G19" s="78">
        <v>4.53</v>
      </c>
      <c r="H19" s="78">
        <v>5.28</v>
      </c>
      <c r="I19" s="78">
        <v>6.03</v>
      </c>
      <c r="J19" s="78">
        <v>6.76</v>
      </c>
      <c r="K19" s="78">
        <v>7.49</v>
      </c>
      <c r="L19" s="78">
        <v>8.2200000000000006</v>
      </c>
      <c r="M19" s="78">
        <v>8.93</v>
      </c>
      <c r="N19" s="78">
        <v>9.64</v>
      </c>
      <c r="O19" s="78">
        <v>10.34</v>
      </c>
      <c r="P19" s="78">
        <v>11.03</v>
      </c>
      <c r="Q19" s="74">
        <v>11.71</v>
      </c>
      <c r="V19" s="73" t="s">
        <v>156</v>
      </c>
      <c r="W19" s="160">
        <f>ROUND((W18)*STax_1,2)</f>
        <v>1039.5</v>
      </c>
      <c r="X19" s="168">
        <f>X18*STax_1</f>
        <v>1039.5</v>
      </c>
      <c r="AA19" s="75"/>
    </row>
    <row r="20" spans="2:27" ht="15.75">
      <c r="B20" s="76">
        <v>34</v>
      </c>
      <c r="C20" s="74">
        <v>104.63</v>
      </c>
      <c r="D20" s="77">
        <v>2.21</v>
      </c>
      <c r="E20" s="78">
        <v>3.06</v>
      </c>
      <c r="F20" s="78">
        <v>3.9</v>
      </c>
      <c r="G20" s="78">
        <v>4.72</v>
      </c>
      <c r="H20" s="78">
        <v>5.53</v>
      </c>
      <c r="I20" s="78">
        <v>6.34</v>
      </c>
      <c r="J20" s="78">
        <v>7.14</v>
      </c>
      <c r="K20" s="78">
        <v>7.92</v>
      </c>
      <c r="L20" s="78">
        <v>8.6999999999999993</v>
      </c>
      <c r="M20" s="78">
        <v>9.4700000000000006</v>
      </c>
      <c r="N20" s="78">
        <v>10.220000000000001</v>
      </c>
      <c r="O20" s="78">
        <v>10.97</v>
      </c>
      <c r="P20" s="78">
        <v>11.71</v>
      </c>
      <c r="Q20" s="74">
        <v>12.44</v>
      </c>
      <c r="V20" s="73" t="s">
        <v>143</v>
      </c>
      <c r="W20" s="160">
        <f>W18+W19</f>
        <v>24139.5</v>
      </c>
      <c r="X20" s="167">
        <f>X18+X19</f>
        <v>24139.5</v>
      </c>
      <c r="AA20" s="75"/>
    </row>
    <row r="21" spans="2:27" ht="15.75">
      <c r="B21" s="76">
        <v>35</v>
      </c>
      <c r="C21" s="74">
        <v>105</v>
      </c>
      <c r="D21" s="77">
        <v>2.23</v>
      </c>
      <c r="E21" s="78">
        <v>3.15</v>
      </c>
      <c r="F21" s="78">
        <v>4.05</v>
      </c>
      <c r="G21" s="78">
        <v>4.9400000000000004</v>
      </c>
      <c r="H21" s="78">
        <v>5.82</v>
      </c>
      <c r="I21" s="78">
        <v>6.69</v>
      </c>
      <c r="J21" s="78">
        <v>7.55</v>
      </c>
      <c r="K21" s="78">
        <v>8.39</v>
      </c>
      <c r="L21" s="78">
        <v>9.23</v>
      </c>
      <c r="M21" s="78">
        <v>10.050000000000001</v>
      </c>
      <c r="N21" s="78">
        <v>10.86</v>
      </c>
      <c r="O21" s="78">
        <v>11.66</v>
      </c>
      <c r="P21" s="78">
        <v>12.46</v>
      </c>
      <c r="Q21" s="74">
        <v>13.25</v>
      </c>
      <c r="V21" s="73" t="s">
        <v>142</v>
      </c>
      <c r="W21" s="159">
        <f>W18*IF(Prem_Mode="Monthly",12,1)</f>
        <v>23100</v>
      </c>
      <c r="X21" s="167">
        <f>X18*IF(Prem_Mode="Monthly",12,1)</f>
        <v>23100</v>
      </c>
      <c r="AA21" s="75"/>
    </row>
    <row r="22" spans="2:27" ht="16.5" thickBot="1">
      <c r="B22" s="76">
        <v>36</v>
      </c>
      <c r="C22" s="74">
        <v>105.38</v>
      </c>
      <c r="D22" s="77">
        <v>2.27</v>
      </c>
      <c r="E22" s="78">
        <v>3.26</v>
      </c>
      <c r="F22" s="78">
        <v>4.24</v>
      </c>
      <c r="G22" s="78">
        <v>5.2</v>
      </c>
      <c r="H22" s="78">
        <v>6.15</v>
      </c>
      <c r="I22" s="78">
        <v>7.09</v>
      </c>
      <c r="J22" s="78">
        <v>8.01</v>
      </c>
      <c r="K22" s="78">
        <v>8.92</v>
      </c>
      <c r="L22" s="78">
        <v>9.81</v>
      </c>
      <c r="M22" s="78">
        <v>10.69</v>
      </c>
      <c r="N22" s="78">
        <v>11.56</v>
      </c>
      <c r="O22" s="78">
        <v>12.42</v>
      </c>
      <c r="P22" s="78">
        <v>13.25</v>
      </c>
      <c r="Q22" s="74">
        <v>14.1</v>
      </c>
      <c r="V22"/>
      <c r="W22"/>
    </row>
    <row r="23" spans="2:27" ht="16.5" customHeight="1" thickBot="1">
      <c r="B23" s="76">
        <v>37</v>
      </c>
      <c r="C23" s="74">
        <v>105.77</v>
      </c>
      <c r="D23" s="77">
        <v>2.33</v>
      </c>
      <c r="E23" s="78">
        <v>3.41</v>
      </c>
      <c r="F23" s="78">
        <v>4.46</v>
      </c>
      <c r="G23" s="78">
        <v>5.5</v>
      </c>
      <c r="H23" s="78">
        <v>6.52</v>
      </c>
      <c r="I23" s="78">
        <v>7.53</v>
      </c>
      <c r="J23" s="78">
        <v>8.52</v>
      </c>
      <c r="K23" s="78">
        <v>9.49</v>
      </c>
      <c r="L23" s="78">
        <v>10.45</v>
      </c>
      <c r="M23" s="78">
        <v>11.4</v>
      </c>
      <c r="N23" s="78">
        <v>12.33</v>
      </c>
      <c r="O23" s="78">
        <v>13.24</v>
      </c>
      <c r="P23" s="78">
        <v>14.14</v>
      </c>
      <c r="Q23" s="74">
        <v>15.03</v>
      </c>
      <c r="V23" s="244" t="s">
        <v>140</v>
      </c>
      <c r="W23" s="245"/>
      <c r="X23" s="246"/>
      <c r="Y23"/>
      <c r="Z23"/>
    </row>
    <row r="24" spans="2:27" ht="45">
      <c r="B24" s="76">
        <v>38</v>
      </c>
      <c r="C24" s="74">
        <v>106.17</v>
      </c>
      <c r="D24" s="77">
        <v>2.42</v>
      </c>
      <c r="E24" s="78">
        <v>3.58</v>
      </c>
      <c r="F24" s="78">
        <v>4.72</v>
      </c>
      <c r="G24" s="78">
        <v>5.84</v>
      </c>
      <c r="H24" s="78">
        <v>6.94</v>
      </c>
      <c r="I24" s="78">
        <v>8.0299999999999994</v>
      </c>
      <c r="J24" s="78">
        <v>9.09</v>
      </c>
      <c r="K24" s="78">
        <v>10.14</v>
      </c>
      <c r="L24" s="78">
        <v>11.16</v>
      </c>
      <c r="M24" s="78">
        <v>12.17</v>
      </c>
      <c r="N24" s="78">
        <v>13.17</v>
      </c>
      <c r="O24" s="78">
        <v>14.15</v>
      </c>
      <c r="P24" s="78">
        <v>15.11</v>
      </c>
      <c r="Q24" s="74">
        <v>16.059999999999999</v>
      </c>
      <c r="V24" s="85" t="s">
        <v>144</v>
      </c>
      <c r="W24" s="158">
        <f>ROUND(Tot_Prem_Rate_Yr2*SA_by_1000_n_Modal_Factor,2)</f>
        <v>23100</v>
      </c>
      <c r="X24" s="166">
        <f>ROUND(Tot_Prem_Rate_Oasis_Yr2*X15,0)</f>
        <v>23100</v>
      </c>
    </row>
    <row r="25" spans="2:27" ht="30">
      <c r="B25" s="76">
        <v>39</v>
      </c>
      <c r="C25" s="74">
        <v>106.58</v>
      </c>
      <c r="D25" s="77">
        <v>2.54</v>
      </c>
      <c r="E25" s="78">
        <v>3.8</v>
      </c>
      <c r="F25" s="78">
        <v>5.03</v>
      </c>
      <c r="G25" s="78">
        <v>6.24</v>
      </c>
      <c r="H25" s="78">
        <v>7.42</v>
      </c>
      <c r="I25" s="78">
        <v>8.59</v>
      </c>
      <c r="J25" s="78">
        <v>9.73</v>
      </c>
      <c r="K25" s="78">
        <v>10.85</v>
      </c>
      <c r="L25" s="78">
        <v>11.96</v>
      </c>
      <c r="M25" s="78">
        <v>13.04</v>
      </c>
      <c r="N25" s="78">
        <v>14.1</v>
      </c>
      <c r="O25" s="78">
        <v>15.15</v>
      </c>
      <c r="P25" s="78">
        <v>16.18</v>
      </c>
      <c r="Q25" s="74">
        <v>17.190000000000001</v>
      </c>
      <c r="V25" s="73" t="s">
        <v>156</v>
      </c>
      <c r="W25" s="160">
        <f>ROUND((W24)*Stax_2,2)</f>
        <v>519.75</v>
      </c>
      <c r="X25" s="168">
        <f>X24*Stax_2</f>
        <v>519.75</v>
      </c>
    </row>
    <row r="26" spans="2:27" ht="15.75">
      <c r="B26" s="76">
        <v>40</v>
      </c>
      <c r="C26" s="74">
        <v>107</v>
      </c>
      <c r="D26" s="77">
        <v>2.7</v>
      </c>
      <c r="E26" s="78">
        <v>4.0599999999999996</v>
      </c>
      <c r="F26" s="78">
        <v>5.39</v>
      </c>
      <c r="G26" s="78">
        <v>6.69</v>
      </c>
      <c r="H26" s="78">
        <v>7.97</v>
      </c>
      <c r="I26" s="78">
        <v>9.23</v>
      </c>
      <c r="J26" s="78">
        <v>10.46</v>
      </c>
      <c r="K26" s="78">
        <v>11.66</v>
      </c>
      <c r="L26" s="78">
        <v>12.84</v>
      </c>
      <c r="M26" s="78">
        <v>14</v>
      </c>
      <c r="N26" s="78">
        <v>15.14</v>
      </c>
      <c r="O26" s="78">
        <v>16.260000000000002</v>
      </c>
      <c r="P26" s="78">
        <v>17.37</v>
      </c>
      <c r="Q26" s="74">
        <v>18.47</v>
      </c>
      <c r="V26" s="73" t="s">
        <v>143</v>
      </c>
      <c r="W26" s="159">
        <f>W24+W25</f>
        <v>23619.75</v>
      </c>
      <c r="X26" s="167">
        <f>X24+X25</f>
        <v>23619.75</v>
      </c>
    </row>
    <row r="27" spans="2:27" ht="15.75">
      <c r="B27" s="76">
        <v>41</v>
      </c>
      <c r="C27" s="74">
        <v>107.57</v>
      </c>
      <c r="D27" s="77">
        <v>2.78</v>
      </c>
      <c r="E27" s="78">
        <v>4.26</v>
      </c>
      <c r="F27" s="78">
        <v>5.69</v>
      </c>
      <c r="G27" s="78">
        <v>7.1</v>
      </c>
      <c r="H27" s="78">
        <v>8.49</v>
      </c>
      <c r="I27" s="78">
        <v>9.84</v>
      </c>
      <c r="J27" s="78">
        <v>11.16</v>
      </c>
      <c r="K27" s="78">
        <v>12.46</v>
      </c>
      <c r="L27" s="78">
        <v>13.73</v>
      </c>
      <c r="M27" s="78">
        <v>14.98</v>
      </c>
      <c r="N27" s="78">
        <v>16.21</v>
      </c>
      <c r="O27" s="78">
        <v>17.41</v>
      </c>
      <c r="P27" s="78">
        <v>18.61</v>
      </c>
      <c r="Q27" s="74">
        <v>19.79</v>
      </c>
      <c r="V27" s="73" t="s">
        <v>142</v>
      </c>
      <c r="W27" s="159">
        <f>W24*IF(Prem_Mode="Monthly",12,1)</f>
        <v>23100</v>
      </c>
      <c r="X27" s="167">
        <f>X24*IF(Prem_Mode="Monthly",12,1)</f>
        <v>23100</v>
      </c>
    </row>
    <row r="28" spans="2:27" ht="15.75">
      <c r="B28" s="76">
        <v>42</v>
      </c>
      <c r="C28" s="74">
        <v>108.15</v>
      </c>
      <c r="D28" s="77">
        <v>2.92</v>
      </c>
      <c r="E28" s="78">
        <v>4.51</v>
      </c>
      <c r="F28" s="78">
        <v>6.07</v>
      </c>
      <c r="G28" s="78">
        <v>7.6</v>
      </c>
      <c r="H28" s="78">
        <v>9.09</v>
      </c>
      <c r="I28" s="78">
        <v>10.55</v>
      </c>
      <c r="J28" s="78">
        <v>11.98</v>
      </c>
      <c r="K28" s="78">
        <v>13.38</v>
      </c>
      <c r="L28" s="78">
        <v>14.75</v>
      </c>
      <c r="M28" s="78">
        <v>16.100000000000001</v>
      </c>
      <c r="N28" s="78">
        <v>17.420000000000002</v>
      </c>
      <c r="O28" s="78">
        <v>18.739999999999998</v>
      </c>
      <c r="P28" s="78">
        <v>20.03</v>
      </c>
      <c r="Q28" s="74">
        <v>21.3</v>
      </c>
    </row>
    <row r="29" spans="2:27" ht="15.75">
      <c r="B29" s="76">
        <v>43</v>
      </c>
      <c r="C29" s="74">
        <v>108.76</v>
      </c>
      <c r="D29" s="77">
        <v>3.09</v>
      </c>
      <c r="E29" s="78">
        <v>4.83</v>
      </c>
      <c r="F29" s="78">
        <v>6.52</v>
      </c>
      <c r="G29" s="78">
        <v>8.17</v>
      </c>
      <c r="H29" s="78">
        <v>9.7899999999999991</v>
      </c>
      <c r="I29" s="78">
        <v>11.37</v>
      </c>
      <c r="J29" s="78">
        <v>12.91</v>
      </c>
      <c r="K29" s="78">
        <v>14.43</v>
      </c>
      <c r="L29" s="78">
        <v>15.91</v>
      </c>
      <c r="M29" s="78">
        <v>17.36</v>
      </c>
      <c r="N29" s="78">
        <v>18.809999999999999</v>
      </c>
      <c r="O29" s="78">
        <v>20.23</v>
      </c>
      <c r="P29" s="78">
        <v>21.62</v>
      </c>
      <c r="Q29" s="74">
        <v>23.02</v>
      </c>
    </row>
    <row r="30" spans="2:27" ht="15.75">
      <c r="B30" s="76">
        <v>44</v>
      </c>
      <c r="C30" s="74">
        <v>109.37</v>
      </c>
      <c r="D30" s="77">
        <v>3.35</v>
      </c>
      <c r="E30" s="78">
        <v>5.23</v>
      </c>
      <c r="F30" s="78">
        <v>7.06</v>
      </c>
      <c r="G30" s="78">
        <v>8.86</v>
      </c>
      <c r="H30" s="78">
        <v>10.61</v>
      </c>
      <c r="I30" s="78">
        <v>12.32</v>
      </c>
      <c r="J30" s="78">
        <v>13.99</v>
      </c>
      <c r="K30" s="78">
        <v>15.63</v>
      </c>
      <c r="L30" s="78">
        <v>17.23</v>
      </c>
      <c r="M30" s="78">
        <v>18.82</v>
      </c>
      <c r="N30" s="78">
        <v>20.39</v>
      </c>
      <c r="O30" s="78">
        <v>21.95</v>
      </c>
      <c r="P30" s="78">
        <v>23.47</v>
      </c>
      <c r="Q30" s="74">
        <v>24.97</v>
      </c>
    </row>
    <row r="31" spans="2:27" ht="15.75">
      <c r="B31" s="76">
        <v>45</v>
      </c>
      <c r="C31" s="74">
        <v>110</v>
      </c>
      <c r="D31" s="77">
        <v>3.66</v>
      </c>
      <c r="E31" s="78">
        <v>5.71</v>
      </c>
      <c r="F31" s="78">
        <v>7.71</v>
      </c>
      <c r="G31" s="78">
        <v>9.65</v>
      </c>
      <c r="H31" s="78">
        <v>11.55</v>
      </c>
      <c r="I31" s="78">
        <v>13.4</v>
      </c>
      <c r="J31" s="78">
        <v>15.21</v>
      </c>
      <c r="K31" s="78">
        <v>16.98</v>
      </c>
      <c r="L31" s="78">
        <v>18.760000000000002</v>
      </c>
      <c r="M31" s="78">
        <v>20.49</v>
      </c>
      <c r="N31" s="78">
        <v>22.19</v>
      </c>
      <c r="O31" s="78">
        <v>23.87</v>
      </c>
      <c r="P31" s="78">
        <v>25.53</v>
      </c>
      <c r="Q31" s="74">
        <v>27.17</v>
      </c>
    </row>
    <row r="32" spans="2:27" ht="15.75">
      <c r="B32" s="76">
        <v>46</v>
      </c>
      <c r="C32" s="74">
        <v>111.14</v>
      </c>
      <c r="D32" s="77">
        <v>3.64</v>
      </c>
      <c r="E32" s="78">
        <v>5.87</v>
      </c>
      <c r="F32" s="78">
        <v>8.06</v>
      </c>
      <c r="G32" s="78">
        <v>10.18</v>
      </c>
      <c r="H32" s="78">
        <v>12.25</v>
      </c>
      <c r="I32" s="78">
        <v>14.27</v>
      </c>
      <c r="J32" s="78">
        <v>16.239999999999998</v>
      </c>
      <c r="K32" s="78">
        <v>18.2</v>
      </c>
      <c r="L32" s="78">
        <v>20.13</v>
      </c>
      <c r="M32" s="78">
        <v>22.02</v>
      </c>
      <c r="N32" s="78">
        <v>23.89</v>
      </c>
      <c r="O32" s="78">
        <v>25.73</v>
      </c>
      <c r="P32" s="78">
        <v>27.56</v>
      </c>
      <c r="Q32" s="74">
        <v>29.37</v>
      </c>
    </row>
    <row r="33" spans="2:17" ht="15.75">
      <c r="B33" s="76">
        <v>47</v>
      </c>
      <c r="C33" s="74">
        <v>112.3</v>
      </c>
      <c r="D33" s="77">
        <v>3.7</v>
      </c>
      <c r="E33" s="78">
        <v>6.14</v>
      </c>
      <c r="F33" s="78">
        <v>8.5299999999999994</v>
      </c>
      <c r="G33" s="78">
        <v>10.84</v>
      </c>
      <c r="H33" s="78">
        <v>13.1</v>
      </c>
      <c r="I33" s="78">
        <v>15.32</v>
      </c>
      <c r="J33" s="78">
        <v>17.47</v>
      </c>
      <c r="K33" s="78">
        <v>19.62</v>
      </c>
      <c r="L33" s="78">
        <v>21.72</v>
      </c>
      <c r="M33" s="78">
        <v>23.8</v>
      </c>
      <c r="N33" s="78">
        <v>25.85</v>
      </c>
      <c r="O33" s="78">
        <v>27.88</v>
      </c>
      <c r="P33" s="78">
        <v>29.9</v>
      </c>
      <c r="Q33" s="74">
        <v>32.450000000000003</v>
      </c>
    </row>
    <row r="34" spans="2:17" ht="15.75">
      <c r="B34" s="76">
        <v>48</v>
      </c>
      <c r="C34" s="74">
        <v>113.51</v>
      </c>
      <c r="D34" s="77">
        <v>3.83</v>
      </c>
      <c r="E34" s="78">
        <v>6.5</v>
      </c>
      <c r="F34" s="78">
        <v>9.1</v>
      </c>
      <c r="G34" s="78">
        <v>11.63</v>
      </c>
      <c r="H34" s="78">
        <v>14.11</v>
      </c>
      <c r="I34" s="78">
        <v>16.510000000000002</v>
      </c>
      <c r="J34" s="78">
        <v>18.88</v>
      </c>
      <c r="K34" s="78">
        <v>21.22</v>
      </c>
      <c r="L34" s="78">
        <v>23.53</v>
      </c>
      <c r="M34" s="78">
        <v>25.8</v>
      </c>
      <c r="N34" s="78">
        <v>28.06</v>
      </c>
      <c r="O34" s="78">
        <v>30.31</v>
      </c>
      <c r="P34" s="78">
        <v>34.049999999999997</v>
      </c>
      <c r="Q34" s="74">
        <v>38.72</v>
      </c>
    </row>
    <row r="35" spans="2:17" ht="15.75">
      <c r="B35" s="76">
        <v>49</v>
      </c>
      <c r="C35" s="74">
        <v>114.74</v>
      </c>
      <c r="D35" s="77">
        <v>4.0599999999999996</v>
      </c>
      <c r="E35" s="78">
        <v>6.97</v>
      </c>
      <c r="F35" s="78">
        <v>9.81</v>
      </c>
      <c r="G35" s="78">
        <v>12.56</v>
      </c>
      <c r="H35" s="78">
        <v>15.26</v>
      </c>
      <c r="I35" s="78">
        <v>17.88</v>
      </c>
      <c r="J35" s="78">
        <v>20.48</v>
      </c>
      <c r="K35" s="78">
        <v>23.04</v>
      </c>
      <c r="L35" s="78">
        <v>25.57</v>
      </c>
      <c r="M35" s="78">
        <v>28.07</v>
      </c>
      <c r="N35" s="78">
        <v>30.57</v>
      </c>
      <c r="O35" s="78">
        <v>35.130000000000003</v>
      </c>
      <c r="P35" s="78">
        <v>40.619999999999997</v>
      </c>
      <c r="Q35" s="74">
        <v>46.46</v>
      </c>
    </row>
    <row r="36" spans="2:17" ht="15.75">
      <c r="B36" s="76">
        <v>50</v>
      </c>
      <c r="C36" s="74">
        <v>116</v>
      </c>
      <c r="D36" s="77">
        <v>4.38</v>
      </c>
      <c r="E36" s="78">
        <v>7.56</v>
      </c>
      <c r="F36" s="78">
        <v>10.65</v>
      </c>
      <c r="G36" s="78">
        <v>13.66</v>
      </c>
      <c r="H36" s="78">
        <v>16.57</v>
      </c>
      <c r="I36" s="78">
        <v>19.440000000000001</v>
      </c>
      <c r="J36" s="78">
        <v>22.28</v>
      </c>
      <c r="K36" s="78">
        <v>25.08</v>
      </c>
      <c r="L36" s="78">
        <v>27.85</v>
      </c>
      <c r="M36" s="78">
        <v>30.61</v>
      </c>
      <c r="N36" s="78">
        <v>35.99</v>
      </c>
      <c r="O36" s="78">
        <v>42.19</v>
      </c>
      <c r="P36" s="78">
        <v>49.33</v>
      </c>
      <c r="Q36" s="74">
        <v>57.02</v>
      </c>
    </row>
    <row r="37" spans="2:17" ht="15.75">
      <c r="B37" s="76">
        <v>51</v>
      </c>
      <c r="C37" s="74">
        <v>117.52</v>
      </c>
      <c r="D37" s="77">
        <v>4.63</v>
      </c>
      <c r="E37" s="78">
        <v>8.09</v>
      </c>
      <c r="F37" s="78">
        <v>11.47</v>
      </c>
      <c r="G37" s="78">
        <v>14.73</v>
      </c>
      <c r="H37" s="78">
        <v>17.899999999999999</v>
      </c>
      <c r="I37" s="78">
        <v>21.05</v>
      </c>
      <c r="J37" s="78">
        <v>24.15</v>
      </c>
      <c r="K37" s="78">
        <v>27.21</v>
      </c>
      <c r="L37" s="78">
        <v>30.25</v>
      </c>
      <c r="M37" s="78">
        <v>36.130000000000003</v>
      </c>
      <c r="N37" s="78">
        <v>43.08</v>
      </c>
      <c r="O37" s="78">
        <v>51.21</v>
      </c>
      <c r="P37" s="78">
        <v>60.04</v>
      </c>
      <c r="Q37" s="74">
        <v>70.239999999999995</v>
      </c>
    </row>
    <row r="38" spans="2:17" ht="15.75">
      <c r="B38" s="76">
        <v>52</v>
      </c>
      <c r="C38" s="74">
        <v>119.07</v>
      </c>
      <c r="D38" s="77">
        <v>4.99</v>
      </c>
      <c r="E38" s="78">
        <v>8.7799999999999994</v>
      </c>
      <c r="F38" s="78">
        <v>12.43</v>
      </c>
      <c r="G38" s="78">
        <v>15.97</v>
      </c>
      <c r="H38" s="78">
        <v>19.43</v>
      </c>
      <c r="I38" s="78">
        <v>22.86</v>
      </c>
      <c r="J38" s="78">
        <v>26.25</v>
      </c>
      <c r="K38" s="78">
        <v>29.6</v>
      </c>
      <c r="L38" s="78">
        <v>35.64</v>
      </c>
      <c r="M38" s="78">
        <v>43.37</v>
      </c>
      <c r="N38" s="78">
        <v>52.48</v>
      </c>
      <c r="O38" s="78">
        <v>62.52</v>
      </c>
      <c r="P38" s="78">
        <v>74.290000000000006</v>
      </c>
      <c r="Q38" s="74">
        <v>90.84</v>
      </c>
    </row>
    <row r="39" spans="2:17" ht="15.75">
      <c r="B39" s="76">
        <v>53</v>
      </c>
      <c r="C39" s="74">
        <v>119.85</v>
      </c>
      <c r="D39" s="77">
        <v>6.07</v>
      </c>
      <c r="E39" s="78">
        <v>10.14</v>
      </c>
      <c r="F39" s="78">
        <v>14.08</v>
      </c>
      <c r="G39" s="78">
        <v>17.89</v>
      </c>
      <c r="H39" s="78">
        <v>21.65</v>
      </c>
      <c r="I39" s="78">
        <v>25.35</v>
      </c>
      <c r="J39" s="78">
        <v>29.02</v>
      </c>
      <c r="K39" s="78">
        <v>35.200000000000003</v>
      </c>
      <c r="L39" s="78">
        <v>43.67</v>
      </c>
      <c r="M39" s="78">
        <v>53.76</v>
      </c>
      <c r="N39" s="78">
        <v>64.92</v>
      </c>
      <c r="O39" s="78">
        <v>79.11</v>
      </c>
      <c r="P39" s="78">
        <v>98.65</v>
      </c>
      <c r="Q39" s="74">
        <v>121.39</v>
      </c>
    </row>
    <row r="40" spans="2:17" ht="15.75">
      <c r="B40" s="76">
        <v>54</v>
      </c>
      <c r="C40" s="74">
        <v>121.77</v>
      </c>
      <c r="D40" s="77">
        <v>6.45</v>
      </c>
      <c r="E40" s="78">
        <v>10.88</v>
      </c>
      <c r="F40" s="78">
        <v>15.14</v>
      </c>
      <c r="G40" s="78">
        <v>19.28</v>
      </c>
      <c r="H40" s="78">
        <v>23.38</v>
      </c>
      <c r="I40" s="78">
        <v>27.43</v>
      </c>
      <c r="J40" s="78">
        <v>32.97</v>
      </c>
      <c r="K40" s="78">
        <v>42.03</v>
      </c>
      <c r="L40" s="78">
        <v>52.99</v>
      </c>
      <c r="M40" s="78">
        <v>65.33</v>
      </c>
      <c r="N40" s="78">
        <v>81.86</v>
      </c>
      <c r="O40" s="78">
        <v>104.26</v>
      </c>
      <c r="P40" s="78">
        <v>130.85</v>
      </c>
      <c r="Q40" s="74">
        <v>163.59</v>
      </c>
    </row>
    <row r="41" spans="2:17" ht="16.5" thickBot="1">
      <c r="B41" s="86">
        <v>55</v>
      </c>
      <c r="C41" s="81">
        <v>124</v>
      </c>
      <c r="D41" s="87">
        <v>6.78</v>
      </c>
      <c r="E41" s="88">
        <v>11.6</v>
      </c>
      <c r="F41" s="88">
        <v>16.23</v>
      </c>
      <c r="G41" s="88">
        <v>20.74</v>
      </c>
      <c r="H41" s="88">
        <v>25.21</v>
      </c>
      <c r="I41" s="88">
        <v>29.63</v>
      </c>
      <c r="J41" s="88">
        <v>39.159999999999997</v>
      </c>
      <c r="K41" s="88">
        <v>50.88</v>
      </c>
      <c r="L41" s="88">
        <v>64.400000000000006</v>
      </c>
      <c r="M41" s="88">
        <v>82.98</v>
      </c>
      <c r="N41" s="88">
        <v>108.11</v>
      </c>
      <c r="O41" s="88">
        <v>138.72999999999999</v>
      </c>
      <c r="P41" s="88">
        <v>179.92</v>
      </c>
      <c r="Q41" s="81">
        <v>235.43</v>
      </c>
    </row>
  </sheetData>
  <sheetProtection password="C9A7" sheet="1" objects="1" scenarios="1"/>
  <mergeCells count="8">
    <mergeCell ref="AH3:AI3"/>
    <mergeCell ref="V17:X17"/>
    <mergeCell ref="V23:X23"/>
    <mergeCell ref="X3:Y3"/>
    <mergeCell ref="B2:C2"/>
    <mergeCell ref="D2:Q2"/>
    <mergeCell ref="S2:T2"/>
    <mergeCell ref="V2:W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9"/>
  <dimension ref="B1:T305"/>
  <sheetViews>
    <sheetView topLeftCell="I1" workbookViewId="0">
      <selection activeCell="B6" sqref="B6"/>
    </sheetView>
  </sheetViews>
  <sheetFormatPr defaultRowHeight="15"/>
  <cols>
    <col min="1" max="1" width="4" style="91" customWidth="1"/>
    <col min="2" max="3" width="9.140625" style="91"/>
    <col min="4" max="4" width="16.7109375" style="91" customWidth="1"/>
    <col min="5" max="5" width="28.5703125" style="91" customWidth="1"/>
    <col min="6" max="6" width="16.7109375" style="91" customWidth="1"/>
    <col min="7" max="7" width="21" style="91" customWidth="1"/>
    <col min="8" max="8" width="21.140625" style="91" customWidth="1"/>
    <col min="9" max="9" width="15" style="91" customWidth="1"/>
    <col min="10" max="10" width="17.140625" style="91" customWidth="1"/>
    <col min="11" max="11" width="15" style="91" customWidth="1"/>
    <col min="12" max="12" width="16.42578125" style="91" customWidth="1"/>
    <col min="13" max="15" width="9.140625" style="91"/>
    <col min="16" max="16" width="21.7109375" style="91" customWidth="1"/>
    <col min="17" max="17" width="13.42578125" style="91" customWidth="1"/>
    <col min="18" max="18" width="9.140625" style="91"/>
    <col min="19" max="19" width="18.7109375" style="91" bestFit="1" customWidth="1"/>
    <col min="20" max="20" width="21.42578125" style="91" customWidth="1"/>
    <col min="21" max="16384" width="9.140625" style="91"/>
  </cols>
  <sheetData>
    <row r="1" spans="2:20" ht="15.75" thickBot="1"/>
    <row r="2" spans="2:20" ht="15.75" thickBot="1">
      <c r="P2" s="60" t="s">
        <v>131</v>
      </c>
      <c r="Q2" s="130">
        <v>0.03</v>
      </c>
      <c r="S2" s="60" t="s">
        <v>130</v>
      </c>
      <c r="T2" s="130">
        <v>0.8</v>
      </c>
    </row>
    <row r="3" spans="2:20" ht="15.75" thickBot="1"/>
    <row r="4" spans="2:20" ht="61.5" customHeight="1" thickBot="1">
      <c r="B4" s="60" t="s">
        <v>119</v>
      </c>
      <c r="C4" s="60" t="s">
        <v>120</v>
      </c>
      <c r="D4" s="60" t="s">
        <v>121</v>
      </c>
      <c r="E4" s="137" t="s">
        <v>137</v>
      </c>
      <c r="F4" s="137" t="s">
        <v>136</v>
      </c>
      <c r="G4" s="131" t="s">
        <v>134</v>
      </c>
      <c r="H4" s="60" t="s">
        <v>122</v>
      </c>
      <c r="I4" s="60" t="s">
        <v>123</v>
      </c>
      <c r="J4" s="132" t="s">
        <v>135</v>
      </c>
      <c r="L4" s="251" t="s">
        <v>124</v>
      </c>
      <c r="M4" s="255"/>
      <c r="N4" s="252"/>
      <c r="P4" s="251" t="s">
        <v>125</v>
      </c>
      <c r="Q4" s="252"/>
      <c r="S4" s="256" t="s">
        <v>138</v>
      </c>
      <c r="T4" s="257"/>
    </row>
    <row r="5" spans="2:20" ht="15.75" thickBot="1">
      <c r="L5" s="92" t="s">
        <v>126</v>
      </c>
      <c r="M5" s="93" t="s">
        <v>127</v>
      </c>
      <c r="N5" s="94" t="s">
        <v>128</v>
      </c>
      <c r="P5" s="92" t="s">
        <v>126</v>
      </c>
      <c r="Q5" s="94" t="s">
        <v>132</v>
      </c>
      <c r="S5" s="89" t="s">
        <v>129</v>
      </c>
      <c r="T5" s="90" t="s">
        <v>133</v>
      </c>
    </row>
    <row r="6" spans="2:20">
      <c r="B6" s="114">
        <v>1</v>
      </c>
      <c r="C6" s="115">
        <v>1</v>
      </c>
      <c r="D6" s="116">
        <f>VLOOKUP(B6,$L$5:$N$30,2,0)</f>
        <v>0</v>
      </c>
      <c r="E6" s="117">
        <f t="shared" ref="E6:E69" si="0">(IF(B6=1,Modal_Basic_Prem_Yr1,Modal_Basic_Prem_Yr2)*(Prem_Mode="Monthly") + (Prem_Mode="Annual")*IF(B6=1,Modal_Basic_Prem_Yr1,Modal_Basic_Prem_Yr2)*(MOD(C6-1,12)=0))*(B6&lt;=15)</f>
        <v>23100</v>
      </c>
      <c r="F6" s="117">
        <f>SUM($E$6:E6)</f>
        <v>23100</v>
      </c>
      <c r="G6" s="142">
        <f t="shared" ref="G6:G69" si="1">MAX(F6*D6-SA/100*(C6-10*12)*(B6&gt;10),0)</f>
        <v>0</v>
      </c>
      <c r="H6" s="116">
        <f>VLOOKUP(B6,$L$5:$N$30,3,0)</f>
        <v>0</v>
      </c>
      <c r="I6" s="117">
        <f t="shared" ref="I6:I69" si="2">VLOOKUP(B6,$P$5:$Q$30,2,0)*SA*(B6-1)*H6</f>
        <v>0</v>
      </c>
      <c r="J6" s="117">
        <f>G6+I6</f>
        <v>0</v>
      </c>
      <c r="K6" s="95"/>
      <c r="L6" s="92">
        <v>1</v>
      </c>
      <c r="M6" s="96">
        <v>0</v>
      </c>
      <c r="N6" s="97">
        <v>0</v>
      </c>
      <c r="P6" s="92">
        <v>1</v>
      </c>
      <c r="Q6" s="98">
        <f>$Q$2</f>
        <v>0.03</v>
      </c>
      <c r="S6" s="92">
        <f>P6*12</f>
        <v>12</v>
      </c>
      <c r="T6" s="146">
        <f>VLOOKUP(S6,$C$6:$J$305,5,0)</f>
        <v>0</v>
      </c>
    </row>
    <row r="7" spans="2:20">
      <c r="B7" s="118">
        <v>1</v>
      </c>
      <c r="C7" s="119">
        <f>C6+1</f>
        <v>2</v>
      </c>
      <c r="D7" s="120">
        <f t="shared" ref="D7:D70" si="3">VLOOKUP(B7,$L$5:$N$30,2,0)</f>
        <v>0</v>
      </c>
      <c r="E7" s="121">
        <f t="shared" si="0"/>
        <v>0</v>
      </c>
      <c r="F7" s="121">
        <f>SUM($E$6:E7)</f>
        <v>23100</v>
      </c>
      <c r="G7" s="143">
        <f t="shared" si="1"/>
        <v>0</v>
      </c>
      <c r="H7" s="120">
        <f t="shared" ref="H7:H70" si="4">VLOOKUP(B7,$L$5:$N$30,3,0)</f>
        <v>0</v>
      </c>
      <c r="I7" s="121">
        <f t="shared" si="2"/>
        <v>0</v>
      </c>
      <c r="J7" s="121">
        <f t="shared" ref="J7:J70" si="5">G7+I7</f>
        <v>0</v>
      </c>
      <c r="K7" s="95"/>
      <c r="L7" s="92">
        <v>2</v>
      </c>
      <c r="M7" s="96">
        <v>0</v>
      </c>
      <c r="N7" s="97">
        <v>0</v>
      </c>
      <c r="P7" s="92">
        <v>2</v>
      </c>
      <c r="Q7" s="98">
        <f t="shared" ref="Q7:Q30" si="6">$Q$2</f>
        <v>0.03</v>
      </c>
      <c r="S7" s="92">
        <f t="shared" ref="S7:S30" si="7">P7*12</f>
        <v>24</v>
      </c>
      <c r="T7" s="146">
        <f t="shared" ref="T7:T30" si="8">VLOOKUP(S7,$C$6:$J$305,5,0)</f>
        <v>0</v>
      </c>
    </row>
    <row r="8" spans="2:20">
      <c r="B8" s="124">
        <v>1</v>
      </c>
      <c r="C8" s="122">
        <f t="shared" ref="C8:C71" si="9">C7+1</f>
        <v>3</v>
      </c>
      <c r="D8" s="123">
        <f t="shared" si="3"/>
        <v>0</v>
      </c>
      <c r="E8" s="125">
        <f t="shared" si="0"/>
        <v>0</v>
      </c>
      <c r="F8" s="125">
        <f>SUM($E$6:E8)</f>
        <v>23100</v>
      </c>
      <c r="G8" s="144">
        <f t="shared" si="1"/>
        <v>0</v>
      </c>
      <c r="H8" s="123">
        <f t="shared" si="4"/>
        <v>0</v>
      </c>
      <c r="I8" s="125">
        <f t="shared" si="2"/>
        <v>0</v>
      </c>
      <c r="J8" s="125">
        <f t="shared" si="5"/>
        <v>0</v>
      </c>
      <c r="K8" s="95"/>
      <c r="L8" s="92">
        <v>3</v>
      </c>
      <c r="M8" s="96">
        <v>0.3</v>
      </c>
      <c r="N8" s="97">
        <v>0.14000000000000001</v>
      </c>
      <c r="P8" s="92">
        <v>3</v>
      </c>
      <c r="Q8" s="98">
        <f t="shared" si="6"/>
        <v>0.03</v>
      </c>
      <c r="S8" s="92">
        <f t="shared" si="7"/>
        <v>36</v>
      </c>
      <c r="T8" s="146">
        <f t="shared" si="8"/>
        <v>20790</v>
      </c>
    </row>
    <row r="9" spans="2:20">
      <c r="B9" s="118">
        <v>1</v>
      </c>
      <c r="C9" s="119">
        <f t="shared" si="9"/>
        <v>4</v>
      </c>
      <c r="D9" s="120">
        <f t="shared" si="3"/>
        <v>0</v>
      </c>
      <c r="E9" s="121">
        <f t="shared" si="0"/>
        <v>0</v>
      </c>
      <c r="F9" s="121">
        <f>SUM($E$6:E9)</f>
        <v>23100</v>
      </c>
      <c r="G9" s="143">
        <f t="shared" si="1"/>
        <v>0</v>
      </c>
      <c r="H9" s="120">
        <f t="shared" si="4"/>
        <v>0</v>
      </c>
      <c r="I9" s="121">
        <f t="shared" si="2"/>
        <v>0</v>
      </c>
      <c r="J9" s="121">
        <f t="shared" si="5"/>
        <v>0</v>
      </c>
      <c r="K9" s="95"/>
      <c r="L9" s="92">
        <v>4</v>
      </c>
      <c r="M9" s="96">
        <v>0.5</v>
      </c>
      <c r="N9" s="97">
        <v>0.15</v>
      </c>
      <c r="P9" s="92">
        <v>4</v>
      </c>
      <c r="Q9" s="98">
        <f t="shared" si="6"/>
        <v>0.03</v>
      </c>
      <c r="S9" s="92">
        <f t="shared" si="7"/>
        <v>48</v>
      </c>
      <c r="T9" s="146">
        <f t="shared" si="8"/>
        <v>46200</v>
      </c>
    </row>
    <row r="10" spans="2:20">
      <c r="B10" s="124">
        <v>1</v>
      </c>
      <c r="C10" s="122">
        <f t="shared" si="9"/>
        <v>5</v>
      </c>
      <c r="D10" s="123">
        <f t="shared" si="3"/>
        <v>0</v>
      </c>
      <c r="E10" s="125">
        <f t="shared" si="0"/>
        <v>0</v>
      </c>
      <c r="F10" s="125">
        <f>SUM($E$6:E10)</f>
        <v>23100</v>
      </c>
      <c r="G10" s="144">
        <f t="shared" si="1"/>
        <v>0</v>
      </c>
      <c r="H10" s="123">
        <f t="shared" si="4"/>
        <v>0</v>
      </c>
      <c r="I10" s="125">
        <f t="shared" si="2"/>
        <v>0</v>
      </c>
      <c r="J10" s="125">
        <f t="shared" si="5"/>
        <v>0</v>
      </c>
      <c r="K10" s="95"/>
      <c r="L10" s="92">
        <v>5</v>
      </c>
      <c r="M10" s="96">
        <v>0.5</v>
      </c>
      <c r="N10" s="97">
        <v>0.16</v>
      </c>
      <c r="P10" s="92">
        <v>5</v>
      </c>
      <c r="Q10" s="98">
        <f t="shared" si="6"/>
        <v>0.03</v>
      </c>
      <c r="S10" s="92">
        <f t="shared" si="7"/>
        <v>60</v>
      </c>
      <c r="T10" s="146">
        <f t="shared" si="8"/>
        <v>57750</v>
      </c>
    </row>
    <row r="11" spans="2:20">
      <c r="B11" s="118">
        <v>1</v>
      </c>
      <c r="C11" s="119">
        <f t="shared" si="9"/>
        <v>6</v>
      </c>
      <c r="D11" s="120">
        <f t="shared" si="3"/>
        <v>0</v>
      </c>
      <c r="E11" s="121">
        <f t="shared" si="0"/>
        <v>0</v>
      </c>
      <c r="F11" s="121">
        <f>SUM($E$6:E11)</f>
        <v>23100</v>
      </c>
      <c r="G11" s="143">
        <f t="shared" si="1"/>
        <v>0</v>
      </c>
      <c r="H11" s="120">
        <f t="shared" si="4"/>
        <v>0</v>
      </c>
      <c r="I11" s="121">
        <f t="shared" si="2"/>
        <v>0</v>
      </c>
      <c r="J11" s="121">
        <f t="shared" si="5"/>
        <v>0</v>
      </c>
      <c r="K11" s="95"/>
      <c r="L11" s="92">
        <v>6</v>
      </c>
      <c r="M11" s="96">
        <v>0.5</v>
      </c>
      <c r="N11" s="97">
        <v>0.18</v>
      </c>
      <c r="P11" s="92">
        <v>6</v>
      </c>
      <c r="Q11" s="98">
        <f t="shared" si="6"/>
        <v>0.03</v>
      </c>
      <c r="S11" s="92">
        <f t="shared" si="7"/>
        <v>72</v>
      </c>
      <c r="T11" s="146">
        <f t="shared" si="8"/>
        <v>69300</v>
      </c>
    </row>
    <row r="12" spans="2:20">
      <c r="B12" s="124">
        <v>1</v>
      </c>
      <c r="C12" s="122">
        <f t="shared" si="9"/>
        <v>7</v>
      </c>
      <c r="D12" s="123">
        <f t="shared" si="3"/>
        <v>0</v>
      </c>
      <c r="E12" s="125">
        <f t="shared" si="0"/>
        <v>0</v>
      </c>
      <c r="F12" s="125">
        <f>SUM($E$6:E12)</f>
        <v>23100</v>
      </c>
      <c r="G12" s="144">
        <f t="shared" si="1"/>
        <v>0</v>
      </c>
      <c r="H12" s="123">
        <f t="shared" si="4"/>
        <v>0</v>
      </c>
      <c r="I12" s="125">
        <f t="shared" si="2"/>
        <v>0</v>
      </c>
      <c r="J12" s="125">
        <f t="shared" si="5"/>
        <v>0</v>
      </c>
      <c r="K12" s="95"/>
      <c r="L12" s="92">
        <v>7</v>
      </c>
      <c r="M12" s="96">
        <v>0.5</v>
      </c>
      <c r="N12" s="97">
        <v>0.19</v>
      </c>
      <c r="P12" s="92">
        <v>7</v>
      </c>
      <c r="Q12" s="98">
        <f t="shared" si="6"/>
        <v>0.03</v>
      </c>
      <c r="S12" s="92">
        <f t="shared" si="7"/>
        <v>84</v>
      </c>
      <c r="T12" s="146">
        <f t="shared" si="8"/>
        <v>80850</v>
      </c>
    </row>
    <row r="13" spans="2:20">
      <c r="B13" s="118">
        <v>1</v>
      </c>
      <c r="C13" s="119">
        <f t="shared" si="9"/>
        <v>8</v>
      </c>
      <c r="D13" s="120">
        <f t="shared" si="3"/>
        <v>0</v>
      </c>
      <c r="E13" s="121">
        <f t="shared" si="0"/>
        <v>0</v>
      </c>
      <c r="F13" s="121">
        <f>SUM($E$6:E13)</f>
        <v>23100</v>
      </c>
      <c r="G13" s="143">
        <f t="shared" si="1"/>
        <v>0</v>
      </c>
      <c r="H13" s="120">
        <f t="shared" si="4"/>
        <v>0</v>
      </c>
      <c r="I13" s="121">
        <f t="shared" si="2"/>
        <v>0</v>
      </c>
      <c r="J13" s="121">
        <f t="shared" si="5"/>
        <v>0</v>
      </c>
      <c r="K13" s="95"/>
      <c r="L13" s="92">
        <v>8</v>
      </c>
      <c r="M13" s="96">
        <v>0.52</v>
      </c>
      <c r="N13" s="97">
        <v>0.21</v>
      </c>
      <c r="P13" s="92">
        <v>8</v>
      </c>
      <c r="Q13" s="98">
        <f t="shared" si="6"/>
        <v>0.03</v>
      </c>
      <c r="S13" s="92">
        <f t="shared" si="7"/>
        <v>96</v>
      </c>
      <c r="T13" s="146">
        <f t="shared" si="8"/>
        <v>96096</v>
      </c>
    </row>
    <row r="14" spans="2:20">
      <c r="B14" s="124">
        <v>1</v>
      </c>
      <c r="C14" s="122">
        <f t="shared" si="9"/>
        <v>9</v>
      </c>
      <c r="D14" s="123">
        <f t="shared" si="3"/>
        <v>0</v>
      </c>
      <c r="E14" s="125">
        <f t="shared" si="0"/>
        <v>0</v>
      </c>
      <c r="F14" s="125">
        <f>SUM($E$6:E14)</f>
        <v>23100</v>
      </c>
      <c r="G14" s="144">
        <f t="shared" si="1"/>
        <v>0</v>
      </c>
      <c r="H14" s="123">
        <f t="shared" si="4"/>
        <v>0</v>
      </c>
      <c r="I14" s="125">
        <f t="shared" si="2"/>
        <v>0</v>
      </c>
      <c r="J14" s="125">
        <f t="shared" si="5"/>
        <v>0</v>
      </c>
      <c r="K14" s="95"/>
      <c r="L14" s="92">
        <v>9</v>
      </c>
      <c r="M14" s="96">
        <v>0.54</v>
      </c>
      <c r="N14" s="97">
        <v>0.23</v>
      </c>
      <c r="P14" s="92">
        <v>9</v>
      </c>
      <c r="Q14" s="98">
        <f t="shared" si="6"/>
        <v>0.03</v>
      </c>
      <c r="S14" s="92">
        <f t="shared" si="7"/>
        <v>108</v>
      </c>
      <c r="T14" s="146">
        <f t="shared" si="8"/>
        <v>112266.00000000001</v>
      </c>
    </row>
    <row r="15" spans="2:20">
      <c r="B15" s="118">
        <v>1</v>
      </c>
      <c r="C15" s="119">
        <f t="shared" si="9"/>
        <v>10</v>
      </c>
      <c r="D15" s="120">
        <f t="shared" si="3"/>
        <v>0</v>
      </c>
      <c r="E15" s="121">
        <f t="shared" si="0"/>
        <v>0</v>
      </c>
      <c r="F15" s="121">
        <f>SUM($E$6:E15)</f>
        <v>23100</v>
      </c>
      <c r="G15" s="143">
        <f t="shared" si="1"/>
        <v>0</v>
      </c>
      <c r="H15" s="120">
        <f t="shared" si="4"/>
        <v>0</v>
      </c>
      <c r="I15" s="121">
        <f t="shared" si="2"/>
        <v>0</v>
      </c>
      <c r="J15" s="121">
        <f t="shared" si="5"/>
        <v>0</v>
      </c>
      <c r="K15" s="95"/>
      <c r="L15" s="92">
        <v>10</v>
      </c>
      <c r="M15" s="96">
        <v>0.56000000000000005</v>
      </c>
      <c r="N15" s="97">
        <v>0.25</v>
      </c>
      <c r="P15" s="92">
        <v>10</v>
      </c>
      <c r="Q15" s="98">
        <f t="shared" si="6"/>
        <v>0.03</v>
      </c>
      <c r="S15" s="92">
        <f t="shared" si="7"/>
        <v>120</v>
      </c>
      <c r="T15" s="146">
        <f t="shared" si="8"/>
        <v>129360.00000000001</v>
      </c>
    </row>
    <row r="16" spans="2:20">
      <c r="B16" s="124">
        <v>1</v>
      </c>
      <c r="C16" s="122">
        <f t="shared" si="9"/>
        <v>11</v>
      </c>
      <c r="D16" s="123">
        <f t="shared" si="3"/>
        <v>0</v>
      </c>
      <c r="E16" s="125">
        <f t="shared" si="0"/>
        <v>0</v>
      </c>
      <c r="F16" s="125">
        <f>SUM($E$6:E16)</f>
        <v>23100</v>
      </c>
      <c r="G16" s="144">
        <f t="shared" si="1"/>
        <v>0</v>
      </c>
      <c r="H16" s="123">
        <f t="shared" si="4"/>
        <v>0</v>
      </c>
      <c r="I16" s="125">
        <f t="shared" si="2"/>
        <v>0</v>
      </c>
      <c r="J16" s="125">
        <f t="shared" si="5"/>
        <v>0</v>
      </c>
      <c r="K16" s="95"/>
      <c r="L16" s="92">
        <v>11</v>
      </c>
      <c r="M16" s="96">
        <v>0.57999999999999996</v>
      </c>
      <c r="N16" s="97">
        <v>0.27</v>
      </c>
      <c r="P16" s="92">
        <v>11</v>
      </c>
      <c r="Q16" s="98">
        <f t="shared" si="6"/>
        <v>0.03</v>
      </c>
      <c r="S16" s="92">
        <f t="shared" si="7"/>
        <v>132</v>
      </c>
      <c r="T16" s="146">
        <f t="shared" si="8"/>
        <v>120978</v>
      </c>
    </row>
    <row r="17" spans="2:20">
      <c r="B17" s="118">
        <v>1</v>
      </c>
      <c r="C17" s="119">
        <f t="shared" si="9"/>
        <v>12</v>
      </c>
      <c r="D17" s="120">
        <f t="shared" si="3"/>
        <v>0</v>
      </c>
      <c r="E17" s="121">
        <f t="shared" si="0"/>
        <v>0</v>
      </c>
      <c r="F17" s="121">
        <f>SUM($E$6:E17)</f>
        <v>23100</v>
      </c>
      <c r="G17" s="143">
        <f t="shared" si="1"/>
        <v>0</v>
      </c>
      <c r="H17" s="120">
        <f t="shared" si="4"/>
        <v>0</v>
      </c>
      <c r="I17" s="121">
        <f t="shared" si="2"/>
        <v>0</v>
      </c>
      <c r="J17" s="121">
        <f t="shared" si="5"/>
        <v>0</v>
      </c>
      <c r="K17" s="95"/>
      <c r="L17" s="92">
        <v>12</v>
      </c>
      <c r="M17" s="96">
        <v>0.6</v>
      </c>
      <c r="N17" s="97">
        <v>0.3</v>
      </c>
      <c r="P17" s="92">
        <v>12</v>
      </c>
      <c r="Q17" s="98">
        <f t="shared" si="6"/>
        <v>0.03</v>
      </c>
      <c r="S17" s="92">
        <f t="shared" si="7"/>
        <v>144</v>
      </c>
      <c r="T17" s="146">
        <f t="shared" si="8"/>
        <v>113520</v>
      </c>
    </row>
    <row r="18" spans="2:20">
      <c r="B18" s="124">
        <f>B6+1</f>
        <v>2</v>
      </c>
      <c r="C18" s="122">
        <f t="shared" si="9"/>
        <v>13</v>
      </c>
      <c r="D18" s="123">
        <f t="shared" si="3"/>
        <v>0</v>
      </c>
      <c r="E18" s="125">
        <f t="shared" si="0"/>
        <v>23100</v>
      </c>
      <c r="F18" s="125">
        <f>SUM($E$6:E18)</f>
        <v>46200</v>
      </c>
      <c r="G18" s="144">
        <f t="shared" si="1"/>
        <v>0</v>
      </c>
      <c r="H18" s="123">
        <f t="shared" si="4"/>
        <v>0</v>
      </c>
      <c r="I18" s="125">
        <f t="shared" si="2"/>
        <v>0</v>
      </c>
      <c r="J18" s="125">
        <f t="shared" si="5"/>
        <v>0</v>
      </c>
      <c r="K18" s="95"/>
      <c r="L18" s="92">
        <v>13</v>
      </c>
      <c r="M18" s="96">
        <v>0.62</v>
      </c>
      <c r="N18" s="97">
        <v>0.33</v>
      </c>
      <c r="P18" s="92">
        <v>13</v>
      </c>
      <c r="Q18" s="98">
        <f t="shared" si="6"/>
        <v>0.03</v>
      </c>
      <c r="S18" s="92">
        <f t="shared" si="7"/>
        <v>156</v>
      </c>
      <c r="T18" s="146">
        <f t="shared" si="8"/>
        <v>106986</v>
      </c>
    </row>
    <row r="19" spans="2:20">
      <c r="B19" s="118">
        <f t="shared" ref="B19:B82" si="10">B7+1</f>
        <v>2</v>
      </c>
      <c r="C19" s="119">
        <f t="shared" si="9"/>
        <v>14</v>
      </c>
      <c r="D19" s="120">
        <f t="shared" si="3"/>
        <v>0</v>
      </c>
      <c r="E19" s="121">
        <f t="shared" si="0"/>
        <v>0</v>
      </c>
      <c r="F19" s="121">
        <f>SUM($E$6:E19)</f>
        <v>46200</v>
      </c>
      <c r="G19" s="143">
        <f t="shared" si="1"/>
        <v>0</v>
      </c>
      <c r="H19" s="120">
        <f t="shared" si="4"/>
        <v>0</v>
      </c>
      <c r="I19" s="121">
        <f t="shared" si="2"/>
        <v>0</v>
      </c>
      <c r="J19" s="121">
        <f t="shared" si="5"/>
        <v>0</v>
      </c>
      <c r="K19" s="95"/>
      <c r="L19" s="92">
        <v>14</v>
      </c>
      <c r="M19" s="96">
        <v>0.64</v>
      </c>
      <c r="N19" s="97">
        <v>0.36</v>
      </c>
      <c r="P19" s="92">
        <v>14</v>
      </c>
      <c r="Q19" s="98">
        <f t="shared" si="6"/>
        <v>0.03</v>
      </c>
      <c r="S19" s="92">
        <f t="shared" si="7"/>
        <v>168</v>
      </c>
      <c r="T19" s="146">
        <f t="shared" si="8"/>
        <v>101376</v>
      </c>
    </row>
    <row r="20" spans="2:20">
      <c r="B20" s="124">
        <f t="shared" si="10"/>
        <v>2</v>
      </c>
      <c r="C20" s="122">
        <f t="shared" si="9"/>
        <v>15</v>
      </c>
      <c r="D20" s="123">
        <f t="shared" si="3"/>
        <v>0</v>
      </c>
      <c r="E20" s="125">
        <f t="shared" si="0"/>
        <v>0</v>
      </c>
      <c r="F20" s="125">
        <f>SUM($E$6:E20)</f>
        <v>46200</v>
      </c>
      <c r="G20" s="144">
        <f t="shared" si="1"/>
        <v>0</v>
      </c>
      <c r="H20" s="123">
        <f t="shared" si="4"/>
        <v>0</v>
      </c>
      <c r="I20" s="125">
        <f t="shared" si="2"/>
        <v>0</v>
      </c>
      <c r="J20" s="125">
        <f t="shared" si="5"/>
        <v>0</v>
      </c>
      <c r="K20" s="95"/>
      <c r="L20" s="92">
        <v>15</v>
      </c>
      <c r="M20" s="96">
        <v>0.66</v>
      </c>
      <c r="N20" s="97">
        <v>0.39</v>
      </c>
      <c r="P20" s="92">
        <v>15</v>
      </c>
      <c r="Q20" s="98">
        <f t="shared" si="6"/>
        <v>0.03</v>
      </c>
      <c r="S20" s="92">
        <f t="shared" si="7"/>
        <v>180</v>
      </c>
      <c r="T20" s="146">
        <f t="shared" si="8"/>
        <v>96690</v>
      </c>
    </row>
    <row r="21" spans="2:20">
      <c r="B21" s="118">
        <f t="shared" si="10"/>
        <v>2</v>
      </c>
      <c r="C21" s="119">
        <f t="shared" si="9"/>
        <v>16</v>
      </c>
      <c r="D21" s="120">
        <f t="shared" si="3"/>
        <v>0</v>
      </c>
      <c r="E21" s="121">
        <f t="shared" si="0"/>
        <v>0</v>
      </c>
      <c r="F21" s="121">
        <f>SUM($E$6:E21)</f>
        <v>46200</v>
      </c>
      <c r="G21" s="143">
        <f t="shared" si="1"/>
        <v>0</v>
      </c>
      <c r="H21" s="120">
        <f t="shared" si="4"/>
        <v>0</v>
      </c>
      <c r="I21" s="121">
        <f t="shared" si="2"/>
        <v>0</v>
      </c>
      <c r="J21" s="121">
        <f t="shared" si="5"/>
        <v>0</v>
      </c>
      <c r="K21" s="95"/>
      <c r="L21" s="92">
        <v>16</v>
      </c>
      <c r="M21" s="96">
        <v>0.68</v>
      </c>
      <c r="N21" s="97">
        <v>0.42</v>
      </c>
      <c r="P21" s="92">
        <v>16</v>
      </c>
      <c r="Q21" s="98">
        <f t="shared" si="6"/>
        <v>0.03</v>
      </c>
      <c r="S21" s="92">
        <f t="shared" si="7"/>
        <v>192</v>
      </c>
      <c r="T21" s="146">
        <f t="shared" si="8"/>
        <v>77220.000000000029</v>
      </c>
    </row>
    <row r="22" spans="2:20">
      <c r="B22" s="124">
        <f t="shared" si="10"/>
        <v>2</v>
      </c>
      <c r="C22" s="122">
        <f t="shared" si="9"/>
        <v>17</v>
      </c>
      <c r="D22" s="123">
        <f t="shared" si="3"/>
        <v>0</v>
      </c>
      <c r="E22" s="125">
        <f t="shared" si="0"/>
        <v>0</v>
      </c>
      <c r="F22" s="125">
        <f>SUM($E$6:E22)</f>
        <v>46200</v>
      </c>
      <c r="G22" s="144">
        <f t="shared" si="1"/>
        <v>0</v>
      </c>
      <c r="H22" s="123">
        <f t="shared" si="4"/>
        <v>0</v>
      </c>
      <c r="I22" s="125">
        <f t="shared" si="2"/>
        <v>0</v>
      </c>
      <c r="J22" s="125">
        <f t="shared" si="5"/>
        <v>0</v>
      </c>
      <c r="K22" s="95"/>
      <c r="L22" s="92">
        <v>17</v>
      </c>
      <c r="M22" s="96">
        <v>0.7</v>
      </c>
      <c r="N22" s="97">
        <v>0.46</v>
      </c>
      <c r="P22" s="92">
        <v>17</v>
      </c>
      <c r="Q22" s="98">
        <f t="shared" si="6"/>
        <v>0.03</v>
      </c>
      <c r="S22" s="92">
        <f t="shared" si="7"/>
        <v>204</v>
      </c>
      <c r="T22" s="146">
        <f t="shared" si="8"/>
        <v>57749.999999999971</v>
      </c>
    </row>
    <row r="23" spans="2:20">
      <c r="B23" s="118">
        <f t="shared" si="10"/>
        <v>2</v>
      </c>
      <c r="C23" s="119">
        <f t="shared" si="9"/>
        <v>18</v>
      </c>
      <c r="D23" s="120">
        <f t="shared" si="3"/>
        <v>0</v>
      </c>
      <c r="E23" s="121">
        <f t="shared" si="0"/>
        <v>0</v>
      </c>
      <c r="F23" s="121">
        <f>SUM($E$6:E23)</f>
        <v>46200</v>
      </c>
      <c r="G23" s="143">
        <f t="shared" si="1"/>
        <v>0</v>
      </c>
      <c r="H23" s="120">
        <f t="shared" si="4"/>
        <v>0</v>
      </c>
      <c r="I23" s="121">
        <f t="shared" si="2"/>
        <v>0</v>
      </c>
      <c r="J23" s="121">
        <f t="shared" si="5"/>
        <v>0</v>
      </c>
      <c r="K23" s="95"/>
      <c r="L23" s="92">
        <v>18</v>
      </c>
      <c r="M23" s="96">
        <v>0.72</v>
      </c>
      <c r="N23" s="97">
        <v>0.5</v>
      </c>
      <c r="P23" s="92">
        <v>18</v>
      </c>
      <c r="Q23" s="98">
        <f t="shared" si="6"/>
        <v>0.03</v>
      </c>
      <c r="S23" s="92">
        <f t="shared" si="7"/>
        <v>216</v>
      </c>
      <c r="T23" s="146">
        <f t="shared" si="8"/>
        <v>38280</v>
      </c>
    </row>
    <row r="24" spans="2:20">
      <c r="B24" s="124">
        <f t="shared" si="10"/>
        <v>2</v>
      </c>
      <c r="C24" s="122">
        <f t="shared" si="9"/>
        <v>19</v>
      </c>
      <c r="D24" s="123">
        <f t="shared" si="3"/>
        <v>0</v>
      </c>
      <c r="E24" s="125">
        <f t="shared" si="0"/>
        <v>0</v>
      </c>
      <c r="F24" s="125">
        <f>SUM($E$6:E24)</f>
        <v>46200</v>
      </c>
      <c r="G24" s="144">
        <f t="shared" si="1"/>
        <v>0</v>
      </c>
      <c r="H24" s="123">
        <f t="shared" si="4"/>
        <v>0</v>
      </c>
      <c r="I24" s="125">
        <f t="shared" si="2"/>
        <v>0</v>
      </c>
      <c r="J24" s="125">
        <f t="shared" si="5"/>
        <v>0</v>
      </c>
      <c r="K24" s="95"/>
      <c r="L24" s="92">
        <v>19</v>
      </c>
      <c r="M24" s="96">
        <v>0.74</v>
      </c>
      <c r="N24" s="97">
        <v>0.55000000000000004</v>
      </c>
      <c r="P24" s="92">
        <v>19</v>
      </c>
      <c r="Q24" s="98">
        <f t="shared" si="6"/>
        <v>0.03</v>
      </c>
      <c r="S24" s="92">
        <f t="shared" si="7"/>
        <v>228</v>
      </c>
      <c r="T24" s="146">
        <f t="shared" si="8"/>
        <v>18810</v>
      </c>
    </row>
    <row r="25" spans="2:20">
      <c r="B25" s="118">
        <f t="shared" si="10"/>
        <v>2</v>
      </c>
      <c r="C25" s="119">
        <f t="shared" si="9"/>
        <v>20</v>
      </c>
      <c r="D25" s="120">
        <f t="shared" si="3"/>
        <v>0</v>
      </c>
      <c r="E25" s="121">
        <f t="shared" si="0"/>
        <v>0</v>
      </c>
      <c r="F25" s="121">
        <f>SUM($E$6:E25)</f>
        <v>46200</v>
      </c>
      <c r="G25" s="143">
        <f t="shared" si="1"/>
        <v>0</v>
      </c>
      <c r="H25" s="120">
        <f t="shared" si="4"/>
        <v>0</v>
      </c>
      <c r="I25" s="121">
        <f t="shared" si="2"/>
        <v>0</v>
      </c>
      <c r="J25" s="121">
        <f t="shared" si="5"/>
        <v>0</v>
      </c>
      <c r="K25" s="95"/>
      <c r="L25" s="92">
        <v>20</v>
      </c>
      <c r="M25" s="96">
        <v>0.76</v>
      </c>
      <c r="N25" s="97">
        <v>0.6</v>
      </c>
      <c r="P25" s="92">
        <v>20</v>
      </c>
      <c r="Q25" s="98">
        <f t="shared" si="6"/>
        <v>0.03</v>
      </c>
      <c r="S25" s="92">
        <f t="shared" si="7"/>
        <v>240</v>
      </c>
      <c r="T25" s="146">
        <f t="shared" si="8"/>
        <v>0</v>
      </c>
    </row>
    <row r="26" spans="2:20">
      <c r="B26" s="124">
        <f t="shared" si="10"/>
        <v>2</v>
      </c>
      <c r="C26" s="122">
        <f t="shared" si="9"/>
        <v>21</v>
      </c>
      <c r="D26" s="123">
        <f t="shared" si="3"/>
        <v>0</v>
      </c>
      <c r="E26" s="125">
        <f t="shared" si="0"/>
        <v>0</v>
      </c>
      <c r="F26" s="125">
        <f>SUM($E$6:E26)</f>
        <v>46200</v>
      </c>
      <c r="G26" s="144">
        <f t="shared" si="1"/>
        <v>0</v>
      </c>
      <c r="H26" s="123">
        <f t="shared" si="4"/>
        <v>0</v>
      </c>
      <c r="I26" s="125">
        <f t="shared" si="2"/>
        <v>0</v>
      </c>
      <c r="J26" s="125">
        <f t="shared" si="5"/>
        <v>0</v>
      </c>
      <c r="K26" s="95"/>
      <c r="L26" s="92">
        <v>21</v>
      </c>
      <c r="M26" s="96">
        <v>0.78</v>
      </c>
      <c r="N26" s="97">
        <v>0.65</v>
      </c>
      <c r="P26" s="92">
        <v>21</v>
      </c>
      <c r="Q26" s="98">
        <f t="shared" si="6"/>
        <v>0.03</v>
      </c>
      <c r="S26" s="92">
        <f t="shared" si="7"/>
        <v>252</v>
      </c>
      <c r="T26" s="146">
        <f t="shared" si="8"/>
        <v>0</v>
      </c>
    </row>
    <row r="27" spans="2:20">
      <c r="B27" s="118">
        <f t="shared" si="10"/>
        <v>2</v>
      </c>
      <c r="C27" s="119">
        <f t="shared" si="9"/>
        <v>22</v>
      </c>
      <c r="D27" s="120">
        <f t="shared" si="3"/>
        <v>0</v>
      </c>
      <c r="E27" s="121">
        <f t="shared" si="0"/>
        <v>0</v>
      </c>
      <c r="F27" s="121">
        <f>SUM($E$6:E27)</f>
        <v>46200</v>
      </c>
      <c r="G27" s="143">
        <f t="shared" si="1"/>
        <v>0</v>
      </c>
      <c r="H27" s="120">
        <f t="shared" si="4"/>
        <v>0</v>
      </c>
      <c r="I27" s="121">
        <f t="shared" si="2"/>
        <v>0</v>
      </c>
      <c r="J27" s="121">
        <f t="shared" si="5"/>
        <v>0</v>
      </c>
      <c r="K27" s="95"/>
      <c r="L27" s="92">
        <v>22</v>
      </c>
      <c r="M27" s="96">
        <v>0.8</v>
      </c>
      <c r="N27" s="97">
        <v>0.71</v>
      </c>
      <c r="P27" s="92">
        <v>22</v>
      </c>
      <c r="Q27" s="98">
        <f t="shared" si="6"/>
        <v>0.03</v>
      </c>
      <c r="S27" s="92">
        <f t="shared" si="7"/>
        <v>264</v>
      </c>
      <c r="T27" s="146">
        <f t="shared" si="8"/>
        <v>0</v>
      </c>
    </row>
    <row r="28" spans="2:20">
      <c r="B28" s="124">
        <f t="shared" si="10"/>
        <v>2</v>
      </c>
      <c r="C28" s="122">
        <f t="shared" si="9"/>
        <v>23</v>
      </c>
      <c r="D28" s="123">
        <f t="shared" si="3"/>
        <v>0</v>
      </c>
      <c r="E28" s="125">
        <f t="shared" si="0"/>
        <v>0</v>
      </c>
      <c r="F28" s="125">
        <f>SUM($E$6:E28)</f>
        <v>46200</v>
      </c>
      <c r="G28" s="144">
        <f t="shared" si="1"/>
        <v>0</v>
      </c>
      <c r="H28" s="123">
        <f t="shared" si="4"/>
        <v>0</v>
      </c>
      <c r="I28" s="125">
        <f t="shared" si="2"/>
        <v>0</v>
      </c>
      <c r="J28" s="125">
        <f t="shared" si="5"/>
        <v>0</v>
      </c>
      <c r="K28" s="95"/>
      <c r="L28" s="92">
        <v>23</v>
      </c>
      <c r="M28" s="96">
        <v>0.82</v>
      </c>
      <c r="N28" s="97">
        <v>0.77</v>
      </c>
      <c r="P28" s="92">
        <v>23</v>
      </c>
      <c r="Q28" s="98">
        <f t="shared" si="6"/>
        <v>0.03</v>
      </c>
      <c r="S28" s="92">
        <f t="shared" si="7"/>
        <v>276</v>
      </c>
      <c r="T28" s="146">
        <f t="shared" si="8"/>
        <v>0</v>
      </c>
    </row>
    <row r="29" spans="2:20">
      <c r="B29" s="118">
        <f t="shared" si="10"/>
        <v>2</v>
      </c>
      <c r="C29" s="119">
        <f t="shared" si="9"/>
        <v>24</v>
      </c>
      <c r="D29" s="120">
        <f t="shared" si="3"/>
        <v>0</v>
      </c>
      <c r="E29" s="121">
        <f t="shared" si="0"/>
        <v>0</v>
      </c>
      <c r="F29" s="121">
        <f>SUM($E$6:E29)</f>
        <v>46200</v>
      </c>
      <c r="G29" s="143">
        <f t="shared" si="1"/>
        <v>0</v>
      </c>
      <c r="H29" s="120">
        <f t="shared" si="4"/>
        <v>0</v>
      </c>
      <c r="I29" s="121">
        <f t="shared" si="2"/>
        <v>0</v>
      </c>
      <c r="J29" s="121">
        <f t="shared" si="5"/>
        <v>0</v>
      </c>
      <c r="K29" s="95"/>
      <c r="L29" s="92">
        <v>24</v>
      </c>
      <c r="M29" s="96">
        <v>0.84</v>
      </c>
      <c r="N29" s="97">
        <v>0.84</v>
      </c>
      <c r="P29" s="92">
        <v>24</v>
      </c>
      <c r="Q29" s="98">
        <f t="shared" si="6"/>
        <v>0.03</v>
      </c>
      <c r="S29" s="92">
        <f t="shared" si="7"/>
        <v>288</v>
      </c>
      <c r="T29" s="146">
        <f t="shared" si="8"/>
        <v>0</v>
      </c>
    </row>
    <row r="30" spans="2:20" ht="15.75" thickBot="1">
      <c r="B30" s="124">
        <f t="shared" si="10"/>
        <v>3</v>
      </c>
      <c r="C30" s="122">
        <f t="shared" si="9"/>
        <v>25</v>
      </c>
      <c r="D30" s="123">
        <f t="shared" si="3"/>
        <v>0.3</v>
      </c>
      <c r="E30" s="125">
        <f t="shared" si="0"/>
        <v>23100</v>
      </c>
      <c r="F30" s="125">
        <f>SUM($E$6:E30)</f>
        <v>69300</v>
      </c>
      <c r="G30" s="144">
        <f t="shared" si="1"/>
        <v>20790</v>
      </c>
      <c r="H30" s="123">
        <f t="shared" si="4"/>
        <v>0.14000000000000001</v>
      </c>
      <c r="I30" s="125">
        <f t="shared" si="2"/>
        <v>1848.0000000000002</v>
      </c>
      <c r="J30" s="125">
        <f t="shared" si="5"/>
        <v>22638</v>
      </c>
      <c r="K30" s="95"/>
      <c r="L30" s="99">
        <v>25</v>
      </c>
      <c r="M30" s="96">
        <v>0.86</v>
      </c>
      <c r="N30" s="97">
        <v>0.92</v>
      </c>
      <c r="P30" s="99">
        <v>25</v>
      </c>
      <c r="Q30" s="98">
        <f t="shared" si="6"/>
        <v>0.03</v>
      </c>
      <c r="S30" s="99">
        <f t="shared" si="7"/>
        <v>300</v>
      </c>
      <c r="T30" s="146">
        <f t="shared" si="8"/>
        <v>0</v>
      </c>
    </row>
    <row r="31" spans="2:20">
      <c r="B31" s="118">
        <f t="shared" si="10"/>
        <v>3</v>
      </c>
      <c r="C31" s="119">
        <f t="shared" si="9"/>
        <v>26</v>
      </c>
      <c r="D31" s="120">
        <f t="shared" si="3"/>
        <v>0.3</v>
      </c>
      <c r="E31" s="121">
        <f t="shared" si="0"/>
        <v>0</v>
      </c>
      <c r="F31" s="121">
        <f>SUM($E$6:E31)</f>
        <v>69300</v>
      </c>
      <c r="G31" s="143">
        <f t="shared" si="1"/>
        <v>20790</v>
      </c>
      <c r="H31" s="120">
        <f t="shared" si="4"/>
        <v>0.14000000000000001</v>
      </c>
      <c r="I31" s="121">
        <f t="shared" si="2"/>
        <v>1848.0000000000002</v>
      </c>
      <c r="J31" s="121">
        <f t="shared" si="5"/>
        <v>22638</v>
      </c>
      <c r="K31" s="95"/>
      <c r="L31" s="100"/>
    </row>
    <row r="32" spans="2:20">
      <c r="B32" s="124">
        <f t="shared" si="10"/>
        <v>3</v>
      </c>
      <c r="C32" s="122">
        <f t="shared" si="9"/>
        <v>27</v>
      </c>
      <c r="D32" s="123">
        <f t="shared" si="3"/>
        <v>0.3</v>
      </c>
      <c r="E32" s="125">
        <f t="shared" si="0"/>
        <v>0</v>
      </c>
      <c r="F32" s="125">
        <f>SUM($E$6:E32)</f>
        <v>69300</v>
      </c>
      <c r="G32" s="144">
        <f t="shared" si="1"/>
        <v>20790</v>
      </c>
      <c r="H32" s="123">
        <f t="shared" si="4"/>
        <v>0.14000000000000001</v>
      </c>
      <c r="I32" s="125">
        <f t="shared" si="2"/>
        <v>1848.0000000000002</v>
      </c>
      <c r="J32" s="125">
        <f t="shared" si="5"/>
        <v>22638</v>
      </c>
      <c r="K32" s="95"/>
      <c r="L32" s="100"/>
    </row>
    <row r="33" spans="2:12">
      <c r="B33" s="118">
        <f t="shared" si="10"/>
        <v>3</v>
      </c>
      <c r="C33" s="119">
        <f t="shared" si="9"/>
        <v>28</v>
      </c>
      <c r="D33" s="120">
        <f t="shared" si="3"/>
        <v>0.3</v>
      </c>
      <c r="E33" s="121">
        <f t="shared" si="0"/>
        <v>0</v>
      </c>
      <c r="F33" s="121">
        <f>SUM($E$6:E33)</f>
        <v>69300</v>
      </c>
      <c r="G33" s="143">
        <f t="shared" si="1"/>
        <v>20790</v>
      </c>
      <c r="H33" s="120">
        <f t="shared" si="4"/>
        <v>0.14000000000000001</v>
      </c>
      <c r="I33" s="121">
        <f t="shared" si="2"/>
        <v>1848.0000000000002</v>
      </c>
      <c r="J33" s="121">
        <f t="shared" si="5"/>
        <v>22638</v>
      </c>
      <c r="K33" s="95"/>
      <c r="L33" s="100"/>
    </row>
    <row r="34" spans="2:12">
      <c r="B34" s="124">
        <f t="shared" si="10"/>
        <v>3</v>
      </c>
      <c r="C34" s="122">
        <f t="shared" si="9"/>
        <v>29</v>
      </c>
      <c r="D34" s="123">
        <f t="shared" si="3"/>
        <v>0.3</v>
      </c>
      <c r="E34" s="125">
        <f t="shared" si="0"/>
        <v>0</v>
      </c>
      <c r="F34" s="125">
        <f>SUM($E$6:E34)</f>
        <v>69300</v>
      </c>
      <c r="G34" s="144">
        <f t="shared" si="1"/>
        <v>20790</v>
      </c>
      <c r="H34" s="123">
        <f t="shared" si="4"/>
        <v>0.14000000000000001</v>
      </c>
      <c r="I34" s="125">
        <f t="shared" si="2"/>
        <v>1848.0000000000002</v>
      </c>
      <c r="J34" s="125">
        <f t="shared" si="5"/>
        <v>22638</v>
      </c>
      <c r="K34" s="95"/>
      <c r="L34" s="100"/>
    </row>
    <row r="35" spans="2:12">
      <c r="B35" s="118">
        <f t="shared" si="10"/>
        <v>3</v>
      </c>
      <c r="C35" s="119">
        <f t="shared" si="9"/>
        <v>30</v>
      </c>
      <c r="D35" s="120">
        <f t="shared" si="3"/>
        <v>0.3</v>
      </c>
      <c r="E35" s="121">
        <f t="shared" si="0"/>
        <v>0</v>
      </c>
      <c r="F35" s="121">
        <f>SUM($E$6:E35)</f>
        <v>69300</v>
      </c>
      <c r="G35" s="143">
        <f t="shared" si="1"/>
        <v>20790</v>
      </c>
      <c r="H35" s="120">
        <f t="shared" si="4"/>
        <v>0.14000000000000001</v>
      </c>
      <c r="I35" s="121">
        <f t="shared" si="2"/>
        <v>1848.0000000000002</v>
      </c>
      <c r="J35" s="121">
        <f t="shared" si="5"/>
        <v>22638</v>
      </c>
      <c r="K35" s="95"/>
      <c r="L35" s="100"/>
    </row>
    <row r="36" spans="2:12">
      <c r="B36" s="124">
        <f t="shared" si="10"/>
        <v>3</v>
      </c>
      <c r="C36" s="122">
        <f t="shared" si="9"/>
        <v>31</v>
      </c>
      <c r="D36" s="123">
        <f t="shared" si="3"/>
        <v>0.3</v>
      </c>
      <c r="E36" s="125">
        <f t="shared" si="0"/>
        <v>0</v>
      </c>
      <c r="F36" s="125">
        <f>SUM($E$6:E36)</f>
        <v>69300</v>
      </c>
      <c r="G36" s="144">
        <f t="shared" si="1"/>
        <v>20790</v>
      </c>
      <c r="H36" s="123">
        <f t="shared" si="4"/>
        <v>0.14000000000000001</v>
      </c>
      <c r="I36" s="125">
        <f t="shared" si="2"/>
        <v>1848.0000000000002</v>
      </c>
      <c r="J36" s="125">
        <f t="shared" si="5"/>
        <v>22638</v>
      </c>
      <c r="K36" s="95"/>
      <c r="L36" s="100"/>
    </row>
    <row r="37" spans="2:12">
      <c r="B37" s="118">
        <f t="shared" si="10"/>
        <v>3</v>
      </c>
      <c r="C37" s="119">
        <f t="shared" si="9"/>
        <v>32</v>
      </c>
      <c r="D37" s="120">
        <f t="shared" si="3"/>
        <v>0.3</v>
      </c>
      <c r="E37" s="121">
        <f t="shared" si="0"/>
        <v>0</v>
      </c>
      <c r="F37" s="121">
        <f>SUM($E$6:E37)</f>
        <v>69300</v>
      </c>
      <c r="G37" s="143">
        <f t="shared" si="1"/>
        <v>20790</v>
      </c>
      <c r="H37" s="120">
        <f t="shared" si="4"/>
        <v>0.14000000000000001</v>
      </c>
      <c r="I37" s="121">
        <f t="shared" si="2"/>
        <v>1848.0000000000002</v>
      </c>
      <c r="J37" s="121">
        <f t="shared" si="5"/>
        <v>22638</v>
      </c>
      <c r="K37" s="95"/>
      <c r="L37" s="100"/>
    </row>
    <row r="38" spans="2:12">
      <c r="B38" s="124">
        <f t="shared" si="10"/>
        <v>3</v>
      </c>
      <c r="C38" s="122">
        <f t="shared" si="9"/>
        <v>33</v>
      </c>
      <c r="D38" s="123">
        <f t="shared" si="3"/>
        <v>0.3</v>
      </c>
      <c r="E38" s="125">
        <f t="shared" si="0"/>
        <v>0</v>
      </c>
      <c r="F38" s="125">
        <f>SUM($E$6:E38)</f>
        <v>69300</v>
      </c>
      <c r="G38" s="144">
        <f t="shared" si="1"/>
        <v>20790</v>
      </c>
      <c r="H38" s="123">
        <f t="shared" si="4"/>
        <v>0.14000000000000001</v>
      </c>
      <c r="I38" s="125">
        <f t="shared" si="2"/>
        <v>1848.0000000000002</v>
      </c>
      <c r="J38" s="125">
        <f t="shared" si="5"/>
        <v>22638</v>
      </c>
      <c r="K38" s="95"/>
      <c r="L38" s="100"/>
    </row>
    <row r="39" spans="2:12">
      <c r="B39" s="118">
        <f t="shared" si="10"/>
        <v>3</v>
      </c>
      <c r="C39" s="119">
        <f t="shared" si="9"/>
        <v>34</v>
      </c>
      <c r="D39" s="120">
        <f t="shared" si="3"/>
        <v>0.3</v>
      </c>
      <c r="E39" s="121">
        <f t="shared" si="0"/>
        <v>0</v>
      </c>
      <c r="F39" s="121">
        <f>SUM($E$6:E39)</f>
        <v>69300</v>
      </c>
      <c r="G39" s="143">
        <f t="shared" si="1"/>
        <v>20790</v>
      </c>
      <c r="H39" s="120">
        <f t="shared" si="4"/>
        <v>0.14000000000000001</v>
      </c>
      <c r="I39" s="121">
        <f t="shared" si="2"/>
        <v>1848.0000000000002</v>
      </c>
      <c r="J39" s="121">
        <f t="shared" si="5"/>
        <v>22638</v>
      </c>
      <c r="K39" s="95"/>
      <c r="L39" s="100"/>
    </row>
    <row r="40" spans="2:12">
      <c r="B40" s="124">
        <f t="shared" si="10"/>
        <v>3</v>
      </c>
      <c r="C40" s="122">
        <f t="shared" si="9"/>
        <v>35</v>
      </c>
      <c r="D40" s="123">
        <f t="shared" si="3"/>
        <v>0.3</v>
      </c>
      <c r="E40" s="125">
        <f t="shared" si="0"/>
        <v>0</v>
      </c>
      <c r="F40" s="125">
        <f>SUM($E$6:E40)</f>
        <v>69300</v>
      </c>
      <c r="G40" s="144">
        <f t="shared" si="1"/>
        <v>20790</v>
      </c>
      <c r="H40" s="123">
        <f t="shared" si="4"/>
        <v>0.14000000000000001</v>
      </c>
      <c r="I40" s="125">
        <f t="shared" si="2"/>
        <v>1848.0000000000002</v>
      </c>
      <c r="J40" s="125">
        <f t="shared" si="5"/>
        <v>22638</v>
      </c>
      <c r="K40" s="95"/>
      <c r="L40" s="100"/>
    </row>
    <row r="41" spans="2:12">
      <c r="B41" s="118">
        <f t="shared" si="10"/>
        <v>3</v>
      </c>
      <c r="C41" s="119">
        <f t="shared" si="9"/>
        <v>36</v>
      </c>
      <c r="D41" s="120">
        <f t="shared" si="3"/>
        <v>0.3</v>
      </c>
      <c r="E41" s="121">
        <f t="shared" si="0"/>
        <v>0</v>
      </c>
      <c r="F41" s="121">
        <f>SUM($E$6:E41)</f>
        <v>69300</v>
      </c>
      <c r="G41" s="143">
        <f t="shared" si="1"/>
        <v>20790</v>
      </c>
      <c r="H41" s="120">
        <f t="shared" si="4"/>
        <v>0.14000000000000001</v>
      </c>
      <c r="I41" s="121">
        <f t="shared" si="2"/>
        <v>1848.0000000000002</v>
      </c>
      <c r="J41" s="121">
        <f t="shared" si="5"/>
        <v>22638</v>
      </c>
      <c r="K41" s="95"/>
      <c r="L41" s="100"/>
    </row>
    <row r="42" spans="2:12">
      <c r="B42" s="124">
        <f t="shared" si="10"/>
        <v>4</v>
      </c>
      <c r="C42" s="122">
        <f t="shared" si="9"/>
        <v>37</v>
      </c>
      <c r="D42" s="123">
        <f t="shared" si="3"/>
        <v>0.5</v>
      </c>
      <c r="E42" s="125">
        <f t="shared" si="0"/>
        <v>23100</v>
      </c>
      <c r="F42" s="125">
        <f>SUM($E$6:E42)</f>
        <v>92400</v>
      </c>
      <c r="G42" s="144">
        <f t="shared" si="1"/>
        <v>46200</v>
      </c>
      <c r="H42" s="123">
        <f t="shared" si="4"/>
        <v>0.15</v>
      </c>
      <c r="I42" s="125">
        <f t="shared" si="2"/>
        <v>2970</v>
      </c>
      <c r="J42" s="125">
        <f t="shared" si="5"/>
        <v>49170</v>
      </c>
      <c r="K42" s="95"/>
      <c r="L42" s="100"/>
    </row>
    <row r="43" spans="2:12">
      <c r="B43" s="118">
        <f t="shared" si="10"/>
        <v>4</v>
      </c>
      <c r="C43" s="119">
        <f t="shared" si="9"/>
        <v>38</v>
      </c>
      <c r="D43" s="120">
        <f t="shared" si="3"/>
        <v>0.5</v>
      </c>
      <c r="E43" s="121">
        <f t="shared" si="0"/>
        <v>0</v>
      </c>
      <c r="F43" s="121">
        <f>SUM($E$6:E43)</f>
        <v>92400</v>
      </c>
      <c r="G43" s="143">
        <f t="shared" si="1"/>
        <v>46200</v>
      </c>
      <c r="H43" s="120">
        <f t="shared" si="4"/>
        <v>0.15</v>
      </c>
      <c r="I43" s="121">
        <f t="shared" si="2"/>
        <v>2970</v>
      </c>
      <c r="J43" s="121">
        <f t="shared" si="5"/>
        <v>49170</v>
      </c>
      <c r="K43" s="95"/>
      <c r="L43" s="100"/>
    </row>
    <row r="44" spans="2:12">
      <c r="B44" s="124">
        <f t="shared" si="10"/>
        <v>4</v>
      </c>
      <c r="C44" s="122">
        <f t="shared" si="9"/>
        <v>39</v>
      </c>
      <c r="D44" s="123">
        <f t="shared" si="3"/>
        <v>0.5</v>
      </c>
      <c r="E44" s="125">
        <f t="shared" si="0"/>
        <v>0</v>
      </c>
      <c r="F44" s="125">
        <f>SUM($E$6:E44)</f>
        <v>92400</v>
      </c>
      <c r="G44" s="144">
        <f t="shared" si="1"/>
        <v>46200</v>
      </c>
      <c r="H44" s="123">
        <f t="shared" si="4"/>
        <v>0.15</v>
      </c>
      <c r="I44" s="125">
        <f t="shared" si="2"/>
        <v>2970</v>
      </c>
      <c r="J44" s="125">
        <f t="shared" si="5"/>
        <v>49170</v>
      </c>
      <c r="K44" s="95"/>
      <c r="L44" s="100"/>
    </row>
    <row r="45" spans="2:12">
      <c r="B45" s="118">
        <f t="shared" si="10"/>
        <v>4</v>
      </c>
      <c r="C45" s="119">
        <f t="shared" si="9"/>
        <v>40</v>
      </c>
      <c r="D45" s="120">
        <f t="shared" si="3"/>
        <v>0.5</v>
      </c>
      <c r="E45" s="121">
        <f t="shared" si="0"/>
        <v>0</v>
      </c>
      <c r="F45" s="121">
        <f>SUM($E$6:E45)</f>
        <v>92400</v>
      </c>
      <c r="G45" s="143">
        <f t="shared" si="1"/>
        <v>46200</v>
      </c>
      <c r="H45" s="120">
        <f t="shared" si="4"/>
        <v>0.15</v>
      </c>
      <c r="I45" s="121">
        <f t="shared" si="2"/>
        <v>2970</v>
      </c>
      <c r="J45" s="121">
        <f t="shared" si="5"/>
        <v>49170</v>
      </c>
      <c r="K45" s="95"/>
      <c r="L45" s="100"/>
    </row>
    <row r="46" spans="2:12">
      <c r="B46" s="124">
        <f t="shared" si="10"/>
        <v>4</v>
      </c>
      <c r="C46" s="122">
        <f t="shared" si="9"/>
        <v>41</v>
      </c>
      <c r="D46" s="123">
        <f t="shared" si="3"/>
        <v>0.5</v>
      </c>
      <c r="E46" s="125">
        <f t="shared" si="0"/>
        <v>0</v>
      </c>
      <c r="F46" s="125">
        <f>SUM($E$6:E46)</f>
        <v>92400</v>
      </c>
      <c r="G46" s="144">
        <f t="shared" si="1"/>
        <v>46200</v>
      </c>
      <c r="H46" s="123">
        <f t="shared" si="4"/>
        <v>0.15</v>
      </c>
      <c r="I46" s="125">
        <f t="shared" si="2"/>
        <v>2970</v>
      </c>
      <c r="J46" s="125">
        <f t="shared" si="5"/>
        <v>49170</v>
      </c>
      <c r="K46" s="95"/>
      <c r="L46" s="100"/>
    </row>
    <row r="47" spans="2:12">
      <c r="B47" s="118">
        <f t="shared" si="10"/>
        <v>4</v>
      </c>
      <c r="C47" s="119">
        <f t="shared" si="9"/>
        <v>42</v>
      </c>
      <c r="D47" s="120">
        <f t="shared" si="3"/>
        <v>0.5</v>
      </c>
      <c r="E47" s="121">
        <f t="shared" si="0"/>
        <v>0</v>
      </c>
      <c r="F47" s="121">
        <f>SUM($E$6:E47)</f>
        <v>92400</v>
      </c>
      <c r="G47" s="143">
        <f t="shared" si="1"/>
        <v>46200</v>
      </c>
      <c r="H47" s="120">
        <f t="shared" si="4"/>
        <v>0.15</v>
      </c>
      <c r="I47" s="121">
        <f t="shared" si="2"/>
        <v>2970</v>
      </c>
      <c r="J47" s="121">
        <f t="shared" si="5"/>
        <v>49170</v>
      </c>
      <c r="K47" s="95"/>
      <c r="L47" s="100"/>
    </row>
    <row r="48" spans="2:12">
      <c r="B48" s="124">
        <f t="shared" si="10"/>
        <v>4</v>
      </c>
      <c r="C48" s="122">
        <f t="shared" si="9"/>
        <v>43</v>
      </c>
      <c r="D48" s="123">
        <f t="shared" si="3"/>
        <v>0.5</v>
      </c>
      <c r="E48" s="125">
        <f t="shared" si="0"/>
        <v>0</v>
      </c>
      <c r="F48" s="125">
        <f>SUM($E$6:E48)</f>
        <v>92400</v>
      </c>
      <c r="G48" s="144">
        <f t="shared" si="1"/>
        <v>46200</v>
      </c>
      <c r="H48" s="123">
        <f t="shared" si="4"/>
        <v>0.15</v>
      </c>
      <c r="I48" s="125">
        <f t="shared" si="2"/>
        <v>2970</v>
      </c>
      <c r="J48" s="125">
        <f t="shared" si="5"/>
        <v>49170</v>
      </c>
      <c r="K48" s="95"/>
      <c r="L48" s="100"/>
    </row>
    <row r="49" spans="2:12">
      <c r="B49" s="118">
        <f t="shared" si="10"/>
        <v>4</v>
      </c>
      <c r="C49" s="119">
        <f t="shared" si="9"/>
        <v>44</v>
      </c>
      <c r="D49" s="120">
        <f t="shared" si="3"/>
        <v>0.5</v>
      </c>
      <c r="E49" s="121">
        <f t="shared" si="0"/>
        <v>0</v>
      </c>
      <c r="F49" s="121">
        <f>SUM($E$6:E49)</f>
        <v>92400</v>
      </c>
      <c r="G49" s="143">
        <f t="shared" si="1"/>
        <v>46200</v>
      </c>
      <c r="H49" s="120">
        <f t="shared" si="4"/>
        <v>0.15</v>
      </c>
      <c r="I49" s="121">
        <f t="shared" si="2"/>
        <v>2970</v>
      </c>
      <c r="J49" s="121">
        <f t="shared" si="5"/>
        <v>49170</v>
      </c>
      <c r="K49" s="95"/>
      <c r="L49" s="100"/>
    </row>
    <row r="50" spans="2:12">
      <c r="B50" s="124">
        <f t="shared" si="10"/>
        <v>4</v>
      </c>
      <c r="C50" s="122">
        <f t="shared" si="9"/>
        <v>45</v>
      </c>
      <c r="D50" s="123">
        <f t="shared" si="3"/>
        <v>0.5</v>
      </c>
      <c r="E50" s="125">
        <f t="shared" si="0"/>
        <v>0</v>
      </c>
      <c r="F50" s="125">
        <f>SUM($E$6:E50)</f>
        <v>92400</v>
      </c>
      <c r="G50" s="144">
        <f t="shared" si="1"/>
        <v>46200</v>
      </c>
      <c r="H50" s="123">
        <f t="shared" si="4"/>
        <v>0.15</v>
      </c>
      <c r="I50" s="125">
        <f t="shared" si="2"/>
        <v>2970</v>
      </c>
      <c r="J50" s="125">
        <f t="shared" si="5"/>
        <v>49170</v>
      </c>
      <c r="K50" s="95"/>
      <c r="L50" s="100"/>
    </row>
    <row r="51" spans="2:12">
      <c r="B51" s="118">
        <f t="shared" si="10"/>
        <v>4</v>
      </c>
      <c r="C51" s="119">
        <f t="shared" si="9"/>
        <v>46</v>
      </c>
      <c r="D51" s="120">
        <f t="shared" si="3"/>
        <v>0.5</v>
      </c>
      <c r="E51" s="121">
        <f t="shared" si="0"/>
        <v>0</v>
      </c>
      <c r="F51" s="121">
        <f>SUM($E$6:E51)</f>
        <v>92400</v>
      </c>
      <c r="G51" s="143">
        <f t="shared" si="1"/>
        <v>46200</v>
      </c>
      <c r="H51" s="120">
        <f t="shared" si="4"/>
        <v>0.15</v>
      </c>
      <c r="I51" s="121">
        <f t="shared" si="2"/>
        <v>2970</v>
      </c>
      <c r="J51" s="121">
        <f t="shared" si="5"/>
        <v>49170</v>
      </c>
      <c r="K51" s="95"/>
      <c r="L51" s="100"/>
    </row>
    <row r="52" spans="2:12">
      <c r="B52" s="124">
        <f t="shared" si="10"/>
        <v>4</v>
      </c>
      <c r="C52" s="122">
        <f t="shared" si="9"/>
        <v>47</v>
      </c>
      <c r="D52" s="123">
        <f t="shared" si="3"/>
        <v>0.5</v>
      </c>
      <c r="E52" s="125">
        <f t="shared" si="0"/>
        <v>0</v>
      </c>
      <c r="F52" s="125">
        <f>SUM($E$6:E52)</f>
        <v>92400</v>
      </c>
      <c r="G52" s="144">
        <f t="shared" si="1"/>
        <v>46200</v>
      </c>
      <c r="H52" s="123">
        <f t="shared" si="4"/>
        <v>0.15</v>
      </c>
      <c r="I52" s="125">
        <f t="shared" si="2"/>
        <v>2970</v>
      </c>
      <c r="J52" s="125">
        <f t="shared" si="5"/>
        <v>49170</v>
      </c>
      <c r="K52" s="95"/>
      <c r="L52" s="100"/>
    </row>
    <row r="53" spans="2:12">
      <c r="B53" s="118">
        <f t="shared" si="10"/>
        <v>4</v>
      </c>
      <c r="C53" s="119">
        <f t="shared" si="9"/>
        <v>48</v>
      </c>
      <c r="D53" s="120">
        <f t="shared" si="3"/>
        <v>0.5</v>
      </c>
      <c r="E53" s="121">
        <f t="shared" si="0"/>
        <v>0</v>
      </c>
      <c r="F53" s="121">
        <f>SUM($E$6:E53)</f>
        <v>92400</v>
      </c>
      <c r="G53" s="143">
        <f t="shared" si="1"/>
        <v>46200</v>
      </c>
      <c r="H53" s="120">
        <f t="shared" si="4"/>
        <v>0.15</v>
      </c>
      <c r="I53" s="121">
        <f t="shared" si="2"/>
        <v>2970</v>
      </c>
      <c r="J53" s="121">
        <f t="shared" si="5"/>
        <v>49170</v>
      </c>
      <c r="K53" s="95"/>
      <c r="L53" s="100"/>
    </row>
    <row r="54" spans="2:12">
      <c r="B54" s="124">
        <f t="shared" si="10"/>
        <v>5</v>
      </c>
      <c r="C54" s="122">
        <f t="shared" si="9"/>
        <v>49</v>
      </c>
      <c r="D54" s="123">
        <f t="shared" si="3"/>
        <v>0.5</v>
      </c>
      <c r="E54" s="125">
        <f t="shared" si="0"/>
        <v>23100</v>
      </c>
      <c r="F54" s="125">
        <f>SUM($E$6:E54)</f>
        <v>115500</v>
      </c>
      <c r="G54" s="144">
        <f t="shared" si="1"/>
        <v>57750</v>
      </c>
      <c r="H54" s="123">
        <f t="shared" si="4"/>
        <v>0.16</v>
      </c>
      <c r="I54" s="125">
        <f t="shared" si="2"/>
        <v>4224</v>
      </c>
      <c r="J54" s="125">
        <f t="shared" si="5"/>
        <v>61974</v>
      </c>
      <c r="K54" s="95"/>
      <c r="L54" s="100"/>
    </row>
    <row r="55" spans="2:12">
      <c r="B55" s="118">
        <f t="shared" si="10"/>
        <v>5</v>
      </c>
      <c r="C55" s="119">
        <f t="shared" si="9"/>
        <v>50</v>
      </c>
      <c r="D55" s="120">
        <f t="shared" si="3"/>
        <v>0.5</v>
      </c>
      <c r="E55" s="121">
        <f t="shared" si="0"/>
        <v>0</v>
      </c>
      <c r="F55" s="121">
        <f>SUM($E$6:E55)</f>
        <v>115500</v>
      </c>
      <c r="G55" s="143">
        <f t="shared" si="1"/>
        <v>57750</v>
      </c>
      <c r="H55" s="120">
        <f t="shared" si="4"/>
        <v>0.16</v>
      </c>
      <c r="I55" s="121">
        <f t="shared" si="2"/>
        <v>4224</v>
      </c>
      <c r="J55" s="121">
        <f t="shared" si="5"/>
        <v>61974</v>
      </c>
      <c r="K55" s="95"/>
      <c r="L55" s="100"/>
    </row>
    <row r="56" spans="2:12">
      <c r="B56" s="124">
        <f t="shared" si="10"/>
        <v>5</v>
      </c>
      <c r="C56" s="122">
        <f t="shared" si="9"/>
        <v>51</v>
      </c>
      <c r="D56" s="123">
        <f t="shared" si="3"/>
        <v>0.5</v>
      </c>
      <c r="E56" s="125">
        <f t="shared" si="0"/>
        <v>0</v>
      </c>
      <c r="F56" s="125">
        <f>SUM($E$6:E56)</f>
        <v>115500</v>
      </c>
      <c r="G56" s="144">
        <f t="shared" si="1"/>
        <v>57750</v>
      </c>
      <c r="H56" s="123">
        <f t="shared" si="4"/>
        <v>0.16</v>
      </c>
      <c r="I56" s="125">
        <f t="shared" si="2"/>
        <v>4224</v>
      </c>
      <c r="J56" s="125">
        <f t="shared" si="5"/>
        <v>61974</v>
      </c>
      <c r="K56" s="95"/>
      <c r="L56" s="100"/>
    </row>
    <row r="57" spans="2:12">
      <c r="B57" s="118">
        <f t="shared" si="10"/>
        <v>5</v>
      </c>
      <c r="C57" s="119">
        <f t="shared" si="9"/>
        <v>52</v>
      </c>
      <c r="D57" s="120">
        <f t="shared" si="3"/>
        <v>0.5</v>
      </c>
      <c r="E57" s="121">
        <f t="shared" si="0"/>
        <v>0</v>
      </c>
      <c r="F57" s="121">
        <f>SUM($E$6:E57)</f>
        <v>115500</v>
      </c>
      <c r="G57" s="143">
        <f t="shared" si="1"/>
        <v>57750</v>
      </c>
      <c r="H57" s="120">
        <f t="shared" si="4"/>
        <v>0.16</v>
      </c>
      <c r="I57" s="121">
        <f t="shared" si="2"/>
        <v>4224</v>
      </c>
      <c r="J57" s="121">
        <f t="shared" si="5"/>
        <v>61974</v>
      </c>
      <c r="K57" s="95"/>
      <c r="L57" s="100"/>
    </row>
    <row r="58" spans="2:12">
      <c r="B58" s="124">
        <f t="shared" si="10"/>
        <v>5</v>
      </c>
      <c r="C58" s="122">
        <f t="shared" si="9"/>
        <v>53</v>
      </c>
      <c r="D58" s="123">
        <f t="shared" si="3"/>
        <v>0.5</v>
      </c>
      <c r="E58" s="125">
        <f t="shared" si="0"/>
        <v>0</v>
      </c>
      <c r="F58" s="125">
        <f>SUM($E$6:E58)</f>
        <v>115500</v>
      </c>
      <c r="G58" s="144">
        <f t="shared" si="1"/>
        <v>57750</v>
      </c>
      <c r="H58" s="123">
        <f t="shared" si="4"/>
        <v>0.16</v>
      </c>
      <c r="I58" s="125">
        <f t="shared" si="2"/>
        <v>4224</v>
      </c>
      <c r="J58" s="125">
        <f t="shared" si="5"/>
        <v>61974</v>
      </c>
      <c r="K58" s="95"/>
      <c r="L58" s="100"/>
    </row>
    <row r="59" spans="2:12">
      <c r="B59" s="118">
        <f t="shared" si="10"/>
        <v>5</v>
      </c>
      <c r="C59" s="119">
        <f t="shared" si="9"/>
        <v>54</v>
      </c>
      <c r="D59" s="120">
        <f t="shared" si="3"/>
        <v>0.5</v>
      </c>
      <c r="E59" s="121">
        <f t="shared" si="0"/>
        <v>0</v>
      </c>
      <c r="F59" s="121">
        <f>SUM($E$6:E59)</f>
        <v>115500</v>
      </c>
      <c r="G59" s="143">
        <f t="shared" si="1"/>
        <v>57750</v>
      </c>
      <c r="H59" s="120">
        <f t="shared" si="4"/>
        <v>0.16</v>
      </c>
      <c r="I59" s="121">
        <f t="shared" si="2"/>
        <v>4224</v>
      </c>
      <c r="J59" s="121">
        <f t="shared" si="5"/>
        <v>61974</v>
      </c>
      <c r="K59" s="95"/>
      <c r="L59" s="100"/>
    </row>
    <row r="60" spans="2:12">
      <c r="B60" s="124">
        <f t="shared" si="10"/>
        <v>5</v>
      </c>
      <c r="C60" s="122">
        <f t="shared" si="9"/>
        <v>55</v>
      </c>
      <c r="D60" s="123">
        <f t="shared" si="3"/>
        <v>0.5</v>
      </c>
      <c r="E60" s="125">
        <f t="shared" si="0"/>
        <v>0</v>
      </c>
      <c r="F60" s="125">
        <f>SUM($E$6:E60)</f>
        <v>115500</v>
      </c>
      <c r="G60" s="144">
        <f t="shared" si="1"/>
        <v>57750</v>
      </c>
      <c r="H60" s="123">
        <f t="shared" si="4"/>
        <v>0.16</v>
      </c>
      <c r="I60" s="125">
        <f t="shared" si="2"/>
        <v>4224</v>
      </c>
      <c r="J60" s="125">
        <f t="shared" si="5"/>
        <v>61974</v>
      </c>
      <c r="K60" s="95"/>
      <c r="L60" s="100"/>
    </row>
    <row r="61" spans="2:12">
      <c r="B61" s="118">
        <f t="shared" si="10"/>
        <v>5</v>
      </c>
      <c r="C61" s="119">
        <f t="shared" si="9"/>
        <v>56</v>
      </c>
      <c r="D61" s="120">
        <f t="shared" si="3"/>
        <v>0.5</v>
      </c>
      <c r="E61" s="121">
        <f t="shared" si="0"/>
        <v>0</v>
      </c>
      <c r="F61" s="121">
        <f>SUM($E$6:E61)</f>
        <v>115500</v>
      </c>
      <c r="G61" s="143">
        <f t="shared" si="1"/>
        <v>57750</v>
      </c>
      <c r="H61" s="120">
        <f t="shared" si="4"/>
        <v>0.16</v>
      </c>
      <c r="I61" s="121">
        <f t="shared" si="2"/>
        <v>4224</v>
      </c>
      <c r="J61" s="121">
        <f t="shared" si="5"/>
        <v>61974</v>
      </c>
      <c r="K61" s="95"/>
      <c r="L61" s="100"/>
    </row>
    <row r="62" spans="2:12">
      <c r="B62" s="124">
        <f t="shared" si="10"/>
        <v>5</v>
      </c>
      <c r="C62" s="122">
        <f t="shared" si="9"/>
        <v>57</v>
      </c>
      <c r="D62" s="123">
        <f t="shared" si="3"/>
        <v>0.5</v>
      </c>
      <c r="E62" s="125">
        <f t="shared" si="0"/>
        <v>0</v>
      </c>
      <c r="F62" s="125">
        <f>SUM($E$6:E62)</f>
        <v>115500</v>
      </c>
      <c r="G62" s="144">
        <f t="shared" si="1"/>
        <v>57750</v>
      </c>
      <c r="H62" s="123">
        <f t="shared" si="4"/>
        <v>0.16</v>
      </c>
      <c r="I62" s="125">
        <f t="shared" si="2"/>
        <v>4224</v>
      </c>
      <c r="J62" s="125">
        <f t="shared" si="5"/>
        <v>61974</v>
      </c>
      <c r="K62" s="95"/>
      <c r="L62" s="100"/>
    </row>
    <row r="63" spans="2:12">
      <c r="B63" s="118">
        <f t="shared" si="10"/>
        <v>5</v>
      </c>
      <c r="C63" s="119">
        <f t="shared" si="9"/>
        <v>58</v>
      </c>
      <c r="D63" s="120">
        <f t="shared" si="3"/>
        <v>0.5</v>
      </c>
      <c r="E63" s="121">
        <f t="shared" si="0"/>
        <v>0</v>
      </c>
      <c r="F63" s="121">
        <f>SUM($E$6:E63)</f>
        <v>115500</v>
      </c>
      <c r="G63" s="143">
        <f t="shared" si="1"/>
        <v>57750</v>
      </c>
      <c r="H63" s="120">
        <f t="shared" si="4"/>
        <v>0.16</v>
      </c>
      <c r="I63" s="121">
        <f t="shared" si="2"/>
        <v>4224</v>
      </c>
      <c r="J63" s="121">
        <f t="shared" si="5"/>
        <v>61974</v>
      </c>
      <c r="K63" s="95"/>
      <c r="L63" s="100"/>
    </row>
    <row r="64" spans="2:12">
      <c r="B64" s="124">
        <f t="shared" si="10"/>
        <v>5</v>
      </c>
      <c r="C64" s="122">
        <f t="shared" si="9"/>
        <v>59</v>
      </c>
      <c r="D64" s="123">
        <f t="shared" si="3"/>
        <v>0.5</v>
      </c>
      <c r="E64" s="125">
        <f t="shared" si="0"/>
        <v>0</v>
      </c>
      <c r="F64" s="125">
        <f>SUM($E$6:E64)</f>
        <v>115500</v>
      </c>
      <c r="G64" s="144">
        <f t="shared" si="1"/>
        <v>57750</v>
      </c>
      <c r="H64" s="123">
        <f t="shared" si="4"/>
        <v>0.16</v>
      </c>
      <c r="I64" s="125">
        <f t="shared" si="2"/>
        <v>4224</v>
      </c>
      <c r="J64" s="125">
        <f t="shared" si="5"/>
        <v>61974</v>
      </c>
      <c r="K64" s="95"/>
      <c r="L64" s="100"/>
    </row>
    <row r="65" spans="2:12">
      <c r="B65" s="118">
        <f t="shared" si="10"/>
        <v>5</v>
      </c>
      <c r="C65" s="119">
        <f t="shared" si="9"/>
        <v>60</v>
      </c>
      <c r="D65" s="120">
        <f t="shared" si="3"/>
        <v>0.5</v>
      </c>
      <c r="E65" s="121">
        <f t="shared" si="0"/>
        <v>0</v>
      </c>
      <c r="F65" s="121">
        <f>SUM($E$6:E65)</f>
        <v>115500</v>
      </c>
      <c r="G65" s="143">
        <f t="shared" si="1"/>
        <v>57750</v>
      </c>
      <c r="H65" s="120">
        <f t="shared" si="4"/>
        <v>0.16</v>
      </c>
      <c r="I65" s="121">
        <f t="shared" si="2"/>
        <v>4224</v>
      </c>
      <c r="J65" s="121">
        <f t="shared" si="5"/>
        <v>61974</v>
      </c>
      <c r="K65" s="95"/>
      <c r="L65" s="100"/>
    </row>
    <row r="66" spans="2:12">
      <c r="B66" s="124">
        <f t="shared" si="10"/>
        <v>6</v>
      </c>
      <c r="C66" s="122">
        <f t="shared" si="9"/>
        <v>61</v>
      </c>
      <c r="D66" s="123">
        <f t="shared" si="3"/>
        <v>0.5</v>
      </c>
      <c r="E66" s="125">
        <f t="shared" si="0"/>
        <v>23100</v>
      </c>
      <c r="F66" s="125">
        <f>SUM($E$6:E66)</f>
        <v>138600</v>
      </c>
      <c r="G66" s="144">
        <f t="shared" si="1"/>
        <v>69300</v>
      </c>
      <c r="H66" s="123">
        <f t="shared" si="4"/>
        <v>0.18</v>
      </c>
      <c r="I66" s="125">
        <f t="shared" si="2"/>
        <v>5940</v>
      </c>
      <c r="J66" s="125">
        <f t="shared" si="5"/>
        <v>75240</v>
      </c>
      <c r="K66" s="95"/>
      <c r="L66" s="100"/>
    </row>
    <row r="67" spans="2:12">
      <c r="B67" s="118">
        <f t="shared" si="10"/>
        <v>6</v>
      </c>
      <c r="C67" s="119">
        <f t="shared" si="9"/>
        <v>62</v>
      </c>
      <c r="D67" s="120">
        <f t="shared" si="3"/>
        <v>0.5</v>
      </c>
      <c r="E67" s="121">
        <f t="shared" si="0"/>
        <v>0</v>
      </c>
      <c r="F67" s="121">
        <f>SUM($E$6:E67)</f>
        <v>138600</v>
      </c>
      <c r="G67" s="143">
        <f t="shared" si="1"/>
        <v>69300</v>
      </c>
      <c r="H67" s="120">
        <f t="shared" si="4"/>
        <v>0.18</v>
      </c>
      <c r="I67" s="121">
        <f t="shared" si="2"/>
        <v>5940</v>
      </c>
      <c r="J67" s="121">
        <f t="shared" si="5"/>
        <v>75240</v>
      </c>
      <c r="K67" s="95"/>
      <c r="L67" s="100"/>
    </row>
    <row r="68" spans="2:12">
      <c r="B68" s="124">
        <f t="shared" si="10"/>
        <v>6</v>
      </c>
      <c r="C68" s="122">
        <f t="shared" si="9"/>
        <v>63</v>
      </c>
      <c r="D68" s="123">
        <f t="shared" si="3"/>
        <v>0.5</v>
      </c>
      <c r="E68" s="125">
        <f t="shared" si="0"/>
        <v>0</v>
      </c>
      <c r="F68" s="125">
        <f>SUM($E$6:E68)</f>
        <v>138600</v>
      </c>
      <c r="G68" s="144">
        <f t="shared" si="1"/>
        <v>69300</v>
      </c>
      <c r="H68" s="123">
        <f t="shared" si="4"/>
        <v>0.18</v>
      </c>
      <c r="I68" s="125">
        <f t="shared" si="2"/>
        <v>5940</v>
      </c>
      <c r="J68" s="125">
        <f t="shared" si="5"/>
        <v>75240</v>
      </c>
      <c r="K68" s="95"/>
      <c r="L68" s="100"/>
    </row>
    <row r="69" spans="2:12">
      <c r="B69" s="118">
        <f t="shared" si="10"/>
        <v>6</v>
      </c>
      <c r="C69" s="119">
        <f t="shared" si="9"/>
        <v>64</v>
      </c>
      <c r="D69" s="120">
        <f t="shared" si="3"/>
        <v>0.5</v>
      </c>
      <c r="E69" s="121">
        <f t="shared" si="0"/>
        <v>0</v>
      </c>
      <c r="F69" s="121">
        <f>SUM($E$6:E69)</f>
        <v>138600</v>
      </c>
      <c r="G69" s="143">
        <f t="shared" si="1"/>
        <v>69300</v>
      </c>
      <c r="H69" s="120">
        <f t="shared" si="4"/>
        <v>0.18</v>
      </c>
      <c r="I69" s="121">
        <f t="shared" si="2"/>
        <v>5940</v>
      </c>
      <c r="J69" s="121">
        <f t="shared" si="5"/>
        <v>75240</v>
      </c>
      <c r="K69" s="95"/>
      <c r="L69" s="100"/>
    </row>
    <row r="70" spans="2:12">
      <c r="B70" s="124">
        <f t="shared" si="10"/>
        <v>6</v>
      </c>
      <c r="C70" s="122">
        <f t="shared" si="9"/>
        <v>65</v>
      </c>
      <c r="D70" s="123">
        <f t="shared" si="3"/>
        <v>0.5</v>
      </c>
      <c r="E70" s="125">
        <f t="shared" ref="E70:E133" si="11">(IF(B70=1,Modal_Basic_Prem_Yr1,Modal_Basic_Prem_Yr2)*(Prem_Mode="Monthly") + (Prem_Mode="Annual")*IF(B70=1,Modal_Basic_Prem_Yr1,Modal_Basic_Prem_Yr2)*(MOD(C70-1,12)=0))*(B70&lt;=15)</f>
        <v>0</v>
      </c>
      <c r="F70" s="125">
        <f>SUM($E$6:E70)</f>
        <v>138600</v>
      </c>
      <c r="G70" s="144">
        <f t="shared" ref="G70:G133" si="12">MAX(F70*D70-SA/100*(C70-10*12)*(B70&gt;10),0)</f>
        <v>69300</v>
      </c>
      <c r="H70" s="123">
        <f t="shared" si="4"/>
        <v>0.18</v>
      </c>
      <c r="I70" s="125">
        <f t="shared" ref="I70:I133" si="13">VLOOKUP(B70,$P$5:$Q$30,2,0)*SA*(B70-1)*H70</f>
        <v>5940</v>
      </c>
      <c r="J70" s="125">
        <f t="shared" si="5"/>
        <v>75240</v>
      </c>
      <c r="K70" s="95"/>
      <c r="L70" s="100"/>
    </row>
    <row r="71" spans="2:12">
      <c r="B71" s="118">
        <f t="shared" si="10"/>
        <v>6</v>
      </c>
      <c r="C71" s="119">
        <f t="shared" si="9"/>
        <v>66</v>
      </c>
      <c r="D71" s="120">
        <f t="shared" ref="D71:D134" si="14">VLOOKUP(B71,$L$5:$N$30,2,0)</f>
        <v>0.5</v>
      </c>
      <c r="E71" s="121">
        <f t="shared" si="11"/>
        <v>0</v>
      </c>
      <c r="F71" s="121">
        <f>SUM($E$6:E71)</f>
        <v>138600</v>
      </c>
      <c r="G71" s="143">
        <f t="shared" si="12"/>
        <v>69300</v>
      </c>
      <c r="H71" s="120">
        <f t="shared" ref="H71:H134" si="15">VLOOKUP(B71,$L$5:$N$30,3,0)</f>
        <v>0.18</v>
      </c>
      <c r="I71" s="121">
        <f t="shared" si="13"/>
        <v>5940</v>
      </c>
      <c r="J71" s="121">
        <f t="shared" ref="J71:J134" si="16">G71+I71</f>
        <v>75240</v>
      </c>
      <c r="K71" s="95"/>
      <c r="L71" s="100"/>
    </row>
    <row r="72" spans="2:12">
      <c r="B72" s="124">
        <f t="shared" si="10"/>
        <v>6</v>
      </c>
      <c r="C72" s="122">
        <f t="shared" ref="C72:C135" si="17">C71+1</f>
        <v>67</v>
      </c>
      <c r="D72" s="123">
        <f t="shared" si="14"/>
        <v>0.5</v>
      </c>
      <c r="E72" s="125">
        <f t="shared" si="11"/>
        <v>0</v>
      </c>
      <c r="F72" s="125">
        <f>SUM($E$6:E72)</f>
        <v>138600</v>
      </c>
      <c r="G72" s="144">
        <f t="shared" si="12"/>
        <v>69300</v>
      </c>
      <c r="H72" s="123">
        <f t="shared" si="15"/>
        <v>0.18</v>
      </c>
      <c r="I72" s="125">
        <f t="shared" si="13"/>
        <v>5940</v>
      </c>
      <c r="J72" s="125">
        <f t="shared" si="16"/>
        <v>75240</v>
      </c>
      <c r="K72" s="95"/>
      <c r="L72" s="100"/>
    </row>
    <row r="73" spans="2:12">
      <c r="B73" s="118">
        <f t="shared" si="10"/>
        <v>6</v>
      </c>
      <c r="C73" s="119">
        <f t="shared" si="17"/>
        <v>68</v>
      </c>
      <c r="D73" s="120">
        <f t="shared" si="14"/>
        <v>0.5</v>
      </c>
      <c r="E73" s="121">
        <f t="shared" si="11"/>
        <v>0</v>
      </c>
      <c r="F73" s="121">
        <f>SUM($E$6:E73)</f>
        <v>138600</v>
      </c>
      <c r="G73" s="143">
        <f t="shared" si="12"/>
        <v>69300</v>
      </c>
      <c r="H73" s="120">
        <f t="shared" si="15"/>
        <v>0.18</v>
      </c>
      <c r="I73" s="121">
        <f t="shared" si="13"/>
        <v>5940</v>
      </c>
      <c r="J73" s="121">
        <f t="shared" si="16"/>
        <v>75240</v>
      </c>
      <c r="K73" s="95"/>
      <c r="L73" s="100"/>
    </row>
    <row r="74" spans="2:12">
      <c r="B74" s="124">
        <f t="shared" si="10"/>
        <v>6</v>
      </c>
      <c r="C74" s="122">
        <f t="shared" si="17"/>
        <v>69</v>
      </c>
      <c r="D74" s="123">
        <f t="shared" si="14"/>
        <v>0.5</v>
      </c>
      <c r="E74" s="125">
        <f t="shared" si="11"/>
        <v>0</v>
      </c>
      <c r="F74" s="125">
        <f>SUM($E$6:E74)</f>
        <v>138600</v>
      </c>
      <c r="G74" s="144">
        <f t="shared" si="12"/>
        <v>69300</v>
      </c>
      <c r="H74" s="123">
        <f t="shared" si="15"/>
        <v>0.18</v>
      </c>
      <c r="I74" s="125">
        <f t="shared" si="13"/>
        <v>5940</v>
      </c>
      <c r="J74" s="125">
        <f t="shared" si="16"/>
        <v>75240</v>
      </c>
      <c r="K74" s="95"/>
      <c r="L74" s="100"/>
    </row>
    <row r="75" spans="2:12">
      <c r="B75" s="118">
        <f t="shared" si="10"/>
        <v>6</v>
      </c>
      <c r="C75" s="119">
        <f t="shared" si="17"/>
        <v>70</v>
      </c>
      <c r="D75" s="120">
        <f t="shared" si="14"/>
        <v>0.5</v>
      </c>
      <c r="E75" s="121">
        <f t="shared" si="11"/>
        <v>0</v>
      </c>
      <c r="F75" s="121">
        <f>SUM($E$6:E75)</f>
        <v>138600</v>
      </c>
      <c r="G75" s="143">
        <f t="shared" si="12"/>
        <v>69300</v>
      </c>
      <c r="H75" s="120">
        <f t="shared" si="15"/>
        <v>0.18</v>
      </c>
      <c r="I75" s="121">
        <f t="shared" si="13"/>
        <v>5940</v>
      </c>
      <c r="J75" s="121">
        <f t="shared" si="16"/>
        <v>75240</v>
      </c>
      <c r="K75" s="95"/>
      <c r="L75" s="100"/>
    </row>
    <row r="76" spans="2:12">
      <c r="B76" s="124">
        <f t="shared" si="10"/>
        <v>6</v>
      </c>
      <c r="C76" s="122">
        <f t="shared" si="17"/>
        <v>71</v>
      </c>
      <c r="D76" s="123">
        <f t="shared" si="14"/>
        <v>0.5</v>
      </c>
      <c r="E76" s="125">
        <f t="shared" si="11"/>
        <v>0</v>
      </c>
      <c r="F76" s="125">
        <f>SUM($E$6:E76)</f>
        <v>138600</v>
      </c>
      <c r="G76" s="144">
        <f t="shared" si="12"/>
        <v>69300</v>
      </c>
      <c r="H76" s="123">
        <f t="shared" si="15"/>
        <v>0.18</v>
      </c>
      <c r="I76" s="125">
        <f t="shared" si="13"/>
        <v>5940</v>
      </c>
      <c r="J76" s="125">
        <f t="shared" si="16"/>
        <v>75240</v>
      </c>
      <c r="K76" s="95"/>
      <c r="L76" s="100"/>
    </row>
    <row r="77" spans="2:12">
      <c r="B77" s="118">
        <f t="shared" si="10"/>
        <v>6</v>
      </c>
      <c r="C77" s="119">
        <f t="shared" si="17"/>
        <v>72</v>
      </c>
      <c r="D77" s="120">
        <f t="shared" si="14"/>
        <v>0.5</v>
      </c>
      <c r="E77" s="121">
        <f t="shared" si="11"/>
        <v>0</v>
      </c>
      <c r="F77" s="121">
        <f>SUM($E$6:E77)</f>
        <v>138600</v>
      </c>
      <c r="G77" s="143">
        <f t="shared" si="12"/>
        <v>69300</v>
      </c>
      <c r="H77" s="120">
        <f t="shared" si="15"/>
        <v>0.18</v>
      </c>
      <c r="I77" s="121">
        <f t="shared" si="13"/>
        <v>5940</v>
      </c>
      <c r="J77" s="121">
        <f t="shared" si="16"/>
        <v>75240</v>
      </c>
      <c r="K77" s="95"/>
      <c r="L77" s="100"/>
    </row>
    <row r="78" spans="2:12">
      <c r="B78" s="124">
        <f t="shared" si="10"/>
        <v>7</v>
      </c>
      <c r="C78" s="122">
        <f t="shared" si="17"/>
        <v>73</v>
      </c>
      <c r="D78" s="123">
        <f t="shared" si="14"/>
        <v>0.5</v>
      </c>
      <c r="E78" s="125">
        <f t="shared" si="11"/>
        <v>23100</v>
      </c>
      <c r="F78" s="125">
        <f>SUM($E$6:E78)</f>
        <v>161700</v>
      </c>
      <c r="G78" s="144">
        <f t="shared" si="12"/>
        <v>80850</v>
      </c>
      <c r="H78" s="123">
        <f t="shared" si="15"/>
        <v>0.19</v>
      </c>
      <c r="I78" s="125">
        <f t="shared" si="13"/>
        <v>7524</v>
      </c>
      <c r="J78" s="125">
        <f t="shared" si="16"/>
        <v>88374</v>
      </c>
      <c r="K78" s="95"/>
      <c r="L78" s="100"/>
    </row>
    <row r="79" spans="2:12">
      <c r="B79" s="118">
        <f t="shared" si="10"/>
        <v>7</v>
      </c>
      <c r="C79" s="119">
        <f t="shared" si="17"/>
        <v>74</v>
      </c>
      <c r="D79" s="120">
        <f t="shared" si="14"/>
        <v>0.5</v>
      </c>
      <c r="E79" s="121">
        <f t="shared" si="11"/>
        <v>0</v>
      </c>
      <c r="F79" s="121">
        <f>SUM($E$6:E79)</f>
        <v>161700</v>
      </c>
      <c r="G79" s="143">
        <f t="shared" si="12"/>
        <v>80850</v>
      </c>
      <c r="H79" s="120">
        <f t="shared" si="15"/>
        <v>0.19</v>
      </c>
      <c r="I79" s="121">
        <f t="shared" si="13"/>
        <v>7524</v>
      </c>
      <c r="J79" s="121">
        <f t="shared" si="16"/>
        <v>88374</v>
      </c>
      <c r="K79" s="95"/>
      <c r="L79" s="100"/>
    </row>
    <row r="80" spans="2:12">
      <c r="B80" s="124">
        <f t="shared" si="10"/>
        <v>7</v>
      </c>
      <c r="C80" s="122">
        <f t="shared" si="17"/>
        <v>75</v>
      </c>
      <c r="D80" s="123">
        <f t="shared" si="14"/>
        <v>0.5</v>
      </c>
      <c r="E80" s="125">
        <f t="shared" si="11"/>
        <v>0</v>
      </c>
      <c r="F80" s="125">
        <f>SUM($E$6:E80)</f>
        <v>161700</v>
      </c>
      <c r="G80" s="144">
        <f t="shared" si="12"/>
        <v>80850</v>
      </c>
      <c r="H80" s="123">
        <f t="shared" si="15"/>
        <v>0.19</v>
      </c>
      <c r="I80" s="125">
        <f t="shared" si="13"/>
        <v>7524</v>
      </c>
      <c r="J80" s="125">
        <f t="shared" si="16"/>
        <v>88374</v>
      </c>
      <c r="K80" s="95"/>
      <c r="L80" s="100"/>
    </row>
    <row r="81" spans="2:12">
      <c r="B81" s="118">
        <f t="shared" si="10"/>
        <v>7</v>
      </c>
      <c r="C81" s="119">
        <f t="shared" si="17"/>
        <v>76</v>
      </c>
      <c r="D81" s="120">
        <f t="shared" si="14"/>
        <v>0.5</v>
      </c>
      <c r="E81" s="121">
        <f t="shared" si="11"/>
        <v>0</v>
      </c>
      <c r="F81" s="121">
        <f>SUM($E$6:E81)</f>
        <v>161700</v>
      </c>
      <c r="G81" s="143">
        <f t="shared" si="12"/>
        <v>80850</v>
      </c>
      <c r="H81" s="120">
        <f t="shared" si="15"/>
        <v>0.19</v>
      </c>
      <c r="I81" s="121">
        <f t="shared" si="13"/>
        <v>7524</v>
      </c>
      <c r="J81" s="121">
        <f t="shared" si="16"/>
        <v>88374</v>
      </c>
      <c r="K81" s="95"/>
      <c r="L81" s="100"/>
    </row>
    <row r="82" spans="2:12">
      <c r="B82" s="124">
        <f t="shared" si="10"/>
        <v>7</v>
      </c>
      <c r="C82" s="122">
        <f t="shared" si="17"/>
        <v>77</v>
      </c>
      <c r="D82" s="123">
        <f t="shared" si="14"/>
        <v>0.5</v>
      </c>
      <c r="E82" s="125">
        <f t="shared" si="11"/>
        <v>0</v>
      </c>
      <c r="F82" s="125">
        <f>SUM($E$6:E82)</f>
        <v>161700</v>
      </c>
      <c r="G82" s="144">
        <f t="shared" si="12"/>
        <v>80850</v>
      </c>
      <c r="H82" s="123">
        <f t="shared" si="15"/>
        <v>0.19</v>
      </c>
      <c r="I82" s="125">
        <f t="shared" si="13"/>
        <v>7524</v>
      </c>
      <c r="J82" s="125">
        <f t="shared" si="16"/>
        <v>88374</v>
      </c>
      <c r="K82" s="95"/>
      <c r="L82" s="100"/>
    </row>
    <row r="83" spans="2:12">
      <c r="B83" s="118">
        <f t="shared" ref="B83:B146" si="18">B71+1</f>
        <v>7</v>
      </c>
      <c r="C83" s="119">
        <f t="shared" si="17"/>
        <v>78</v>
      </c>
      <c r="D83" s="120">
        <f t="shared" si="14"/>
        <v>0.5</v>
      </c>
      <c r="E83" s="121">
        <f t="shared" si="11"/>
        <v>0</v>
      </c>
      <c r="F83" s="121">
        <f>SUM($E$6:E83)</f>
        <v>161700</v>
      </c>
      <c r="G83" s="143">
        <f t="shared" si="12"/>
        <v>80850</v>
      </c>
      <c r="H83" s="120">
        <f t="shared" si="15"/>
        <v>0.19</v>
      </c>
      <c r="I83" s="121">
        <f t="shared" si="13"/>
        <v>7524</v>
      </c>
      <c r="J83" s="121">
        <f t="shared" si="16"/>
        <v>88374</v>
      </c>
      <c r="K83" s="95"/>
      <c r="L83" s="100"/>
    </row>
    <row r="84" spans="2:12">
      <c r="B84" s="124">
        <f t="shared" si="18"/>
        <v>7</v>
      </c>
      <c r="C84" s="122">
        <f t="shared" si="17"/>
        <v>79</v>
      </c>
      <c r="D84" s="123">
        <f t="shared" si="14"/>
        <v>0.5</v>
      </c>
      <c r="E84" s="125">
        <f t="shared" si="11"/>
        <v>0</v>
      </c>
      <c r="F84" s="125">
        <f>SUM($E$6:E84)</f>
        <v>161700</v>
      </c>
      <c r="G84" s="144">
        <f t="shared" si="12"/>
        <v>80850</v>
      </c>
      <c r="H84" s="123">
        <f t="shared" si="15"/>
        <v>0.19</v>
      </c>
      <c r="I84" s="125">
        <f t="shared" si="13"/>
        <v>7524</v>
      </c>
      <c r="J84" s="125">
        <f t="shared" si="16"/>
        <v>88374</v>
      </c>
      <c r="K84" s="95"/>
      <c r="L84" s="100"/>
    </row>
    <row r="85" spans="2:12">
      <c r="B85" s="118">
        <f t="shared" si="18"/>
        <v>7</v>
      </c>
      <c r="C85" s="119">
        <f t="shared" si="17"/>
        <v>80</v>
      </c>
      <c r="D85" s="120">
        <f t="shared" si="14"/>
        <v>0.5</v>
      </c>
      <c r="E85" s="121">
        <f t="shared" si="11"/>
        <v>0</v>
      </c>
      <c r="F85" s="121">
        <f>SUM($E$6:E85)</f>
        <v>161700</v>
      </c>
      <c r="G85" s="143">
        <f t="shared" si="12"/>
        <v>80850</v>
      </c>
      <c r="H85" s="120">
        <f t="shared" si="15"/>
        <v>0.19</v>
      </c>
      <c r="I85" s="121">
        <f t="shared" si="13"/>
        <v>7524</v>
      </c>
      <c r="J85" s="121">
        <f t="shared" si="16"/>
        <v>88374</v>
      </c>
      <c r="K85" s="95"/>
      <c r="L85" s="100"/>
    </row>
    <row r="86" spans="2:12">
      <c r="B86" s="124">
        <f t="shared" si="18"/>
        <v>7</v>
      </c>
      <c r="C86" s="122">
        <f t="shared" si="17"/>
        <v>81</v>
      </c>
      <c r="D86" s="123">
        <f t="shared" si="14"/>
        <v>0.5</v>
      </c>
      <c r="E86" s="125">
        <f t="shared" si="11"/>
        <v>0</v>
      </c>
      <c r="F86" s="125">
        <f>SUM($E$6:E86)</f>
        <v>161700</v>
      </c>
      <c r="G86" s="144">
        <f t="shared" si="12"/>
        <v>80850</v>
      </c>
      <c r="H86" s="123">
        <f t="shared" si="15"/>
        <v>0.19</v>
      </c>
      <c r="I86" s="125">
        <f t="shared" si="13"/>
        <v>7524</v>
      </c>
      <c r="J86" s="125">
        <f t="shared" si="16"/>
        <v>88374</v>
      </c>
      <c r="K86" s="95"/>
      <c r="L86" s="100"/>
    </row>
    <row r="87" spans="2:12">
      <c r="B87" s="118">
        <f t="shared" si="18"/>
        <v>7</v>
      </c>
      <c r="C87" s="119">
        <f t="shared" si="17"/>
        <v>82</v>
      </c>
      <c r="D87" s="120">
        <f t="shared" si="14"/>
        <v>0.5</v>
      </c>
      <c r="E87" s="121">
        <f t="shared" si="11"/>
        <v>0</v>
      </c>
      <c r="F87" s="121">
        <f>SUM($E$6:E87)</f>
        <v>161700</v>
      </c>
      <c r="G87" s="143">
        <f t="shared" si="12"/>
        <v>80850</v>
      </c>
      <c r="H87" s="120">
        <f t="shared" si="15"/>
        <v>0.19</v>
      </c>
      <c r="I87" s="121">
        <f t="shared" si="13"/>
        <v>7524</v>
      </c>
      <c r="J87" s="121">
        <f t="shared" si="16"/>
        <v>88374</v>
      </c>
      <c r="K87" s="95"/>
      <c r="L87" s="100"/>
    </row>
    <row r="88" spans="2:12">
      <c r="B88" s="124">
        <f t="shared" si="18"/>
        <v>7</v>
      </c>
      <c r="C88" s="122">
        <f t="shared" si="17"/>
        <v>83</v>
      </c>
      <c r="D88" s="123">
        <f t="shared" si="14"/>
        <v>0.5</v>
      </c>
      <c r="E88" s="125">
        <f t="shared" si="11"/>
        <v>0</v>
      </c>
      <c r="F88" s="125">
        <f>SUM($E$6:E88)</f>
        <v>161700</v>
      </c>
      <c r="G88" s="144">
        <f t="shared" si="12"/>
        <v>80850</v>
      </c>
      <c r="H88" s="123">
        <f t="shared" si="15"/>
        <v>0.19</v>
      </c>
      <c r="I88" s="125">
        <f t="shared" si="13"/>
        <v>7524</v>
      </c>
      <c r="J88" s="125">
        <f t="shared" si="16"/>
        <v>88374</v>
      </c>
      <c r="K88" s="95"/>
      <c r="L88" s="100"/>
    </row>
    <row r="89" spans="2:12">
      <c r="B89" s="118">
        <f t="shared" si="18"/>
        <v>7</v>
      </c>
      <c r="C89" s="119">
        <f t="shared" si="17"/>
        <v>84</v>
      </c>
      <c r="D89" s="120">
        <f t="shared" si="14"/>
        <v>0.5</v>
      </c>
      <c r="E89" s="121">
        <f t="shared" si="11"/>
        <v>0</v>
      </c>
      <c r="F89" s="121">
        <f>SUM($E$6:E89)</f>
        <v>161700</v>
      </c>
      <c r="G89" s="143">
        <f t="shared" si="12"/>
        <v>80850</v>
      </c>
      <c r="H89" s="120">
        <f t="shared" si="15"/>
        <v>0.19</v>
      </c>
      <c r="I89" s="121">
        <f t="shared" si="13"/>
        <v>7524</v>
      </c>
      <c r="J89" s="121">
        <f t="shared" si="16"/>
        <v>88374</v>
      </c>
      <c r="K89" s="95"/>
      <c r="L89" s="100"/>
    </row>
    <row r="90" spans="2:12">
      <c r="B90" s="124">
        <f t="shared" si="18"/>
        <v>8</v>
      </c>
      <c r="C90" s="122">
        <f t="shared" si="17"/>
        <v>85</v>
      </c>
      <c r="D90" s="123">
        <f t="shared" si="14"/>
        <v>0.52</v>
      </c>
      <c r="E90" s="125">
        <f t="shared" si="11"/>
        <v>23100</v>
      </c>
      <c r="F90" s="125">
        <f>SUM($E$6:E90)</f>
        <v>184800</v>
      </c>
      <c r="G90" s="144">
        <f t="shared" si="12"/>
        <v>96096</v>
      </c>
      <c r="H90" s="123">
        <f t="shared" si="15"/>
        <v>0.21</v>
      </c>
      <c r="I90" s="125">
        <f t="shared" si="13"/>
        <v>9702</v>
      </c>
      <c r="J90" s="125">
        <f t="shared" si="16"/>
        <v>105798</v>
      </c>
      <c r="K90" s="95"/>
      <c r="L90" s="100"/>
    </row>
    <row r="91" spans="2:12">
      <c r="B91" s="118">
        <f t="shared" si="18"/>
        <v>8</v>
      </c>
      <c r="C91" s="119">
        <f t="shared" si="17"/>
        <v>86</v>
      </c>
      <c r="D91" s="120">
        <f t="shared" si="14"/>
        <v>0.52</v>
      </c>
      <c r="E91" s="121">
        <f t="shared" si="11"/>
        <v>0</v>
      </c>
      <c r="F91" s="121">
        <f>SUM($E$6:E91)</f>
        <v>184800</v>
      </c>
      <c r="G91" s="143">
        <f t="shared" si="12"/>
        <v>96096</v>
      </c>
      <c r="H91" s="120">
        <f t="shared" si="15"/>
        <v>0.21</v>
      </c>
      <c r="I91" s="121">
        <f t="shared" si="13"/>
        <v>9702</v>
      </c>
      <c r="J91" s="121">
        <f t="shared" si="16"/>
        <v>105798</v>
      </c>
      <c r="K91" s="95"/>
      <c r="L91" s="100"/>
    </row>
    <row r="92" spans="2:12">
      <c r="B92" s="124">
        <f t="shared" si="18"/>
        <v>8</v>
      </c>
      <c r="C92" s="122">
        <f t="shared" si="17"/>
        <v>87</v>
      </c>
      <c r="D92" s="123">
        <f t="shared" si="14"/>
        <v>0.52</v>
      </c>
      <c r="E92" s="125">
        <f t="shared" si="11"/>
        <v>0</v>
      </c>
      <c r="F92" s="125">
        <f>SUM($E$6:E92)</f>
        <v>184800</v>
      </c>
      <c r="G92" s="144">
        <f t="shared" si="12"/>
        <v>96096</v>
      </c>
      <c r="H92" s="123">
        <f t="shared" si="15"/>
        <v>0.21</v>
      </c>
      <c r="I92" s="125">
        <f t="shared" si="13"/>
        <v>9702</v>
      </c>
      <c r="J92" s="125">
        <f t="shared" si="16"/>
        <v>105798</v>
      </c>
      <c r="K92" s="95"/>
      <c r="L92" s="100"/>
    </row>
    <row r="93" spans="2:12">
      <c r="B93" s="118">
        <f t="shared" si="18"/>
        <v>8</v>
      </c>
      <c r="C93" s="119">
        <f t="shared" si="17"/>
        <v>88</v>
      </c>
      <c r="D93" s="120">
        <f t="shared" si="14"/>
        <v>0.52</v>
      </c>
      <c r="E93" s="121">
        <f t="shared" si="11"/>
        <v>0</v>
      </c>
      <c r="F93" s="121">
        <f>SUM($E$6:E93)</f>
        <v>184800</v>
      </c>
      <c r="G93" s="143">
        <f t="shared" si="12"/>
        <v>96096</v>
      </c>
      <c r="H93" s="120">
        <f t="shared" si="15"/>
        <v>0.21</v>
      </c>
      <c r="I93" s="121">
        <f t="shared" si="13"/>
        <v>9702</v>
      </c>
      <c r="J93" s="121">
        <f t="shared" si="16"/>
        <v>105798</v>
      </c>
      <c r="K93" s="95"/>
      <c r="L93" s="100"/>
    </row>
    <row r="94" spans="2:12">
      <c r="B94" s="124">
        <f t="shared" si="18"/>
        <v>8</v>
      </c>
      <c r="C94" s="122">
        <f t="shared" si="17"/>
        <v>89</v>
      </c>
      <c r="D94" s="123">
        <f t="shared" si="14"/>
        <v>0.52</v>
      </c>
      <c r="E94" s="125">
        <f t="shared" si="11"/>
        <v>0</v>
      </c>
      <c r="F94" s="125">
        <f>SUM($E$6:E94)</f>
        <v>184800</v>
      </c>
      <c r="G94" s="144">
        <f t="shared" si="12"/>
        <v>96096</v>
      </c>
      <c r="H94" s="123">
        <f t="shared" si="15"/>
        <v>0.21</v>
      </c>
      <c r="I94" s="125">
        <f t="shared" si="13"/>
        <v>9702</v>
      </c>
      <c r="J94" s="125">
        <f t="shared" si="16"/>
        <v>105798</v>
      </c>
      <c r="K94" s="95"/>
      <c r="L94" s="100"/>
    </row>
    <row r="95" spans="2:12">
      <c r="B95" s="118">
        <f t="shared" si="18"/>
        <v>8</v>
      </c>
      <c r="C95" s="119">
        <f t="shared" si="17"/>
        <v>90</v>
      </c>
      <c r="D95" s="120">
        <f t="shared" si="14"/>
        <v>0.52</v>
      </c>
      <c r="E95" s="121">
        <f t="shared" si="11"/>
        <v>0</v>
      </c>
      <c r="F95" s="121">
        <f>SUM($E$6:E95)</f>
        <v>184800</v>
      </c>
      <c r="G95" s="143">
        <f t="shared" si="12"/>
        <v>96096</v>
      </c>
      <c r="H95" s="120">
        <f t="shared" si="15"/>
        <v>0.21</v>
      </c>
      <c r="I95" s="121">
        <f t="shared" si="13"/>
        <v>9702</v>
      </c>
      <c r="J95" s="121">
        <f t="shared" si="16"/>
        <v>105798</v>
      </c>
      <c r="K95" s="95"/>
      <c r="L95" s="100"/>
    </row>
    <row r="96" spans="2:12">
      <c r="B96" s="124">
        <f t="shared" si="18"/>
        <v>8</v>
      </c>
      <c r="C96" s="122">
        <f t="shared" si="17"/>
        <v>91</v>
      </c>
      <c r="D96" s="123">
        <f t="shared" si="14"/>
        <v>0.52</v>
      </c>
      <c r="E96" s="125">
        <f t="shared" si="11"/>
        <v>0</v>
      </c>
      <c r="F96" s="125">
        <f>SUM($E$6:E96)</f>
        <v>184800</v>
      </c>
      <c r="G96" s="144">
        <f t="shared" si="12"/>
        <v>96096</v>
      </c>
      <c r="H96" s="123">
        <f t="shared" si="15"/>
        <v>0.21</v>
      </c>
      <c r="I96" s="125">
        <f t="shared" si="13"/>
        <v>9702</v>
      </c>
      <c r="J96" s="125">
        <f t="shared" si="16"/>
        <v>105798</v>
      </c>
      <c r="K96" s="95"/>
      <c r="L96" s="100"/>
    </row>
    <row r="97" spans="2:12">
      <c r="B97" s="118">
        <f t="shared" si="18"/>
        <v>8</v>
      </c>
      <c r="C97" s="119">
        <f t="shared" si="17"/>
        <v>92</v>
      </c>
      <c r="D97" s="120">
        <f t="shared" si="14"/>
        <v>0.52</v>
      </c>
      <c r="E97" s="121">
        <f t="shared" si="11"/>
        <v>0</v>
      </c>
      <c r="F97" s="121">
        <f>SUM($E$6:E97)</f>
        <v>184800</v>
      </c>
      <c r="G97" s="143">
        <f t="shared" si="12"/>
        <v>96096</v>
      </c>
      <c r="H97" s="120">
        <f t="shared" si="15"/>
        <v>0.21</v>
      </c>
      <c r="I97" s="121">
        <f t="shared" si="13"/>
        <v>9702</v>
      </c>
      <c r="J97" s="121">
        <f t="shared" si="16"/>
        <v>105798</v>
      </c>
      <c r="K97" s="95"/>
      <c r="L97" s="100"/>
    </row>
    <row r="98" spans="2:12">
      <c r="B98" s="124">
        <f t="shared" si="18"/>
        <v>8</v>
      </c>
      <c r="C98" s="122">
        <f t="shared" si="17"/>
        <v>93</v>
      </c>
      <c r="D98" s="123">
        <f t="shared" si="14"/>
        <v>0.52</v>
      </c>
      <c r="E98" s="125">
        <f t="shared" si="11"/>
        <v>0</v>
      </c>
      <c r="F98" s="125">
        <f>SUM($E$6:E98)</f>
        <v>184800</v>
      </c>
      <c r="G98" s="144">
        <f t="shared" si="12"/>
        <v>96096</v>
      </c>
      <c r="H98" s="123">
        <f t="shared" si="15"/>
        <v>0.21</v>
      </c>
      <c r="I98" s="125">
        <f t="shared" si="13"/>
        <v>9702</v>
      </c>
      <c r="J98" s="125">
        <f t="shared" si="16"/>
        <v>105798</v>
      </c>
      <c r="K98" s="95"/>
      <c r="L98" s="100"/>
    </row>
    <row r="99" spans="2:12">
      <c r="B99" s="118">
        <f t="shared" si="18"/>
        <v>8</v>
      </c>
      <c r="C99" s="119">
        <f t="shared" si="17"/>
        <v>94</v>
      </c>
      <c r="D99" s="120">
        <f t="shared" si="14"/>
        <v>0.52</v>
      </c>
      <c r="E99" s="121">
        <f t="shared" si="11"/>
        <v>0</v>
      </c>
      <c r="F99" s="121">
        <f>SUM($E$6:E99)</f>
        <v>184800</v>
      </c>
      <c r="G99" s="143">
        <f t="shared" si="12"/>
        <v>96096</v>
      </c>
      <c r="H99" s="120">
        <f t="shared" si="15"/>
        <v>0.21</v>
      </c>
      <c r="I99" s="121">
        <f t="shared" si="13"/>
        <v>9702</v>
      </c>
      <c r="J99" s="121">
        <f t="shared" si="16"/>
        <v>105798</v>
      </c>
      <c r="K99" s="95"/>
      <c r="L99" s="100"/>
    </row>
    <row r="100" spans="2:12">
      <c r="B100" s="124">
        <f t="shared" si="18"/>
        <v>8</v>
      </c>
      <c r="C100" s="122">
        <f t="shared" si="17"/>
        <v>95</v>
      </c>
      <c r="D100" s="123">
        <f t="shared" si="14"/>
        <v>0.52</v>
      </c>
      <c r="E100" s="125">
        <f t="shared" si="11"/>
        <v>0</v>
      </c>
      <c r="F100" s="125">
        <f>SUM($E$6:E100)</f>
        <v>184800</v>
      </c>
      <c r="G100" s="144">
        <f t="shared" si="12"/>
        <v>96096</v>
      </c>
      <c r="H100" s="123">
        <f t="shared" si="15"/>
        <v>0.21</v>
      </c>
      <c r="I100" s="125">
        <f t="shared" si="13"/>
        <v>9702</v>
      </c>
      <c r="J100" s="125">
        <f t="shared" si="16"/>
        <v>105798</v>
      </c>
      <c r="K100" s="95"/>
      <c r="L100" s="100"/>
    </row>
    <row r="101" spans="2:12">
      <c r="B101" s="118">
        <f t="shared" si="18"/>
        <v>8</v>
      </c>
      <c r="C101" s="119">
        <f t="shared" si="17"/>
        <v>96</v>
      </c>
      <c r="D101" s="120">
        <f t="shared" si="14"/>
        <v>0.52</v>
      </c>
      <c r="E101" s="121">
        <f t="shared" si="11"/>
        <v>0</v>
      </c>
      <c r="F101" s="121">
        <f>SUM($E$6:E101)</f>
        <v>184800</v>
      </c>
      <c r="G101" s="143">
        <f t="shared" si="12"/>
        <v>96096</v>
      </c>
      <c r="H101" s="120">
        <f t="shared" si="15"/>
        <v>0.21</v>
      </c>
      <c r="I101" s="121">
        <f t="shared" si="13"/>
        <v>9702</v>
      </c>
      <c r="J101" s="121">
        <f t="shared" si="16"/>
        <v>105798</v>
      </c>
      <c r="K101" s="95"/>
      <c r="L101" s="100"/>
    </row>
    <row r="102" spans="2:12">
      <c r="B102" s="124">
        <f t="shared" si="18"/>
        <v>9</v>
      </c>
      <c r="C102" s="122">
        <f t="shared" si="17"/>
        <v>97</v>
      </c>
      <c r="D102" s="123">
        <f t="shared" si="14"/>
        <v>0.54</v>
      </c>
      <c r="E102" s="125">
        <f t="shared" si="11"/>
        <v>23100</v>
      </c>
      <c r="F102" s="125">
        <f>SUM($E$6:E102)</f>
        <v>207900</v>
      </c>
      <c r="G102" s="144">
        <f t="shared" si="12"/>
        <v>112266.00000000001</v>
      </c>
      <c r="H102" s="123">
        <f t="shared" si="15"/>
        <v>0.23</v>
      </c>
      <c r="I102" s="125">
        <f t="shared" si="13"/>
        <v>12144</v>
      </c>
      <c r="J102" s="125">
        <f t="shared" si="16"/>
        <v>124410.00000000001</v>
      </c>
      <c r="K102" s="95"/>
      <c r="L102" s="100"/>
    </row>
    <row r="103" spans="2:12">
      <c r="B103" s="118">
        <f t="shared" si="18"/>
        <v>9</v>
      </c>
      <c r="C103" s="119">
        <f t="shared" si="17"/>
        <v>98</v>
      </c>
      <c r="D103" s="120">
        <f t="shared" si="14"/>
        <v>0.54</v>
      </c>
      <c r="E103" s="121">
        <f t="shared" si="11"/>
        <v>0</v>
      </c>
      <c r="F103" s="121">
        <f>SUM($E$6:E103)</f>
        <v>207900</v>
      </c>
      <c r="G103" s="143">
        <f t="shared" si="12"/>
        <v>112266.00000000001</v>
      </c>
      <c r="H103" s="120">
        <f t="shared" si="15"/>
        <v>0.23</v>
      </c>
      <c r="I103" s="121">
        <f t="shared" si="13"/>
        <v>12144</v>
      </c>
      <c r="J103" s="121">
        <f t="shared" si="16"/>
        <v>124410.00000000001</v>
      </c>
      <c r="K103" s="95"/>
      <c r="L103" s="100"/>
    </row>
    <row r="104" spans="2:12">
      <c r="B104" s="124">
        <f t="shared" si="18"/>
        <v>9</v>
      </c>
      <c r="C104" s="122">
        <f t="shared" si="17"/>
        <v>99</v>
      </c>
      <c r="D104" s="123">
        <f t="shared" si="14"/>
        <v>0.54</v>
      </c>
      <c r="E104" s="125">
        <f t="shared" si="11"/>
        <v>0</v>
      </c>
      <c r="F104" s="125">
        <f>SUM($E$6:E104)</f>
        <v>207900</v>
      </c>
      <c r="G104" s="144">
        <f t="shared" si="12"/>
        <v>112266.00000000001</v>
      </c>
      <c r="H104" s="123">
        <f t="shared" si="15"/>
        <v>0.23</v>
      </c>
      <c r="I104" s="125">
        <f t="shared" si="13"/>
        <v>12144</v>
      </c>
      <c r="J104" s="125">
        <f t="shared" si="16"/>
        <v>124410.00000000001</v>
      </c>
      <c r="K104" s="95"/>
      <c r="L104" s="100"/>
    </row>
    <row r="105" spans="2:12">
      <c r="B105" s="118">
        <f t="shared" si="18"/>
        <v>9</v>
      </c>
      <c r="C105" s="119">
        <f t="shared" si="17"/>
        <v>100</v>
      </c>
      <c r="D105" s="120">
        <f t="shared" si="14"/>
        <v>0.54</v>
      </c>
      <c r="E105" s="121">
        <f t="shared" si="11"/>
        <v>0</v>
      </c>
      <c r="F105" s="121">
        <f>SUM($E$6:E105)</f>
        <v>207900</v>
      </c>
      <c r="G105" s="143">
        <f t="shared" si="12"/>
        <v>112266.00000000001</v>
      </c>
      <c r="H105" s="120">
        <f t="shared" si="15"/>
        <v>0.23</v>
      </c>
      <c r="I105" s="121">
        <f t="shared" si="13"/>
        <v>12144</v>
      </c>
      <c r="J105" s="121">
        <f t="shared" si="16"/>
        <v>124410.00000000001</v>
      </c>
      <c r="K105" s="95"/>
      <c r="L105" s="100"/>
    </row>
    <row r="106" spans="2:12">
      <c r="B106" s="124">
        <f t="shared" si="18"/>
        <v>9</v>
      </c>
      <c r="C106" s="122">
        <f t="shared" si="17"/>
        <v>101</v>
      </c>
      <c r="D106" s="123">
        <f t="shared" si="14"/>
        <v>0.54</v>
      </c>
      <c r="E106" s="125">
        <f t="shared" si="11"/>
        <v>0</v>
      </c>
      <c r="F106" s="125">
        <f>SUM($E$6:E106)</f>
        <v>207900</v>
      </c>
      <c r="G106" s="144">
        <f t="shared" si="12"/>
        <v>112266.00000000001</v>
      </c>
      <c r="H106" s="123">
        <f t="shared" si="15"/>
        <v>0.23</v>
      </c>
      <c r="I106" s="125">
        <f t="shared" si="13"/>
        <v>12144</v>
      </c>
      <c r="J106" s="125">
        <f t="shared" si="16"/>
        <v>124410.00000000001</v>
      </c>
      <c r="K106" s="95"/>
      <c r="L106" s="100"/>
    </row>
    <row r="107" spans="2:12">
      <c r="B107" s="118">
        <f t="shared" si="18"/>
        <v>9</v>
      </c>
      <c r="C107" s="119">
        <f t="shared" si="17"/>
        <v>102</v>
      </c>
      <c r="D107" s="120">
        <f t="shared" si="14"/>
        <v>0.54</v>
      </c>
      <c r="E107" s="121">
        <f t="shared" si="11"/>
        <v>0</v>
      </c>
      <c r="F107" s="121">
        <f>SUM($E$6:E107)</f>
        <v>207900</v>
      </c>
      <c r="G107" s="143">
        <f t="shared" si="12"/>
        <v>112266.00000000001</v>
      </c>
      <c r="H107" s="120">
        <f t="shared" si="15"/>
        <v>0.23</v>
      </c>
      <c r="I107" s="121">
        <f t="shared" si="13"/>
        <v>12144</v>
      </c>
      <c r="J107" s="121">
        <f t="shared" si="16"/>
        <v>124410.00000000001</v>
      </c>
      <c r="K107" s="95"/>
      <c r="L107" s="100"/>
    </row>
    <row r="108" spans="2:12">
      <c r="B108" s="124">
        <f t="shared" si="18"/>
        <v>9</v>
      </c>
      <c r="C108" s="122">
        <f t="shared" si="17"/>
        <v>103</v>
      </c>
      <c r="D108" s="123">
        <f t="shared" si="14"/>
        <v>0.54</v>
      </c>
      <c r="E108" s="125">
        <f t="shared" si="11"/>
        <v>0</v>
      </c>
      <c r="F108" s="125">
        <f>SUM($E$6:E108)</f>
        <v>207900</v>
      </c>
      <c r="G108" s="144">
        <f t="shared" si="12"/>
        <v>112266.00000000001</v>
      </c>
      <c r="H108" s="123">
        <f t="shared" si="15"/>
        <v>0.23</v>
      </c>
      <c r="I108" s="125">
        <f t="shared" si="13"/>
        <v>12144</v>
      </c>
      <c r="J108" s="125">
        <f t="shared" si="16"/>
        <v>124410.00000000001</v>
      </c>
      <c r="K108" s="95"/>
      <c r="L108" s="100"/>
    </row>
    <row r="109" spans="2:12">
      <c r="B109" s="118">
        <f t="shared" si="18"/>
        <v>9</v>
      </c>
      <c r="C109" s="119">
        <f t="shared" si="17"/>
        <v>104</v>
      </c>
      <c r="D109" s="120">
        <f t="shared" si="14"/>
        <v>0.54</v>
      </c>
      <c r="E109" s="121">
        <f t="shared" si="11"/>
        <v>0</v>
      </c>
      <c r="F109" s="121">
        <f>SUM($E$6:E109)</f>
        <v>207900</v>
      </c>
      <c r="G109" s="143">
        <f t="shared" si="12"/>
        <v>112266.00000000001</v>
      </c>
      <c r="H109" s="120">
        <f t="shared" si="15"/>
        <v>0.23</v>
      </c>
      <c r="I109" s="121">
        <f t="shared" si="13"/>
        <v>12144</v>
      </c>
      <c r="J109" s="121">
        <f t="shared" si="16"/>
        <v>124410.00000000001</v>
      </c>
      <c r="K109" s="95"/>
      <c r="L109" s="100"/>
    </row>
    <row r="110" spans="2:12">
      <c r="B110" s="124">
        <f t="shared" si="18"/>
        <v>9</v>
      </c>
      <c r="C110" s="122">
        <f t="shared" si="17"/>
        <v>105</v>
      </c>
      <c r="D110" s="123">
        <f t="shared" si="14"/>
        <v>0.54</v>
      </c>
      <c r="E110" s="125">
        <f t="shared" si="11"/>
        <v>0</v>
      </c>
      <c r="F110" s="125">
        <f>SUM($E$6:E110)</f>
        <v>207900</v>
      </c>
      <c r="G110" s="144">
        <f t="shared" si="12"/>
        <v>112266.00000000001</v>
      </c>
      <c r="H110" s="123">
        <f t="shared" si="15"/>
        <v>0.23</v>
      </c>
      <c r="I110" s="125">
        <f t="shared" si="13"/>
        <v>12144</v>
      </c>
      <c r="J110" s="125">
        <f t="shared" si="16"/>
        <v>124410.00000000001</v>
      </c>
      <c r="K110" s="95"/>
      <c r="L110" s="100"/>
    </row>
    <row r="111" spans="2:12">
      <c r="B111" s="118">
        <f t="shared" si="18"/>
        <v>9</v>
      </c>
      <c r="C111" s="119">
        <f t="shared" si="17"/>
        <v>106</v>
      </c>
      <c r="D111" s="120">
        <f t="shared" si="14"/>
        <v>0.54</v>
      </c>
      <c r="E111" s="121">
        <f t="shared" si="11"/>
        <v>0</v>
      </c>
      <c r="F111" s="121">
        <f>SUM($E$6:E111)</f>
        <v>207900</v>
      </c>
      <c r="G111" s="143">
        <f t="shared" si="12"/>
        <v>112266.00000000001</v>
      </c>
      <c r="H111" s="120">
        <f t="shared" si="15"/>
        <v>0.23</v>
      </c>
      <c r="I111" s="121">
        <f t="shared" si="13"/>
        <v>12144</v>
      </c>
      <c r="J111" s="121">
        <f t="shared" si="16"/>
        <v>124410.00000000001</v>
      </c>
      <c r="K111" s="95"/>
      <c r="L111" s="100"/>
    </row>
    <row r="112" spans="2:12">
      <c r="B112" s="124">
        <f t="shared" si="18"/>
        <v>9</v>
      </c>
      <c r="C112" s="122">
        <f t="shared" si="17"/>
        <v>107</v>
      </c>
      <c r="D112" s="123">
        <f t="shared" si="14"/>
        <v>0.54</v>
      </c>
      <c r="E112" s="125">
        <f t="shared" si="11"/>
        <v>0</v>
      </c>
      <c r="F112" s="125">
        <f>SUM($E$6:E112)</f>
        <v>207900</v>
      </c>
      <c r="G112" s="144">
        <f t="shared" si="12"/>
        <v>112266.00000000001</v>
      </c>
      <c r="H112" s="123">
        <f t="shared" si="15"/>
        <v>0.23</v>
      </c>
      <c r="I112" s="125">
        <f t="shared" si="13"/>
        <v>12144</v>
      </c>
      <c r="J112" s="125">
        <f t="shared" si="16"/>
        <v>124410.00000000001</v>
      </c>
      <c r="K112" s="95"/>
      <c r="L112" s="100"/>
    </row>
    <row r="113" spans="2:12">
      <c r="B113" s="118">
        <f t="shared" si="18"/>
        <v>9</v>
      </c>
      <c r="C113" s="119">
        <f t="shared" si="17"/>
        <v>108</v>
      </c>
      <c r="D113" s="120">
        <f t="shared" si="14"/>
        <v>0.54</v>
      </c>
      <c r="E113" s="121">
        <f t="shared" si="11"/>
        <v>0</v>
      </c>
      <c r="F113" s="121">
        <f>SUM($E$6:E113)</f>
        <v>207900</v>
      </c>
      <c r="G113" s="143">
        <f t="shared" si="12"/>
        <v>112266.00000000001</v>
      </c>
      <c r="H113" s="120">
        <f t="shared" si="15"/>
        <v>0.23</v>
      </c>
      <c r="I113" s="121">
        <f t="shared" si="13"/>
        <v>12144</v>
      </c>
      <c r="J113" s="121">
        <f t="shared" si="16"/>
        <v>124410.00000000001</v>
      </c>
      <c r="K113" s="95"/>
      <c r="L113" s="100"/>
    </row>
    <row r="114" spans="2:12">
      <c r="B114" s="124">
        <f t="shared" si="18"/>
        <v>10</v>
      </c>
      <c r="C114" s="122">
        <f t="shared" si="17"/>
        <v>109</v>
      </c>
      <c r="D114" s="123">
        <f t="shared" si="14"/>
        <v>0.56000000000000005</v>
      </c>
      <c r="E114" s="125">
        <f t="shared" si="11"/>
        <v>23100</v>
      </c>
      <c r="F114" s="125">
        <f>SUM($E$6:E114)</f>
        <v>231000</v>
      </c>
      <c r="G114" s="144">
        <f t="shared" si="12"/>
        <v>129360.00000000001</v>
      </c>
      <c r="H114" s="123">
        <f t="shared" si="15"/>
        <v>0.25</v>
      </c>
      <c r="I114" s="125">
        <f t="shared" si="13"/>
        <v>14850</v>
      </c>
      <c r="J114" s="125">
        <f t="shared" si="16"/>
        <v>144210</v>
      </c>
      <c r="K114" s="95"/>
      <c r="L114" s="100"/>
    </row>
    <row r="115" spans="2:12">
      <c r="B115" s="118">
        <f t="shared" si="18"/>
        <v>10</v>
      </c>
      <c r="C115" s="119">
        <f t="shared" si="17"/>
        <v>110</v>
      </c>
      <c r="D115" s="120">
        <f t="shared" si="14"/>
        <v>0.56000000000000005</v>
      </c>
      <c r="E115" s="121">
        <f t="shared" si="11"/>
        <v>0</v>
      </c>
      <c r="F115" s="121">
        <f>SUM($E$6:E115)</f>
        <v>231000</v>
      </c>
      <c r="G115" s="143">
        <f t="shared" si="12"/>
        <v>129360.00000000001</v>
      </c>
      <c r="H115" s="120">
        <f t="shared" si="15"/>
        <v>0.25</v>
      </c>
      <c r="I115" s="121">
        <f t="shared" si="13"/>
        <v>14850</v>
      </c>
      <c r="J115" s="121">
        <f t="shared" si="16"/>
        <v>144210</v>
      </c>
      <c r="K115" s="95"/>
      <c r="L115" s="100"/>
    </row>
    <row r="116" spans="2:12">
      <c r="B116" s="124">
        <f t="shared" si="18"/>
        <v>10</v>
      </c>
      <c r="C116" s="122">
        <f t="shared" si="17"/>
        <v>111</v>
      </c>
      <c r="D116" s="123">
        <f t="shared" si="14"/>
        <v>0.56000000000000005</v>
      </c>
      <c r="E116" s="125">
        <f t="shared" si="11"/>
        <v>0</v>
      </c>
      <c r="F116" s="125">
        <f>SUM($E$6:E116)</f>
        <v>231000</v>
      </c>
      <c r="G116" s="144">
        <f t="shared" si="12"/>
        <v>129360.00000000001</v>
      </c>
      <c r="H116" s="123">
        <f t="shared" si="15"/>
        <v>0.25</v>
      </c>
      <c r="I116" s="125">
        <f t="shared" si="13"/>
        <v>14850</v>
      </c>
      <c r="J116" s="125">
        <f t="shared" si="16"/>
        <v>144210</v>
      </c>
      <c r="K116" s="95"/>
      <c r="L116" s="100"/>
    </row>
    <row r="117" spans="2:12">
      <c r="B117" s="118">
        <f t="shared" si="18"/>
        <v>10</v>
      </c>
      <c r="C117" s="119">
        <f t="shared" si="17"/>
        <v>112</v>
      </c>
      <c r="D117" s="120">
        <f t="shared" si="14"/>
        <v>0.56000000000000005</v>
      </c>
      <c r="E117" s="121">
        <f t="shared" si="11"/>
        <v>0</v>
      </c>
      <c r="F117" s="121">
        <f>SUM($E$6:E117)</f>
        <v>231000</v>
      </c>
      <c r="G117" s="143">
        <f t="shared" si="12"/>
        <v>129360.00000000001</v>
      </c>
      <c r="H117" s="120">
        <f t="shared" si="15"/>
        <v>0.25</v>
      </c>
      <c r="I117" s="121">
        <f t="shared" si="13"/>
        <v>14850</v>
      </c>
      <c r="J117" s="121">
        <f t="shared" si="16"/>
        <v>144210</v>
      </c>
      <c r="K117" s="95"/>
      <c r="L117" s="100"/>
    </row>
    <row r="118" spans="2:12">
      <c r="B118" s="124">
        <f t="shared" si="18"/>
        <v>10</v>
      </c>
      <c r="C118" s="122">
        <f t="shared" si="17"/>
        <v>113</v>
      </c>
      <c r="D118" s="123">
        <f t="shared" si="14"/>
        <v>0.56000000000000005</v>
      </c>
      <c r="E118" s="125">
        <f t="shared" si="11"/>
        <v>0</v>
      </c>
      <c r="F118" s="125">
        <f>SUM($E$6:E118)</f>
        <v>231000</v>
      </c>
      <c r="G118" s="144">
        <f t="shared" si="12"/>
        <v>129360.00000000001</v>
      </c>
      <c r="H118" s="123">
        <f t="shared" si="15"/>
        <v>0.25</v>
      </c>
      <c r="I118" s="125">
        <f t="shared" si="13"/>
        <v>14850</v>
      </c>
      <c r="J118" s="125">
        <f t="shared" si="16"/>
        <v>144210</v>
      </c>
      <c r="K118" s="95"/>
      <c r="L118" s="100"/>
    </row>
    <row r="119" spans="2:12">
      <c r="B119" s="118">
        <f t="shared" si="18"/>
        <v>10</v>
      </c>
      <c r="C119" s="119">
        <f t="shared" si="17"/>
        <v>114</v>
      </c>
      <c r="D119" s="120">
        <f t="shared" si="14"/>
        <v>0.56000000000000005</v>
      </c>
      <c r="E119" s="121">
        <f t="shared" si="11"/>
        <v>0</v>
      </c>
      <c r="F119" s="121">
        <f>SUM($E$6:E119)</f>
        <v>231000</v>
      </c>
      <c r="G119" s="143">
        <f t="shared" si="12"/>
        <v>129360.00000000001</v>
      </c>
      <c r="H119" s="120">
        <f t="shared" si="15"/>
        <v>0.25</v>
      </c>
      <c r="I119" s="121">
        <f t="shared" si="13"/>
        <v>14850</v>
      </c>
      <c r="J119" s="121">
        <f t="shared" si="16"/>
        <v>144210</v>
      </c>
      <c r="K119" s="95"/>
      <c r="L119" s="100"/>
    </row>
    <row r="120" spans="2:12">
      <c r="B120" s="124">
        <f t="shared" si="18"/>
        <v>10</v>
      </c>
      <c r="C120" s="122">
        <f t="shared" si="17"/>
        <v>115</v>
      </c>
      <c r="D120" s="123">
        <f t="shared" si="14"/>
        <v>0.56000000000000005</v>
      </c>
      <c r="E120" s="125">
        <f t="shared" si="11"/>
        <v>0</v>
      </c>
      <c r="F120" s="125">
        <f>SUM($E$6:E120)</f>
        <v>231000</v>
      </c>
      <c r="G120" s="144">
        <f t="shared" si="12"/>
        <v>129360.00000000001</v>
      </c>
      <c r="H120" s="123">
        <f t="shared" si="15"/>
        <v>0.25</v>
      </c>
      <c r="I120" s="125">
        <f t="shared" si="13"/>
        <v>14850</v>
      </c>
      <c r="J120" s="125">
        <f t="shared" si="16"/>
        <v>144210</v>
      </c>
      <c r="K120" s="95"/>
      <c r="L120" s="100"/>
    </row>
    <row r="121" spans="2:12">
      <c r="B121" s="118">
        <f t="shared" si="18"/>
        <v>10</v>
      </c>
      <c r="C121" s="119">
        <f t="shared" si="17"/>
        <v>116</v>
      </c>
      <c r="D121" s="120">
        <f t="shared" si="14"/>
        <v>0.56000000000000005</v>
      </c>
      <c r="E121" s="121">
        <f t="shared" si="11"/>
        <v>0</v>
      </c>
      <c r="F121" s="121">
        <f>SUM($E$6:E121)</f>
        <v>231000</v>
      </c>
      <c r="G121" s="143">
        <f t="shared" si="12"/>
        <v>129360.00000000001</v>
      </c>
      <c r="H121" s="120">
        <f t="shared" si="15"/>
        <v>0.25</v>
      </c>
      <c r="I121" s="121">
        <f t="shared" si="13"/>
        <v>14850</v>
      </c>
      <c r="J121" s="121">
        <f t="shared" si="16"/>
        <v>144210</v>
      </c>
      <c r="K121" s="95"/>
      <c r="L121" s="100"/>
    </row>
    <row r="122" spans="2:12">
      <c r="B122" s="124">
        <f t="shared" si="18"/>
        <v>10</v>
      </c>
      <c r="C122" s="122">
        <f t="shared" si="17"/>
        <v>117</v>
      </c>
      <c r="D122" s="123">
        <f t="shared" si="14"/>
        <v>0.56000000000000005</v>
      </c>
      <c r="E122" s="125">
        <f t="shared" si="11"/>
        <v>0</v>
      </c>
      <c r="F122" s="125">
        <f>SUM($E$6:E122)</f>
        <v>231000</v>
      </c>
      <c r="G122" s="144">
        <f t="shared" si="12"/>
        <v>129360.00000000001</v>
      </c>
      <c r="H122" s="123">
        <f t="shared" si="15"/>
        <v>0.25</v>
      </c>
      <c r="I122" s="125">
        <f t="shared" si="13"/>
        <v>14850</v>
      </c>
      <c r="J122" s="125">
        <f t="shared" si="16"/>
        <v>144210</v>
      </c>
      <c r="K122" s="95"/>
      <c r="L122" s="100"/>
    </row>
    <row r="123" spans="2:12">
      <c r="B123" s="118">
        <f t="shared" si="18"/>
        <v>10</v>
      </c>
      <c r="C123" s="119">
        <f t="shared" si="17"/>
        <v>118</v>
      </c>
      <c r="D123" s="120">
        <f t="shared" si="14"/>
        <v>0.56000000000000005</v>
      </c>
      <c r="E123" s="121">
        <f t="shared" si="11"/>
        <v>0</v>
      </c>
      <c r="F123" s="121">
        <f>SUM($E$6:E123)</f>
        <v>231000</v>
      </c>
      <c r="G123" s="143">
        <f t="shared" si="12"/>
        <v>129360.00000000001</v>
      </c>
      <c r="H123" s="120">
        <f t="shared" si="15"/>
        <v>0.25</v>
      </c>
      <c r="I123" s="121">
        <f t="shared" si="13"/>
        <v>14850</v>
      </c>
      <c r="J123" s="121">
        <f t="shared" si="16"/>
        <v>144210</v>
      </c>
      <c r="K123" s="95"/>
      <c r="L123" s="100"/>
    </row>
    <row r="124" spans="2:12">
      <c r="B124" s="124">
        <f t="shared" si="18"/>
        <v>10</v>
      </c>
      <c r="C124" s="122">
        <f t="shared" si="17"/>
        <v>119</v>
      </c>
      <c r="D124" s="123">
        <f t="shared" si="14"/>
        <v>0.56000000000000005</v>
      </c>
      <c r="E124" s="125">
        <f t="shared" si="11"/>
        <v>0</v>
      </c>
      <c r="F124" s="125">
        <f>SUM($E$6:E124)</f>
        <v>231000</v>
      </c>
      <c r="G124" s="144">
        <f t="shared" si="12"/>
        <v>129360.00000000001</v>
      </c>
      <c r="H124" s="123">
        <f t="shared" si="15"/>
        <v>0.25</v>
      </c>
      <c r="I124" s="125">
        <f t="shared" si="13"/>
        <v>14850</v>
      </c>
      <c r="J124" s="125">
        <f t="shared" si="16"/>
        <v>144210</v>
      </c>
      <c r="K124" s="95"/>
      <c r="L124" s="100"/>
    </row>
    <row r="125" spans="2:12">
      <c r="B125" s="118">
        <f t="shared" si="18"/>
        <v>10</v>
      </c>
      <c r="C125" s="119">
        <f t="shared" si="17"/>
        <v>120</v>
      </c>
      <c r="D125" s="120">
        <f t="shared" si="14"/>
        <v>0.56000000000000005</v>
      </c>
      <c r="E125" s="121">
        <f t="shared" si="11"/>
        <v>0</v>
      </c>
      <c r="F125" s="121">
        <f>SUM($E$6:E125)</f>
        <v>231000</v>
      </c>
      <c r="G125" s="143">
        <f t="shared" si="12"/>
        <v>129360.00000000001</v>
      </c>
      <c r="H125" s="120">
        <f t="shared" si="15"/>
        <v>0.25</v>
      </c>
      <c r="I125" s="121">
        <f t="shared" si="13"/>
        <v>14850</v>
      </c>
      <c r="J125" s="121">
        <f t="shared" si="16"/>
        <v>144210</v>
      </c>
      <c r="K125" s="95"/>
      <c r="L125" s="100"/>
    </row>
    <row r="126" spans="2:12">
      <c r="B126" s="124">
        <f t="shared" si="18"/>
        <v>11</v>
      </c>
      <c r="C126" s="122">
        <f t="shared" si="17"/>
        <v>121</v>
      </c>
      <c r="D126" s="123">
        <f t="shared" si="14"/>
        <v>0.57999999999999996</v>
      </c>
      <c r="E126" s="125">
        <f t="shared" si="11"/>
        <v>23100</v>
      </c>
      <c r="F126" s="125">
        <f>SUM($E$6:E126)</f>
        <v>254100</v>
      </c>
      <c r="G126" s="144">
        <f t="shared" si="12"/>
        <v>145178</v>
      </c>
      <c r="H126" s="123">
        <f t="shared" si="15"/>
        <v>0.27</v>
      </c>
      <c r="I126" s="125">
        <f t="shared" si="13"/>
        <v>17820</v>
      </c>
      <c r="J126" s="125">
        <f t="shared" si="16"/>
        <v>162998</v>
      </c>
      <c r="K126" s="95"/>
      <c r="L126" s="100"/>
    </row>
    <row r="127" spans="2:12">
      <c r="B127" s="118">
        <f t="shared" si="18"/>
        <v>11</v>
      </c>
      <c r="C127" s="119">
        <f t="shared" si="17"/>
        <v>122</v>
      </c>
      <c r="D127" s="120">
        <f t="shared" si="14"/>
        <v>0.57999999999999996</v>
      </c>
      <c r="E127" s="121">
        <f t="shared" si="11"/>
        <v>0</v>
      </c>
      <c r="F127" s="121">
        <f>SUM($E$6:E127)</f>
        <v>254100</v>
      </c>
      <c r="G127" s="143">
        <f t="shared" si="12"/>
        <v>142978</v>
      </c>
      <c r="H127" s="120">
        <f t="shared" si="15"/>
        <v>0.27</v>
      </c>
      <c r="I127" s="121">
        <f t="shared" si="13"/>
        <v>17820</v>
      </c>
      <c r="J127" s="121">
        <f t="shared" si="16"/>
        <v>160798</v>
      </c>
      <c r="K127" s="95"/>
      <c r="L127" s="100"/>
    </row>
    <row r="128" spans="2:12">
      <c r="B128" s="124">
        <f t="shared" si="18"/>
        <v>11</v>
      </c>
      <c r="C128" s="122">
        <f t="shared" si="17"/>
        <v>123</v>
      </c>
      <c r="D128" s="123">
        <f t="shared" si="14"/>
        <v>0.57999999999999996</v>
      </c>
      <c r="E128" s="125">
        <f t="shared" si="11"/>
        <v>0</v>
      </c>
      <c r="F128" s="125">
        <f>SUM($E$6:E128)</f>
        <v>254100</v>
      </c>
      <c r="G128" s="144">
        <f t="shared" si="12"/>
        <v>140778</v>
      </c>
      <c r="H128" s="123">
        <f t="shared" si="15"/>
        <v>0.27</v>
      </c>
      <c r="I128" s="125">
        <f t="shared" si="13"/>
        <v>17820</v>
      </c>
      <c r="J128" s="125">
        <f t="shared" si="16"/>
        <v>158598</v>
      </c>
      <c r="K128" s="95"/>
      <c r="L128" s="100"/>
    </row>
    <row r="129" spans="2:12">
      <c r="B129" s="118">
        <f t="shared" si="18"/>
        <v>11</v>
      </c>
      <c r="C129" s="119">
        <f t="shared" si="17"/>
        <v>124</v>
      </c>
      <c r="D129" s="120">
        <f t="shared" si="14"/>
        <v>0.57999999999999996</v>
      </c>
      <c r="E129" s="121">
        <f t="shared" si="11"/>
        <v>0</v>
      </c>
      <c r="F129" s="121">
        <f>SUM($E$6:E129)</f>
        <v>254100</v>
      </c>
      <c r="G129" s="143">
        <f t="shared" si="12"/>
        <v>138578</v>
      </c>
      <c r="H129" s="120">
        <f t="shared" si="15"/>
        <v>0.27</v>
      </c>
      <c r="I129" s="121">
        <f t="shared" si="13"/>
        <v>17820</v>
      </c>
      <c r="J129" s="121">
        <f t="shared" si="16"/>
        <v>156398</v>
      </c>
      <c r="K129" s="95"/>
      <c r="L129" s="100"/>
    </row>
    <row r="130" spans="2:12">
      <c r="B130" s="124">
        <f t="shared" si="18"/>
        <v>11</v>
      </c>
      <c r="C130" s="122">
        <f t="shared" si="17"/>
        <v>125</v>
      </c>
      <c r="D130" s="123">
        <f t="shared" si="14"/>
        <v>0.57999999999999996</v>
      </c>
      <c r="E130" s="125">
        <f t="shared" si="11"/>
        <v>0</v>
      </c>
      <c r="F130" s="125">
        <f>SUM($E$6:E130)</f>
        <v>254100</v>
      </c>
      <c r="G130" s="144">
        <f t="shared" si="12"/>
        <v>136378</v>
      </c>
      <c r="H130" s="123">
        <f t="shared" si="15"/>
        <v>0.27</v>
      </c>
      <c r="I130" s="125">
        <f t="shared" si="13"/>
        <v>17820</v>
      </c>
      <c r="J130" s="125">
        <f t="shared" si="16"/>
        <v>154198</v>
      </c>
      <c r="K130" s="95"/>
      <c r="L130" s="100"/>
    </row>
    <row r="131" spans="2:12">
      <c r="B131" s="118">
        <f t="shared" si="18"/>
        <v>11</v>
      </c>
      <c r="C131" s="119">
        <f t="shared" si="17"/>
        <v>126</v>
      </c>
      <c r="D131" s="120">
        <f t="shared" si="14"/>
        <v>0.57999999999999996</v>
      </c>
      <c r="E131" s="121">
        <f t="shared" si="11"/>
        <v>0</v>
      </c>
      <c r="F131" s="121">
        <f>SUM($E$6:E131)</f>
        <v>254100</v>
      </c>
      <c r="G131" s="143">
        <f t="shared" si="12"/>
        <v>134178</v>
      </c>
      <c r="H131" s="120">
        <f t="shared" si="15"/>
        <v>0.27</v>
      </c>
      <c r="I131" s="121">
        <f t="shared" si="13"/>
        <v>17820</v>
      </c>
      <c r="J131" s="121">
        <f t="shared" si="16"/>
        <v>151998</v>
      </c>
      <c r="K131" s="95"/>
      <c r="L131" s="100"/>
    </row>
    <row r="132" spans="2:12">
      <c r="B132" s="124">
        <f t="shared" si="18"/>
        <v>11</v>
      </c>
      <c r="C132" s="122">
        <f t="shared" si="17"/>
        <v>127</v>
      </c>
      <c r="D132" s="123">
        <f t="shared" si="14"/>
        <v>0.57999999999999996</v>
      </c>
      <c r="E132" s="125">
        <f t="shared" si="11"/>
        <v>0</v>
      </c>
      <c r="F132" s="125">
        <f>SUM($E$6:E132)</f>
        <v>254100</v>
      </c>
      <c r="G132" s="144">
        <f t="shared" si="12"/>
        <v>131978</v>
      </c>
      <c r="H132" s="123">
        <f t="shared" si="15"/>
        <v>0.27</v>
      </c>
      <c r="I132" s="125">
        <f t="shared" si="13"/>
        <v>17820</v>
      </c>
      <c r="J132" s="125">
        <f t="shared" si="16"/>
        <v>149798</v>
      </c>
      <c r="K132" s="95"/>
      <c r="L132" s="100"/>
    </row>
    <row r="133" spans="2:12">
      <c r="B133" s="118">
        <f t="shared" si="18"/>
        <v>11</v>
      </c>
      <c r="C133" s="119">
        <f t="shared" si="17"/>
        <v>128</v>
      </c>
      <c r="D133" s="120">
        <f t="shared" si="14"/>
        <v>0.57999999999999996</v>
      </c>
      <c r="E133" s="121">
        <f t="shared" si="11"/>
        <v>0</v>
      </c>
      <c r="F133" s="121">
        <f>SUM($E$6:E133)</f>
        <v>254100</v>
      </c>
      <c r="G133" s="143">
        <f t="shared" si="12"/>
        <v>129778</v>
      </c>
      <c r="H133" s="120">
        <f t="shared" si="15"/>
        <v>0.27</v>
      </c>
      <c r="I133" s="121">
        <f t="shared" si="13"/>
        <v>17820</v>
      </c>
      <c r="J133" s="121">
        <f t="shared" si="16"/>
        <v>147598</v>
      </c>
      <c r="K133" s="95"/>
      <c r="L133" s="100"/>
    </row>
    <row r="134" spans="2:12">
      <c r="B134" s="124">
        <f t="shared" si="18"/>
        <v>11</v>
      </c>
      <c r="C134" s="122">
        <f t="shared" si="17"/>
        <v>129</v>
      </c>
      <c r="D134" s="123">
        <f t="shared" si="14"/>
        <v>0.57999999999999996</v>
      </c>
      <c r="E134" s="125">
        <f t="shared" ref="E134:E197" si="19">(IF(B134=1,Modal_Basic_Prem_Yr1,Modal_Basic_Prem_Yr2)*(Prem_Mode="Monthly") + (Prem_Mode="Annual")*IF(B134=1,Modal_Basic_Prem_Yr1,Modal_Basic_Prem_Yr2)*(MOD(C134-1,12)=0))*(B134&lt;=15)</f>
        <v>0</v>
      </c>
      <c r="F134" s="125">
        <f>SUM($E$6:E134)</f>
        <v>254100</v>
      </c>
      <c r="G134" s="144">
        <f t="shared" ref="G134:G197" si="20">MAX(F134*D134-SA/100*(C134-10*12)*(B134&gt;10),0)</f>
        <v>127578</v>
      </c>
      <c r="H134" s="123">
        <f t="shared" si="15"/>
        <v>0.27</v>
      </c>
      <c r="I134" s="125">
        <f t="shared" ref="I134:I197" si="21">VLOOKUP(B134,$P$5:$Q$30,2,0)*SA*(B134-1)*H134</f>
        <v>17820</v>
      </c>
      <c r="J134" s="125">
        <f t="shared" si="16"/>
        <v>145398</v>
      </c>
      <c r="K134" s="95"/>
      <c r="L134" s="100"/>
    </row>
    <row r="135" spans="2:12">
      <c r="B135" s="118">
        <f t="shared" si="18"/>
        <v>11</v>
      </c>
      <c r="C135" s="119">
        <f t="shared" si="17"/>
        <v>130</v>
      </c>
      <c r="D135" s="120">
        <f t="shared" ref="D135:D198" si="22">VLOOKUP(B135,$L$5:$N$30,2,0)</f>
        <v>0.57999999999999996</v>
      </c>
      <c r="E135" s="121">
        <f t="shared" si="19"/>
        <v>0</v>
      </c>
      <c r="F135" s="121">
        <f>SUM($E$6:E135)</f>
        <v>254100</v>
      </c>
      <c r="G135" s="143">
        <f t="shared" si="20"/>
        <v>125378</v>
      </c>
      <c r="H135" s="120">
        <f t="shared" ref="H135:H198" si="23">VLOOKUP(B135,$L$5:$N$30,3,0)</f>
        <v>0.27</v>
      </c>
      <c r="I135" s="121">
        <f t="shared" si="21"/>
        <v>17820</v>
      </c>
      <c r="J135" s="121">
        <f t="shared" ref="J135:J198" si="24">G135+I135</f>
        <v>143198</v>
      </c>
      <c r="K135" s="95"/>
      <c r="L135" s="100"/>
    </row>
    <row r="136" spans="2:12">
      <c r="B136" s="124">
        <f t="shared" si="18"/>
        <v>11</v>
      </c>
      <c r="C136" s="122">
        <f t="shared" ref="C136:C199" si="25">C135+1</f>
        <v>131</v>
      </c>
      <c r="D136" s="123">
        <f t="shared" si="22"/>
        <v>0.57999999999999996</v>
      </c>
      <c r="E136" s="125">
        <f t="shared" si="19"/>
        <v>0</v>
      </c>
      <c r="F136" s="125">
        <f>SUM($E$6:E136)</f>
        <v>254100</v>
      </c>
      <c r="G136" s="144">
        <f t="shared" si="20"/>
        <v>123178</v>
      </c>
      <c r="H136" s="123">
        <f t="shared" si="23"/>
        <v>0.27</v>
      </c>
      <c r="I136" s="125">
        <f t="shared" si="21"/>
        <v>17820</v>
      </c>
      <c r="J136" s="125">
        <f t="shared" si="24"/>
        <v>140998</v>
      </c>
      <c r="K136" s="95"/>
      <c r="L136" s="100"/>
    </row>
    <row r="137" spans="2:12">
      <c r="B137" s="118">
        <f t="shared" si="18"/>
        <v>11</v>
      </c>
      <c r="C137" s="119">
        <f t="shared" si="25"/>
        <v>132</v>
      </c>
      <c r="D137" s="120">
        <f t="shared" si="22"/>
        <v>0.57999999999999996</v>
      </c>
      <c r="E137" s="121">
        <f t="shared" si="19"/>
        <v>0</v>
      </c>
      <c r="F137" s="121">
        <f>SUM($E$6:E137)</f>
        <v>254100</v>
      </c>
      <c r="G137" s="143">
        <f t="shared" si="20"/>
        <v>120978</v>
      </c>
      <c r="H137" s="120">
        <f t="shared" si="23"/>
        <v>0.27</v>
      </c>
      <c r="I137" s="121">
        <f t="shared" si="21"/>
        <v>17820</v>
      </c>
      <c r="J137" s="121">
        <f t="shared" si="24"/>
        <v>138798</v>
      </c>
      <c r="K137" s="95"/>
      <c r="L137" s="100"/>
    </row>
    <row r="138" spans="2:12">
      <c r="B138" s="124">
        <f t="shared" si="18"/>
        <v>12</v>
      </c>
      <c r="C138" s="122">
        <f t="shared" si="25"/>
        <v>133</v>
      </c>
      <c r="D138" s="123">
        <f t="shared" si="22"/>
        <v>0.6</v>
      </c>
      <c r="E138" s="125">
        <f t="shared" si="19"/>
        <v>23100</v>
      </c>
      <c r="F138" s="125">
        <f>SUM($E$6:E138)</f>
        <v>277200</v>
      </c>
      <c r="G138" s="144">
        <f t="shared" si="20"/>
        <v>137720</v>
      </c>
      <c r="H138" s="123">
        <f t="shared" si="23"/>
        <v>0.3</v>
      </c>
      <c r="I138" s="125">
        <f t="shared" si="21"/>
        <v>21780</v>
      </c>
      <c r="J138" s="125">
        <f t="shared" si="24"/>
        <v>159500</v>
      </c>
      <c r="K138" s="95"/>
      <c r="L138" s="100"/>
    </row>
    <row r="139" spans="2:12">
      <c r="B139" s="118">
        <f t="shared" si="18"/>
        <v>12</v>
      </c>
      <c r="C139" s="119">
        <f t="shared" si="25"/>
        <v>134</v>
      </c>
      <c r="D139" s="120">
        <f t="shared" si="22"/>
        <v>0.6</v>
      </c>
      <c r="E139" s="121">
        <f t="shared" si="19"/>
        <v>0</v>
      </c>
      <c r="F139" s="121">
        <f>SUM($E$6:E139)</f>
        <v>277200</v>
      </c>
      <c r="G139" s="143">
        <f t="shared" si="20"/>
        <v>135520</v>
      </c>
      <c r="H139" s="120">
        <f t="shared" si="23"/>
        <v>0.3</v>
      </c>
      <c r="I139" s="121">
        <f t="shared" si="21"/>
        <v>21780</v>
      </c>
      <c r="J139" s="121">
        <f t="shared" si="24"/>
        <v>157300</v>
      </c>
      <c r="K139" s="95"/>
      <c r="L139" s="100"/>
    </row>
    <row r="140" spans="2:12">
      <c r="B140" s="124">
        <f t="shared" si="18"/>
        <v>12</v>
      </c>
      <c r="C140" s="122">
        <f t="shared" si="25"/>
        <v>135</v>
      </c>
      <c r="D140" s="123">
        <f t="shared" si="22"/>
        <v>0.6</v>
      </c>
      <c r="E140" s="125">
        <f t="shared" si="19"/>
        <v>0</v>
      </c>
      <c r="F140" s="125">
        <f>SUM($E$6:E140)</f>
        <v>277200</v>
      </c>
      <c r="G140" s="144">
        <f t="shared" si="20"/>
        <v>133320</v>
      </c>
      <c r="H140" s="123">
        <f t="shared" si="23"/>
        <v>0.3</v>
      </c>
      <c r="I140" s="125">
        <f t="shared" si="21"/>
        <v>21780</v>
      </c>
      <c r="J140" s="125">
        <f t="shared" si="24"/>
        <v>155100</v>
      </c>
      <c r="K140" s="95"/>
      <c r="L140" s="100"/>
    </row>
    <row r="141" spans="2:12">
      <c r="B141" s="118">
        <f t="shared" si="18"/>
        <v>12</v>
      </c>
      <c r="C141" s="119">
        <f t="shared" si="25"/>
        <v>136</v>
      </c>
      <c r="D141" s="120">
        <f t="shared" si="22"/>
        <v>0.6</v>
      </c>
      <c r="E141" s="121">
        <f t="shared" si="19"/>
        <v>0</v>
      </c>
      <c r="F141" s="121">
        <f>SUM($E$6:E141)</f>
        <v>277200</v>
      </c>
      <c r="G141" s="143">
        <f t="shared" si="20"/>
        <v>131120</v>
      </c>
      <c r="H141" s="120">
        <f t="shared" si="23"/>
        <v>0.3</v>
      </c>
      <c r="I141" s="121">
        <f t="shared" si="21"/>
        <v>21780</v>
      </c>
      <c r="J141" s="121">
        <f t="shared" si="24"/>
        <v>152900</v>
      </c>
      <c r="K141" s="95"/>
      <c r="L141" s="100"/>
    </row>
    <row r="142" spans="2:12">
      <c r="B142" s="124">
        <f t="shared" si="18"/>
        <v>12</v>
      </c>
      <c r="C142" s="122">
        <f t="shared" si="25"/>
        <v>137</v>
      </c>
      <c r="D142" s="123">
        <f t="shared" si="22"/>
        <v>0.6</v>
      </c>
      <c r="E142" s="125">
        <f t="shared" si="19"/>
        <v>0</v>
      </c>
      <c r="F142" s="125">
        <f>SUM($E$6:E142)</f>
        <v>277200</v>
      </c>
      <c r="G142" s="144">
        <f t="shared" si="20"/>
        <v>128920</v>
      </c>
      <c r="H142" s="123">
        <f t="shared" si="23"/>
        <v>0.3</v>
      </c>
      <c r="I142" s="125">
        <f t="shared" si="21"/>
        <v>21780</v>
      </c>
      <c r="J142" s="125">
        <f t="shared" si="24"/>
        <v>150700</v>
      </c>
      <c r="K142" s="95"/>
      <c r="L142" s="100"/>
    </row>
    <row r="143" spans="2:12">
      <c r="B143" s="118">
        <f t="shared" si="18"/>
        <v>12</v>
      </c>
      <c r="C143" s="119">
        <f t="shared" si="25"/>
        <v>138</v>
      </c>
      <c r="D143" s="120">
        <f t="shared" si="22"/>
        <v>0.6</v>
      </c>
      <c r="E143" s="121">
        <f t="shared" si="19"/>
        <v>0</v>
      </c>
      <c r="F143" s="121">
        <f>SUM($E$6:E143)</f>
        <v>277200</v>
      </c>
      <c r="G143" s="143">
        <f t="shared" si="20"/>
        <v>126720</v>
      </c>
      <c r="H143" s="120">
        <f t="shared" si="23"/>
        <v>0.3</v>
      </c>
      <c r="I143" s="121">
        <f t="shared" si="21"/>
        <v>21780</v>
      </c>
      <c r="J143" s="121">
        <f t="shared" si="24"/>
        <v>148500</v>
      </c>
      <c r="K143" s="95"/>
      <c r="L143" s="100"/>
    </row>
    <row r="144" spans="2:12">
      <c r="B144" s="124">
        <f t="shared" si="18"/>
        <v>12</v>
      </c>
      <c r="C144" s="122">
        <f t="shared" si="25"/>
        <v>139</v>
      </c>
      <c r="D144" s="123">
        <f t="shared" si="22"/>
        <v>0.6</v>
      </c>
      <c r="E144" s="125">
        <f t="shared" si="19"/>
        <v>0</v>
      </c>
      <c r="F144" s="125">
        <f>SUM($E$6:E144)</f>
        <v>277200</v>
      </c>
      <c r="G144" s="144">
        <f t="shared" si="20"/>
        <v>124520</v>
      </c>
      <c r="H144" s="123">
        <f t="shared" si="23"/>
        <v>0.3</v>
      </c>
      <c r="I144" s="125">
        <f t="shared" si="21"/>
        <v>21780</v>
      </c>
      <c r="J144" s="125">
        <f t="shared" si="24"/>
        <v>146300</v>
      </c>
      <c r="K144" s="95"/>
      <c r="L144" s="100"/>
    </row>
    <row r="145" spans="2:12">
      <c r="B145" s="118">
        <f t="shared" si="18"/>
        <v>12</v>
      </c>
      <c r="C145" s="119">
        <f t="shared" si="25"/>
        <v>140</v>
      </c>
      <c r="D145" s="120">
        <f t="shared" si="22"/>
        <v>0.6</v>
      </c>
      <c r="E145" s="121">
        <f t="shared" si="19"/>
        <v>0</v>
      </c>
      <c r="F145" s="121">
        <f>SUM($E$6:E145)</f>
        <v>277200</v>
      </c>
      <c r="G145" s="143">
        <f t="shared" si="20"/>
        <v>122320</v>
      </c>
      <c r="H145" s="120">
        <f t="shared" si="23"/>
        <v>0.3</v>
      </c>
      <c r="I145" s="121">
        <f t="shared" si="21"/>
        <v>21780</v>
      </c>
      <c r="J145" s="121">
        <f t="shared" si="24"/>
        <v>144100</v>
      </c>
      <c r="K145" s="95"/>
      <c r="L145" s="100"/>
    </row>
    <row r="146" spans="2:12">
      <c r="B146" s="124">
        <f t="shared" si="18"/>
        <v>12</v>
      </c>
      <c r="C146" s="122">
        <f t="shared" si="25"/>
        <v>141</v>
      </c>
      <c r="D146" s="123">
        <f t="shared" si="22"/>
        <v>0.6</v>
      </c>
      <c r="E146" s="125">
        <f t="shared" si="19"/>
        <v>0</v>
      </c>
      <c r="F146" s="125">
        <f>SUM($E$6:E146)</f>
        <v>277200</v>
      </c>
      <c r="G146" s="144">
        <f t="shared" si="20"/>
        <v>120120</v>
      </c>
      <c r="H146" s="123">
        <f t="shared" si="23"/>
        <v>0.3</v>
      </c>
      <c r="I146" s="125">
        <f t="shared" si="21"/>
        <v>21780</v>
      </c>
      <c r="J146" s="125">
        <f t="shared" si="24"/>
        <v>141900</v>
      </c>
      <c r="K146" s="95"/>
      <c r="L146" s="100"/>
    </row>
    <row r="147" spans="2:12">
      <c r="B147" s="118">
        <f t="shared" ref="B147:B210" si="26">B135+1</f>
        <v>12</v>
      </c>
      <c r="C147" s="119">
        <f t="shared" si="25"/>
        <v>142</v>
      </c>
      <c r="D147" s="120">
        <f t="shared" si="22"/>
        <v>0.6</v>
      </c>
      <c r="E147" s="121">
        <f t="shared" si="19"/>
        <v>0</v>
      </c>
      <c r="F147" s="121">
        <f>SUM($E$6:E147)</f>
        <v>277200</v>
      </c>
      <c r="G147" s="143">
        <f t="shared" si="20"/>
        <v>117920</v>
      </c>
      <c r="H147" s="120">
        <f t="shared" si="23"/>
        <v>0.3</v>
      </c>
      <c r="I147" s="121">
        <f t="shared" si="21"/>
        <v>21780</v>
      </c>
      <c r="J147" s="121">
        <f t="shared" si="24"/>
        <v>139700</v>
      </c>
      <c r="K147" s="95"/>
      <c r="L147" s="100"/>
    </row>
    <row r="148" spans="2:12">
      <c r="B148" s="124">
        <f t="shared" si="26"/>
        <v>12</v>
      </c>
      <c r="C148" s="122">
        <f t="shared" si="25"/>
        <v>143</v>
      </c>
      <c r="D148" s="123">
        <f t="shared" si="22"/>
        <v>0.6</v>
      </c>
      <c r="E148" s="125">
        <f t="shared" si="19"/>
        <v>0</v>
      </c>
      <c r="F148" s="125">
        <f>SUM($E$6:E148)</f>
        <v>277200</v>
      </c>
      <c r="G148" s="144">
        <f t="shared" si="20"/>
        <v>115720</v>
      </c>
      <c r="H148" s="123">
        <f t="shared" si="23"/>
        <v>0.3</v>
      </c>
      <c r="I148" s="125">
        <f t="shared" si="21"/>
        <v>21780</v>
      </c>
      <c r="J148" s="125">
        <f t="shared" si="24"/>
        <v>137500</v>
      </c>
      <c r="K148" s="95"/>
      <c r="L148" s="100"/>
    </row>
    <row r="149" spans="2:12">
      <c r="B149" s="118">
        <f t="shared" si="26"/>
        <v>12</v>
      </c>
      <c r="C149" s="119">
        <f t="shared" si="25"/>
        <v>144</v>
      </c>
      <c r="D149" s="120">
        <f t="shared" si="22"/>
        <v>0.6</v>
      </c>
      <c r="E149" s="121">
        <f t="shared" si="19"/>
        <v>0</v>
      </c>
      <c r="F149" s="121">
        <f>SUM($E$6:E149)</f>
        <v>277200</v>
      </c>
      <c r="G149" s="143">
        <f t="shared" si="20"/>
        <v>113520</v>
      </c>
      <c r="H149" s="120">
        <f t="shared" si="23"/>
        <v>0.3</v>
      </c>
      <c r="I149" s="121">
        <f t="shared" si="21"/>
        <v>21780</v>
      </c>
      <c r="J149" s="121">
        <f t="shared" si="24"/>
        <v>135300</v>
      </c>
      <c r="K149" s="95"/>
      <c r="L149" s="100"/>
    </row>
    <row r="150" spans="2:12">
      <c r="B150" s="124">
        <f t="shared" si="26"/>
        <v>13</v>
      </c>
      <c r="C150" s="122">
        <f t="shared" si="25"/>
        <v>145</v>
      </c>
      <c r="D150" s="123">
        <f t="shared" si="22"/>
        <v>0.62</v>
      </c>
      <c r="E150" s="125">
        <f t="shared" si="19"/>
        <v>23100</v>
      </c>
      <c r="F150" s="125">
        <f>SUM($E$6:E150)</f>
        <v>300300</v>
      </c>
      <c r="G150" s="144">
        <f t="shared" si="20"/>
        <v>131186</v>
      </c>
      <c r="H150" s="123">
        <f t="shared" si="23"/>
        <v>0.33</v>
      </c>
      <c r="I150" s="125">
        <f t="shared" si="21"/>
        <v>26136</v>
      </c>
      <c r="J150" s="125">
        <f t="shared" si="24"/>
        <v>157322</v>
      </c>
      <c r="K150" s="95"/>
      <c r="L150" s="100"/>
    </row>
    <row r="151" spans="2:12">
      <c r="B151" s="118">
        <f t="shared" si="26"/>
        <v>13</v>
      </c>
      <c r="C151" s="119">
        <f t="shared" si="25"/>
        <v>146</v>
      </c>
      <c r="D151" s="120">
        <f t="shared" si="22"/>
        <v>0.62</v>
      </c>
      <c r="E151" s="121">
        <f t="shared" si="19"/>
        <v>0</v>
      </c>
      <c r="F151" s="121">
        <f>SUM($E$6:E151)</f>
        <v>300300</v>
      </c>
      <c r="G151" s="143">
        <f t="shared" si="20"/>
        <v>128986</v>
      </c>
      <c r="H151" s="120">
        <f t="shared" si="23"/>
        <v>0.33</v>
      </c>
      <c r="I151" s="121">
        <f t="shared" si="21"/>
        <v>26136</v>
      </c>
      <c r="J151" s="121">
        <f t="shared" si="24"/>
        <v>155122</v>
      </c>
      <c r="K151" s="95"/>
      <c r="L151" s="100"/>
    </row>
    <row r="152" spans="2:12">
      <c r="B152" s="124">
        <f t="shared" si="26"/>
        <v>13</v>
      </c>
      <c r="C152" s="122">
        <f t="shared" si="25"/>
        <v>147</v>
      </c>
      <c r="D152" s="123">
        <f t="shared" si="22"/>
        <v>0.62</v>
      </c>
      <c r="E152" s="125">
        <f t="shared" si="19"/>
        <v>0</v>
      </c>
      <c r="F152" s="125">
        <f>SUM($E$6:E152)</f>
        <v>300300</v>
      </c>
      <c r="G152" s="144">
        <f t="shared" si="20"/>
        <v>126786</v>
      </c>
      <c r="H152" s="123">
        <f t="shared" si="23"/>
        <v>0.33</v>
      </c>
      <c r="I152" s="125">
        <f t="shared" si="21"/>
        <v>26136</v>
      </c>
      <c r="J152" s="125">
        <f t="shared" si="24"/>
        <v>152922</v>
      </c>
      <c r="K152" s="95"/>
      <c r="L152" s="100"/>
    </row>
    <row r="153" spans="2:12">
      <c r="B153" s="118">
        <f t="shared" si="26"/>
        <v>13</v>
      </c>
      <c r="C153" s="119">
        <f t="shared" si="25"/>
        <v>148</v>
      </c>
      <c r="D153" s="120">
        <f t="shared" si="22"/>
        <v>0.62</v>
      </c>
      <c r="E153" s="121">
        <f t="shared" si="19"/>
        <v>0</v>
      </c>
      <c r="F153" s="121">
        <f>SUM($E$6:E153)</f>
        <v>300300</v>
      </c>
      <c r="G153" s="143">
        <f t="shared" si="20"/>
        <v>124586</v>
      </c>
      <c r="H153" s="120">
        <f t="shared" si="23"/>
        <v>0.33</v>
      </c>
      <c r="I153" s="121">
        <f t="shared" si="21"/>
        <v>26136</v>
      </c>
      <c r="J153" s="121">
        <f t="shared" si="24"/>
        <v>150722</v>
      </c>
      <c r="K153" s="95"/>
      <c r="L153" s="100"/>
    </row>
    <row r="154" spans="2:12">
      <c r="B154" s="124">
        <f t="shared" si="26"/>
        <v>13</v>
      </c>
      <c r="C154" s="122">
        <f t="shared" si="25"/>
        <v>149</v>
      </c>
      <c r="D154" s="123">
        <f t="shared" si="22"/>
        <v>0.62</v>
      </c>
      <c r="E154" s="125">
        <f t="shared" si="19"/>
        <v>0</v>
      </c>
      <c r="F154" s="125">
        <f>SUM($E$6:E154)</f>
        <v>300300</v>
      </c>
      <c r="G154" s="144">
        <f t="shared" si="20"/>
        <v>122386</v>
      </c>
      <c r="H154" s="123">
        <f t="shared" si="23"/>
        <v>0.33</v>
      </c>
      <c r="I154" s="125">
        <f t="shared" si="21"/>
        <v>26136</v>
      </c>
      <c r="J154" s="125">
        <f t="shared" si="24"/>
        <v>148522</v>
      </c>
      <c r="K154" s="95"/>
      <c r="L154" s="100"/>
    </row>
    <row r="155" spans="2:12">
      <c r="B155" s="118">
        <f t="shared" si="26"/>
        <v>13</v>
      </c>
      <c r="C155" s="119">
        <f t="shared" si="25"/>
        <v>150</v>
      </c>
      <c r="D155" s="120">
        <f t="shared" si="22"/>
        <v>0.62</v>
      </c>
      <c r="E155" s="121">
        <f t="shared" si="19"/>
        <v>0</v>
      </c>
      <c r="F155" s="121">
        <f>SUM($E$6:E155)</f>
        <v>300300</v>
      </c>
      <c r="G155" s="143">
        <f t="shared" si="20"/>
        <v>120186</v>
      </c>
      <c r="H155" s="120">
        <f t="shared" si="23"/>
        <v>0.33</v>
      </c>
      <c r="I155" s="121">
        <f t="shared" si="21"/>
        <v>26136</v>
      </c>
      <c r="J155" s="121">
        <f t="shared" si="24"/>
        <v>146322</v>
      </c>
      <c r="K155" s="95"/>
      <c r="L155" s="100"/>
    </row>
    <row r="156" spans="2:12">
      <c r="B156" s="124">
        <f t="shared" si="26"/>
        <v>13</v>
      </c>
      <c r="C156" s="122">
        <f t="shared" si="25"/>
        <v>151</v>
      </c>
      <c r="D156" s="123">
        <f t="shared" si="22"/>
        <v>0.62</v>
      </c>
      <c r="E156" s="125">
        <f t="shared" si="19"/>
        <v>0</v>
      </c>
      <c r="F156" s="125">
        <f>SUM($E$6:E156)</f>
        <v>300300</v>
      </c>
      <c r="G156" s="144">
        <f t="shared" si="20"/>
        <v>117986</v>
      </c>
      <c r="H156" s="123">
        <f t="shared" si="23"/>
        <v>0.33</v>
      </c>
      <c r="I156" s="125">
        <f t="shared" si="21"/>
        <v>26136</v>
      </c>
      <c r="J156" s="125">
        <f t="shared" si="24"/>
        <v>144122</v>
      </c>
      <c r="K156" s="95"/>
      <c r="L156" s="100"/>
    </row>
    <row r="157" spans="2:12">
      <c r="B157" s="118">
        <f t="shared" si="26"/>
        <v>13</v>
      </c>
      <c r="C157" s="119">
        <f t="shared" si="25"/>
        <v>152</v>
      </c>
      <c r="D157" s="120">
        <f t="shared" si="22"/>
        <v>0.62</v>
      </c>
      <c r="E157" s="121">
        <f t="shared" si="19"/>
        <v>0</v>
      </c>
      <c r="F157" s="121">
        <f>SUM($E$6:E157)</f>
        <v>300300</v>
      </c>
      <c r="G157" s="143">
        <f t="shared" si="20"/>
        <v>115786</v>
      </c>
      <c r="H157" s="120">
        <f t="shared" si="23"/>
        <v>0.33</v>
      </c>
      <c r="I157" s="121">
        <f t="shared" si="21"/>
        <v>26136</v>
      </c>
      <c r="J157" s="121">
        <f t="shared" si="24"/>
        <v>141922</v>
      </c>
      <c r="K157" s="95"/>
      <c r="L157" s="100"/>
    </row>
    <row r="158" spans="2:12">
      <c r="B158" s="124">
        <f t="shared" si="26"/>
        <v>13</v>
      </c>
      <c r="C158" s="122">
        <f t="shared" si="25"/>
        <v>153</v>
      </c>
      <c r="D158" s="123">
        <f t="shared" si="22"/>
        <v>0.62</v>
      </c>
      <c r="E158" s="125">
        <f t="shared" si="19"/>
        <v>0</v>
      </c>
      <c r="F158" s="125">
        <f>SUM($E$6:E158)</f>
        <v>300300</v>
      </c>
      <c r="G158" s="144">
        <f t="shared" si="20"/>
        <v>113586</v>
      </c>
      <c r="H158" s="123">
        <f t="shared" si="23"/>
        <v>0.33</v>
      </c>
      <c r="I158" s="125">
        <f t="shared" si="21"/>
        <v>26136</v>
      </c>
      <c r="J158" s="125">
        <f t="shared" si="24"/>
        <v>139722</v>
      </c>
      <c r="K158" s="95"/>
      <c r="L158" s="100"/>
    </row>
    <row r="159" spans="2:12">
      <c r="B159" s="118">
        <f t="shared" si="26"/>
        <v>13</v>
      </c>
      <c r="C159" s="119">
        <f t="shared" si="25"/>
        <v>154</v>
      </c>
      <c r="D159" s="120">
        <f t="shared" si="22"/>
        <v>0.62</v>
      </c>
      <c r="E159" s="121">
        <f t="shared" si="19"/>
        <v>0</v>
      </c>
      <c r="F159" s="121">
        <f>SUM($E$6:E159)</f>
        <v>300300</v>
      </c>
      <c r="G159" s="143">
        <f t="shared" si="20"/>
        <v>111386</v>
      </c>
      <c r="H159" s="120">
        <f t="shared" si="23"/>
        <v>0.33</v>
      </c>
      <c r="I159" s="121">
        <f t="shared" si="21"/>
        <v>26136</v>
      </c>
      <c r="J159" s="121">
        <f t="shared" si="24"/>
        <v>137522</v>
      </c>
      <c r="K159" s="95"/>
      <c r="L159" s="100"/>
    </row>
    <row r="160" spans="2:12">
      <c r="B160" s="124">
        <f t="shared" si="26"/>
        <v>13</v>
      </c>
      <c r="C160" s="122">
        <f t="shared" si="25"/>
        <v>155</v>
      </c>
      <c r="D160" s="123">
        <f t="shared" si="22"/>
        <v>0.62</v>
      </c>
      <c r="E160" s="125">
        <f t="shared" si="19"/>
        <v>0</v>
      </c>
      <c r="F160" s="125">
        <f>SUM($E$6:E160)</f>
        <v>300300</v>
      </c>
      <c r="G160" s="144">
        <f t="shared" si="20"/>
        <v>109186</v>
      </c>
      <c r="H160" s="123">
        <f t="shared" si="23"/>
        <v>0.33</v>
      </c>
      <c r="I160" s="125">
        <f t="shared" si="21"/>
        <v>26136</v>
      </c>
      <c r="J160" s="125">
        <f t="shared" si="24"/>
        <v>135322</v>
      </c>
      <c r="K160" s="95"/>
      <c r="L160" s="100"/>
    </row>
    <row r="161" spans="2:12">
      <c r="B161" s="118">
        <f t="shared" si="26"/>
        <v>13</v>
      </c>
      <c r="C161" s="119">
        <f t="shared" si="25"/>
        <v>156</v>
      </c>
      <c r="D161" s="120">
        <f t="shared" si="22"/>
        <v>0.62</v>
      </c>
      <c r="E161" s="121">
        <f t="shared" si="19"/>
        <v>0</v>
      </c>
      <c r="F161" s="121">
        <f>SUM($E$6:E161)</f>
        <v>300300</v>
      </c>
      <c r="G161" s="143">
        <f t="shared" si="20"/>
        <v>106986</v>
      </c>
      <c r="H161" s="120">
        <f t="shared" si="23"/>
        <v>0.33</v>
      </c>
      <c r="I161" s="121">
        <f t="shared" si="21"/>
        <v>26136</v>
      </c>
      <c r="J161" s="121">
        <f t="shared" si="24"/>
        <v>133122</v>
      </c>
      <c r="K161" s="95"/>
      <c r="L161" s="100"/>
    </row>
    <row r="162" spans="2:12">
      <c r="B162" s="124">
        <f t="shared" si="26"/>
        <v>14</v>
      </c>
      <c r="C162" s="122">
        <f t="shared" si="25"/>
        <v>157</v>
      </c>
      <c r="D162" s="123">
        <f t="shared" si="22"/>
        <v>0.64</v>
      </c>
      <c r="E162" s="125">
        <f t="shared" si="19"/>
        <v>23100</v>
      </c>
      <c r="F162" s="125">
        <f>SUM($E$6:E162)</f>
        <v>323400</v>
      </c>
      <c r="G162" s="144">
        <f t="shared" si="20"/>
        <v>125576</v>
      </c>
      <c r="H162" s="123">
        <f t="shared" si="23"/>
        <v>0.36</v>
      </c>
      <c r="I162" s="125">
        <f t="shared" si="21"/>
        <v>30888</v>
      </c>
      <c r="J162" s="125">
        <f t="shared" si="24"/>
        <v>156464</v>
      </c>
      <c r="K162" s="95"/>
      <c r="L162" s="100"/>
    </row>
    <row r="163" spans="2:12">
      <c r="B163" s="118">
        <f t="shared" si="26"/>
        <v>14</v>
      </c>
      <c r="C163" s="119">
        <f t="shared" si="25"/>
        <v>158</v>
      </c>
      <c r="D163" s="120">
        <f t="shared" si="22"/>
        <v>0.64</v>
      </c>
      <c r="E163" s="121">
        <f t="shared" si="19"/>
        <v>0</v>
      </c>
      <c r="F163" s="121">
        <f>SUM($E$6:E163)</f>
        <v>323400</v>
      </c>
      <c r="G163" s="143">
        <f t="shared" si="20"/>
        <v>123376</v>
      </c>
      <c r="H163" s="120">
        <f t="shared" si="23"/>
        <v>0.36</v>
      </c>
      <c r="I163" s="121">
        <f t="shared" si="21"/>
        <v>30888</v>
      </c>
      <c r="J163" s="121">
        <f t="shared" si="24"/>
        <v>154264</v>
      </c>
      <c r="K163" s="95"/>
      <c r="L163" s="100"/>
    </row>
    <row r="164" spans="2:12">
      <c r="B164" s="124">
        <f t="shared" si="26"/>
        <v>14</v>
      </c>
      <c r="C164" s="122">
        <f t="shared" si="25"/>
        <v>159</v>
      </c>
      <c r="D164" s="123">
        <f t="shared" si="22"/>
        <v>0.64</v>
      </c>
      <c r="E164" s="125">
        <f t="shared" si="19"/>
        <v>0</v>
      </c>
      <c r="F164" s="125">
        <f>SUM($E$6:E164)</f>
        <v>323400</v>
      </c>
      <c r="G164" s="144">
        <f t="shared" si="20"/>
        <v>121176</v>
      </c>
      <c r="H164" s="123">
        <f t="shared" si="23"/>
        <v>0.36</v>
      </c>
      <c r="I164" s="125">
        <f t="shared" si="21"/>
        <v>30888</v>
      </c>
      <c r="J164" s="125">
        <f t="shared" si="24"/>
        <v>152064</v>
      </c>
      <c r="K164" s="95"/>
      <c r="L164" s="100"/>
    </row>
    <row r="165" spans="2:12">
      <c r="B165" s="118">
        <f t="shared" si="26"/>
        <v>14</v>
      </c>
      <c r="C165" s="119">
        <f t="shared" si="25"/>
        <v>160</v>
      </c>
      <c r="D165" s="120">
        <f t="shared" si="22"/>
        <v>0.64</v>
      </c>
      <c r="E165" s="121">
        <f t="shared" si="19"/>
        <v>0</v>
      </c>
      <c r="F165" s="121">
        <f>SUM($E$6:E165)</f>
        <v>323400</v>
      </c>
      <c r="G165" s="143">
        <f t="shared" si="20"/>
        <v>118976</v>
      </c>
      <c r="H165" s="120">
        <f t="shared" si="23"/>
        <v>0.36</v>
      </c>
      <c r="I165" s="121">
        <f t="shared" si="21"/>
        <v>30888</v>
      </c>
      <c r="J165" s="121">
        <f t="shared" si="24"/>
        <v>149864</v>
      </c>
      <c r="K165" s="95"/>
      <c r="L165" s="100"/>
    </row>
    <row r="166" spans="2:12">
      <c r="B166" s="124">
        <f t="shared" si="26"/>
        <v>14</v>
      </c>
      <c r="C166" s="122">
        <f t="shared" si="25"/>
        <v>161</v>
      </c>
      <c r="D166" s="123">
        <f t="shared" si="22"/>
        <v>0.64</v>
      </c>
      <c r="E166" s="125">
        <f t="shared" si="19"/>
        <v>0</v>
      </c>
      <c r="F166" s="125">
        <f>SUM($E$6:E166)</f>
        <v>323400</v>
      </c>
      <c r="G166" s="144">
        <f t="shared" si="20"/>
        <v>116776</v>
      </c>
      <c r="H166" s="123">
        <f t="shared" si="23"/>
        <v>0.36</v>
      </c>
      <c r="I166" s="125">
        <f t="shared" si="21"/>
        <v>30888</v>
      </c>
      <c r="J166" s="125">
        <f t="shared" si="24"/>
        <v>147664</v>
      </c>
      <c r="K166" s="95"/>
      <c r="L166" s="100"/>
    </row>
    <row r="167" spans="2:12">
      <c r="B167" s="118">
        <f t="shared" si="26"/>
        <v>14</v>
      </c>
      <c r="C167" s="119">
        <f t="shared" si="25"/>
        <v>162</v>
      </c>
      <c r="D167" s="120">
        <f t="shared" si="22"/>
        <v>0.64</v>
      </c>
      <c r="E167" s="121">
        <f t="shared" si="19"/>
        <v>0</v>
      </c>
      <c r="F167" s="121">
        <f>SUM($E$6:E167)</f>
        <v>323400</v>
      </c>
      <c r="G167" s="143">
        <f t="shared" si="20"/>
        <v>114576</v>
      </c>
      <c r="H167" s="120">
        <f t="shared" si="23"/>
        <v>0.36</v>
      </c>
      <c r="I167" s="121">
        <f t="shared" si="21"/>
        <v>30888</v>
      </c>
      <c r="J167" s="121">
        <f t="shared" si="24"/>
        <v>145464</v>
      </c>
      <c r="K167" s="95"/>
      <c r="L167" s="100"/>
    </row>
    <row r="168" spans="2:12">
      <c r="B168" s="124">
        <f t="shared" si="26"/>
        <v>14</v>
      </c>
      <c r="C168" s="122">
        <f t="shared" si="25"/>
        <v>163</v>
      </c>
      <c r="D168" s="123">
        <f t="shared" si="22"/>
        <v>0.64</v>
      </c>
      <c r="E168" s="125">
        <f t="shared" si="19"/>
        <v>0</v>
      </c>
      <c r="F168" s="125">
        <f>SUM($E$6:E168)</f>
        <v>323400</v>
      </c>
      <c r="G168" s="144">
        <f t="shared" si="20"/>
        <v>112376</v>
      </c>
      <c r="H168" s="123">
        <f t="shared" si="23"/>
        <v>0.36</v>
      </c>
      <c r="I168" s="125">
        <f t="shared" si="21"/>
        <v>30888</v>
      </c>
      <c r="J168" s="125">
        <f t="shared" si="24"/>
        <v>143264</v>
      </c>
      <c r="K168" s="95"/>
      <c r="L168" s="100"/>
    </row>
    <row r="169" spans="2:12">
      <c r="B169" s="118">
        <f t="shared" si="26"/>
        <v>14</v>
      </c>
      <c r="C169" s="119">
        <f t="shared" si="25"/>
        <v>164</v>
      </c>
      <c r="D169" s="120">
        <f t="shared" si="22"/>
        <v>0.64</v>
      </c>
      <c r="E169" s="121">
        <f t="shared" si="19"/>
        <v>0</v>
      </c>
      <c r="F169" s="121">
        <f>SUM($E$6:E169)</f>
        <v>323400</v>
      </c>
      <c r="G169" s="143">
        <f t="shared" si="20"/>
        <v>110176</v>
      </c>
      <c r="H169" s="120">
        <f t="shared" si="23"/>
        <v>0.36</v>
      </c>
      <c r="I169" s="121">
        <f t="shared" si="21"/>
        <v>30888</v>
      </c>
      <c r="J169" s="121">
        <f t="shared" si="24"/>
        <v>141064</v>
      </c>
      <c r="K169" s="95"/>
      <c r="L169" s="100"/>
    </row>
    <row r="170" spans="2:12">
      <c r="B170" s="124">
        <f t="shared" si="26"/>
        <v>14</v>
      </c>
      <c r="C170" s="122">
        <f t="shared" si="25"/>
        <v>165</v>
      </c>
      <c r="D170" s="123">
        <f t="shared" si="22"/>
        <v>0.64</v>
      </c>
      <c r="E170" s="125">
        <f t="shared" si="19"/>
        <v>0</v>
      </c>
      <c r="F170" s="125">
        <f>SUM($E$6:E170)</f>
        <v>323400</v>
      </c>
      <c r="G170" s="144">
        <f t="shared" si="20"/>
        <v>107976</v>
      </c>
      <c r="H170" s="123">
        <f t="shared" si="23"/>
        <v>0.36</v>
      </c>
      <c r="I170" s="125">
        <f t="shared" si="21"/>
        <v>30888</v>
      </c>
      <c r="J170" s="125">
        <f t="shared" si="24"/>
        <v>138864</v>
      </c>
      <c r="K170" s="95"/>
      <c r="L170" s="100"/>
    </row>
    <row r="171" spans="2:12">
      <c r="B171" s="118">
        <f t="shared" si="26"/>
        <v>14</v>
      </c>
      <c r="C171" s="119">
        <f t="shared" si="25"/>
        <v>166</v>
      </c>
      <c r="D171" s="120">
        <f t="shared" si="22"/>
        <v>0.64</v>
      </c>
      <c r="E171" s="121">
        <f t="shared" si="19"/>
        <v>0</v>
      </c>
      <c r="F171" s="121">
        <f>SUM($E$6:E171)</f>
        <v>323400</v>
      </c>
      <c r="G171" s="143">
        <f t="shared" si="20"/>
        <v>105776</v>
      </c>
      <c r="H171" s="120">
        <f t="shared" si="23"/>
        <v>0.36</v>
      </c>
      <c r="I171" s="121">
        <f t="shared" si="21"/>
        <v>30888</v>
      </c>
      <c r="J171" s="121">
        <f t="shared" si="24"/>
        <v>136664</v>
      </c>
      <c r="K171" s="95"/>
      <c r="L171" s="100"/>
    </row>
    <row r="172" spans="2:12">
      <c r="B172" s="124">
        <f t="shared" si="26"/>
        <v>14</v>
      </c>
      <c r="C172" s="122">
        <f t="shared" si="25"/>
        <v>167</v>
      </c>
      <c r="D172" s="123">
        <f t="shared" si="22"/>
        <v>0.64</v>
      </c>
      <c r="E172" s="125">
        <f t="shared" si="19"/>
        <v>0</v>
      </c>
      <c r="F172" s="125">
        <f>SUM($E$6:E172)</f>
        <v>323400</v>
      </c>
      <c r="G172" s="144">
        <f t="shared" si="20"/>
        <v>103576</v>
      </c>
      <c r="H172" s="123">
        <f t="shared" si="23"/>
        <v>0.36</v>
      </c>
      <c r="I172" s="125">
        <f t="shared" si="21"/>
        <v>30888</v>
      </c>
      <c r="J172" s="125">
        <f t="shared" si="24"/>
        <v>134464</v>
      </c>
      <c r="K172" s="95"/>
      <c r="L172" s="100"/>
    </row>
    <row r="173" spans="2:12">
      <c r="B173" s="118">
        <f t="shared" si="26"/>
        <v>14</v>
      </c>
      <c r="C173" s="119">
        <f t="shared" si="25"/>
        <v>168</v>
      </c>
      <c r="D173" s="120">
        <f t="shared" si="22"/>
        <v>0.64</v>
      </c>
      <c r="E173" s="121">
        <f t="shared" si="19"/>
        <v>0</v>
      </c>
      <c r="F173" s="121">
        <f>SUM($E$6:E173)</f>
        <v>323400</v>
      </c>
      <c r="G173" s="143">
        <f t="shared" si="20"/>
        <v>101376</v>
      </c>
      <c r="H173" s="120">
        <f t="shared" si="23"/>
        <v>0.36</v>
      </c>
      <c r="I173" s="121">
        <f t="shared" si="21"/>
        <v>30888</v>
      </c>
      <c r="J173" s="121">
        <f t="shared" si="24"/>
        <v>132264</v>
      </c>
      <c r="K173" s="95"/>
      <c r="L173" s="100"/>
    </row>
    <row r="174" spans="2:12">
      <c r="B174" s="124">
        <f t="shared" si="26"/>
        <v>15</v>
      </c>
      <c r="C174" s="122">
        <f t="shared" si="25"/>
        <v>169</v>
      </c>
      <c r="D174" s="123">
        <f t="shared" si="22"/>
        <v>0.66</v>
      </c>
      <c r="E174" s="125">
        <f t="shared" si="19"/>
        <v>23100</v>
      </c>
      <c r="F174" s="125">
        <f>SUM($E$6:E174)</f>
        <v>346500</v>
      </c>
      <c r="G174" s="144">
        <f t="shared" si="20"/>
        <v>120890</v>
      </c>
      <c r="H174" s="123">
        <f t="shared" si="23"/>
        <v>0.39</v>
      </c>
      <c r="I174" s="125">
        <f t="shared" si="21"/>
        <v>36036</v>
      </c>
      <c r="J174" s="125">
        <f t="shared" si="24"/>
        <v>156926</v>
      </c>
      <c r="K174" s="95"/>
      <c r="L174" s="100"/>
    </row>
    <row r="175" spans="2:12">
      <c r="B175" s="118">
        <f t="shared" si="26"/>
        <v>15</v>
      </c>
      <c r="C175" s="119">
        <f t="shared" si="25"/>
        <v>170</v>
      </c>
      <c r="D175" s="120">
        <f t="shared" si="22"/>
        <v>0.66</v>
      </c>
      <c r="E175" s="121">
        <f t="shared" si="19"/>
        <v>0</v>
      </c>
      <c r="F175" s="121">
        <f>SUM($E$6:E175)</f>
        <v>346500</v>
      </c>
      <c r="G175" s="143">
        <f t="shared" si="20"/>
        <v>118690</v>
      </c>
      <c r="H175" s="120">
        <f t="shared" si="23"/>
        <v>0.39</v>
      </c>
      <c r="I175" s="121">
        <f t="shared" si="21"/>
        <v>36036</v>
      </c>
      <c r="J175" s="121">
        <f t="shared" si="24"/>
        <v>154726</v>
      </c>
      <c r="K175" s="95"/>
      <c r="L175" s="100"/>
    </row>
    <row r="176" spans="2:12">
      <c r="B176" s="124">
        <f t="shared" si="26"/>
        <v>15</v>
      </c>
      <c r="C176" s="122">
        <f t="shared" si="25"/>
        <v>171</v>
      </c>
      <c r="D176" s="123">
        <f t="shared" si="22"/>
        <v>0.66</v>
      </c>
      <c r="E176" s="125">
        <f t="shared" si="19"/>
        <v>0</v>
      </c>
      <c r="F176" s="125">
        <f>SUM($E$6:E176)</f>
        <v>346500</v>
      </c>
      <c r="G176" s="144">
        <f t="shared" si="20"/>
        <v>116490</v>
      </c>
      <c r="H176" s="123">
        <f t="shared" si="23"/>
        <v>0.39</v>
      </c>
      <c r="I176" s="125">
        <f t="shared" si="21"/>
        <v>36036</v>
      </c>
      <c r="J176" s="125">
        <f t="shared" si="24"/>
        <v>152526</v>
      </c>
      <c r="K176" s="95"/>
      <c r="L176" s="100"/>
    </row>
    <row r="177" spans="2:12">
      <c r="B177" s="118">
        <f t="shared" si="26"/>
        <v>15</v>
      </c>
      <c r="C177" s="119">
        <f t="shared" si="25"/>
        <v>172</v>
      </c>
      <c r="D177" s="120">
        <f t="shared" si="22"/>
        <v>0.66</v>
      </c>
      <c r="E177" s="121">
        <f t="shared" si="19"/>
        <v>0</v>
      </c>
      <c r="F177" s="121">
        <f>SUM($E$6:E177)</f>
        <v>346500</v>
      </c>
      <c r="G177" s="143">
        <f t="shared" si="20"/>
        <v>114290</v>
      </c>
      <c r="H177" s="120">
        <f t="shared" si="23"/>
        <v>0.39</v>
      </c>
      <c r="I177" s="121">
        <f t="shared" si="21"/>
        <v>36036</v>
      </c>
      <c r="J177" s="121">
        <f t="shared" si="24"/>
        <v>150326</v>
      </c>
      <c r="K177" s="95"/>
      <c r="L177" s="100"/>
    </row>
    <row r="178" spans="2:12">
      <c r="B178" s="124">
        <f t="shared" si="26"/>
        <v>15</v>
      </c>
      <c r="C178" s="122">
        <f t="shared" si="25"/>
        <v>173</v>
      </c>
      <c r="D178" s="123">
        <f t="shared" si="22"/>
        <v>0.66</v>
      </c>
      <c r="E178" s="125">
        <f t="shared" si="19"/>
        <v>0</v>
      </c>
      <c r="F178" s="125">
        <f>SUM($E$6:E178)</f>
        <v>346500</v>
      </c>
      <c r="G178" s="144">
        <f t="shared" si="20"/>
        <v>112090</v>
      </c>
      <c r="H178" s="123">
        <f t="shared" si="23"/>
        <v>0.39</v>
      </c>
      <c r="I178" s="125">
        <f t="shared" si="21"/>
        <v>36036</v>
      </c>
      <c r="J178" s="125">
        <f t="shared" si="24"/>
        <v>148126</v>
      </c>
      <c r="K178" s="95"/>
      <c r="L178" s="100"/>
    </row>
    <row r="179" spans="2:12">
      <c r="B179" s="118">
        <f t="shared" si="26"/>
        <v>15</v>
      </c>
      <c r="C179" s="119">
        <f t="shared" si="25"/>
        <v>174</v>
      </c>
      <c r="D179" s="120">
        <f t="shared" si="22"/>
        <v>0.66</v>
      </c>
      <c r="E179" s="121">
        <f t="shared" si="19"/>
        <v>0</v>
      </c>
      <c r="F179" s="121">
        <f>SUM($E$6:E179)</f>
        <v>346500</v>
      </c>
      <c r="G179" s="143">
        <f t="shared" si="20"/>
        <v>109890</v>
      </c>
      <c r="H179" s="120">
        <f t="shared" si="23"/>
        <v>0.39</v>
      </c>
      <c r="I179" s="121">
        <f t="shared" si="21"/>
        <v>36036</v>
      </c>
      <c r="J179" s="121">
        <f t="shared" si="24"/>
        <v>145926</v>
      </c>
      <c r="K179" s="95"/>
      <c r="L179" s="100"/>
    </row>
    <row r="180" spans="2:12">
      <c r="B180" s="124">
        <f t="shared" si="26"/>
        <v>15</v>
      </c>
      <c r="C180" s="122">
        <f t="shared" si="25"/>
        <v>175</v>
      </c>
      <c r="D180" s="123">
        <f t="shared" si="22"/>
        <v>0.66</v>
      </c>
      <c r="E180" s="125">
        <f t="shared" si="19"/>
        <v>0</v>
      </c>
      <c r="F180" s="125">
        <f>SUM($E$6:E180)</f>
        <v>346500</v>
      </c>
      <c r="G180" s="144">
        <f t="shared" si="20"/>
        <v>107690</v>
      </c>
      <c r="H180" s="123">
        <f t="shared" si="23"/>
        <v>0.39</v>
      </c>
      <c r="I180" s="125">
        <f t="shared" si="21"/>
        <v>36036</v>
      </c>
      <c r="J180" s="125">
        <f t="shared" si="24"/>
        <v>143726</v>
      </c>
      <c r="K180" s="95"/>
      <c r="L180" s="100"/>
    </row>
    <row r="181" spans="2:12">
      <c r="B181" s="118">
        <f t="shared" si="26"/>
        <v>15</v>
      </c>
      <c r="C181" s="119">
        <f t="shared" si="25"/>
        <v>176</v>
      </c>
      <c r="D181" s="120">
        <f t="shared" si="22"/>
        <v>0.66</v>
      </c>
      <c r="E181" s="121">
        <f t="shared" si="19"/>
        <v>0</v>
      </c>
      <c r="F181" s="121">
        <f>SUM($E$6:E181)</f>
        <v>346500</v>
      </c>
      <c r="G181" s="143">
        <f t="shared" si="20"/>
        <v>105490</v>
      </c>
      <c r="H181" s="120">
        <f t="shared" si="23"/>
        <v>0.39</v>
      </c>
      <c r="I181" s="121">
        <f t="shared" si="21"/>
        <v>36036</v>
      </c>
      <c r="J181" s="121">
        <f t="shared" si="24"/>
        <v>141526</v>
      </c>
      <c r="K181" s="95"/>
      <c r="L181" s="100"/>
    </row>
    <row r="182" spans="2:12">
      <c r="B182" s="124">
        <f t="shared" si="26"/>
        <v>15</v>
      </c>
      <c r="C182" s="122">
        <f t="shared" si="25"/>
        <v>177</v>
      </c>
      <c r="D182" s="123">
        <f t="shared" si="22"/>
        <v>0.66</v>
      </c>
      <c r="E182" s="125">
        <f t="shared" si="19"/>
        <v>0</v>
      </c>
      <c r="F182" s="125">
        <f>SUM($E$6:E182)</f>
        <v>346500</v>
      </c>
      <c r="G182" s="144">
        <f t="shared" si="20"/>
        <v>103290</v>
      </c>
      <c r="H182" s="123">
        <f t="shared" si="23"/>
        <v>0.39</v>
      </c>
      <c r="I182" s="125">
        <f t="shared" si="21"/>
        <v>36036</v>
      </c>
      <c r="J182" s="125">
        <f t="shared" si="24"/>
        <v>139326</v>
      </c>
      <c r="K182" s="95"/>
      <c r="L182" s="100"/>
    </row>
    <row r="183" spans="2:12">
      <c r="B183" s="118">
        <f t="shared" si="26"/>
        <v>15</v>
      </c>
      <c r="C183" s="119">
        <f t="shared" si="25"/>
        <v>178</v>
      </c>
      <c r="D183" s="120">
        <f t="shared" si="22"/>
        <v>0.66</v>
      </c>
      <c r="E183" s="121">
        <f t="shared" si="19"/>
        <v>0</v>
      </c>
      <c r="F183" s="121">
        <f>SUM($E$6:E183)</f>
        <v>346500</v>
      </c>
      <c r="G183" s="143">
        <f t="shared" si="20"/>
        <v>101090</v>
      </c>
      <c r="H183" s="120">
        <f t="shared" si="23"/>
        <v>0.39</v>
      </c>
      <c r="I183" s="121">
        <f t="shared" si="21"/>
        <v>36036</v>
      </c>
      <c r="J183" s="121">
        <f t="shared" si="24"/>
        <v>137126</v>
      </c>
      <c r="K183" s="95"/>
      <c r="L183" s="100"/>
    </row>
    <row r="184" spans="2:12">
      <c r="B184" s="124">
        <f t="shared" si="26"/>
        <v>15</v>
      </c>
      <c r="C184" s="122">
        <f t="shared" si="25"/>
        <v>179</v>
      </c>
      <c r="D184" s="123">
        <f t="shared" si="22"/>
        <v>0.66</v>
      </c>
      <c r="E184" s="125">
        <f t="shared" si="19"/>
        <v>0</v>
      </c>
      <c r="F184" s="125">
        <f>SUM($E$6:E184)</f>
        <v>346500</v>
      </c>
      <c r="G184" s="144">
        <f t="shared" si="20"/>
        <v>98890</v>
      </c>
      <c r="H184" s="123">
        <f t="shared" si="23"/>
        <v>0.39</v>
      </c>
      <c r="I184" s="125">
        <f t="shared" si="21"/>
        <v>36036</v>
      </c>
      <c r="J184" s="125">
        <f t="shared" si="24"/>
        <v>134926</v>
      </c>
      <c r="K184" s="95"/>
      <c r="L184" s="100"/>
    </row>
    <row r="185" spans="2:12">
      <c r="B185" s="118">
        <f t="shared" si="26"/>
        <v>15</v>
      </c>
      <c r="C185" s="119">
        <f t="shared" si="25"/>
        <v>180</v>
      </c>
      <c r="D185" s="120">
        <f t="shared" si="22"/>
        <v>0.66</v>
      </c>
      <c r="E185" s="121">
        <f t="shared" si="19"/>
        <v>0</v>
      </c>
      <c r="F185" s="121">
        <f>SUM($E$6:E185)</f>
        <v>346500</v>
      </c>
      <c r="G185" s="143">
        <f t="shared" si="20"/>
        <v>96690</v>
      </c>
      <c r="H185" s="120">
        <f t="shared" si="23"/>
        <v>0.39</v>
      </c>
      <c r="I185" s="121">
        <f t="shared" si="21"/>
        <v>36036</v>
      </c>
      <c r="J185" s="121">
        <f t="shared" si="24"/>
        <v>132726</v>
      </c>
      <c r="K185" s="95"/>
      <c r="L185" s="100"/>
    </row>
    <row r="186" spans="2:12">
      <c r="B186" s="124">
        <f t="shared" si="26"/>
        <v>16</v>
      </c>
      <c r="C186" s="122">
        <f t="shared" si="25"/>
        <v>181</v>
      </c>
      <c r="D186" s="123">
        <f t="shared" si="22"/>
        <v>0.68</v>
      </c>
      <c r="E186" s="125">
        <f t="shared" si="19"/>
        <v>0</v>
      </c>
      <c r="F186" s="125">
        <f>SUM($E$6:E186)</f>
        <v>346500</v>
      </c>
      <c r="G186" s="144">
        <f t="shared" si="20"/>
        <v>101420.00000000003</v>
      </c>
      <c r="H186" s="123">
        <f t="shared" si="23"/>
        <v>0.42</v>
      </c>
      <c r="I186" s="125">
        <f t="shared" si="21"/>
        <v>41580</v>
      </c>
      <c r="J186" s="125">
        <f t="shared" si="24"/>
        <v>143000.00000000003</v>
      </c>
      <c r="K186" s="95"/>
      <c r="L186" s="100"/>
    </row>
    <row r="187" spans="2:12">
      <c r="B187" s="118">
        <f t="shared" si="26"/>
        <v>16</v>
      </c>
      <c r="C187" s="119">
        <f t="shared" si="25"/>
        <v>182</v>
      </c>
      <c r="D187" s="120">
        <f t="shared" si="22"/>
        <v>0.68</v>
      </c>
      <c r="E187" s="121">
        <f t="shared" si="19"/>
        <v>0</v>
      </c>
      <c r="F187" s="121">
        <f>SUM($E$6:E187)</f>
        <v>346500</v>
      </c>
      <c r="G187" s="143">
        <f t="shared" si="20"/>
        <v>99220.000000000029</v>
      </c>
      <c r="H187" s="120">
        <f t="shared" si="23"/>
        <v>0.42</v>
      </c>
      <c r="I187" s="121">
        <f t="shared" si="21"/>
        <v>41580</v>
      </c>
      <c r="J187" s="121">
        <f t="shared" si="24"/>
        <v>140800.00000000003</v>
      </c>
      <c r="K187" s="95"/>
      <c r="L187" s="100"/>
    </row>
    <row r="188" spans="2:12">
      <c r="B188" s="124">
        <f t="shared" si="26"/>
        <v>16</v>
      </c>
      <c r="C188" s="122">
        <f t="shared" si="25"/>
        <v>183</v>
      </c>
      <c r="D188" s="123">
        <f t="shared" si="22"/>
        <v>0.68</v>
      </c>
      <c r="E188" s="125">
        <f t="shared" si="19"/>
        <v>0</v>
      </c>
      <c r="F188" s="125">
        <f>SUM($E$6:E188)</f>
        <v>346500</v>
      </c>
      <c r="G188" s="144">
        <f t="shared" si="20"/>
        <v>97020.000000000029</v>
      </c>
      <c r="H188" s="123">
        <f t="shared" si="23"/>
        <v>0.42</v>
      </c>
      <c r="I188" s="125">
        <f t="shared" si="21"/>
        <v>41580</v>
      </c>
      <c r="J188" s="125">
        <f t="shared" si="24"/>
        <v>138600.00000000003</v>
      </c>
      <c r="K188" s="95"/>
      <c r="L188" s="100"/>
    </row>
    <row r="189" spans="2:12">
      <c r="B189" s="118">
        <f t="shared" si="26"/>
        <v>16</v>
      </c>
      <c r="C189" s="119">
        <f t="shared" si="25"/>
        <v>184</v>
      </c>
      <c r="D189" s="120">
        <f t="shared" si="22"/>
        <v>0.68</v>
      </c>
      <c r="E189" s="121">
        <f t="shared" si="19"/>
        <v>0</v>
      </c>
      <c r="F189" s="121">
        <f>SUM($E$6:E189)</f>
        <v>346500</v>
      </c>
      <c r="G189" s="143">
        <f t="shared" si="20"/>
        <v>94820.000000000029</v>
      </c>
      <c r="H189" s="120">
        <f t="shared" si="23"/>
        <v>0.42</v>
      </c>
      <c r="I189" s="121">
        <f t="shared" si="21"/>
        <v>41580</v>
      </c>
      <c r="J189" s="121">
        <f t="shared" si="24"/>
        <v>136400.00000000003</v>
      </c>
      <c r="K189" s="95"/>
      <c r="L189" s="100"/>
    </row>
    <row r="190" spans="2:12">
      <c r="B190" s="124">
        <f t="shared" si="26"/>
        <v>16</v>
      </c>
      <c r="C190" s="122">
        <f t="shared" si="25"/>
        <v>185</v>
      </c>
      <c r="D190" s="123">
        <f t="shared" si="22"/>
        <v>0.68</v>
      </c>
      <c r="E190" s="125">
        <f t="shared" si="19"/>
        <v>0</v>
      </c>
      <c r="F190" s="125">
        <f>SUM($E$6:E190)</f>
        <v>346500</v>
      </c>
      <c r="G190" s="144">
        <f t="shared" si="20"/>
        <v>92620.000000000029</v>
      </c>
      <c r="H190" s="123">
        <f t="shared" si="23"/>
        <v>0.42</v>
      </c>
      <c r="I190" s="125">
        <f t="shared" si="21"/>
        <v>41580</v>
      </c>
      <c r="J190" s="125">
        <f t="shared" si="24"/>
        <v>134200.00000000003</v>
      </c>
      <c r="K190" s="95"/>
      <c r="L190" s="100"/>
    </row>
    <row r="191" spans="2:12">
      <c r="B191" s="118">
        <f t="shared" si="26"/>
        <v>16</v>
      </c>
      <c r="C191" s="119">
        <f t="shared" si="25"/>
        <v>186</v>
      </c>
      <c r="D191" s="120">
        <f t="shared" si="22"/>
        <v>0.68</v>
      </c>
      <c r="E191" s="121">
        <f t="shared" si="19"/>
        <v>0</v>
      </c>
      <c r="F191" s="121">
        <f>SUM($E$6:E191)</f>
        <v>346500</v>
      </c>
      <c r="G191" s="143">
        <f t="shared" si="20"/>
        <v>90420.000000000029</v>
      </c>
      <c r="H191" s="120">
        <f t="shared" si="23"/>
        <v>0.42</v>
      </c>
      <c r="I191" s="121">
        <f t="shared" si="21"/>
        <v>41580</v>
      </c>
      <c r="J191" s="121">
        <f t="shared" si="24"/>
        <v>132000.00000000003</v>
      </c>
      <c r="K191" s="95"/>
      <c r="L191" s="100"/>
    </row>
    <row r="192" spans="2:12">
      <c r="B192" s="124">
        <f t="shared" si="26"/>
        <v>16</v>
      </c>
      <c r="C192" s="122">
        <f t="shared" si="25"/>
        <v>187</v>
      </c>
      <c r="D192" s="123">
        <f t="shared" si="22"/>
        <v>0.68</v>
      </c>
      <c r="E192" s="125">
        <f t="shared" si="19"/>
        <v>0</v>
      </c>
      <c r="F192" s="125">
        <f>SUM($E$6:E192)</f>
        <v>346500</v>
      </c>
      <c r="G192" s="144">
        <f t="shared" si="20"/>
        <v>88220.000000000029</v>
      </c>
      <c r="H192" s="123">
        <f t="shared" si="23"/>
        <v>0.42</v>
      </c>
      <c r="I192" s="125">
        <f t="shared" si="21"/>
        <v>41580</v>
      </c>
      <c r="J192" s="125">
        <f t="shared" si="24"/>
        <v>129800.00000000003</v>
      </c>
      <c r="K192" s="95"/>
      <c r="L192" s="100"/>
    </row>
    <row r="193" spans="2:12">
      <c r="B193" s="118">
        <f t="shared" si="26"/>
        <v>16</v>
      </c>
      <c r="C193" s="119">
        <f t="shared" si="25"/>
        <v>188</v>
      </c>
      <c r="D193" s="120">
        <f t="shared" si="22"/>
        <v>0.68</v>
      </c>
      <c r="E193" s="121">
        <f t="shared" si="19"/>
        <v>0</v>
      </c>
      <c r="F193" s="121">
        <f>SUM($E$6:E193)</f>
        <v>346500</v>
      </c>
      <c r="G193" s="143">
        <f t="shared" si="20"/>
        <v>86020.000000000029</v>
      </c>
      <c r="H193" s="120">
        <f t="shared" si="23"/>
        <v>0.42</v>
      </c>
      <c r="I193" s="121">
        <f t="shared" si="21"/>
        <v>41580</v>
      </c>
      <c r="J193" s="121">
        <f t="shared" si="24"/>
        <v>127600.00000000003</v>
      </c>
      <c r="K193" s="95"/>
      <c r="L193" s="100"/>
    </row>
    <row r="194" spans="2:12">
      <c r="B194" s="124">
        <f t="shared" si="26"/>
        <v>16</v>
      </c>
      <c r="C194" s="122">
        <f t="shared" si="25"/>
        <v>189</v>
      </c>
      <c r="D194" s="123">
        <f t="shared" si="22"/>
        <v>0.68</v>
      </c>
      <c r="E194" s="125">
        <f t="shared" si="19"/>
        <v>0</v>
      </c>
      <c r="F194" s="125">
        <f>SUM($E$6:E194)</f>
        <v>346500</v>
      </c>
      <c r="G194" s="144">
        <f t="shared" si="20"/>
        <v>83820.000000000029</v>
      </c>
      <c r="H194" s="123">
        <f t="shared" si="23"/>
        <v>0.42</v>
      </c>
      <c r="I194" s="125">
        <f t="shared" si="21"/>
        <v>41580</v>
      </c>
      <c r="J194" s="125">
        <f t="shared" si="24"/>
        <v>125400.00000000003</v>
      </c>
      <c r="K194" s="95"/>
      <c r="L194" s="100"/>
    </row>
    <row r="195" spans="2:12">
      <c r="B195" s="118">
        <f t="shared" si="26"/>
        <v>16</v>
      </c>
      <c r="C195" s="119">
        <f t="shared" si="25"/>
        <v>190</v>
      </c>
      <c r="D195" s="120">
        <f t="shared" si="22"/>
        <v>0.68</v>
      </c>
      <c r="E195" s="121">
        <f t="shared" si="19"/>
        <v>0</v>
      </c>
      <c r="F195" s="121">
        <f>SUM($E$6:E195)</f>
        <v>346500</v>
      </c>
      <c r="G195" s="143">
        <f t="shared" si="20"/>
        <v>81620.000000000029</v>
      </c>
      <c r="H195" s="120">
        <f t="shared" si="23"/>
        <v>0.42</v>
      </c>
      <c r="I195" s="121">
        <f t="shared" si="21"/>
        <v>41580</v>
      </c>
      <c r="J195" s="121">
        <f t="shared" si="24"/>
        <v>123200.00000000003</v>
      </c>
      <c r="K195" s="95"/>
      <c r="L195" s="100"/>
    </row>
    <row r="196" spans="2:12">
      <c r="B196" s="124">
        <f t="shared" si="26"/>
        <v>16</v>
      </c>
      <c r="C196" s="122">
        <f t="shared" si="25"/>
        <v>191</v>
      </c>
      <c r="D196" s="123">
        <f t="shared" si="22"/>
        <v>0.68</v>
      </c>
      <c r="E196" s="125">
        <f t="shared" si="19"/>
        <v>0</v>
      </c>
      <c r="F196" s="125">
        <f>SUM($E$6:E196)</f>
        <v>346500</v>
      </c>
      <c r="G196" s="144">
        <f t="shared" si="20"/>
        <v>79420.000000000029</v>
      </c>
      <c r="H196" s="123">
        <f t="shared" si="23"/>
        <v>0.42</v>
      </c>
      <c r="I196" s="125">
        <f t="shared" si="21"/>
        <v>41580</v>
      </c>
      <c r="J196" s="125">
        <f t="shared" si="24"/>
        <v>121000.00000000003</v>
      </c>
      <c r="K196" s="95"/>
      <c r="L196" s="100"/>
    </row>
    <row r="197" spans="2:12">
      <c r="B197" s="118">
        <f t="shared" si="26"/>
        <v>16</v>
      </c>
      <c r="C197" s="119">
        <f t="shared" si="25"/>
        <v>192</v>
      </c>
      <c r="D197" s="120">
        <f t="shared" si="22"/>
        <v>0.68</v>
      </c>
      <c r="E197" s="121">
        <f t="shared" si="19"/>
        <v>0</v>
      </c>
      <c r="F197" s="121">
        <f>SUM($E$6:E197)</f>
        <v>346500</v>
      </c>
      <c r="G197" s="143">
        <f t="shared" si="20"/>
        <v>77220.000000000029</v>
      </c>
      <c r="H197" s="120">
        <f t="shared" si="23"/>
        <v>0.42</v>
      </c>
      <c r="I197" s="121">
        <f t="shared" si="21"/>
        <v>41580</v>
      </c>
      <c r="J197" s="121">
        <f t="shared" si="24"/>
        <v>118800.00000000003</v>
      </c>
      <c r="K197" s="95"/>
      <c r="L197" s="100"/>
    </row>
    <row r="198" spans="2:12">
      <c r="B198" s="124">
        <f t="shared" si="26"/>
        <v>17</v>
      </c>
      <c r="C198" s="122">
        <f t="shared" si="25"/>
        <v>193</v>
      </c>
      <c r="D198" s="123">
        <f t="shared" si="22"/>
        <v>0.7</v>
      </c>
      <c r="E198" s="125">
        <f t="shared" ref="E198:E261" si="27">(IF(B198=1,Modal_Basic_Prem_Yr1,Modal_Basic_Prem_Yr2)*(Prem_Mode="Monthly") + (Prem_Mode="Annual")*IF(B198=1,Modal_Basic_Prem_Yr1,Modal_Basic_Prem_Yr2)*(MOD(C198-1,12)=0))*(B198&lt;=15)</f>
        <v>0</v>
      </c>
      <c r="F198" s="125">
        <f>SUM($E$6:E198)</f>
        <v>346500</v>
      </c>
      <c r="G198" s="144">
        <f t="shared" ref="G198:G261" si="28">MAX(F198*D198-SA/100*(C198-10*12)*(B198&gt;10),0)</f>
        <v>81949.999999999971</v>
      </c>
      <c r="H198" s="123">
        <f t="shared" si="23"/>
        <v>0.46</v>
      </c>
      <c r="I198" s="125">
        <f t="shared" ref="I198:I261" si="29">VLOOKUP(B198,$P$5:$Q$30,2,0)*SA*(B198-1)*H198</f>
        <v>48576</v>
      </c>
      <c r="J198" s="125">
        <f t="shared" si="24"/>
        <v>130525.99999999997</v>
      </c>
      <c r="K198" s="95"/>
      <c r="L198" s="100"/>
    </row>
    <row r="199" spans="2:12">
      <c r="B199" s="118">
        <f t="shared" si="26"/>
        <v>17</v>
      </c>
      <c r="C199" s="119">
        <f t="shared" si="25"/>
        <v>194</v>
      </c>
      <c r="D199" s="120">
        <f t="shared" ref="D199:D262" si="30">VLOOKUP(B199,$L$5:$N$30,2,0)</f>
        <v>0.7</v>
      </c>
      <c r="E199" s="121">
        <f t="shared" si="27"/>
        <v>0</v>
      </c>
      <c r="F199" s="121">
        <f>SUM($E$6:E199)</f>
        <v>346500</v>
      </c>
      <c r="G199" s="143">
        <f t="shared" si="28"/>
        <v>79749.999999999971</v>
      </c>
      <c r="H199" s="120">
        <f t="shared" ref="H199:H262" si="31">VLOOKUP(B199,$L$5:$N$30,3,0)</f>
        <v>0.46</v>
      </c>
      <c r="I199" s="121">
        <f t="shared" si="29"/>
        <v>48576</v>
      </c>
      <c r="J199" s="121">
        <f t="shared" ref="J199:J262" si="32">G199+I199</f>
        <v>128325.99999999997</v>
      </c>
      <c r="K199" s="95"/>
      <c r="L199" s="100"/>
    </row>
    <row r="200" spans="2:12">
      <c r="B200" s="124">
        <f t="shared" si="26"/>
        <v>17</v>
      </c>
      <c r="C200" s="122">
        <f t="shared" ref="C200:C263" si="33">C199+1</f>
        <v>195</v>
      </c>
      <c r="D200" s="123">
        <f t="shared" si="30"/>
        <v>0.7</v>
      </c>
      <c r="E200" s="125">
        <f t="shared" si="27"/>
        <v>0</v>
      </c>
      <c r="F200" s="125">
        <f>SUM($E$6:E200)</f>
        <v>346500</v>
      </c>
      <c r="G200" s="144">
        <f t="shared" si="28"/>
        <v>77549.999999999971</v>
      </c>
      <c r="H200" s="123">
        <f t="shared" si="31"/>
        <v>0.46</v>
      </c>
      <c r="I200" s="125">
        <f t="shared" si="29"/>
        <v>48576</v>
      </c>
      <c r="J200" s="125">
        <f t="shared" si="32"/>
        <v>126125.99999999997</v>
      </c>
      <c r="K200" s="95"/>
      <c r="L200" s="100"/>
    </row>
    <row r="201" spans="2:12">
      <c r="B201" s="118">
        <f t="shared" si="26"/>
        <v>17</v>
      </c>
      <c r="C201" s="119">
        <f t="shared" si="33"/>
        <v>196</v>
      </c>
      <c r="D201" s="120">
        <f t="shared" si="30"/>
        <v>0.7</v>
      </c>
      <c r="E201" s="121">
        <f t="shared" si="27"/>
        <v>0</v>
      </c>
      <c r="F201" s="121">
        <f>SUM($E$6:E201)</f>
        <v>346500</v>
      </c>
      <c r="G201" s="143">
        <f t="shared" si="28"/>
        <v>75349.999999999971</v>
      </c>
      <c r="H201" s="120">
        <f t="shared" si="31"/>
        <v>0.46</v>
      </c>
      <c r="I201" s="121">
        <f t="shared" si="29"/>
        <v>48576</v>
      </c>
      <c r="J201" s="121">
        <f t="shared" si="32"/>
        <v>123925.99999999997</v>
      </c>
      <c r="K201" s="95"/>
      <c r="L201" s="100"/>
    </row>
    <row r="202" spans="2:12">
      <c r="B202" s="124">
        <f t="shared" si="26"/>
        <v>17</v>
      </c>
      <c r="C202" s="122">
        <f t="shared" si="33"/>
        <v>197</v>
      </c>
      <c r="D202" s="123">
        <f t="shared" si="30"/>
        <v>0.7</v>
      </c>
      <c r="E202" s="125">
        <f t="shared" si="27"/>
        <v>0</v>
      </c>
      <c r="F202" s="125">
        <f>SUM($E$6:E202)</f>
        <v>346500</v>
      </c>
      <c r="G202" s="144">
        <f t="shared" si="28"/>
        <v>73149.999999999971</v>
      </c>
      <c r="H202" s="123">
        <f t="shared" si="31"/>
        <v>0.46</v>
      </c>
      <c r="I202" s="125">
        <f t="shared" si="29"/>
        <v>48576</v>
      </c>
      <c r="J202" s="125">
        <f t="shared" si="32"/>
        <v>121725.99999999997</v>
      </c>
      <c r="K202" s="95"/>
      <c r="L202" s="100"/>
    </row>
    <row r="203" spans="2:12">
      <c r="B203" s="118">
        <f t="shared" si="26"/>
        <v>17</v>
      </c>
      <c r="C203" s="119">
        <f t="shared" si="33"/>
        <v>198</v>
      </c>
      <c r="D203" s="120">
        <f t="shared" si="30"/>
        <v>0.7</v>
      </c>
      <c r="E203" s="121">
        <f t="shared" si="27"/>
        <v>0</v>
      </c>
      <c r="F203" s="121">
        <f>SUM($E$6:E203)</f>
        <v>346500</v>
      </c>
      <c r="G203" s="143">
        <f t="shared" si="28"/>
        <v>70949.999999999971</v>
      </c>
      <c r="H203" s="120">
        <f t="shared" si="31"/>
        <v>0.46</v>
      </c>
      <c r="I203" s="121">
        <f t="shared" si="29"/>
        <v>48576</v>
      </c>
      <c r="J203" s="121">
        <f t="shared" si="32"/>
        <v>119525.99999999997</v>
      </c>
      <c r="K203" s="95"/>
      <c r="L203" s="100"/>
    </row>
    <row r="204" spans="2:12">
      <c r="B204" s="124">
        <f t="shared" si="26"/>
        <v>17</v>
      </c>
      <c r="C204" s="122">
        <f t="shared" si="33"/>
        <v>199</v>
      </c>
      <c r="D204" s="123">
        <f t="shared" si="30"/>
        <v>0.7</v>
      </c>
      <c r="E204" s="125">
        <f t="shared" si="27"/>
        <v>0</v>
      </c>
      <c r="F204" s="125">
        <f>SUM($E$6:E204)</f>
        <v>346500</v>
      </c>
      <c r="G204" s="144">
        <f t="shared" si="28"/>
        <v>68749.999999999971</v>
      </c>
      <c r="H204" s="123">
        <f t="shared" si="31"/>
        <v>0.46</v>
      </c>
      <c r="I204" s="125">
        <f t="shared" si="29"/>
        <v>48576</v>
      </c>
      <c r="J204" s="125">
        <f t="shared" si="32"/>
        <v>117325.99999999997</v>
      </c>
      <c r="K204" s="95"/>
      <c r="L204" s="100"/>
    </row>
    <row r="205" spans="2:12">
      <c r="B205" s="118">
        <f t="shared" si="26"/>
        <v>17</v>
      </c>
      <c r="C205" s="119">
        <f t="shared" si="33"/>
        <v>200</v>
      </c>
      <c r="D205" s="120">
        <f t="shared" si="30"/>
        <v>0.7</v>
      </c>
      <c r="E205" s="121">
        <f t="shared" si="27"/>
        <v>0</v>
      </c>
      <c r="F205" s="121">
        <f>SUM($E$6:E205)</f>
        <v>346500</v>
      </c>
      <c r="G205" s="143">
        <f t="shared" si="28"/>
        <v>66549.999999999971</v>
      </c>
      <c r="H205" s="120">
        <f t="shared" si="31"/>
        <v>0.46</v>
      </c>
      <c r="I205" s="121">
        <f t="shared" si="29"/>
        <v>48576</v>
      </c>
      <c r="J205" s="121">
        <f t="shared" si="32"/>
        <v>115125.99999999997</v>
      </c>
      <c r="K205" s="95"/>
      <c r="L205" s="100"/>
    </row>
    <row r="206" spans="2:12">
      <c r="B206" s="124">
        <f t="shared" si="26"/>
        <v>17</v>
      </c>
      <c r="C206" s="122">
        <f t="shared" si="33"/>
        <v>201</v>
      </c>
      <c r="D206" s="123">
        <f t="shared" si="30"/>
        <v>0.7</v>
      </c>
      <c r="E206" s="125">
        <f t="shared" si="27"/>
        <v>0</v>
      </c>
      <c r="F206" s="125">
        <f>SUM($E$6:E206)</f>
        <v>346500</v>
      </c>
      <c r="G206" s="144">
        <f t="shared" si="28"/>
        <v>64349.999999999971</v>
      </c>
      <c r="H206" s="123">
        <f t="shared" si="31"/>
        <v>0.46</v>
      </c>
      <c r="I206" s="125">
        <f t="shared" si="29"/>
        <v>48576</v>
      </c>
      <c r="J206" s="125">
        <f t="shared" si="32"/>
        <v>112925.99999999997</v>
      </c>
      <c r="K206" s="95"/>
      <c r="L206" s="100"/>
    </row>
    <row r="207" spans="2:12">
      <c r="B207" s="118">
        <f t="shared" si="26"/>
        <v>17</v>
      </c>
      <c r="C207" s="119">
        <f t="shared" si="33"/>
        <v>202</v>
      </c>
      <c r="D207" s="120">
        <f t="shared" si="30"/>
        <v>0.7</v>
      </c>
      <c r="E207" s="121">
        <f t="shared" si="27"/>
        <v>0</v>
      </c>
      <c r="F207" s="121">
        <f>SUM($E$6:E207)</f>
        <v>346500</v>
      </c>
      <c r="G207" s="143">
        <f t="shared" si="28"/>
        <v>62149.999999999971</v>
      </c>
      <c r="H207" s="120">
        <f t="shared" si="31"/>
        <v>0.46</v>
      </c>
      <c r="I207" s="121">
        <f t="shared" si="29"/>
        <v>48576</v>
      </c>
      <c r="J207" s="121">
        <f t="shared" si="32"/>
        <v>110725.99999999997</v>
      </c>
      <c r="K207" s="95"/>
      <c r="L207" s="100"/>
    </row>
    <row r="208" spans="2:12">
      <c r="B208" s="124">
        <f t="shared" si="26"/>
        <v>17</v>
      </c>
      <c r="C208" s="122">
        <f t="shared" si="33"/>
        <v>203</v>
      </c>
      <c r="D208" s="123">
        <f t="shared" si="30"/>
        <v>0.7</v>
      </c>
      <c r="E208" s="125">
        <f t="shared" si="27"/>
        <v>0</v>
      </c>
      <c r="F208" s="125">
        <f>SUM($E$6:E208)</f>
        <v>346500</v>
      </c>
      <c r="G208" s="144">
        <f t="shared" si="28"/>
        <v>59949.999999999971</v>
      </c>
      <c r="H208" s="123">
        <f t="shared" si="31"/>
        <v>0.46</v>
      </c>
      <c r="I208" s="125">
        <f t="shared" si="29"/>
        <v>48576</v>
      </c>
      <c r="J208" s="125">
        <f t="shared" si="32"/>
        <v>108525.99999999997</v>
      </c>
      <c r="K208" s="95"/>
      <c r="L208" s="100"/>
    </row>
    <row r="209" spans="2:12">
      <c r="B209" s="118">
        <f t="shared" si="26"/>
        <v>17</v>
      </c>
      <c r="C209" s="119">
        <f t="shared" si="33"/>
        <v>204</v>
      </c>
      <c r="D209" s="120">
        <f t="shared" si="30"/>
        <v>0.7</v>
      </c>
      <c r="E209" s="121">
        <f t="shared" si="27"/>
        <v>0</v>
      </c>
      <c r="F209" s="121">
        <f>SUM($E$6:E209)</f>
        <v>346500</v>
      </c>
      <c r="G209" s="143">
        <f t="shared" si="28"/>
        <v>57749.999999999971</v>
      </c>
      <c r="H209" s="120">
        <f t="shared" si="31"/>
        <v>0.46</v>
      </c>
      <c r="I209" s="121">
        <f t="shared" si="29"/>
        <v>48576</v>
      </c>
      <c r="J209" s="121">
        <f t="shared" si="32"/>
        <v>106325.99999999997</v>
      </c>
      <c r="K209" s="95"/>
      <c r="L209" s="100"/>
    </row>
    <row r="210" spans="2:12">
      <c r="B210" s="124">
        <f t="shared" si="26"/>
        <v>18</v>
      </c>
      <c r="C210" s="122">
        <f t="shared" si="33"/>
        <v>205</v>
      </c>
      <c r="D210" s="123">
        <f t="shared" si="30"/>
        <v>0.72</v>
      </c>
      <c r="E210" s="125">
        <f t="shared" si="27"/>
        <v>0</v>
      </c>
      <c r="F210" s="125">
        <f>SUM($E$6:E210)</f>
        <v>346500</v>
      </c>
      <c r="G210" s="144">
        <f t="shared" si="28"/>
        <v>62480</v>
      </c>
      <c r="H210" s="123">
        <f t="shared" si="31"/>
        <v>0.5</v>
      </c>
      <c r="I210" s="125">
        <f t="shared" si="29"/>
        <v>56100</v>
      </c>
      <c r="J210" s="125">
        <f t="shared" si="32"/>
        <v>118580</v>
      </c>
      <c r="K210" s="95"/>
      <c r="L210" s="100"/>
    </row>
    <row r="211" spans="2:12">
      <c r="B211" s="118">
        <f t="shared" ref="B211:B274" si="34">B199+1</f>
        <v>18</v>
      </c>
      <c r="C211" s="119">
        <f t="shared" si="33"/>
        <v>206</v>
      </c>
      <c r="D211" s="120">
        <f t="shared" si="30"/>
        <v>0.72</v>
      </c>
      <c r="E211" s="121">
        <f t="shared" si="27"/>
        <v>0</v>
      </c>
      <c r="F211" s="121">
        <f>SUM($E$6:E211)</f>
        <v>346500</v>
      </c>
      <c r="G211" s="143">
        <f t="shared" si="28"/>
        <v>60280</v>
      </c>
      <c r="H211" s="120">
        <f t="shared" si="31"/>
        <v>0.5</v>
      </c>
      <c r="I211" s="121">
        <f t="shared" si="29"/>
        <v>56100</v>
      </c>
      <c r="J211" s="121">
        <f t="shared" si="32"/>
        <v>116380</v>
      </c>
      <c r="K211" s="95"/>
      <c r="L211" s="100"/>
    </row>
    <row r="212" spans="2:12">
      <c r="B212" s="124">
        <f t="shared" si="34"/>
        <v>18</v>
      </c>
      <c r="C212" s="122">
        <f t="shared" si="33"/>
        <v>207</v>
      </c>
      <c r="D212" s="123">
        <f t="shared" si="30"/>
        <v>0.72</v>
      </c>
      <c r="E212" s="125">
        <f t="shared" si="27"/>
        <v>0</v>
      </c>
      <c r="F212" s="125">
        <f>SUM($E$6:E212)</f>
        <v>346500</v>
      </c>
      <c r="G212" s="144">
        <f t="shared" si="28"/>
        <v>58080</v>
      </c>
      <c r="H212" s="123">
        <f t="shared" si="31"/>
        <v>0.5</v>
      </c>
      <c r="I212" s="125">
        <f t="shared" si="29"/>
        <v>56100</v>
      </c>
      <c r="J212" s="125">
        <f t="shared" si="32"/>
        <v>114180</v>
      </c>
      <c r="K212" s="95"/>
      <c r="L212" s="100"/>
    </row>
    <row r="213" spans="2:12">
      <c r="B213" s="118">
        <f t="shared" si="34"/>
        <v>18</v>
      </c>
      <c r="C213" s="119">
        <f t="shared" si="33"/>
        <v>208</v>
      </c>
      <c r="D213" s="120">
        <f t="shared" si="30"/>
        <v>0.72</v>
      </c>
      <c r="E213" s="121">
        <f t="shared" si="27"/>
        <v>0</v>
      </c>
      <c r="F213" s="121">
        <f>SUM($E$6:E213)</f>
        <v>346500</v>
      </c>
      <c r="G213" s="143">
        <f t="shared" si="28"/>
        <v>55880</v>
      </c>
      <c r="H213" s="120">
        <f t="shared" si="31"/>
        <v>0.5</v>
      </c>
      <c r="I213" s="121">
        <f t="shared" si="29"/>
        <v>56100</v>
      </c>
      <c r="J213" s="121">
        <f t="shared" si="32"/>
        <v>111980</v>
      </c>
      <c r="K213" s="95"/>
      <c r="L213" s="100"/>
    </row>
    <row r="214" spans="2:12">
      <c r="B214" s="124">
        <f t="shared" si="34"/>
        <v>18</v>
      </c>
      <c r="C214" s="122">
        <f t="shared" si="33"/>
        <v>209</v>
      </c>
      <c r="D214" s="123">
        <f t="shared" si="30"/>
        <v>0.72</v>
      </c>
      <c r="E214" s="125">
        <f t="shared" si="27"/>
        <v>0</v>
      </c>
      <c r="F214" s="125">
        <f>SUM($E$6:E214)</f>
        <v>346500</v>
      </c>
      <c r="G214" s="144">
        <f t="shared" si="28"/>
        <v>53680</v>
      </c>
      <c r="H214" s="123">
        <f t="shared" si="31"/>
        <v>0.5</v>
      </c>
      <c r="I214" s="125">
        <f t="shared" si="29"/>
        <v>56100</v>
      </c>
      <c r="J214" s="125">
        <f t="shared" si="32"/>
        <v>109780</v>
      </c>
      <c r="K214" s="95"/>
      <c r="L214" s="100"/>
    </row>
    <row r="215" spans="2:12">
      <c r="B215" s="118">
        <f t="shared" si="34"/>
        <v>18</v>
      </c>
      <c r="C215" s="119">
        <f t="shared" si="33"/>
        <v>210</v>
      </c>
      <c r="D215" s="120">
        <f t="shared" si="30"/>
        <v>0.72</v>
      </c>
      <c r="E215" s="121">
        <f t="shared" si="27"/>
        <v>0</v>
      </c>
      <c r="F215" s="121">
        <f>SUM($E$6:E215)</f>
        <v>346500</v>
      </c>
      <c r="G215" s="143">
        <f t="shared" si="28"/>
        <v>51480</v>
      </c>
      <c r="H215" s="120">
        <f t="shared" si="31"/>
        <v>0.5</v>
      </c>
      <c r="I215" s="121">
        <f t="shared" si="29"/>
        <v>56100</v>
      </c>
      <c r="J215" s="121">
        <f t="shared" si="32"/>
        <v>107580</v>
      </c>
      <c r="K215" s="95"/>
      <c r="L215" s="100"/>
    </row>
    <row r="216" spans="2:12">
      <c r="B216" s="124">
        <f t="shared" si="34"/>
        <v>18</v>
      </c>
      <c r="C216" s="122">
        <f t="shared" si="33"/>
        <v>211</v>
      </c>
      <c r="D216" s="123">
        <f t="shared" si="30"/>
        <v>0.72</v>
      </c>
      <c r="E216" s="125">
        <f t="shared" si="27"/>
        <v>0</v>
      </c>
      <c r="F216" s="125">
        <f>SUM($E$6:E216)</f>
        <v>346500</v>
      </c>
      <c r="G216" s="144">
        <f t="shared" si="28"/>
        <v>49280</v>
      </c>
      <c r="H216" s="123">
        <f t="shared" si="31"/>
        <v>0.5</v>
      </c>
      <c r="I216" s="125">
        <f t="shared" si="29"/>
        <v>56100</v>
      </c>
      <c r="J216" s="125">
        <f t="shared" si="32"/>
        <v>105380</v>
      </c>
      <c r="K216" s="95"/>
      <c r="L216" s="100"/>
    </row>
    <row r="217" spans="2:12">
      <c r="B217" s="118">
        <f t="shared" si="34"/>
        <v>18</v>
      </c>
      <c r="C217" s="119">
        <f t="shared" si="33"/>
        <v>212</v>
      </c>
      <c r="D217" s="120">
        <f t="shared" si="30"/>
        <v>0.72</v>
      </c>
      <c r="E217" s="121">
        <f t="shared" si="27"/>
        <v>0</v>
      </c>
      <c r="F217" s="121">
        <f>SUM($E$6:E217)</f>
        <v>346500</v>
      </c>
      <c r="G217" s="143">
        <f t="shared" si="28"/>
        <v>47080</v>
      </c>
      <c r="H217" s="120">
        <f t="shared" si="31"/>
        <v>0.5</v>
      </c>
      <c r="I217" s="121">
        <f t="shared" si="29"/>
        <v>56100</v>
      </c>
      <c r="J217" s="121">
        <f t="shared" si="32"/>
        <v>103180</v>
      </c>
      <c r="K217" s="95"/>
      <c r="L217" s="100"/>
    </row>
    <row r="218" spans="2:12">
      <c r="B218" s="124">
        <f t="shared" si="34"/>
        <v>18</v>
      </c>
      <c r="C218" s="122">
        <f t="shared" si="33"/>
        <v>213</v>
      </c>
      <c r="D218" s="123">
        <f t="shared" si="30"/>
        <v>0.72</v>
      </c>
      <c r="E218" s="125">
        <f t="shared" si="27"/>
        <v>0</v>
      </c>
      <c r="F218" s="125">
        <f>SUM($E$6:E218)</f>
        <v>346500</v>
      </c>
      <c r="G218" s="144">
        <f t="shared" si="28"/>
        <v>44880</v>
      </c>
      <c r="H218" s="123">
        <f t="shared" si="31"/>
        <v>0.5</v>
      </c>
      <c r="I218" s="125">
        <f t="shared" si="29"/>
        <v>56100</v>
      </c>
      <c r="J218" s="125">
        <f t="shared" si="32"/>
        <v>100980</v>
      </c>
      <c r="K218" s="95"/>
      <c r="L218" s="100"/>
    </row>
    <row r="219" spans="2:12">
      <c r="B219" s="118">
        <f t="shared" si="34"/>
        <v>18</v>
      </c>
      <c r="C219" s="119">
        <f t="shared" si="33"/>
        <v>214</v>
      </c>
      <c r="D219" s="120">
        <f t="shared" si="30"/>
        <v>0.72</v>
      </c>
      <c r="E219" s="121">
        <f t="shared" si="27"/>
        <v>0</v>
      </c>
      <c r="F219" s="121">
        <f>SUM($E$6:E219)</f>
        <v>346500</v>
      </c>
      <c r="G219" s="143">
        <f t="shared" si="28"/>
        <v>42680</v>
      </c>
      <c r="H219" s="120">
        <f t="shared" si="31"/>
        <v>0.5</v>
      </c>
      <c r="I219" s="121">
        <f t="shared" si="29"/>
        <v>56100</v>
      </c>
      <c r="J219" s="121">
        <f t="shared" si="32"/>
        <v>98780</v>
      </c>
      <c r="K219" s="95"/>
      <c r="L219" s="100"/>
    </row>
    <row r="220" spans="2:12">
      <c r="B220" s="124">
        <f t="shared" si="34"/>
        <v>18</v>
      </c>
      <c r="C220" s="122">
        <f t="shared" si="33"/>
        <v>215</v>
      </c>
      <c r="D220" s="123">
        <f t="shared" si="30"/>
        <v>0.72</v>
      </c>
      <c r="E220" s="125">
        <f t="shared" si="27"/>
        <v>0</v>
      </c>
      <c r="F220" s="125">
        <f>SUM($E$6:E220)</f>
        <v>346500</v>
      </c>
      <c r="G220" s="144">
        <f t="shared" si="28"/>
        <v>40480</v>
      </c>
      <c r="H220" s="123">
        <f t="shared" si="31"/>
        <v>0.5</v>
      </c>
      <c r="I220" s="125">
        <f t="shared" si="29"/>
        <v>56100</v>
      </c>
      <c r="J220" s="125">
        <f t="shared" si="32"/>
        <v>96580</v>
      </c>
      <c r="K220" s="95"/>
      <c r="L220" s="100"/>
    </row>
    <row r="221" spans="2:12">
      <c r="B221" s="118">
        <f t="shared" si="34"/>
        <v>18</v>
      </c>
      <c r="C221" s="119">
        <f t="shared" si="33"/>
        <v>216</v>
      </c>
      <c r="D221" s="120">
        <f t="shared" si="30"/>
        <v>0.72</v>
      </c>
      <c r="E221" s="121">
        <f t="shared" si="27"/>
        <v>0</v>
      </c>
      <c r="F221" s="121">
        <f>SUM($E$6:E221)</f>
        <v>346500</v>
      </c>
      <c r="G221" s="143">
        <f t="shared" si="28"/>
        <v>38280</v>
      </c>
      <c r="H221" s="120">
        <f t="shared" si="31"/>
        <v>0.5</v>
      </c>
      <c r="I221" s="121">
        <f t="shared" si="29"/>
        <v>56100</v>
      </c>
      <c r="J221" s="121">
        <f t="shared" si="32"/>
        <v>94380</v>
      </c>
      <c r="K221" s="95"/>
      <c r="L221" s="100"/>
    </row>
    <row r="222" spans="2:12">
      <c r="B222" s="124">
        <f t="shared" si="34"/>
        <v>19</v>
      </c>
      <c r="C222" s="122">
        <f t="shared" si="33"/>
        <v>217</v>
      </c>
      <c r="D222" s="123">
        <f t="shared" si="30"/>
        <v>0.74</v>
      </c>
      <c r="E222" s="125">
        <f t="shared" si="27"/>
        <v>0</v>
      </c>
      <c r="F222" s="125">
        <f>SUM($E$6:E222)</f>
        <v>346500</v>
      </c>
      <c r="G222" s="144">
        <f t="shared" si="28"/>
        <v>43010</v>
      </c>
      <c r="H222" s="123">
        <f t="shared" si="31"/>
        <v>0.55000000000000004</v>
      </c>
      <c r="I222" s="125">
        <f t="shared" si="29"/>
        <v>65340.000000000007</v>
      </c>
      <c r="J222" s="125">
        <f t="shared" si="32"/>
        <v>108350</v>
      </c>
      <c r="K222" s="95"/>
      <c r="L222" s="100"/>
    </row>
    <row r="223" spans="2:12">
      <c r="B223" s="118">
        <f t="shared" si="34"/>
        <v>19</v>
      </c>
      <c r="C223" s="119">
        <f t="shared" si="33"/>
        <v>218</v>
      </c>
      <c r="D223" s="120">
        <f t="shared" si="30"/>
        <v>0.74</v>
      </c>
      <c r="E223" s="121">
        <f t="shared" si="27"/>
        <v>0</v>
      </c>
      <c r="F223" s="121">
        <f>SUM($E$6:E223)</f>
        <v>346500</v>
      </c>
      <c r="G223" s="143">
        <f t="shared" si="28"/>
        <v>40810</v>
      </c>
      <c r="H223" s="120">
        <f t="shared" si="31"/>
        <v>0.55000000000000004</v>
      </c>
      <c r="I223" s="121">
        <f t="shared" si="29"/>
        <v>65340.000000000007</v>
      </c>
      <c r="J223" s="121">
        <f t="shared" si="32"/>
        <v>106150</v>
      </c>
      <c r="K223" s="95"/>
      <c r="L223" s="100"/>
    </row>
    <row r="224" spans="2:12">
      <c r="B224" s="124">
        <f t="shared" si="34"/>
        <v>19</v>
      </c>
      <c r="C224" s="122">
        <f t="shared" si="33"/>
        <v>219</v>
      </c>
      <c r="D224" s="123">
        <f t="shared" si="30"/>
        <v>0.74</v>
      </c>
      <c r="E224" s="125">
        <f t="shared" si="27"/>
        <v>0</v>
      </c>
      <c r="F224" s="125">
        <f>SUM($E$6:E224)</f>
        <v>346500</v>
      </c>
      <c r="G224" s="144">
        <f t="shared" si="28"/>
        <v>38610</v>
      </c>
      <c r="H224" s="123">
        <f t="shared" si="31"/>
        <v>0.55000000000000004</v>
      </c>
      <c r="I224" s="125">
        <f t="shared" si="29"/>
        <v>65340.000000000007</v>
      </c>
      <c r="J224" s="125">
        <f t="shared" si="32"/>
        <v>103950</v>
      </c>
      <c r="K224" s="95"/>
      <c r="L224" s="100"/>
    </row>
    <row r="225" spans="2:12">
      <c r="B225" s="118">
        <f t="shared" si="34"/>
        <v>19</v>
      </c>
      <c r="C225" s="119">
        <f t="shared" si="33"/>
        <v>220</v>
      </c>
      <c r="D225" s="120">
        <f t="shared" si="30"/>
        <v>0.74</v>
      </c>
      <c r="E225" s="121">
        <f t="shared" si="27"/>
        <v>0</v>
      </c>
      <c r="F225" s="121">
        <f>SUM($E$6:E225)</f>
        <v>346500</v>
      </c>
      <c r="G225" s="143">
        <f t="shared" si="28"/>
        <v>36410</v>
      </c>
      <c r="H225" s="120">
        <f t="shared" si="31"/>
        <v>0.55000000000000004</v>
      </c>
      <c r="I225" s="121">
        <f t="shared" si="29"/>
        <v>65340.000000000007</v>
      </c>
      <c r="J225" s="121">
        <f t="shared" si="32"/>
        <v>101750</v>
      </c>
      <c r="K225" s="95"/>
      <c r="L225" s="100"/>
    </row>
    <row r="226" spans="2:12">
      <c r="B226" s="124">
        <f t="shared" si="34"/>
        <v>19</v>
      </c>
      <c r="C226" s="122">
        <f t="shared" si="33"/>
        <v>221</v>
      </c>
      <c r="D226" s="123">
        <f t="shared" si="30"/>
        <v>0.74</v>
      </c>
      <c r="E226" s="125">
        <f t="shared" si="27"/>
        <v>0</v>
      </c>
      <c r="F226" s="125">
        <f>SUM($E$6:E226)</f>
        <v>346500</v>
      </c>
      <c r="G226" s="144">
        <f t="shared" si="28"/>
        <v>34210</v>
      </c>
      <c r="H226" s="123">
        <f t="shared" si="31"/>
        <v>0.55000000000000004</v>
      </c>
      <c r="I226" s="125">
        <f t="shared" si="29"/>
        <v>65340.000000000007</v>
      </c>
      <c r="J226" s="125">
        <f t="shared" si="32"/>
        <v>99550</v>
      </c>
      <c r="K226" s="95"/>
      <c r="L226" s="100"/>
    </row>
    <row r="227" spans="2:12">
      <c r="B227" s="118">
        <f t="shared" si="34"/>
        <v>19</v>
      </c>
      <c r="C227" s="119">
        <f t="shared" si="33"/>
        <v>222</v>
      </c>
      <c r="D227" s="120">
        <f t="shared" si="30"/>
        <v>0.74</v>
      </c>
      <c r="E227" s="121">
        <f t="shared" si="27"/>
        <v>0</v>
      </c>
      <c r="F227" s="121">
        <f>SUM($E$6:E227)</f>
        <v>346500</v>
      </c>
      <c r="G227" s="143">
        <f t="shared" si="28"/>
        <v>32010</v>
      </c>
      <c r="H227" s="120">
        <f t="shared" si="31"/>
        <v>0.55000000000000004</v>
      </c>
      <c r="I227" s="121">
        <f t="shared" si="29"/>
        <v>65340.000000000007</v>
      </c>
      <c r="J227" s="121">
        <f t="shared" si="32"/>
        <v>97350</v>
      </c>
      <c r="K227" s="95"/>
      <c r="L227" s="100"/>
    </row>
    <row r="228" spans="2:12">
      <c r="B228" s="124">
        <f t="shared" si="34"/>
        <v>19</v>
      </c>
      <c r="C228" s="122">
        <f t="shared" si="33"/>
        <v>223</v>
      </c>
      <c r="D228" s="123">
        <f t="shared" si="30"/>
        <v>0.74</v>
      </c>
      <c r="E228" s="125">
        <f t="shared" si="27"/>
        <v>0</v>
      </c>
      <c r="F228" s="125">
        <f>SUM($E$6:E228)</f>
        <v>346500</v>
      </c>
      <c r="G228" s="144">
        <f t="shared" si="28"/>
        <v>29810</v>
      </c>
      <c r="H228" s="123">
        <f t="shared" si="31"/>
        <v>0.55000000000000004</v>
      </c>
      <c r="I228" s="125">
        <f t="shared" si="29"/>
        <v>65340.000000000007</v>
      </c>
      <c r="J228" s="125">
        <f t="shared" si="32"/>
        <v>95150</v>
      </c>
      <c r="K228" s="95"/>
      <c r="L228" s="100"/>
    </row>
    <row r="229" spans="2:12">
      <c r="B229" s="118">
        <f t="shared" si="34"/>
        <v>19</v>
      </c>
      <c r="C229" s="119">
        <f t="shared" si="33"/>
        <v>224</v>
      </c>
      <c r="D229" s="120">
        <f t="shared" si="30"/>
        <v>0.74</v>
      </c>
      <c r="E229" s="121">
        <f t="shared" si="27"/>
        <v>0</v>
      </c>
      <c r="F229" s="121">
        <f>SUM($E$6:E229)</f>
        <v>346500</v>
      </c>
      <c r="G229" s="143">
        <f t="shared" si="28"/>
        <v>27610</v>
      </c>
      <c r="H229" s="120">
        <f t="shared" si="31"/>
        <v>0.55000000000000004</v>
      </c>
      <c r="I229" s="121">
        <f t="shared" si="29"/>
        <v>65340.000000000007</v>
      </c>
      <c r="J229" s="121">
        <f t="shared" si="32"/>
        <v>92950</v>
      </c>
      <c r="K229" s="95"/>
      <c r="L229" s="100"/>
    </row>
    <row r="230" spans="2:12">
      <c r="B230" s="124">
        <f t="shared" si="34"/>
        <v>19</v>
      </c>
      <c r="C230" s="122">
        <f t="shared" si="33"/>
        <v>225</v>
      </c>
      <c r="D230" s="123">
        <f t="shared" si="30"/>
        <v>0.74</v>
      </c>
      <c r="E230" s="125">
        <f t="shared" si="27"/>
        <v>0</v>
      </c>
      <c r="F230" s="125">
        <f>SUM($E$6:E230)</f>
        <v>346500</v>
      </c>
      <c r="G230" s="144">
        <f t="shared" si="28"/>
        <v>25410</v>
      </c>
      <c r="H230" s="123">
        <f t="shared" si="31"/>
        <v>0.55000000000000004</v>
      </c>
      <c r="I230" s="125">
        <f t="shared" si="29"/>
        <v>65340.000000000007</v>
      </c>
      <c r="J230" s="125">
        <f t="shared" si="32"/>
        <v>90750</v>
      </c>
      <c r="K230" s="95"/>
      <c r="L230" s="100"/>
    </row>
    <row r="231" spans="2:12">
      <c r="B231" s="118">
        <f t="shared" si="34"/>
        <v>19</v>
      </c>
      <c r="C231" s="119">
        <f t="shared" si="33"/>
        <v>226</v>
      </c>
      <c r="D231" s="120">
        <f t="shared" si="30"/>
        <v>0.74</v>
      </c>
      <c r="E231" s="121">
        <f t="shared" si="27"/>
        <v>0</v>
      </c>
      <c r="F231" s="121">
        <f>SUM($E$6:E231)</f>
        <v>346500</v>
      </c>
      <c r="G231" s="143">
        <f t="shared" si="28"/>
        <v>23210</v>
      </c>
      <c r="H231" s="120">
        <f t="shared" si="31"/>
        <v>0.55000000000000004</v>
      </c>
      <c r="I231" s="121">
        <f t="shared" si="29"/>
        <v>65340.000000000007</v>
      </c>
      <c r="J231" s="121">
        <f t="shared" si="32"/>
        <v>88550</v>
      </c>
      <c r="K231" s="95"/>
      <c r="L231" s="100"/>
    </row>
    <row r="232" spans="2:12">
      <c r="B232" s="124">
        <f t="shared" si="34"/>
        <v>19</v>
      </c>
      <c r="C232" s="122">
        <f t="shared" si="33"/>
        <v>227</v>
      </c>
      <c r="D232" s="123">
        <f t="shared" si="30"/>
        <v>0.74</v>
      </c>
      <c r="E232" s="125">
        <f t="shared" si="27"/>
        <v>0</v>
      </c>
      <c r="F232" s="125">
        <f>SUM($E$6:E232)</f>
        <v>346500</v>
      </c>
      <c r="G232" s="144">
        <f t="shared" si="28"/>
        <v>21010</v>
      </c>
      <c r="H232" s="123">
        <f t="shared" si="31"/>
        <v>0.55000000000000004</v>
      </c>
      <c r="I232" s="125">
        <f t="shared" si="29"/>
        <v>65340.000000000007</v>
      </c>
      <c r="J232" s="125">
        <f t="shared" si="32"/>
        <v>86350</v>
      </c>
      <c r="K232" s="95"/>
      <c r="L232" s="100"/>
    </row>
    <row r="233" spans="2:12">
      <c r="B233" s="118">
        <f t="shared" si="34"/>
        <v>19</v>
      </c>
      <c r="C233" s="119">
        <f t="shared" si="33"/>
        <v>228</v>
      </c>
      <c r="D233" s="120">
        <f t="shared" si="30"/>
        <v>0.74</v>
      </c>
      <c r="E233" s="121">
        <f t="shared" si="27"/>
        <v>0</v>
      </c>
      <c r="F233" s="121">
        <f>SUM($E$6:E233)</f>
        <v>346500</v>
      </c>
      <c r="G233" s="143">
        <f t="shared" si="28"/>
        <v>18810</v>
      </c>
      <c r="H233" s="120">
        <f t="shared" si="31"/>
        <v>0.55000000000000004</v>
      </c>
      <c r="I233" s="121">
        <f t="shared" si="29"/>
        <v>65340.000000000007</v>
      </c>
      <c r="J233" s="121">
        <f t="shared" si="32"/>
        <v>84150</v>
      </c>
      <c r="K233" s="95"/>
      <c r="L233" s="100"/>
    </row>
    <row r="234" spans="2:12">
      <c r="B234" s="124">
        <f t="shared" si="34"/>
        <v>20</v>
      </c>
      <c r="C234" s="122">
        <f t="shared" si="33"/>
        <v>229</v>
      </c>
      <c r="D234" s="123">
        <f t="shared" si="30"/>
        <v>0.76</v>
      </c>
      <c r="E234" s="125">
        <f t="shared" si="27"/>
        <v>0</v>
      </c>
      <c r="F234" s="125">
        <f>SUM($E$6:E234)</f>
        <v>346500</v>
      </c>
      <c r="G234" s="144">
        <f t="shared" si="28"/>
        <v>23540</v>
      </c>
      <c r="H234" s="123">
        <f t="shared" si="31"/>
        <v>0.6</v>
      </c>
      <c r="I234" s="125">
        <f t="shared" si="29"/>
        <v>75240</v>
      </c>
      <c r="J234" s="125">
        <f t="shared" si="32"/>
        <v>98780</v>
      </c>
      <c r="K234" s="95"/>
      <c r="L234" s="100"/>
    </row>
    <row r="235" spans="2:12">
      <c r="B235" s="118">
        <f t="shared" si="34"/>
        <v>20</v>
      </c>
      <c r="C235" s="119">
        <f t="shared" si="33"/>
        <v>230</v>
      </c>
      <c r="D235" s="120">
        <f t="shared" si="30"/>
        <v>0.76</v>
      </c>
      <c r="E235" s="121">
        <f t="shared" si="27"/>
        <v>0</v>
      </c>
      <c r="F235" s="121">
        <f>SUM($E$6:E235)</f>
        <v>346500</v>
      </c>
      <c r="G235" s="143">
        <f t="shared" si="28"/>
        <v>21340</v>
      </c>
      <c r="H235" s="120">
        <f t="shared" si="31"/>
        <v>0.6</v>
      </c>
      <c r="I235" s="121">
        <f t="shared" si="29"/>
        <v>75240</v>
      </c>
      <c r="J235" s="121">
        <f t="shared" si="32"/>
        <v>96580</v>
      </c>
      <c r="K235" s="95"/>
      <c r="L235" s="100"/>
    </row>
    <row r="236" spans="2:12">
      <c r="B236" s="124">
        <f t="shared" si="34"/>
        <v>20</v>
      </c>
      <c r="C236" s="122">
        <f t="shared" si="33"/>
        <v>231</v>
      </c>
      <c r="D236" s="123">
        <f t="shared" si="30"/>
        <v>0.76</v>
      </c>
      <c r="E236" s="125">
        <f t="shared" si="27"/>
        <v>0</v>
      </c>
      <c r="F236" s="125">
        <f>SUM($E$6:E236)</f>
        <v>346500</v>
      </c>
      <c r="G236" s="144">
        <f t="shared" si="28"/>
        <v>19140</v>
      </c>
      <c r="H236" s="123">
        <f t="shared" si="31"/>
        <v>0.6</v>
      </c>
      <c r="I236" s="125">
        <f t="shared" si="29"/>
        <v>75240</v>
      </c>
      <c r="J236" s="125">
        <f t="shared" si="32"/>
        <v>94380</v>
      </c>
      <c r="K236" s="95"/>
      <c r="L236" s="100"/>
    </row>
    <row r="237" spans="2:12">
      <c r="B237" s="118">
        <f t="shared" si="34"/>
        <v>20</v>
      </c>
      <c r="C237" s="119">
        <f t="shared" si="33"/>
        <v>232</v>
      </c>
      <c r="D237" s="120">
        <f t="shared" si="30"/>
        <v>0.76</v>
      </c>
      <c r="E237" s="121">
        <f t="shared" si="27"/>
        <v>0</v>
      </c>
      <c r="F237" s="121">
        <f>SUM($E$6:E237)</f>
        <v>346500</v>
      </c>
      <c r="G237" s="143">
        <f t="shared" si="28"/>
        <v>16940</v>
      </c>
      <c r="H237" s="120">
        <f t="shared" si="31"/>
        <v>0.6</v>
      </c>
      <c r="I237" s="121">
        <f t="shared" si="29"/>
        <v>75240</v>
      </c>
      <c r="J237" s="121">
        <f t="shared" si="32"/>
        <v>92180</v>
      </c>
      <c r="K237" s="95"/>
      <c r="L237" s="100"/>
    </row>
    <row r="238" spans="2:12">
      <c r="B238" s="124">
        <f t="shared" si="34"/>
        <v>20</v>
      </c>
      <c r="C238" s="122">
        <f t="shared" si="33"/>
        <v>233</v>
      </c>
      <c r="D238" s="123">
        <f t="shared" si="30"/>
        <v>0.76</v>
      </c>
      <c r="E238" s="125">
        <f t="shared" si="27"/>
        <v>0</v>
      </c>
      <c r="F238" s="125">
        <f>SUM($E$6:E238)</f>
        <v>346500</v>
      </c>
      <c r="G238" s="144">
        <f t="shared" si="28"/>
        <v>14740</v>
      </c>
      <c r="H238" s="123">
        <f t="shared" si="31"/>
        <v>0.6</v>
      </c>
      <c r="I238" s="125">
        <f t="shared" si="29"/>
        <v>75240</v>
      </c>
      <c r="J238" s="125">
        <f t="shared" si="32"/>
        <v>89980</v>
      </c>
      <c r="K238" s="95"/>
      <c r="L238" s="100"/>
    </row>
    <row r="239" spans="2:12">
      <c r="B239" s="118">
        <f t="shared" si="34"/>
        <v>20</v>
      </c>
      <c r="C239" s="119">
        <f t="shared" si="33"/>
        <v>234</v>
      </c>
      <c r="D239" s="120">
        <f t="shared" si="30"/>
        <v>0.76</v>
      </c>
      <c r="E239" s="121">
        <f t="shared" si="27"/>
        <v>0</v>
      </c>
      <c r="F239" s="121">
        <f>SUM($E$6:E239)</f>
        <v>346500</v>
      </c>
      <c r="G239" s="143">
        <f t="shared" si="28"/>
        <v>12540</v>
      </c>
      <c r="H239" s="120">
        <f t="shared" si="31"/>
        <v>0.6</v>
      </c>
      <c r="I239" s="121">
        <f t="shared" si="29"/>
        <v>75240</v>
      </c>
      <c r="J239" s="121">
        <f t="shared" si="32"/>
        <v>87780</v>
      </c>
      <c r="K239" s="95"/>
      <c r="L239" s="100"/>
    </row>
    <row r="240" spans="2:12">
      <c r="B240" s="124">
        <f t="shared" si="34"/>
        <v>20</v>
      </c>
      <c r="C240" s="122">
        <f t="shared" si="33"/>
        <v>235</v>
      </c>
      <c r="D240" s="123">
        <f t="shared" si="30"/>
        <v>0.76</v>
      </c>
      <c r="E240" s="125">
        <f t="shared" si="27"/>
        <v>0</v>
      </c>
      <c r="F240" s="125">
        <f>SUM($E$6:E240)</f>
        <v>346500</v>
      </c>
      <c r="G240" s="144">
        <f t="shared" si="28"/>
        <v>10340</v>
      </c>
      <c r="H240" s="123">
        <f t="shared" si="31"/>
        <v>0.6</v>
      </c>
      <c r="I240" s="125">
        <f t="shared" si="29"/>
        <v>75240</v>
      </c>
      <c r="J240" s="125">
        <f t="shared" si="32"/>
        <v>85580</v>
      </c>
      <c r="K240" s="95"/>
      <c r="L240" s="100"/>
    </row>
    <row r="241" spans="2:12">
      <c r="B241" s="118">
        <f t="shared" si="34"/>
        <v>20</v>
      </c>
      <c r="C241" s="119">
        <f t="shared" si="33"/>
        <v>236</v>
      </c>
      <c r="D241" s="120">
        <f t="shared" si="30"/>
        <v>0.76</v>
      </c>
      <c r="E241" s="121">
        <f t="shared" si="27"/>
        <v>0</v>
      </c>
      <c r="F241" s="121">
        <f>SUM($E$6:E241)</f>
        <v>346500</v>
      </c>
      <c r="G241" s="143">
        <f t="shared" si="28"/>
        <v>8140</v>
      </c>
      <c r="H241" s="120">
        <f t="shared" si="31"/>
        <v>0.6</v>
      </c>
      <c r="I241" s="121">
        <f t="shared" si="29"/>
        <v>75240</v>
      </c>
      <c r="J241" s="121">
        <f t="shared" si="32"/>
        <v>83380</v>
      </c>
      <c r="K241" s="95"/>
      <c r="L241" s="100"/>
    </row>
    <row r="242" spans="2:12">
      <c r="B242" s="124">
        <f t="shared" si="34"/>
        <v>20</v>
      </c>
      <c r="C242" s="122">
        <f t="shared" si="33"/>
        <v>237</v>
      </c>
      <c r="D242" s="123">
        <f t="shared" si="30"/>
        <v>0.76</v>
      </c>
      <c r="E242" s="125">
        <f t="shared" si="27"/>
        <v>0</v>
      </c>
      <c r="F242" s="125">
        <f>SUM($E$6:E242)</f>
        <v>346500</v>
      </c>
      <c r="G242" s="144">
        <f t="shared" si="28"/>
        <v>5940</v>
      </c>
      <c r="H242" s="123">
        <f t="shared" si="31"/>
        <v>0.6</v>
      </c>
      <c r="I242" s="125">
        <f t="shared" si="29"/>
        <v>75240</v>
      </c>
      <c r="J242" s="125">
        <f t="shared" si="32"/>
        <v>81180</v>
      </c>
      <c r="K242" s="95"/>
      <c r="L242" s="100"/>
    </row>
    <row r="243" spans="2:12">
      <c r="B243" s="118">
        <f t="shared" si="34"/>
        <v>20</v>
      </c>
      <c r="C243" s="119">
        <f t="shared" si="33"/>
        <v>238</v>
      </c>
      <c r="D243" s="120">
        <f t="shared" si="30"/>
        <v>0.76</v>
      </c>
      <c r="E243" s="121">
        <f t="shared" si="27"/>
        <v>0</v>
      </c>
      <c r="F243" s="121">
        <f>SUM($E$6:E243)</f>
        <v>346500</v>
      </c>
      <c r="G243" s="143">
        <f t="shared" si="28"/>
        <v>3740</v>
      </c>
      <c r="H243" s="120">
        <f t="shared" si="31"/>
        <v>0.6</v>
      </c>
      <c r="I243" s="121">
        <f t="shared" si="29"/>
        <v>75240</v>
      </c>
      <c r="J243" s="121">
        <f t="shared" si="32"/>
        <v>78980</v>
      </c>
      <c r="K243" s="95"/>
      <c r="L243" s="100"/>
    </row>
    <row r="244" spans="2:12">
      <c r="B244" s="124">
        <f t="shared" si="34"/>
        <v>20</v>
      </c>
      <c r="C244" s="122">
        <f t="shared" si="33"/>
        <v>239</v>
      </c>
      <c r="D244" s="123">
        <f t="shared" si="30"/>
        <v>0.76</v>
      </c>
      <c r="E244" s="125">
        <f t="shared" si="27"/>
        <v>0</v>
      </c>
      <c r="F244" s="125">
        <f>SUM($E$6:E244)</f>
        <v>346500</v>
      </c>
      <c r="G244" s="144">
        <f t="shared" si="28"/>
        <v>1540</v>
      </c>
      <c r="H244" s="123">
        <f t="shared" si="31"/>
        <v>0.6</v>
      </c>
      <c r="I244" s="125">
        <f t="shared" si="29"/>
        <v>75240</v>
      </c>
      <c r="J244" s="125">
        <f t="shared" si="32"/>
        <v>76780</v>
      </c>
      <c r="K244" s="95"/>
      <c r="L244" s="100"/>
    </row>
    <row r="245" spans="2:12">
      <c r="B245" s="118">
        <f t="shared" si="34"/>
        <v>20</v>
      </c>
      <c r="C245" s="119">
        <f t="shared" si="33"/>
        <v>240</v>
      </c>
      <c r="D245" s="120">
        <f t="shared" si="30"/>
        <v>0.76</v>
      </c>
      <c r="E245" s="121">
        <f t="shared" si="27"/>
        <v>0</v>
      </c>
      <c r="F245" s="121">
        <f>SUM($E$6:E245)</f>
        <v>346500</v>
      </c>
      <c r="G245" s="143">
        <f t="shared" si="28"/>
        <v>0</v>
      </c>
      <c r="H245" s="120">
        <f t="shared" si="31"/>
        <v>0.6</v>
      </c>
      <c r="I245" s="121">
        <f t="shared" si="29"/>
        <v>75240</v>
      </c>
      <c r="J245" s="121">
        <f t="shared" si="32"/>
        <v>75240</v>
      </c>
      <c r="K245" s="95"/>
      <c r="L245" s="100"/>
    </row>
    <row r="246" spans="2:12">
      <c r="B246" s="124">
        <f t="shared" si="34"/>
        <v>21</v>
      </c>
      <c r="C246" s="122">
        <f t="shared" si="33"/>
        <v>241</v>
      </c>
      <c r="D246" s="123">
        <f t="shared" si="30"/>
        <v>0.78</v>
      </c>
      <c r="E246" s="125">
        <f t="shared" si="27"/>
        <v>0</v>
      </c>
      <c r="F246" s="125">
        <f>SUM($E$6:E246)</f>
        <v>346500</v>
      </c>
      <c r="G246" s="144">
        <f t="shared" si="28"/>
        <v>4070</v>
      </c>
      <c r="H246" s="123">
        <f t="shared" si="31"/>
        <v>0.65</v>
      </c>
      <c r="I246" s="125">
        <f t="shared" si="29"/>
        <v>85800</v>
      </c>
      <c r="J246" s="125">
        <f t="shared" si="32"/>
        <v>89870</v>
      </c>
      <c r="K246" s="95"/>
      <c r="L246" s="100"/>
    </row>
    <row r="247" spans="2:12">
      <c r="B247" s="118">
        <f t="shared" si="34"/>
        <v>21</v>
      </c>
      <c r="C247" s="119">
        <f t="shared" si="33"/>
        <v>242</v>
      </c>
      <c r="D247" s="120">
        <f t="shared" si="30"/>
        <v>0.78</v>
      </c>
      <c r="E247" s="121">
        <f t="shared" si="27"/>
        <v>0</v>
      </c>
      <c r="F247" s="121">
        <f>SUM($E$6:E247)</f>
        <v>346500</v>
      </c>
      <c r="G247" s="143">
        <f t="shared" si="28"/>
        <v>1870</v>
      </c>
      <c r="H247" s="120">
        <f t="shared" si="31"/>
        <v>0.65</v>
      </c>
      <c r="I247" s="121">
        <f t="shared" si="29"/>
        <v>85800</v>
      </c>
      <c r="J247" s="121">
        <f t="shared" si="32"/>
        <v>87670</v>
      </c>
      <c r="K247" s="95"/>
      <c r="L247" s="100"/>
    </row>
    <row r="248" spans="2:12">
      <c r="B248" s="124">
        <f t="shared" si="34"/>
        <v>21</v>
      </c>
      <c r="C248" s="122">
        <f t="shared" si="33"/>
        <v>243</v>
      </c>
      <c r="D248" s="123">
        <f t="shared" si="30"/>
        <v>0.78</v>
      </c>
      <c r="E248" s="125">
        <f t="shared" si="27"/>
        <v>0</v>
      </c>
      <c r="F248" s="125">
        <f>SUM($E$6:E248)</f>
        <v>346500</v>
      </c>
      <c r="G248" s="144">
        <f t="shared" si="28"/>
        <v>0</v>
      </c>
      <c r="H248" s="123">
        <f t="shared" si="31"/>
        <v>0.65</v>
      </c>
      <c r="I248" s="125">
        <f t="shared" si="29"/>
        <v>85800</v>
      </c>
      <c r="J248" s="125">
        <f t="shared" si="32"/>
        <v>85800</v>
      </c>
      <c r="K248" s="95"/>
      <c r="L248" s="100"/>
    </row>
    <row r="249" spans="2:12">
      <c r="B249" s="118">
        <f t="shared" si="34"/>
        <v>21</v>
      </c>
      <c r="C249" s="119">
        <f t="shared" si="33"/>
        <v>244</v>
      </c>
      <c r="D249" s="120">
        <f t="shared" si="30"/>
        <v>0.78</v>
      </c>
      <c r="E249" s="121">
        <f t="shared" si="27"/>
        <v>0</v>
      </c>
      <c r="F249" s="121">
        <f>SUM($E$6:E249)</f>
        <v>346500</v>
      </c>
      <c r="G249" s="143">
        <f t="shared" si="28"/>
        <v>0</v>
      </c>
      <c r="H249" s="120">
        <f t="shared" si="31"/>
        <v>0.65</v>
      </c>
      <c r="I249" s="121">
        <f t="shared" si="29"/>
        <v>85800</v>
      </c>
      <c r="J249" s="121">
        <f t="shared" si="32"/>
        <v>85800</v>
      </c>
      <c r="K249" s="95"/>
      <c r="L249" s="100"/>
    </row>
    <row r="250" spans="2:12">
      <c r="B250" s="124">
        <f t="shared" si="34"/>
        <v>21</v>
      </c>
      <c r="C250" s="122">
        <f t="shared" si="33"/>
        <v>245</v>
      </c>
      <c r="D250" s="123">
        <f t="shared" si="30"/>
        <v>0.78</v>
      </c>
      <c r="E250" s="125">
        <f t="shared" si="27"/>
        <v>0</v>
      </c>
      <c r="F250" s="125">
        <f>SUM($E$6:E250)</f>
        <v>346500</v>
      </c>
      <c r="G250" s="144">
        <f t="shared" si="28"/>
        <v>0</v>
      </c>
      <c r="H250" s="123">
        <f t="shared" si="31"/>
        <v>0.65</v>
      </c>
      <c r="I250" s="125">
        <f t="shared" si="29"/>
        <v>85800</v>
      </c>
      <c r="J250" s="125">
        <f t="shared" si="32"/>
        <v>85800</v>
      </c>
      <c r="K250" s="95"/>
      <c r="L250" s="100"/>
    </row>
    <row r="251" spans="2:12">
      <c r="B251" s="118">
        <f t="shared" si="34"/>
        <v>21</v>
      </c>
      <c r="C251" s="119">
        <f t="shared" si="33"/>
        <v>246</v>
      </c>
      <c r="D251" s="120">
        <f t="shared" si="30"/>
        <v>0.78</v>
      </c>
      <c r="E251" s="121">
        <f t="shared" si="27"/>
        <v>0</v>
      </c>
      <c r="F251" s="121">
        <f>SUM($E$6:E251)</f>
        <v>346500</v>
      </c>
      <c r="G251" s="143">
        <f t="shared" si="28"/>
        <v>0</v>
      </c>
      <c r="H251" s="120">
        <f t="shared" si="31"/>
        <v>0.65</v>
      </c>
      <c r="I251" s="121">
        <f t="shared" si="29"/>
        <v>85800</v>
      </c>
      <c r="J251" s="121">
        <f t="shared" si="32"/>
        <v>85800</v>
      </c>
      <c r="K251" s="95"/>
      <c r="L251" s="100"/>
    </row>
    <row r="252" spans="2:12">
      <c r="B252" s="124">
        <f t="shared" si="34"/>
        <v>21</v>
      </c>
      <c r="C252" s="122">
        <f t="shared" si="33"/>
        <v>247</v>
      </c>
      <c r="D252" s="123">
        <f t="shared" si="30"/>
        <v>0.78</v>
      </c>
      <c r="E252" s="125">
        <f t="shared" si="27"/>
        <v>0</v>
      </c>
      <c r="F252" s="125">
        <f>SUM($E$6:E252)</f>
        <v>346500</v>
      </c>
      <c r="G252" s="144">
        <f t="shared" si="28"/>
        <v>0</v>
      </c>
      <c r="H252" s="123">
        <f t="shared" si="31"/>
        <v>0.65</v>
      </c>
      <c r="I252" s="125">
        <f t="shared" si="29"/>
        <v>85800</v>
      </c>
      <c r="J252" s="125">
        <f t="shared" si="32"/>
        <v>85800</v>
      </c>
      <c r="K252" s="95"/>
      <c r="L252" s="100"/>
    </row>
    <row r="253" spans="2:12">
      <c r="B253" s="118">
        <f t="shared" si="34"/>
        <v>21</v>
      </c>
      <c r="C253" s="119">
        <f t="shared" si="33"/>
        <v>248</v>
      </c>
      <c r="D253" s="120">
        <f t="shared" si="30"/>
        <v>0.78</v>
      </c>
      <c r="E253" s="121">
        <f t="shared" si="27"/>
        <v>0</v>
      </c>
      <c r="F253" s="121">
        <f>SUM($E$6:E253)</f>
        <v>346500</v>
      </c>
      <c r="G253" s="143">
        <f t="shared" si="28"/>
        <v>0</v>
      </c>
      <c r="H253" s="120">
        <f t="shared" si="31"/>
        <v>0.65</v>
      </c>
      <c r="I253" s="121">
        <f t="shared" si="29"/>
        <v>85800</v>
      </c>
      <c r="J253" s="121">
        <f t="shared" si="32"/>
        <v>85800</v>
      </c>
      <c r="K253" s="95"/>
      <c r="L253" s="100"/>
    </row>
    <row r="254" spans="2:12">
      <c r="B254" s="124">
        <f t="shared" si="34"/>
        <v>21</v>
      </c>
      <c r="C254" s="122">
        <f t="shared" si="33"/>
        <v>249</v>
      </c>
      <c r="D254" s="123">
        <f t="shared" si="30"/>
        <v>0.78</v>
      </c>
      <c r="E254" s="125">
        <f t="shared" si="27"/>
        <v>0</v>
      </c>
      <c r="F254" s="125">
        <f>SUM($E$6:E254)</f>
        <v>346500</v>
      </c>
      <c r="G254" s="144">
        <f t="shared" si="28"/>
        <v>0</v>
      </c>
      <c r="H254" s="123">
        <f t="shared" si="31"/>
        <v>0.65</v>
      </c>
      <c r="I254" s="125">
        <f t="shared" si="29"/>
        <v>85800</v>
      </c>
      <c r="J254" s="125">
        <f t="shared" si="32"/>
        <v>85800</v>
      </c>
      <c r="K254" s="95"/>
      <c r="L254" s="100"/>
    </row>
    <row r="255" spans="2:12">
      <c r="B255" s="118">
        <f t="shared" si="34"/>
        <v>21</v>
      </c>
      <c r="C255" s="119">
        <f t="shared" si="33"/>
        <v>250</v>
      </c>
      <c r="D255" s="120">
        <f t="shared" si="30"/>
        <v>0.78</v>
      </c>
      <c r="E255" s="121">
        <f t="shared" si="27"/>
        <v>0</v>
      </c>
      <c r="F255" s="121">
        <f>SUM($E$6:E255)</f>
        <v>346500</v>
      </c>
      <c r="G255" s="143">
        <f t="shared" si="28"/>
        <v>0</v>
      </c>
      <c r="H255" s="120">
        <f t="shared" si="31"/>
        <v>0.65</v>
      </c>
      <c r="I255" s="121">
        <f t="shared" si="29"/>
        <v>85800</v>
      </c>
      <c r="J255" s="121">
        <f t="shared" si="32"/>
        <v>85800</v>
      </c>
      <c r="K255" s="95"/>
      <c r="L255" s="100"/>
    </row>
    <row r="256" spans="2:12">
      <c r="B256" s="124">
        <f t="shared" si="34"/>
        <v>21</v>
      </c>
      <c r="C256" s="122">
        <f t="shared" si="33"/>
        <v>251</v>
      </c>
      <c r="D256" s="123">
        <f t="shared" si="30"/>
        <v>0.78</v>
      </c>
      <c r="E256" s="125">
        <f t="shared" si="27"/>
        <v>0</v>
      </c>
      <c r="F256" s="125">
        <f>SUM($E$6:E256)</f>
        <v>346500</v>
      </c>
      <c r="G256" s="144">
        <f t="shared" si="28"/>
        <v>0</v>
      </c>
      <c r="H256" s="123">
        <f t="shared" si="31"/>
        <v>0.65</v>
      </c>
      <c r="I256" s="125">
        <f t="shared" si="29"/>
        <v>85800</v>
      </c>
      <c r="J256" s="125">
        <f t="shared" si="32"/>
        <v>85800</v>
      </c>
      <c r="K256" s="95"/>
      <c r="L256" s="100"/>
    </row>
    <row r="257" spans="2:12">
      <c r="B257" s="118">
        <f t="shared" si="34"/>
        <v>21</v>
      </c>
      <c r="C257" s="119">
        <f t="shared" si="33"/>
        <v>252</v>
      </c>
      <c r="D257" s="120">
        <f t="shared" si="30"/>
        <v>0.78</v>
      </c>
      <c r="E257" s="121">
        <f t="shared" si="27"/>
        <v>0</v>
      </c>
      <c r="F257" s="121">
        <f>SUM($E$6:E257)</f>
        <v>346500</v>
      </c>
      <c r="G257" s="143">
        <f t="shared" si="28"/>
        <v>0</v>
      </c>
      <c r="H257" s="120">
        <f t="shared" si="31"/>
        <v>0.65</v>
      </c>
      <c r="I257" s="121">
        <f t="shared" si="29"/>
        <v>85800</v>
      </c>
      <c r="J257" s="121">
        <f t="shared" si="32"/>
        <v>85800</v>
      </c>
      <c r="K257" s="95"/>
      <c r="L257" s="100"/>
    </row>
    <row r="258" spans="2:12">
      <c r="B258" s="124">
        <f t="shared" si="34"/>
        <v>22</v>
      </c>
      <c r="C258" s="122">
        <f t="shared" si="33"/>
        <v>253</v>
      </c>
      <c r="D258" s="123">
        <f t="shared" si="30"/>
        <v>0.8</v>
      </c>
      <c r="E258" s="125">
        <f t="shared" si="27"/>
        <v>0</v>
      </c>
      <c r="F258" s="125">
        <f>SUM($E$6:E258)</f>
        <v>346500</v>
      </c>
      <c r="G258" s="144">
        <f t="shared" si="28"/>
        <v>0</v>
      </c>
      <c r="H258" s="123">
        <f t="shared" si="31"/>
        <v>0.71</v>
      </c>
      <c r="I258" s="125">
        <f t="shared" si="29"/>
        <v>98406</v>
      </c>
      <c r="J258" s="125">
        <f t="shared" si="32"/>
        <v>98406</v>
      </c>
      <c r="K258" s="95"/>
      <c r="L258" s="100"/>
    </row>
    <row r="259" spans="2:12">
      <c r="B259" s="118">
        <f t="shared" si="34"/>
        <v>22</v>
      </c>
      <c r="C259" s="119">
        <f t="shared" si="33"/>
        <v>254</v>
      </c>
      <c r="D259" s="120">
        <f t="shared" si="30"/>
        <v>0.8</v>
      </c>
      <c r="E259" s="121">
        <f t="shared" si="27"/>
        <v>0</v>
      </c>
      <c r="F259" s="121">
        <f>SUM($E$6:E259)</f>
        <v>346500</v>
      </c>
      <c r="G259" s="143">
        <f t="shared" si="28"/>
        <v>0</v>
      </c>
      <c r="H259" s="120">
        <f t="shared" si="31"/>
        <v>0.71</v>
      </c>
      <c r="I259" s="121">
        <f t="shared" si="29"/>
        <v>98406</v>
      </c>
      <c r="J259" s="121">
        <f t="shared" si="32"/>
        <v>98406</v>
      </c>
      <c r="K259" s="95"/>
      <c r="L259" s="100"/>
    </row>
    <row r="260" spans="2:12">
      <c r="B260" s="124">
        <f t="shared" si="34"/>
        <v>22</v>
      </c>
      <c r="C260" s="122">
        <f t="shared" si="33"/>
        <v>255</v>
      </c>
      <c r="D260" s="123">
        <f t="shared" si="30"/>
        <v>0.8</v>
      </c>
      <c r="E260" s="125">
        <f t="shared" si="27"/>
        <v>0</v>
      </c>
      <c r="F260" s="125">
        <f>SUM($E$6:E260)</f>
        <v>346500</v>
      </c>
      <c r="G260" s="144">
        <f t="shared" si="28"/>
        <v>0</v>
      </c>
      <c r="H260" s="123">
        <f t="shared" si="31"/>
        <v>0.71</v>
      </c>
      <c r="I260" s="125">
        <f t="shared" si="29"/>
        <v>98406</v>
      </c>
      <c r="J260" s="125">
        <f t="shared" si="32"/>
        <v>98406</v>
      </c>
      <c r="K260" s="95"/>
      <c r="L260" s="100"/>
    </row>
    <row r="261" spans="2:12">
      <c r="B261" s="118">
        <f t="shared" si="34"/>
        <v>22</v>
      </c>
      <c r="C261" s="119">
        <f t="shared" si="33"/>
        <v>256</v>
      </c>
      <c r="D261" s="120">
        <f t="shared" si="30"/>
        <v>0.8</v>
      </c>
      <c r="E261" s="121">
        <f t="shared" si="27"/>
        <v>0</v>
      </c>
      <c r="F261" s="121">
        <f>SUM($E$6:E261)</f>
        <v>346500</v>
      </c>
      <c r="G261" s="143">
        <f t="shared" si="28"/>
        <v>0</v>
      </c>
      <c r="H261" s="120">
        <f t="shared" si="31"/>
        <v>0.71</v>
      </c>
      <c r="I261" s="121">
        <f t="shared" si="29"/>
        <v>98406</v>
      </c>
      <c r="J261" s="121">
        <f t="shared" si="32"/>
        <v>98406</v>
      </c>
      <c r="K261" s="95"/>
      <c r="L261" s="100"/>
    </row>
    <row r="262" spans="2:12">
      <c r="B262" s="124">
        <f t="shared" si="34"/>
        <v>22</v>
      </c>
      <c r="C262" s="122">
        <f t="shared" si="33"/>
        <v>257</v>
      </c>
      <c r="D262" s="123">
        <f t="shared" si="30"/>
        <v>0.8</v>
      </c>
      <c r="E262" s="125">
        <f t="shared" ref="E262:E305" si="35">(IF(B262=1,Modal_Basic_Prem_Yr1,Modal_Basic_Prem_Yr2)*(Prem_Mode="Monthly") + (Prem_Mode="Annual")*IF(B262=1,Modal_Basic_Prem_Yr1,Modal_Basic_Prem_Yr2)*(MOD(C262-1,12)=0))*(B262&lt;=15)</f>
        <v>0</v>
      </c>
      <c r="F262" s="125">
        <f>SUM($E$6:E262)</f>
        <v>346500</v>
      </c>
      <c r="G262" s="144">
        <f t="shared" ref="G262:G305" si="36">MAX(F262*D262-SA/100*(C262-10*12)*(B262&gt;10),0)</f>
        <v>0</v>
      </c>
      <c r="H262" s="123">
        <f t="shared" si="31"/>
        <v>0.71</v>
      </c>
      <c r="I262" s="125">
        <f t="shared" ref="I262:I305" si="37">VLOOKUP(B262,$P$5:$Q$30,2,0)*SA*(B262-1)*H262</f>
        <v>98406</v>
      </c>
      <c r="J262" s="125">
        <f t="shared" si="32"/>
        <v>98406</v>
      </c>
      <c r="K262" s="95"/>
      <c r="L262" s="100"/>
    </row>
    <row r="263" spans="2:12">
      <c r="B263" s="118">
        <f t="shared" si="34"/>
        <v>22</v>
      </c>
      <c r="C263" s="119">
        <f t="shared" si="33"/>
        <v>258</v>
      </c>
      <c r="D263" s="120">
        <f t="shared" ref="D263:D305" si="38">VLOOKUP(B263,$L$5:$N$30,2,0)</f>
        <v>0.8</v>
      </c>
      <c r="E263" s="121">
        <f t="shared" si="35"/>
        <v>0</v>
      </c>
      <c r="F263" s="121">
        <f>SUM($E$6:E263)</f>
        <v>346500</v>
      </c>
      <c r="G263" s="143">
        <f t="shared" si="36"/>
        <v>0</v>
      </c>
      <c r="H263" s="120">
        <f t="shared" ref="H263:H305" si="39">VLOOKUP(B263,$L$5:$N$30,3,0)</f>
        <v>0.71</v>
      </c>
      <c r="I263" s="121">
        <f t="shared" si="37"/>
        <v>98406</v>
      </c>
      <c r="J263" s="121">
        <f t="shared" ref="J263:J305" si="40">G263+I263</f>
        <v>98406</v>
      </c>
      <c r="K263" s="95"/>
      <c r="L263" s="100"/>
    </row>
    <row r="264" spans="2:12">
      <c r="B264" s="124">
        <f t="shared" si="34"/>
        <v>22</v>
      </c>
      <c r="C264" s="122">
        <f t="shared" ref="C264:C305" si="41">C263+1</f>
        <v>259</v>
      </c>
      <c r="D264" s="123">
        <f t="shared" si="38"/>
        <v>0.8</v>
      </c>
      <c r="E264" s="125">
        <f t="shared" si="35"/>
        <v>0</v>
      </c>
      <c r="F264" s="125">
        <f>SUM($E$6:E264)</f>
        <v>346500</v>
      </c>
      <c r="G264" s="144">
        <f t="shared" si="36"/>
        <v>0</v>
      </c>
      <c r="H264" s="123">
        <f t="shared" si="39"/>
        <v>0.71</v>
      </c>
      <c r="I264" s="125">
        <f t="shared" si="37"/>
        <v>98406</v>
      </c>
      <c r="J264" s="125">
        <f t="shared" si="40"/>
        <v>98406</v>
      </c>
      <c r="K264" s="95"/>
      <c r="L264" s="100"/>
    </row>
    <row r="265" spans="2:12">
      <c r="B265" s="118">
        <f t="shared" si="34"/>
        <v>22</v>
      </c>
      <c r="C265" s="119">
        <f t="shared" si="41"/>
        <v>260</v>
      </c>
      <c r="D265" s="120">
        <f t="shared" si="38"/>
        <v>0.8</v>
      </c>
      <c r="E265" s="121">
        <f t="shared" si="35"/>
        <v>0</v>
      </c>
      <c r="F265" s="121">
        <f>SUM($E$6:E265)</f>
        <v>346500</v>
      </c>
      <c r="G265" s="143">
        <f t="shared" si="36"/>
        <v>0</v>
      </c>
      <c r="H265" s="120">
        <f t="shared" si="39"/>
        <v>0.71</v>
      </c>
      <c r="I265" s="121">
        <f t="shared" si="37"/>
        <v>98406</v>
      </c>
      <c r="J265" s="121">
        <f t="shared" si="40"/>
        <v>98406</v>
      </c>
      <c r="K265" s="95"/>
      <c r="L265" s="100"/>
    </row>
    <row r="266" spans="2:12">
      <c r="B266" s="124">
        <f t="shared" si="34"/>
        <v>22</v>
      </c>
      <c r="C266" s="122">
        <f t="shared" si="41"/>
        <v>261</v>
      </c>
      <c r="D266" s="123">
        <f t="shared" si="38"/>
        <v>0.8</v>
      </c>
      <c r="E266" s="125">
        <f t="shared" si="35"/>
        <v>0</v>
      </c>
      <c r="F266" s="125">
        <f>SUM($E$6:E266)</f>
        <v>346500</v>
      </c>
      <c r="G266" s="144">
        <f t="shared" si="36"/>
        <v>0</v>
      </c>
      <c r="H266" s="123">
        <f t="shared" si="39"/>
        <v>0.71</v>
      </c>
      <c r="I266" s="125">
        <f t="shared" si="37"/>
        <v>98406</v>
      </c>
      <c r="J266" s="125">
        <f t="shared" si="40"/>
        <v>98406</v>
      </c>
      <c r="K266" s="95"/>
      <c r="L266" s="100"/>
    </row>
    <row r="267" spans="2:12">
      <c r="B267" s="118">
        <f t="shared" si="34"/>
        <v>22</v>
      </c>
      <c r="C267" s="119">
        <f t="shared" si="41"/>
        <v>262</v>
      </c>
      <c r="D267" s="120">
        <f t="shared" si="38"/>
        <v>0.8</v>
      </c>
      <c r="E267" s="121">
        <f t="shared" si="35"/>
        <v>0</v>
      </c>
      <c r="F267" s="121">
        <f>SUM($E$6:E267)</f>
        <v>346500</v>
      </c>
      <c r="G267" s="143">
        <f t="shared" si="36"/>
        <v>0</v>
      </c>
      <c r="H267" s="120">
        <f t="shared" si="39"/>
        <v>0.71</v>
      </c>
      <c r="I267" s="121">
        <f t="shared" si="37"/>
        <v>98406</v>
      </c>
      <c r="J267" s="121">
        <f t="shared" si="40"/>
        <v>98406</v>
      </c>
      <c r="K267" s="95"/>
      <c r="L267" s="100"/>
    </row>
    <row r="268" spans="2:12">
      <c r="B268" s="124">
        <f t="shared" si="34"/>
        <v>22</v>
      </c>
      <c r="C268" s="122">
        <f t="shared" si="41"/>
        <v>263</v>
      </c>
      <c r="D268" s="123">
        <f t="shared" si="38"/>
        <v>0.8</v>
      </c>
      <c r="E268" s="125">
        <f t="shared" si="35"/>
        <v>0</v>
      </c>
      <c r="F268" s="125">
        <f>SUM($E$6:E268)</f>
        <v>346500</v>
      </c>
      <c r="G268" s="144">
        <f t="shared" si="36"/>
        <v>0</v>
      </c>
      <c r="H268" s="123">
        <f t="shared" si="39"/>
        <v>0.71</v>
      </c>
      <c r="I268" s="125">
        <f t="shared" si="37"/>
        <v>98406</v>
      </c>
      <c r="J268" s="125">
        <f t="shared" si="40"/>
        <v>98406</v>
      </c>
      <c r="K268" s="95"/>
      <c r="L268" s="100"/>
    </row>
    <row r="269" spans="2:12">
      <c r="B269" s="118">
        <f t="shared" si="34"/>
        <v>22</v>
      </c>
      <c r="C269" s="119">
        <f t="shared" si="41"/>
        <v>264</v>
      </c>
      <c r="D269" s="120">
        <f t="shared" si="38"/>
        <v>0.8</v>
      </c>
      <c r="E269" s="121">
        <f t="shared" si="35"/>
        <v>0</v>
      </c>
      <c r="F269" s="121">
        <f>SUM($E$6:E269)</f>
        <v>346500</v>
      </c>
      <c r="G269" s="143">
        <f t="shared" si="36"/>
        <v>0</v>
      </c>
      <c r="H269" s="120">
        <f t="shared" si="39"/>
        <v>0.71</v>
      </c>
      <c r="I269" s="121">
        <f t="shared" si="37"/>
        <v>98406</v>
      </c>
      <c r="J269" s="121">
        <f t="shared" si="40"/>
        <v>98406</v>
      </c>
      <c r="K269" s="95"/>
      <c r="L269" s="100"/>
    </row>
    <row r="270" spans="2:12">
      <c r="B270" s="124">
        <f t="shared" si="34"/>
        <v>23</v>
      </c>
      <c r="C270" s="122">
        <f t="shared" si="41"/>
        <v>265</v>
      </c>
      <c r="D270" s="123">
        <f t="shared" si="38"/>
        <v>0.82</v>
      </c>
      <c r="E270" s="125">
        <f t="shared" si="35"/>
        <v>0</v>
      </c>
      <c r="F270" s="125">
        <f>SUM($E$6:E270)</f>
        <v>346500</v>
      </c>
      <c r="G270" s="144">
        <f t="shared" si="36"/>
        <v>0</v>
      </c>
      <c r="H270" s="123">
        <f t="shared" si="39"/>
        <v>0.77</v>
      </c>
      <c r="I270" s="125">
        <f t="shared" si="37"/>
        <v>111804</v>
      </c>
      <c r="J270" s="125">
        <f t="shared" si="40"/>
        <v>111804</v>
      </c>
      <c r="K270" s="95"/>
      <c r="L270" s="100"/>
    </row>
    <row r="271" spans="2:12">
      <c r="B271" s="118">
        <f t="shared" si="34"/>
        <v>23</v>
      </c>
      <c r="C271" s="119">
        <f t="shared" si="41"/>
        <v>266</v>
      </c>
      <c r="D271" s="120">
        <f t="shared" si="38"/>
        <v>0.82</v>
      </c>
      <c r="E271" s="121">
        <f t="shared" si="35"/>
        <v>0</v>
      </c>
      <c r="F271" s="121">
        <f>SUM($E$6:E271)</f>
        <v>346500</v>
      </c>
      <c r="G271" s="143">
        <f t="shared" si="36"/>
        <v>0</v>
      </c>
      <c r="H271" s="120">
        <f t="shared" si="39"/>
        <v>0.77</v>
      </c>
      <c r="I271" s="121">
        <f t="shared" si="37"/>
        <v>111804</v>
      </c>
      <c r="J271" s="121">
        <f t="shared" si="40"/>
        <v>111804</v>
      </c>
      <c r="K271" s="95"/>
      <c r="L271" s="100"/>
    </row>
    <row r="272" spans="2:12">
      <c r="B272" s="124">
        <f t="shared" si="34"/>
        <v>23</v>
      </c>
      <c r="C272" s="122">
        <f t="shared" si="41"/>
        <v>267</v>
      </c>
      <c r="D272" s="123">
        <f t="shared" si="38"/>
        <v>0.82</v>
      </c>
      <c r="E272" s="125">
        <f t="shared" si="35"/>
        <v>0</v>
      </c>
      <c r="F272" s="125">
        <f>SUM($E$6:E272)</f>
        <v>346500</v>
      </c>
      <c r="G272" s="144">
        <f t="shared" si="36"/>
        <v>0</v>
      </c>
      <c r="H272" s="123">
        <f t="shared" si="39"/>
        <v>0.77</v>
      </c>
      <c r="I272" s="125">
        <f t="shared" si="37"/>
        <v>111804</v>
      </c>
      <c r="J272" s="125">
        <f t="shared" si="40"/>
        <v>111804</v>
      </c>
      <c r="K272" s="95"/>
      <c r="L272" s="100"/>
    </row>
    <row r="273" spans="2:12">
      <c r="B273" s="118">
        <f t="shared" si="34"/>
        <v>23</v>
      </c>
      <c r="C273" s="119">
        <f t="shared" si="41"/>
        <v>268</v>
      </c>
      <c r="D273" s="120">
        <f t="shared" si="38"/>
        <v>0.82</v>
      </c>
      <c r="E273" s="121">
        <f t="shared" si="35"/>
        <v>0</v>
      </c>
      <c r="F273" s="121">
        <f>SUM($E$6:E273)</f>
        <v>346500</v>
      </c>
      <c r="G273" s="143">
        <f t="shared" si="36"/>
        <v>0</v>
      </c>
      <c r="H273" s="120">
        <f t="shared" si="39"/>
        <v>0.77</v>
      </c>
      <c r="I273" s="121">
        <f t="shared" si="37"/>
        <v>111804</v>
      </c>
      <c r="J273" s="121">
        <f t="shared" si="40"/>
        <v>111804</v>
      </c>
      <c r="K273" s="95"/>
      <c r="L273" s="100"/>
    </row>
    <row r="274" spans="2:12">
      <c r="B274" s="124">
        <f t="shared" si="34"/>
        <v>23</v>
      </c>
      <c r="C274" s="122">
        <f t="shared" si="41"/>
        <v>269</v>
      </c>
      <c r="D274" s="123">
        <f t="shared" si="38"/>
        <v>0.82</v>
      </c>
      <c r="E274" s="125">
        <f t="shared" si="35"/>
        <v>0</v>
      </c>
      <c r="F274" s="125">
        <f>SUM($E$6:E274)</f>
        <v>346500</v>
      </c>
      <c r="G274" s="144">
        <f t="shared" si="36"/>
        <v>0</v>
      </c>
      <c r="H274" s="123">
        <f t="shared" si="39"/>
        <v>0.77</v>
      </c>
      <c r="I274" s="125">
        <f t="shared" si="37"/>
        <v>111804</v>
      </c>
      <c r="J274" s="125">
        <f t="shared" si="40"/>
        <v>111804</v>
      </c>
      <c r="K274" s="95"/>
      <c r="L274" s="100"/>
    </row>
    <row r="275" spans="2:12">
      <c r="B275" s="118">
        <f t="shared" ref="B275:B305" si="42">B263+1</f>
        <v>23</v>
      </c>
      <c r="C275" s="119">
        <f t="shared" si="41"/>
        <v>270</v>
      </c>
      <c r="D275" s="120">
        <f t="shared" si="38"/>
        <v>0.82</v>
      </c>
      <c r="E275" s="121">
        <f t="shared" si="35"/>
        <v>0</v>
      </c>
      <c r="F275" s="121">
        <f>SUM($E$6:E275)</f>
        <v>346500</v>
      </c>
      <c r="G275" s="143">
        <f t="shared" si="36"/>
        <v>0</v>
      </c>
      <c r="H275" s="120">
        <f t="shared" si="39"/>
        <v>0.77</v>
      </c>
      <c r="I275" s="121">
        <f t="shared" si="37"/>
        <v>111804</v>
      </c>
      <c r="J275" s="121">
        <f t="shared" si="40"/>
        <v>111804</v>
      </c>
      <c r="K275" s="95"/>
      <c r="L275" s="100"/>
    </row>
    <row r="276" spans="2:12">
      <c r="B276" s="124">
        <f t="shared" si="42"/>
        <v>23</v>
      </c>
      <c r="C276" s="122">
        <f t="shared" si="41"/>
        <v>271</v>
      </c>
      <c r="D276" s="123">
        <f t="shared" si="38"/>
        <v>0.82</v>
      </c>
      <c r="E276" s="125">
        <f t="shared" si="35"/>
        <v>0</v>
      </c>
      <c r="F276" s="125">
        <f>SUM($E$6:E276)</f>
        <v>346500</v>
      </c>
      <c r="G276" s="144">
        <f t="shared" si="36"/>
        <v>0</v>
      </c>
      <c r="H276" s="123">
        <f t="shared" si="39"/>
        <v>0.77</v>
      </c>
      <c r="I276" s="125">
        <f t="shared" si="37"/>
        <v>111804</v>
      </c>
      <c r="J276" s="125">
        <f t="shared" si="40"/>
        <v>111804</v>
      </c>
      <c r="K276" s="95"/>
      <c r="L276" s="100"/>
    </row>
    <row r="277" spans="2:12">
      <c r="B277" s="118">
        <f t="shared" si="42"/>
        <v>23</v>
      </c>
      <c r="C277" s="119">
        <f t="shared" si="41"/>
        <v>272</v>
      </c>
      <c r="D277" s="120">
        <f t="shared" si="38"/>
        <v>0.82</v>
      </c>
      <c r="E277" s="121">
        <f t="shared" si="35"/>
        <v>0</v>
      </c>
      <c r="F277" s="121">
        <f>SUM($E$6:E277)</f>
        <v>346500</v>
      </c>
      <c r="G277" s="143">
        <f t="shared" si="36"/>
        <v>0</v>
      </c>
      <c r="H277" s="120">
        <f t="shared" si="39"/>
        <v>0.77</v>
      </c>
      <c r="I277" s="121">
        <f t="shared" si="37"/>
        <v>111804</v>
      </c>
      <c r="J277" s="121">
        <f t="shared" si="40"/>
        <v>111804</v>
      </c>
      <c r="K277" s="95"/>
      <c r="L277" s="100"/>
    </row>
    <row r="278" spans="2:12">
      <c r="B278" s="124">
        <f t="shared" si="42"/>
        <v>23</v>
      </c>
      <c r="C278" s="122">
        <f t="shared" si="41"/>
        <v>273</v>
      </c>
      <c r="D278" s="123">
        <f t="shared" si="38"/>
        <v>0.82</v>
      </c>
      <c r="E278" s="125">
        <f t="shared" si="35"/>
        <v>0</v>
      </c>
      <c r="F278" s="125">
        <f>SUM($E$6:E278)</f>
        <v>346500</v>
      </c>
      <c r="G278" s="144">
        <f t="shared" si="36"/>
        <v>0</v>
      </c>
      <c r="H278" s="123">
        <f t="shared" si="39"/>
        <v>0.77</v>
      </c>
      <c r="I278" s="125">
        <f t="shared" si="37"/>
        <v>111804</v>
      </c>
      <c r="J278" s="125">
        <f t="shared" si="40"/>
        <v>111804</v>
      </c>
      <c r="K278" s="95"/>
      <c r="L278" s="100"/>
    </row>
    <row r="279" spans="2:12">
      <c r="B279" s="118">
        <f t="shared" si="42"/>
        <v>23</v>
      </c>
      <c r="C279" s="119">
        <f t="shared" si="41"/>
        <v>274</v>
      </c>
      <c r="D279" s="120">
        <f t="shared" si="38"/>
        <v>0.82</v>
      </c>
      <c r="E279" s="121">
        <f t="shared" si="35"/>
        <v>0</v>
      </c>
      <c r="F279" s="121">
        <f>SUM($E$6:E279)</f>
        <v>346500</v>
      </c>
      <c r="G279" s="143">
        <f t="shared" si="36"/>
        <v>0</v>
      </c>
      <c r="H279" s="120">
        <f t="shared" si="39"/>
        <v>0.77</v>
      </c>
      <c r="I279" s="121">
        <f t="shared" si="37"/>
        <v>111804</v>
      </c>
      <c r="J279" s="121">
        <f t="shared" si="40"/>
        <v>111804</v>
      </c>
      <c r="K279" s="95"/>
      <c r="L279" s="100"/>
    </row>
    <row r="280" spans="2:12">
      <c r="B280" s="124">
        <f t="shared" si="42"/>
        <v>23</v>
      </c>
      <c r="C280" s="122">
        <f t="shared" si="41"/>
        <v>275</v>
      </c>
      <c r="D280" s="123">
        <f t="shared" si="38"/>
        <v>0.82</v>
      </c>
      <c r="E280" s="125">
        <f t="shared" si="35"/>
        <v>0</v>
      </c>
      <c r="F280" s="125">
        <f>SUM($E$6:E280)</f>
        <v>346500</v>
      </c>
      <c r="G280" s="144">
        <f t="shared" si="36"/>
        <v>0</v>
      </c>
      <c r="H280" s="123">
        <f t="shared" si="39"/>
        <v>0.77</v>
      </c>
      <c r="I280" s="125">
        <f t="shared" si="37"/>
        <v>111804</v>
      </c>
      <c r="J280" s="125">
        <f t="shared" si="40"/>
        <v>111804</v>
      </c>
      <c r="K280" s="95"/>
      <c r="L280" s="100"/>
    </row>
    <row r="281" spans="2:12">
      <c r="B281" s="118">
        <f t="shared" si="42"/>
        <v>23</v>
      </c>
      <c r="C281" s="119">
        <f t="shared" si="41"/>
        <v>276</v>
      </c>
      <c r="D281" s="120">
        <f t="shared" si="38"/>
        <v>0.82</v>
      </c>
      <c r="E281" s="121">
        <f t="shared" si="35"/>
        <v>0</v>
      </c>
      <c r="F281" s="121">
        <f>SUM($E$6:E281)</f>
        <v>346500</v>
      </c>
      <c r="G281" s="143">
        <f t="shared" si="36"/>
        <v>0</v>
      </c>
      <c r="H281" s="120">
        <f t="shared" si="39"/>
        <v>0.77</v>
      </c>
      <c r="I281" s="121">
        <f t="shared" si="37"/>
        <v>111804</v>
      </c>
      <c r="J281" s="121">
        <f t="shared" si="40"/>
        <v>111804</v>
      </c>
      <c r="K281" s="95"/>
      <c r="L281" s="100"/>
    </row>
    <row r="282" spans="2:12">
      <c r="B282" s="124">
        <f t="shared" si="42"/>
        <v>24</v>
      </c>
      <c r="C282" s="122">
        <f t="shared" si="41"/>
        <v>277</v>
      </c>
      <c r="D282" s="123">
        <f t="shared" si="38"/>
        <v>0.84</v>
      </c>
      <c r="E282" s="125">
        <f t="shared" si="35"/>
        <v>0</v>
      </c>
      <c r="F282" s="125">
        <f>SUM($E$6:E282)</f>
        <v>346500</v>
      </c>
      <c r="G282" s="144">
        <f t="shared" si="36"/>
        <v>0</v>
      </c>
      <c r="H282" s="123">
        <f t="shared" si="39"/>
        <v>0.84</v>
      </c>
      <c r="I282" s="125">
        <f t="shared" si="37"/>
        <v>127512</v>
      </c>
      <c r="J282" s="125">
        <f t="shared" si="40"/>
        <v>127512</v>
      </c>
      <c r="K282" s="95"/>
      <c r="L282" s="100"/>
    </row>
    <row r="283" spans="2:12">
      <c r="B283" s="118">
        <f t="shared" si="42"/>
        <v>24</v>
      </c>
      <c r="C283" s="119">
        <f t="shared" si="41"/>
        <v>278</v>
      </c>
      <c r="D283" s="120">
        <f t="shared" si="38"/>
        <v>0.84</v>
      </c>
      <c r="E283" s="121">
        <f t="shared" si="35"/>
        <v>0</v>
      </c>
      <c r="F283" s="121">
        <f>SUM($E$6:E283)</f>
        <v>346500</v>
      </c>
      <c r="G283" s="143">
        <f t="shared" si="36"/>
        <v>0</v>
      </c>
      <c r="H283" s="120">
        <f t="shared" si="39"/>
        <v>0.84</v>
      </c>
      <c r="I283" s="121">
        <f t="shared" si="37"/>
        <v>127512</v>
      </c>
      <c r="J283" s="121">
        <f t="shared" si="40"/>
        <v>127512</v>
      </c>
      <c r="K283" s="95"/>
      <c r="L283" s="100"/>
    </row>
    <row r="284" spans="2:12">
      <c r="B284" s="124">
        <f t="shared" si="42"/>
        <v>24</v>
      </c>
      <c r="C284" s="122">
        <f t="shared" si="41"/>
        <v>279</v>
      </c>
      <c r="D284" s="123">
        <f t="shared" si="38"/>
        <v>0.84</v>
      </c>
      <c r="E284" s="125">
        <f t="shared" si="35"/>
        <v>0</v>
      </c>
      <c r="F284" s="125">
        <f>SUM($E$6:E284)</f>
        <v>346500</v>
      </c>
      <c r="G284" s="144">
        <f t="shared" si="36"/>
        <v>0</v>
      </c>
      <c r="H284" s="123">
        <f t="shared" si="39"/>
        <v>0.84</v>
      </c>
      <c r="I284" s="125">
        <f t="shared" si="37"/>
        <v>127512</v>
      </c>
      <c r="J284" s="125">
        <f t="shared" si="40"/>
        <v>127512</v>
      </c>
      <c r="K284" s="95"/>
      <c r="L284" s="100"/>
    </row>
    <row r="285" spans="2:12">
      <c r="B285" s="118">
        <f t="shared" si="42"/>
        <v>24</v>
      </c>
      <c r="C285" s="119">
        <f t="shared" si="41"/>
        <v>280</v>
      </c>
      <c r="D285" s="120">
        <f t="shared" si="38"/>
        <v>0.84</v>
      </c>
      <c r="E285" s="121">
        <f t="shared" si="35"/>
        <v>0</v>
      </c>
      <c r="F285" s="121">
        <f>SUM($E$6:E285)</f>
        <v>346500</v>
      </c>
      <c r="G285" s="143">
        <f t="shared" si="36"/>
        <v>0</v>
      </c>
      <c r="H285" s="120">
        <f t="shared" si="39"/>
        <v>0.84</v>
      </c>
      <c r="I285" s="121">
        <f t="shared" si="37"/>
        <v>127512</v>
      </c>
      <c r="J285" s="121">
        <f t="shared" si="40"/>
        <v>127512</v>
      </c>
      <c r="K285" s="95"/>
      <c r="L285" s="100"/>
    </row>
    <row r="286" spans="2:12">
      <c r="B286" s="124">
        <f t="shared" si="42"/>
        <v>24</v>
      </c>
      <c r="C286" s="122">
        <f t="shared" si="41"/>
        <v>281</v>
      </c>
      <c r="D286" s="123">
        <f t="shared" si="38"/>
        <v>0.84</v>
      </c>
      <c r="E286" s="125">
        <f t="shared" si="35"/>
        <v>0</v>
      </c>
      <c r="F286" s="125">
        <f>SUM($E$6:E286)</f>
        <v>346500</v>
      </c>
      <c r="G286" s="144">
        <f t="shared" si="36"/>
        <v>0</v>
      </c>
      <c r="H286" s="123">
        <f t="shared" si="39"/>
        <v>0.84</v>
      </c>
      <c r="I286" s="125">
        <f t="shared" si="37"/>
        <v>127512</v>
      </c>
      <c r="J286" s="125">
        <f t="shared" si="40"/>
        <v>127512</v>
      </c>
      <c r="K286" s="95"/>
      <c r="L286" s="100"/>
    </row>
    <row r="287" spans="2:12">
      <c r="B287" s="118">
        <f t="shared" si="42"/>
        <v>24</v>
      </c>
      <c r="C287" s="119">
        <f t="shared" si="41"/>
        <v>282</v>
      </c>
      <c r="D287" s="120">
        <f t="shared" si="38"/>
        <v>0.84</v>
      </c>
      <c r="E287" s="121">
        <f t="shared" si="35"/>
        <v>0</v>
      </c>
      <c r="F287" s="121">
        <f>SUM($E$6:E287)</f>
        <v>346500</v>
      </c>
      <c r="G287" s="143">
        <f t="shared" si="36"/>
        <v>0</v>
      </c>
      <c r="H287" s="120">
        <f t="shared" si="39"/>
        <v>0.84</v>
      </c>
      <c r="I287" s="121">
        <f t="shared" si="37"/>
        <v>127512</v>
      </c>
      <c r="J287" s="121">
        <f t="shared" si="40"/>
        <v>127512</v>
      </c>
      <c r="K287" s="95"/>
      <c r="L287" s="100"/>
    </row>
    <row r="288" spans="2:12">
      <c r="B288" s="124">
        <f t="shared" si="42"/>
        <v>24</v>
      </c>
      <c r="C288" s="122">
        <f t="shared" si="41"/>
        <v>283</v>
      </c>
      <c r="D288" s="123">
        <f t="shared" si="38"/>
        <v>0.84</v>
      </c>
      <c r="E288" s="125">
        <f t="shared" si="35"/>
        <v>0</v>
      </c>
      <c r="F288" s="125">
        <f>SUM($E$6:E288)</f>
        <v>346500</v>
      </c>
      <c r="G288" s="144">
        <f t="shared" si="36"/>
        <v>0</v>
      </c>
      <c r="H288" s="123">
        <f t="shared" si="39"/>
        <v>0.84</v>
      </c>
      <c r="I288" s="125">
        <f t="shared" si="37"/>
        <v>127512</v>
      </c>
      <c r="J288" s="125">
        <f t="shared" si="40"/>
        <v>127512</v>
      </c>
      <c r="K288" s="95"/>
      <c r="L288" s="100"/>
    </row>
    <row r="289" spans="2:12">
      <c r="B289" s="118">
        <f t="shared" si="42"/>
        <v>24</v>
      </c>
      <c r="C289" s="119">
        <f t="shared" si="41"/>
        <v>284</v>
      </c>
      <c r="D289" s="120">
        <f t="shared" si="38"/>
        <v>0.84</v>
      </c>
      <c r="E289" s="121">
        <f t="shared" si="35"/>
        <v>0</v>
      </c>
      <c r="F289" s="121">
        <f>SUM($E$6:E289)</f>
        <v>346500</v>
      </c>
      <c r="G289" s="143">
        <f t="shared" si="36"/>
        <v>0</v>
      </c>
      <c r="H289" s="120">
        <f t="shared" si="39"/>
        <v>0.84</v>
      </c>
      <c r="I289" s="121">
        <f t="shared" si="37"/>
        <v>127512</v>
      </c>
      <c r="J289" s="121">
        <f t="shared" si="40"/>
        <v>127512</v>
      </c>
      <c r="K289" s="95"/>
      <c r="L289" s="100"/>
    </row>
    <row r="290" spans="2:12">
      <c r="B290" s="124">
        <f t="shared" si="42"/>
        <v>24</v>
      </c>
      <c r="C290" s="122">
        <f t="shared" si="41"/>
        <v>285</v>
      </c>
      <c r="D290" s="123">
        <f t="shared" si="38"/>
        <v>0.84</v>
      </c>
      <c r="E290" s="125">
        <f t="shared" si="35"/>
        <v>0</v>
      </c>
      <c r="F290" s="125">
        <f>SUM($E$6:E290)</f>
        <v>346500</v>
      </c>
      <c r="G290" s="144">
        <f t="shared" si="36"/>
        <v>0</v>
      </c>
      <c r="H290" s="123">
        <f t="shared" si="39"/>
        <v>0.84</v>
      </c>
      <c r="I290" s="125">
        <f t="shared" si="37"/>
        <v>127512</v>
      </c>
      <c r="J290" s="125">
        <f t="shared" si="40"/>
        <v>127512</v>
      </c>
      <c r="K290" s="95"/>
      <c r="L290" s="100"/>
    </row>
    <row r="291" spans="2:12">
      <c r="B291" s="118">
        <f t="shared" si="42"/>
        <v>24</v>
      </c>
      <c r="C291" s="119">
        <f t="shared" si="41"/>
        <v>286</v>
      </c>
      <c r="D291" s="120">
        <f t="shared" si="38"/>
        <v>0.84</v>
      </c>
      <c r="E291" s="121">
        <f t="shared" si="35"/>
        <v>0</v>
      </c>
      <c r="F291" s="121">
        <f>SUM($E$6:E291)</f>
        <v>346500</v>
      </c>
      <c r="G291" s="143">
        <f t="shared" si="36"/>
        <v>0</v>
      </c>
      <c r="H291" s="120">
        <f t="shared" si="39"/>
        <v>0.84</v>
      </c>
      <c r="I291" s="121">
        <f t="shared" si="37"/>
        <v>127512</v>
      </c>
      <c r="J291" s="121">
        <f t="shared" si="40"/>
        <v>127512</v>
      </c>
      <c r="K291" s="95"/>
      <c r="L291" s="100"/>
    </row>
    <row r="292" spans="2:12">
      <c r="B292" s="124">
        <f t="shared" si="42"/>
        <v>24</v>
      </c>
      <c r="C292" s="122">
        <f t="shared" si="41"/>
        <v>287</v>
      </c>
      <c r="D292" s="123">
        <f t="shared" si="38"/>
        <v>0.84</v>
      </c>
      <c r="E292" s="125">
        <f t="shared" si="35"/>
        <v>0</v>
      </c>
      <c r="F292" s="125">
        <f>SUM($E$6:E292)</f>
        <v>346500</v>
      </c>
      <c r="G292" s="144">
        <f t="shared" si="36"/>
        <v>0</v>
      </c>
      <c r="H292" s="123">
        <f t="shared" si="39"/>
        <v>0.84</v>
      </c>
      <c r="I292" s="125">
        <f t="shared" si="37"/>
        <v>127512</v>
      </c>
      <c r="J292" s="125">
        <f t="shared" si="40"/>
        <v>127512</v>
      </c>
      <c r="K292" s="95"/>
      <c r="L292" s="100"/>
    </row>
    <row r="293" spans="2:12">
      <c r="B293" s="118">
        <f t="shared" si="42"/>
        <v>24</v>
      </c>
      <c r="C293" s="119">
        <f t="shared" si="41"/>
        <v>288</v>
      </c>
      <c r="D293" s="120">
        <f t="shared" si="38"/>
        <v>0.84</v>
      </c>
      <c r="E293" s="121">
        <f t="shared" si="35"/>
        <v>0</v>
      </c>
      <c r="F293" s="121">
        <f>SUM($E$6:E293)</f>
        <v>346500</v>
      </c>
      <c r="G293" s="143">
        <f t="shared" si="36"/>
        <v>0</v>
      </c>
      <c r="H293" s="120">
        <f t="shared" si="39"/>
        <v>0.84</v>
      </c>
      <c r="I293" s="121">
        <f t="shared" si="37"/>
        <v>127512</v>
      </c>
      <c r="J293" s="121">
        <f t="shared" si="40"/>
        <v>127512</v>
      </c>
      <c r="K293" s="95"/>
      <c r="L293" s="100"/>
    </row>
    <row r="294" spans="2:12">
      <c r="B294" s="124">
        <f t="shared" si="42"/>
        <v>25</v>
      </c>
      <c r="C294" s="122">
        <f t="shared" si="41"/>
        <v>289</v>
      </c>
      <c r="D294" s="123">
        <f t="shared" si="38"/>
        <v>0.86</v>
      </c>
      <c r="E294" s="125">
        <f t="shared" si="35"/>
        <v>0</v>
      </c>
      <c r="F294" s="125">
        <f>SUM($E$6:E294)</f>
        <v>346500</v>
      </c>
      <c r="G294" s="144">
        <f t="shared" si="36"/>
        <v>0</v>
      </c>
      <c r="H294" s="123">
        <f t="shared" si="39"/>
        <v>0.92</v>
      </c>
      <c r="I294" s="125">
        <f t="shared" si="37"/>
        <v>145728</v>
      </c>
      <c r="J294" s="125">
        <f t="shared" si="40"/>
        <v>145728</v>
      </c>
      <c r="K294" s="95"/>
      <c r="L294" s="100"/>
    </row>
    <row r="295" spans="2:12">
      <c r="B295" s="118">
        <f t="shared" si="42"/>
        <v>25</v>
      </c>
      <c r="C295" s="119">
        <f t="shared" si="41"/>
        <v>290</v>
      </c>
      <c r="D295" s="120">
        <f t="shared" si="38"/>
        <v>0.86</v>
      </c>
      <c r="E295" s="121">
        <f t="shared" si="35"/>
        <v>0</v>
      </c>
      <c r="F295" s="121">
        <f>SUM($E$6:E295)</f>
        <v>346500</v>
      </c>
      <c r="G295" s="143">
        <f t="shared" si="36"/>
        <v>0</v>
      </c>
      <c r="H295" s="120">
        <f t="shared" si="39"/>
        <v>0.92</v>
      </c>
      <c r="I295" s="121">
        <f t="shared" si="37"/>
        <v>145728</v>
      </c>
      <c r="J295" s="121">
        <f t="shared" si="40"/>
        <v>145728</v>
      </c>
      <c r="K295" s="95"/>
      <c r="L295" s="100"/>
    </row>
    <row r="296" spans="2:12">
      <c r="B296" s="124">
        <f t="shared" si="42"/>
        <v>25</v>
      </c>
      <c r="C296" s="122">
        <f t="shared" si="41"/>
        <v>291</v>
      </c>
      <c r="D296" s="123">
        <f t="shared" si="38"/>
        <v>0.86</v>
      </c>
      <c r="E296" s="125">
        <f t="shared" si="35"/>
        <v>0</v>
      </c>
      <c r="F296" s="125">
        <f>SUM($E$6:E296)</f>
        <v>346500</v>
      </c>
      <c r="G296" s="144">
        <f t="shared" si="36"/>
        <v>0</v>
      </c>
      <c r="H296" s="123">
        <f t="shared" si="39"/>
        <v>0.92</v>
      </c>
      <c r="I296" s="125">
        <f t="shared" si="37"/>
        <v>145728</v>
      </c>
      <c r="J296" s="125">
        <f t="shared" si="40"/>
        <v>145728</v>
      </c>
      <c r="K296" s="95"/>
      <c r="L296" s="100"/>
    </row>
    <row r="297" spans="2:12">
      <c r="B297" s="118">
        <f t="shared" si="42"/>
        <v>25</v>
      </c>
      <c r="C297" s="119">
        <f t="shared" si="41"/>
        <v>292</v>
      </c>
      <c r="D297" s="120">
        <f t="shared" si="38"/>
        <v>0.86</v>
      </c>
      <c r="E297" s="121">
        <f t="shared" si="35"/>
        <v>0</v>
      </c>
      <c r="F297" s="121">
        <f>SUM($E$6:E297)</f>
        <v>346500</v>
      </c>
      <c r="G297" s="143">
        <f t="shared" si="36"/>
        <v>0</v>
      </c>
      <c r="H297" s="120">
        <f t="shared" si="39"/>
        <v>0.92</v>
      </c>
      <c r="I297" s="121">
        <f t="shared" si="37"/>
        <v>145728</v>
      </c>
      <c r="J297" s="121">
        <f t="shared" si="40"/>
        <v>145728</v>
      </c>
      <c r="K297" s="95"/>
      <c r="L297" s="100"/>
    </row>
    <row r="298" spans="2:12">
      <c r="B298" s="124">
        <f t="shared" si="42"/>
        <v>25</v>
      </c>
      <c r="C298" s="122">
        <f t="shared" si="41"/>
        <v>293</v>
      </c>
      <c r="D298" s="123">
        <f t="shared" si="38"/>
        <v>0.86</v>
      </c>
      <c r="E298" s="125">
        <f t="shared" si="35"/>
        <v>0</v>
      </c>
      <c r="F298" s="125">
        <f>SUM($E$6:E298)</f>
        <v>346500</v>
      </c>
      <c r="G298" s="144">
        <f t="shared" si="36"/>
        <v>0</v>
      </c>
      <c r="H298" s="123">
        <f t="shared" si="39"/>
        <v>0.92</v>
      </c>
      <c r="I298" s="125">
        <f t="shared" si="37"/>
        <v>145728</v>
      </c>
      <c r="J298" s="125">
        <f t="shared" si="40"/>
        <v>145728</v>
      </c>
      <c r="K298" s="95"/>
      <c r="L298" s="100"/>
    </row>
    <row r="299" spans="2:12">
      <c r="B299" s="118">
        <f t="shared" si="42"/>
        <v>25</v>
      </c>
      <c r="C299" s="119">
        <f t="shared" si="41"/>
        <v>294</v>
      </c>
      <c r="D299" s="120">
        <f t="shared" si="38"/>
        <v>0.86</v>
      </c>
      <c r="E299" s="121">
        <f t="shared" si="35"/>
        <v>0</v>
      </c>
      <c r="F299" s="121">
        <f>SUM($E$6:E299)</f>
        <v>346500</v>
      </c>
      <c r="G299" s="143">
        <f t="shared" si="36"/>
        <v>0</v>
      </c>
      <c r="H299" s="120">
        <f t="shared" si="39"/>
        <v>0.92</v>
      </c>
      <c r="I299" s="121">
        <f t="shared" si="37"/>
        <v>145728</v>
      </c>
      <c r="J299" s="121">
        <f t="shared" si="40"/>
        <v>145728</v>
      </c>
      <c r="K299" s="95"/>
      <c r="L299" s="100"/>
    </row>
    <row r="300" spans="2:12">
      <c r="B300" s="124">
        <f t="shared" si="42"/>
        <v>25</v>
      </c>
      <c r="C300" s="122">
        <f t="shared" si="41"/>
        <v>295</v>
      </c>
      <c r="D300" s="123">
        <f t="shared" si="38"/>
        <v>0.86</v>
      </c>
      <c r="E300" s="125">
        <f t="shared" si="35"/>
        <v>0</v>
      </c>
      <c r="F300" s="125">
        <f>SUM($E$6:E300)</f>
        <v>346500</v>
      </c>
      <c r="G300" s="144">
        <f t="shared" si="36"/>
        <v>0</v>
      </c>
      <c r="H300" s="123">
        <f t="shared" si="39"/>
        <v>0.92</v>
      </c>
      <c r="I300" s="125">
        <f t="shared" si="37"/>
        <v>145728</v>
      </c>
      <c r="J300" s="125">
        <f t="shared" si="40"/>
        <v>145728</v>
      </c>
      <c r="K300" s="95"/>
      <c r="L300" s="100"/>
    </row>
    <row r="301" spans="2:12">
      <c r="B301" s="118">
        <f t="shared" si="42"/>
        <v>25</v>
      </c>
      <c r="C301" s="119">
        <f t="shared" si="41"/>
        <v>296</v>
      </c>
      <c r="D301" s="120">
        <f t="shared" si="38"/>
        <v>0.86</v>
      </c>
      <c r="E301" s="121">
        <f t="shared" si="35"/>
        <v>0</v>
      </c>
      <c r="F301" s="121">
        <f>SUM($E$6:E301)</f>
        <v>346500</v>
      </c>
      <c r="G301" s="143">
        <f t="shared" si="36"/>
        <v>0</v>
      </c>
      <c r="H301" s="120">
        <f t="shared" si="39"/>
        <v>0.92</v>
      </c>
      <c r="I301" s="121">
        <f t="shared" si="37"/>
        <v>145728</v>
      </c>
      <c r="J301" s="121">
        <f t="shared" si="40"/>
        <v>145728</v>
      </c>
      <c r="K301" s="95"/>
      <c r="L301" s="100"/>
    </row>
    <row r="302" spans="2:12">
      <c r="B302" s="124">
        <f t="shared" si="42"/>
        <v>25</v>
      </c>
      <c r="C302" s="122">
        <f t="shared" si="41"/>
        <v>297</v>
      </c>
      <c r="D302" s="123">
        <f t="shared" si="38"/>
        <v>0.86</v>
      </c>
      <c r="E302" s="125">
        <f t="shared" si="35"/>
        <v>0</v>
      </c>
      <c r="F302" s="125">
        <f>SUM($E$6:E302)</f>
        <v>346500</v>
      </c>
      <c r="G302" s="144">
        <f t="shared" si="36"/>
        <v>0</v>
      </c>
      <c r="H302" s="123">
        <f t="shared" si="39"/>
        <v>0.92</v>
      </c>
      <c r="I302" s="125">
        <f t="shared" si="37"/>
        <v>145728</v>
      </c>
      <c r="J302" s="125">
        <f t="shared" si="40"/>
        <v>145728</v>
      </c>
      <c r="K302" s="95"/>
      <c r="L302" s="100"/>
    </row>
    <row r="303" spans="2:12">
      <c r="B303" s="118">
        <f t="shared" si="42"/>
        <v>25</v>
      </c>
      <c r="C303" s="119">
        <f t="shared" si="41"/>
        <v>298</v>
      </c>
      <c r="D303" s="120">
        <f t="shared" si="38"/>
        <v>0.86</v>
      </c>
      <c r="E303" s="121">
        <f t="shared" si="35"/>
        <v>0</v>
      </c>
      <c r="F303" s="121">
        <f>SUM($E$6:E303)</f>
        <v>346500</v>
      </c>
      <c r="G303" s="143">
        <f t="shared" si="36"/>
        <v>0</v>
      </c>
      <c r="H303" s="120">
        <f t="shared" si="39"/>
        <v>0.92</v>
      </c>
      <c r="I303" s="121">
        <f t="shared" si="37"/>
        <v>145728</v>
      </c>
      <c r="J303" s="121">
        <f t="shared" si="40"/>
        <v>145728</v>
      </c>
      <c r="K303" s="95"/>
      <c r="L303" s="100"/>
    </row>
    <row r="304" spans="2:12">
      <c r="B304" s="124">
        <f t="shared" si="42"/>
        <v>25</v>
      </c>
      <c r="C304" s="122">
        <f t="shared" si="41"/>
        <v>299</v>
      </c>
      <c r="D304" s="123">
        <f t="shared" si="38"/>
        <v>0.86</v>
      </c>
      <c r="E304" s="125">
        <f t="shared" si="35"/>
        <v>0</v>
      </c>
      <c r="F304" s="125">
        <f>SUM($E$6:E304)</f>
        <v>346500</v>
      </c>
      <c r="G304" s="144">
        <f t="shared" si="36"/>
        <v>0</v>
      </c>
      <c r="H304" s="123">
        <f t="shared" si="39"/>
        <v>0.92</v>
      </c>
      <c r="I304" s="125">
        <f t="shared" si="37"/>
        <v>145728</v>
      </c>
      <c r="J304" s="125">
        <f t="shared" si="40"/>
        <v>145728</v>
      </c>
      <c r="K304" s="95"/>
      <c r="L304" s="100"/>
    </row>
    <row r="305" spans="2:12" ht="15.75" thickBot="1">
      <c r="B305" s="126">
        <f t="shared" si="42"/>
        <v>25</v>
      </c>
      <c r="C305" s="127">
        <f t="shared" si="41"/>
        <v>300</v>
      </c>
      <c r="D305" s="128">
        <f t="shared" si="38"/>
        <v>0.86</v>
      </c>
      <c r="E305" s="129">
        <f t="shared" si="35"/>
        <v>0</v>
      </c>
      <c r="F305" s="129">
        <f>SUM($E$6:E305)</f>
        <v>346500</v>
      </c>
      <c r="G305" s="145">
        <f t="shared" si="36"/>
        <v>0</v>
      </c>
      <c r="H305" s="128">
        <f t="shared" si="39"/>
        <v>0.92</v>
      </c>
      <c r="I305" s="129">
        <f t="shared" si="37"/>
        <v>145728</v>
      </c>
      <c r="J305" s="129">
        <f t="shared" si="40"/>
        <v>145728</v>
      </c>
      <c r="K305" s="95"/>
      <c r="L305" s="100"/>
    </row>
  </sheetData>
  <sheetProtection password="C9A7" sheet="1" objects="1" scenarios="1"/>
  <mergeCells count="3">
    <mergeCell ref="L4:N4"/>
    <mergeCell ref="P4:Q4"/>
    <mergeCell ref="S4:T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43</vt:i4>
      </vt:variant>
    </vt:vector>
  </HeadingPairs>
  <TitlesOfParts>
    <vt:vector size="47" baseType="lpstr">
      <vt:lpstr>Premium Calculation</vt:lpstr>
      <vt:lpstr>SMIP-BI</vt:lpstr>
      <vt:lpstr>Product Data n Calcs</vt:lpstr>
      <vt:lpstr>GSV for SSV Cal</vt:lpstr>
      <vt:lpstr>Age</vt:lpstr>
      <vt:lpstr>Base_Ann_Prem_For_DB_Yr2</vt:lpstr>
      <vt:lpstr>Base_Prem</vt:lpstr>
      <vt:lpstr>Basic_Prem_Yr1_Annualized</vt:lpstr>
      <vt:lpstr>Basic_Prem_Yr2_Annualized</vt:lpstr>
      <vt:lpstr>Basic_Premium_1</vt:lpstr>
      <vt:lpstr>Basic_Premium_2</vt:lpstr>
      <vt:lpstr>'Product Data n Calcs'!BP_less_HSA</vt:lpstr>
      <vt:lpstr>EM_PC</vt:lpstr>
      <vt:lpstr>'Product Data n Calcs'!EMR_Bands</vt:lpstr>
      <vt:lpstr>EMR_Rate</vt:lpstr>
      <vt:lpstr>EMR_Rating</vt:lpstr>
      <vt:lpstr>Flat_Extra</vt:lpstr>
      <vt:lpstr>'Product Data n Calcs'!HSA_Rebates</vt:lpstr>
      <vt:lpstr>Modal_Basic_Prem_Yr1</vt:lpstr>
      <vt:lpstr>Modal_Basic_Prem_Yr2</vt:lpstr>
      <vt:lpstr>Net_EMR_Rate</vt:lpstr>
      <vt:lpstr>Net_Prem_Rate</vt:lpstr>
      <vt:lpstr>Prem_after_rebate</vt:lpstr>
      <vt:lpstr>Prem_Mode</vt:lpstr>
      <vt:lpstr>'Product Data n Calcs'!Prem_Modes</vt:lpstr>
      <vt:lpstr>'Product Data n Calcs'!Prem_Rates</vt:lpstr>
      <vt:lpstr>'SMIP-BI'!Print_Area</vt:lpstr>
      <vt:lpstr>RATES</vt:lpstr>
      <vt:lpstr>RATES_HEADINGS</vt:lpstr>
      <vt:lpstr>Rev_Bon</vt:lpstr>
      <vt:lpstr>SA</vt:lpstr>
      <vt:lpstr>SA_by_1000_n_Modal_Factor</vt:lpstr>
      <vt:lpstr>SA_Rebate</vt:lpstr>
      <vt:lpstr>ST_Indicator</vt:lpstr>
      <vt:lpstr>Staff_Case</vt:lpstr>
      <vt:lpstr>'Product Data n Calcs'!Staff_Disc_PC</vt:lpstr>
      <vt:lpstr>Staff_Discount</vt:lpstr>
      <vt:lpstr>STax_1</vt:lpstr>
      <vt:lpstr>Stax_2</vt:lpstr>
      <vt:lpstr>Stax_Oasis_Yr1</vt:lpstr>
      <vt:lpstr>Stax_Oasis_Yr2</vt:lpstr>
      <vt:lpstr>Term_bon</vt:lpstr>
      <vt:lpstr>Tot_Flat_Extra</vt:lpstr>
      <vt:lpstr>Tot_Prem_Rate_Oasis_Yr1</vt:lpstr>
      <vt:lpstr>Tot_Prem_Rate_Oasis_Yr2</vt:lpstr>
      <vt:lpstr>Tot_Prem_Rate_Yr1</vt:lpstr>
      <vt:lpstr>Tot_Prem_Rate_Yr2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30001910</cp:lastModifiedBy>
  <dcterms:created xsi:type="dcterms:W3CDTF">2013-09-25T09:16:37Z</dcterms:created>
  <dcterms:modified xsi:type="dcterms:W3CDTF">2017-05-26T05:35:37Z</dcterms:modified>
</cp:coreProperties>
</file>