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260" windowHeight="8480"/>
  </bookViews>
  <sheets>
    <sheet name="Premium Calculation" sheetId="1" r:id="rId1"/>
    <sheet name="SMIP-BI" sheetId="2" r:id="rId2"/>
    <sheet name="Product Data n Calcs" sheetId="3" r:id="rId3"/>
    <sheet name="GSV for SSV Cal" sheetId="4" r:id="rId4"/>
    <sheet name="Godb Test Case" sheetId="5" r:id="rId5"/>
    <sheet name="GoDB changes" sheetId="6" r:id="rId6"/>
  </sheets>
  <definedNames>
    <definedName name="_xlnm.Print_Area" localSheetId="1">'SMIP-BI'!$A$1:M119</definedName>
    <definedName name="Age">'Premium Calculation'!$C$6</definedName>
    <definedName name="Base_Ann_Prem_For_DB_Yr2">'Product Data n Calcs'!$Y$6</definedName>
    <definedName name="Base_Prem">'Product Data n Calcs'!$W$4</definedName>
    <definedName name="Basic_Prem_Yr1_Annualized">'Premium Calculation'!$D$28</definedName>
    <definedName name="Basic_Prem_Yr2_Annualized">'Premium Calculation'!$D$35</definedName>
    <definedName name="Basic_Premium_1">'Premium Calculation'!$D$25</definedName>
    <definedName name="Basic_Premium_2">'Premium Calculation'!$D$32</definedName>
    <definedName name="BP_less_HSA" localSheetId="2">'Product Data n Calcs'!$J$14</definedName>
    <definedName name="EM_PC">'Premium Calculation'!$C$13</definedName>
    <definedName name="EMR_Bands" localSheetId="2">'Product Data n Calcs'!$E$5:$P$9</definedName>
    <definedName name="EMR_Rate">'Product Data n Calcs'!$W$10</definedName>
    <definedName name="EMR_Rating">'Product Data n Calcs'!$W$9</definedName>
    <definedName name="Flat_Extra">'Premium Calculation'!$C$14</definedName>
    <definedName name="HSA_Rebates" localSheetId="2">'Product Data n Calcs'!$B$11:$C$17</definedName>
    <definedName name="Modal_Basic_Prem_Yr1">'Product Data n Calcs'!$Y$13</definedName>
    <definedName name="Modal_Basic_Prem_Yr2">'Product Data n Calcs'!$Y$14</definedName>
    <definedName name="Net_EMR_Rate">'Product Data n Calcs'!$W$12</definedName>
    <definedName name="Net_Prem_Rate">'Product Data n Calcs'!$W$11</definedName>
    <definedName name="Prem_after_rebate">'Product Data n Calcs'!$W$6</definedName>
    <definedName name="Prem_Mode">'Premium Calculation'!$C$7</definedName>
    <definedName name="Prem_Modes" localSheetId="2">'Product Data n Calcs'!$B$20:$C$21</definedName>
    <definedName name="Prem_Rates" localSheetId="2">'Product Data n Calcs'!$B$4:$C$8</definedName>
    <definedName name="RATES">'Product Data n Calcs'!$B$3:$Q$41</definedName>
    <definedName name="RATES_HEADINGS">'Product Data n Calcs'!$F$3:$Q$3</definedName>
    <definedName name="Rev_Bon">'GSV for SSV Cal'!$Q$2</definedName>
    <definedName name="SA">'Premium Calculation'!$C$5</definedName>
    <definedName name="SA_by_1000_n_Modal_Factor">'Product Data n Calcs'!$W$15</definedName>
    <definedName name="SA_Rebate">'Product Data n Calcs'!$W$5</definedName>
    <definedName name="ST_Indicator">'Premium Calculation'!$C$10</definedName>
    <definedName name="Staff_Case">'Premium Calculation'!$C$9</definedName>
    <definedName name="Staff_Disc_PC" localSheetId="2">'Product Data n Calcs'!$J$15</definedName>
    <definedName name="Staff_Discount">'Product Data n Calcs'!$W$7</definedName>
    <definedName name="STax_1">'Premium Calculation'!$C$19</definedName>
    <definedName name="Stax_2">'Premium Calculation'!$C$20</definedName>
    <definedName name="Stax_Oasis_Yr1">'Premium Calculation'!$D$26</definedName>
    <definedName name="Stax_Oasis_Yr2">'Premium Calculation'!$D$33</definedName>
    <definedName name="Term_bon">'GSV for SSV Cal'!$T$2</definedName>
    <definedName name="Tot_Flat_Extra">'Product Data n Calcs'!$W$8</definedName>
    <definedName name="Tot_Prem_Rate_Oasis_Yr1">'Product Data n Calcs'!$X$13</definedName>
    <definedName name="Tot_Prem_Rate_Oasis_Yr2">'Product Data n Calcs'!$X$14</definedName>
    <definedName name="Tot_Prem_Rate_Yr1">'Product Data n Calcs'!$W$13</definedName>
    <definedName name="Tot_Prem_Rate_Yr2">'Product Data n Calcs'!$W$14</definedName>
  </definedNames>
  <calcPr calcId="144525"/>
</workbook>
</file>

<file path=xl/sharedStrings.xml><?xml version="1.0" encoding="utf-8"?>
<sst xmlns="http://schemas.openxmlformats.org/spreadsheetml/2006/main" count="194">
  <si>
    <t>Enter the details in Cells coloured Green</t>
  </si>
  <si>
    <t>Output is in Cells coloured Pink</t>
  </si>
  <si>
    <t>Enter desired plan details</t>
  </si>
  <si>
    <t>Premium Input for Reverse Calculator</t>
  </si>
  <si>
    <t>Mode</t>
  </si>
  <si>
    <t>Sex</t>
  </si>
  <si>
    <t>Staff</t>
  </si>
  <si>
    <t>Std/Non-Std</t>
  </si>
  <si>
    <t>EMR Ratings</t>
  </si>
  <si>
    <t>Sum Assured</t>
  </si>
  <si>
    <t xml:space="preserve">Orig. Installment Premium (Rs.) </t>
  </si>
  <si>
    <t>Annual</t>
  </si>
  <si>
    <t>M</t>
  </si>
  <si>
    <t>Staff Customer</t>
  </si>
  <si>
    <t>Standard Age Proof</t>
  </si>
  <si>
    <t>Age Last Birthday as on Date of Commencement</t>
  </si>
  <si>
    <t xml:space="preserve">INCLUDING Service Tax </t>
  </si>
  <si>
    <t>Monthly</t>
  </si>
  <si>
    <t>F</t>
  </si>
  <si>
    <t>Non-Staff Customer</t>
  </si>
  <si>
    <t>Non-Standard Age Proof</t>
  </si>
  <si>
    <t>Output of reverse calculator</t>
  </si>
  <si>
    <t xml:space="preserve">EXCLUDING Service Tax </t>
  </si>
  <si>
    <t>SA Out put for Reverse Calculator</t>
  </si>
  <si>
    <t xml:space="preserve">for Year 1: </t>
  </si>
  <si>
    <t>Staff Discount</t>
  </si>
  <si>
    <t>Orig. Installment Premium "Including" Service Tax ( Cell F4)</t>
  </si>
  <si>
    <t>Yes</t>
  </si>
  <si>
    <t>Revised SA to be used for issuing the Policy</t>
  </si>
  <si>
    <t>The above obtained SA is rounded down in '0000, Since MI are to be in multiple of 100's and SA is 100 times MI. So the actual premium payable might be lower than premium opted to pay by Policyholder which is given by cell F10</t>
  </si>
  <si>
    <t>New Revised Premium as per Revised SA</t>
  </si>
  <si>
    <t>Underwriting Extras</t>
  </si>
  <si>
    <t>Extra Mortality Rating</t>
  </si>
  <si>
    <t>Flat Extra</t>
  </si>
  <si>
    <t>Note:</t>
  </si>
  <si>
    <t>Reverse Calculator will not work for Staff Cases</t>
  </si>
  <si>
    <t>Check for Premium basis Premium Calculator</t>
  </si>
  <si>
    <t>If the Service Tax depicted here is different from the actual, get the Reverse Calculator updated from Actuarial Team.</t>
  </si>
  <si>
    <t>Service Tax and applicable Cess</t>
  </si>
  <si>
    <t>Modal Loading</t>
  </si>
  <si>
    <t>Year 1</t>
  </si>
  <si>
    <t>Other Years</t>
  </si>
  <si>
    <t>Ingenium</t>
  </si>
  <si>
    <t>Oasis</t>
  </si>
  <si>
    <t>Subsequent Year Modal Prem Calcs</t>
  </si>
  <si>
    <t>Benefit Illustration - Smart Monthly Income Plan</t>
  </si>
  <si>
    <t>&lt;&lt;Page 1&gt;&gt;</t>
  </si>
  <si>
    <t>Thank you for interest in our Canara HSBC Oriental Bank of Commerce Life Insurance Smart Monthly Income Plan. Based on the details provided by you, and reproduced below, the illustration customised to your</t>
  </si>
  <si>
    <t>requirements is appended. Please note that this illustration is indicative and the actual values may vary depending on performance of the Participating fund managed by the company.</t>
  </si>
  <si>
    <t>Personal details of life to be assured</t>
  </si>
  <si>
    <t>Plan Details</t>
  </si>
  <si>
    <t>Date of Birth:</t>
  </si>
  <si>
    <t xml:space="preserve">Proposal Number: </t>
  </si>
  <si>
    <t>NA</t>
  </si>
  <si>
    <t xml:space="preserve"> UIN: </t>
  </si>
  <si>
    <t xml:space="preserve">Age: </t>
  </si>
  <si>
    <t xml:space="preserve">Name of the plan: </t>
  </si>
  <si>
    <t>Canara HSBC Oriental Bank of  
Commerce Life Insurance Smart Monthly Income Plan</t>
  </si>
  <si>
    <t>Designation</t>
  </si>
  <si>
    <t>&lt;&lt;Designation&gt;&gt;</t>
  </si>
  <si>
    <t xml:space="preserve">Gender: </t>
  </si>
  <si>
    <t xml:space="preserve">Date of Illustration: </t>
  </si>
  <si>
    <t xml:space="preserve">Policy Term: </t>
  </si>
  <si>
    <t>years</t>
  </si>
  <si>
    <t xml:space="preserve">Base Sum Assured: </t>
  </si>
  <si>
    <t>Rs.</t>
  </si>
  <si>
    <t xml:space="preserve">Premium Payment Term: </t>
  </si>
  <si>
    <t>Minimum Death Benefit:</t>
  </si>
  <si>
    <t>Premium Payment Frequency:</t>
  </si>
  <si>
    <t>Monthly Income</t>
  </si>
  <si>
    <t xml:space="preserve">Annualised Premium: </t>
  </si>
  <si>
    <t>Maturity Value @4% :</t>
  </si>
  <si>
    <t xml:space="preserve">Instalment Premium: </t>
  </si>
  <si>
    <t>Maturity Value @8% :</t>
  </si>
  <si>
    <t>Set Off Option</t>
  </si>
  <si>
    <t>&lt;&lt;Yes/ No&gt;&gt;</t>
  </si>
  <si>
    <t>Illustration with Standard Mortality rates</t>
  </si>
  <si>
    <t>&lt;&lt;Page 2&gt;&gt;</t>
  </si>
  <si>
    <t>Guaranteed Benefits</t>
  </si>
  <si>
    <t>Non Guaranteed Benefits</t>
  </si>
  <si>
    <t>Year</t>
  </si>
  <si>
    <t>Age at the beginning of the year</t>
  </si>
  <si>
    <r>
      <rPr>
        <b/>
        <sz val="11"/>
        <color indexed="8"/>
        <rFont val="Calibri"/>
        <family val="2"/>
        <charset val="134"/>
      </rPr>
      <t>Annualized Premium (</t>
    </r>
    <r>
      <rPr>
        <b/>
        <sz val="11"/>
        <color indexed="56"/>
        <rFont val="Rupee Foradian"/>
        <family val="2"/>
        <charset val="134"/>
      </rPr>
      <t>`</t>
    </r>
    <r>
      <rPr>
        <b/>
        <sz val="11"/>
        <color indexed="56"/>
        <rFont val="Arial"/>
        <family val="2"/>
        <charset val="134"/>
      </rPr>
      <t>)</t>
    </r>
  </si>
  <si>
    <r>
      <rPr>
        <b/>
        <sz val="11"/>
        <color indexed="8"/>
        <rFont val="Calibri"/>
        <family val="2"/>
        <charset val="134"/>
      </rPr>
      <t>Service Tax (</t>
    </r>
    <r>
      <rPr>
        <b/>
        <sz val="11"/>
        <color indexed="56"/>
        <rFont val="Rupee Foradian"/>
        <family val="2"/>
        <charset val="134"/>
      </rPr>
      <t>`</t>
    </r>
    <r>
      <rPr>
        <b/>
        <sz val="11"/>
        <color indexed="56"/>
        <rFont val="Arial"/>
        <family val="2"/>
        <charset val="134"/>
      </rPr>
      <t>)</t>
    </r>
  </si>
  <si>
    <r>
      <rPr>
        <b/>
        <sz val="11"/>
        <color indexed="8"/>
        <rFont val="Calibri"/>
        <family val="2"/>
        <charset val="134"/>
      </rPr>
      <t>Total Premium (</t>
    </r>
    <r>
      <rPr>
        <b/>
        <sz val="11"/>
        <color indexed="56"/>
        <rFont val="Rupee Foradian"/>
        <family val="2"/>
        <charset val="134"/>
      </rPr>
      <t>`</t>
    </r>
    <r>
      <rPr>
        <b/>
        <sz val="11"/>
        <color indexed="56"/>
        <rFont val="Arial"/>
        <family val="2"/>
        <charset val="134"/>
      </rPr>
      <t>)</t>
    </r>
  </si>
  <si>
    <r>
      <rPr>
        <b/>
        <sz val="11"/>
        <color indexed="8"/>
        <rFont val="Calibri"/>
        <family val="2"/>
        <charset val="134"/>
      </rPr>
      <t>Death Benefit (</t>
    </r>
    <r>
      <rPr>
        <b/>
        <sz val="11"/>
        <color indexed="56"/>
        <rFont val="Rupee Foradian"/>
        <family val="2"/>
        <charset val="134"/>
      </rPr>
      <t>`</t>
    </r>
    <r>
      <rPr>
        <b/>
        <sz val="11"/>
        <color indexed="56"/>
        <rFont val="Arial"/>
        <family val="2"/>
        <charset val="134"/>
      </rPr>
      <t>)</t>
    </r>
  </si>
  <si>
    <r>
      <rPr>
        <b/>
        <sz val="11"/>
        <color indexed="8"/>
        <rFont val="Calibri"/>
        <family val="2"/>
        <charset val="134"/>
      </rPr>
      <t>Annual Income* (</t>
    </r>
    <r>
      <rPr>
        <b/>
        <sz val="11"/>
        <color indexed="56"/>
        <rFont val="Rupee Foradian"/>
        <family val="2"/>
        <charset val="134"/>
      </rPr>
      <t>`</t>
    </r>
    <r>
      <rPr>
        <b/>
        <sz val="11"/>
        <color indexed="56"/>
        <rFont val="Arial"/>
        <family val="2"/>
        <charset val="134"/>
      </rPr>
      <t>)</t>
    </r>
  </si>
  <si>
    <r>
      <rPr>
        <b/>
        <sz val="11"/>
        <color indexed="8"/>
        <rFont val="Calibri"/>
        <family val="2"/>
        <charset val="134"/>
      </rPr>
      <t>Surrender Value(</t>
    </r>
    <r>
      <rPr>
        <b/>
        <sz val="11"/>
        <color indexed="56"/>
        <rFont val="Rupee Foradian"/>
        <family val="2"/>
        <charset val="134"/>
      </rPr>
      <t>`</t>
    </r>
    <r>
      <rPr>
        <b/>
        <sz val="11"/>
        <color indexed="56"/>
        <rFont val="Arial"/>
        <family val="2"/>
        <charset val="134"/>
      </rPr>
      <t>)</t>
    </r>
  </si>
  <si>
    <r>
      <rPr>
        <b/>
        <sz val="11"/>
        <color indexed="8"/>
        <rFont val="Calibri"/>
        <family val="2"/>
        <charset val="134"/>
      </rPr>
      <t>Accumulated Bonus at an assumed investment return of 4% (</t>
    </r>
    <r>
      <rPr>
        <b/>
        <sz val="11"/>
        <color indexed="56"/>
        <rFont val="Rupee Foradian"/>
        <family val="2"/>
        <charset val="134"/>
      </rPr>
      <t>`</t>
    </r>
    <r>
      <rPr>
        <b/>
        <sz val="11"/>
        <color indexed="56"/>
        <rFont val="Arial"/>
        <family val="2"/>
        <charset val="134"/>
      </rPr>
      <t>)</t>
    </r>
  </si>
  <si>
    <r>
      <rPr>
        <b/>
        <sz val="11"/>
        <color indexed="8"/>
        <rFont val="Calibri"/>
        <family val="2"/>
        <charset val="134"/>
      </rPr>
      <t>Accumulated Bonus at an assumed investment return of 8% (</t>
    </r>
    <r>
      <rPr>
        <b/>
        <sz val="11"/>
        <color indexed="56"/>
        <rFont val="Rupee Foradian"/>
        <family val="2"/>
        <charset val="134"/>
      </rPr>
      <t>`</t>
    </r>
    <r>
      <rPr>
        <b/>
        <sz val="11"/>
        <color indexed="56"/>
        <rFont val="Arial"/>
        <family val="2"/>
        <charset val="134"/>
      </rPr>
      <t>)</t>
    </r>
  </si>
  <si>
    <t>Final Bonus at maturity</t>
  </si>
  <si>
    <t>Notes:</t>
  </si>
  <si>
    <t>Total Bonus</t>
  </si>
  <si>
    <t>(1)  The Company shall ensure that the total maturity benefit (including the income benefits and bonus) is higher than the sum total of all due premiums paid by the policyholder across all ages at projected gross interest rates of 4% and 8%.</t>
  </si>
  <si>
    <t>(2) The Death benefit payable on death of Life Assured is:
 "Higher of (Sum Assured chosen or 10 times of Annualised Premium) + Annual Bonuses added till date of death along with Final Bonus (if any at date of death)
Please note that the death benefit will be at least 105% of (all premiums paid less extra premiums paid, if any)".</t>
  </si>
  <si>
    <t>On payment of death benefit, the policy will stand terminated.</t>
  </si>
  <si>
    <t>* Annual Income = Chosen Monthly Income x 12</t>
  </si>
  <si>
    <t>&lt;&lt;Page 3&gt;&gt;</t>
  </si>
  <si>
    <t>1. Some benefits are guaranteed and some benefits are variable with returns based on the future performance of your Insurer carrying on life insurance business. If your policy  
    offers guaranteed returns then these will be clearly marked “guaranteed” in the illustration table. If your policy offers variable returns then the illustrations on this 
    page will show two different rates of assumed future investment returns. These assumed rates of return are not guaranteed and they are not the upper or lower limits of what you 
    might get back, as the value of your policy is dependent on a number of factors including future investment performance.</t>
  </si>
  <si>
    <t xml:space="preserve">2. Annual bonuses and Final bonus (if any) are shown at an assumed investment rate of 4% or 8% every year in this illustration.There is no guarantee on the amount of  bonuses and these </t>
  </si>
  <si>
    <t xml:space="preserve">    will be declared at the sole discretion of the company.</t>
  </si>
  <si>
    <t xml:space="preserve">3. This is a traditional plan intended for long term savings and benefits. It is strongly advised that the policy should be continued throughout the defined policy </t>
  </si>
  <si>
    <t xml:space="preserve">    term to realise the full benefits. Early exit should not be opted for unless there is no other alternative available, as it will impact the policy value. If premiums are discontinued</t>
  </si>
  <si>
    <t xml:space="preserve">    after paying at least three years premiums, the policy will acquire a Paid-up value that you will receive on death or maturity, whichever is earlier, provided you have not surrendered the policy.</t>
  </si>
  <si>
    <t>4. Your policy will acquire a guaranteed surrender value (GSV) after paying at least 3 full year's premium. However, the company may offer a special surrender value (SSV), and higher of GSV and SSV will be</t>
  </si>
  <si>
    <t xml:space="preserve">    paid on surrender. The Illustration above only shows the guaranteed surrender value payable.</t>
  </si>
  <si>
    <t xml:space="preserve">5.  Premiums payable and benefits receivable under this plan are eligible for tax benefits as per the prevailing tax laws subject to amendments from time to time. </t>
  </si>
  <si>
    <t>6.  The above premium is for a healthy individual. Your application will be assessed as per board approved underwriting guidelines of the company. Basis underwriting, it may result in an extra premium to be paid, which shall be borne by you.</t>
  </si>
  <si>
    <t>7. If Set-Off option is selected, it will be applied as per product features. Please refer to the product brochure for further details.</t>
  </si>
  <si>
    <t>8. The above illustration takes into account currently applicable service tax &amp; cess. However, the applicable taxes may change from time to time and premium payable will change accordingly.</t>
  </si>
  <si>
    <t>9. The above illustration does not take into account rider charges (if any).</t>
  </si>
  <si>
    <t>Disclosures</t>
  </si>
  <si>
    <r>
      <rPr>
        <sz val="11"/>
        <color indexed="8"/>
        <rFont val="Arial"/>
        <family val="2"/>
        <charset val="134"/>
      </rPr>
      <t>1. &lt;&lt;</t>
    </r>
    <r>
      <rPr>
        <u/>
        <sz val="11"/>
        <color indexed="8"/>
        <rFont val="Arial"/>
        <family val="2"/>
        <charset val="134"/>
      </rPr>
      <t xml:space="preserve">Non Staff policies only&gt;&gt;: </t>
    </r>
    <r>
      <rPr>
        <sz val="11"/>
        <color indexed="8"/>
        <rFont val="Arial"/>
        <family val="2"/>
        <charset val="134"/>
      </rPr>
      <t>Corporate Agent will receive 30% commission on first year premium and 1% commission on renewal premiums during year 2nd to 4th from the Company for this transaction.</t>
    </r>
  </si>
  <si>
    <t xml:space="preserve">    IRDA regulations do not permit Corporate Agent or its employees to pay such commission, whether in part or whole, as an inducement to any person to take out or renew or continue an insurance policy of </t>
  </si>
  <si>
    <t xml:space="preserve">    any kind. (Sec 41 of the Insurance Act, 1938)</t>
  </si>
  <si>
    <r>
      <rPr>
        <sz val="11"/>
        <color indexed="8"/>
        <rFont val="Arial"/>
        <family val="2"/>
        <charset val="134"/>
      </rPr>
      <t xml:space="preserve">   &lt;&lt;</t>
    </r>
    <r>
      <rPr>
        <u/>
        <sz val="11"/>
        <color indexed="8"/>
        <rFont val="Arial"/>
        <family val="2"/>
        <charset val="134"/>
      </rPr>
      <t xml:space="preserve">Staff policies only&gt;&gt;: </t>
    </r>
    <r>
      <rPr>
        <sz val="11"/>
        <color indexed="8"/>
        <rFont val="Arial"/>
        <family val="2"/>
        <charset val="134"/>
      </rPr>
      <t xml:space="preserve">Corporate Agent will receive 15% commission on first year premium and 1% commission on renewal premiums during year 2nd to 4th from the Company for this transaction.
</t>
    </r>
  </si>
  <si>
    <t xml:space="preserve">    IRDA regulations do not permit Corporate Agent or its employees to pay such commission, whether in part or whole, as an inducement to any person to take out or renew or continue an insurance policy of</t>
  </si>
  <si>
    <t>2. Insurance is the subject matter of the solicitation</t>
  </si>
  <si>
    <t>Risk Factors</t>
  </si>
  <si>
    <t xml:space="preserve">    There is no guarantee on the amount of bonuses and these will be declared at the sole discretion of the company. Hence, the bonuses in this plan may vary from time to time.</t>
  </si>
  <si>
    <t xml:space="preserve">    </t>
  </si>
  <si>
    <t>Declaration</t>
  </si>
  <si>
    <t>I .............................................. (Name), having received the information with respect to the above, have understood the above statement before entering into the contract.</t>
  </si>
  <si>
    <t xml:space="preserve">Marketing officials' Signature: </t>
  </si>
  <si>
    <t xml:space="preserve">Policyholder's Signature: </t>
  </si>
  <si>
    <t xml:space="preserve">Company Seal: </t>
  </si>
  <si>
    <t>Place:</t>
  </si>
  <si>
    <t>Date:</t>
  </si>
  <si>
    <t>PARTICULARS</t>
  </si>
  <si>
    <t>Age (l.b.d.)</t>
  </si>
  <si>
    <r>
      <rPr>
        <b/>
        <sz val="11"/>
        <color indexed="8"/>
        <rFont val="Calibri"/>
        <family val="2"/>
        <charset val="134"/>
      </rPr>
      <t xml:space="preserve">Premium Rate per </t>
    </r>
    <r>
      <rPr>
        <b/>
        <sz val="11"/>
        <color indexed="8"/>
        <rFont val="Rupee Foradian"/>
        <family val="2"/>
        <charset val="134"/>
      </rPr>
      <t>`</t>
    </r>
    <r>
      <rPr>
        <b/>
        <sz val="11"/>
        <color indexed="8"/>
        <rFont val="Calibri"/>
        <family val="2"/>
        <charset val="134"/>
      </rPr>
      <t xml:space="preserve"> 1,000 SA</t>
    </r>
  </si>
  <si>
    <t>EMR Rates</t>
  </si>
  <si>
    <t>HAS Rebate</t>
  </si>
  <si>
    <t>Premium Calculation</t>
  </si>
  <si>
    <r>
      <rPr>
        <b/>
        <sz val="11"/>
        <color indexed="8"/>
        <rFont val="Calibri"/>
        <family val="2"/>
        <charset val="134"/>
      </rPr>
      <t xml:space="preserve">SA (in </t>
    </r>
    <r>
      <rPr>
        <b/>
        <sz val="10"/>
        <color indexed="62"/>
        <rFont val="Rupee Foradian"/>
        <family val="2"/>
        <charset val="134"/>
      </rPr>
      <t>`</t>
    </r>
    <r>
      <rPr>
        <b/>
        <sz val="10"/>
        <color indexed="62"/>
        <rFont val="Arial"/>
        <family val="2"/>
        <charset val="134"/>
      </rPr>
      <t>)</t>
    </r>
  </si>
  <si>
    <t>Rebate (per 1000 SA)</t>
  </si>
  <si>
    <t>Ingenium Logic</t>
  </si>
  <si>
    <t>Oasis Logic</t>
  </si>
  <si>
    <t>Calculation Reverse Calculator</t>
  </si>
  <si>
    <t>Base Premium Rate</t>
  </si>
  <si>
    <t>SA Rebate</t>
  </si>
  <si>
    <t>Annualized Prem For DB calcs</t>
  </si>
  <si>
    <t>BP Rate less SA Rebate</t>
  </si>
  <si>
    <t>EMR Rating</t>
  </si>
  <si>
    <t>EMR Rate</t>
  </si>
  <si>
    <t>Basic Prem Rate (Yr1)</t>
  </si>
  <si>
    <t>Extra Prem Rate</t>
  </si>
  <si>
    <t>Modal Basic Prem For GSV calcs</t>
  </si>
  <si>
    <t>Total Premium Rate_Yr1</t>
  </si>
  <si>
    <t>Modal Basic Prem Yr 1 excl. extra prem</t>
  </si>
  <si>
    <t>Total Premium Rate_Yr2</t>
  </si>
  <si>
    <t>Modal Basic Prem Yr2 excl. extra prem</t>
  </si>
  <si>
    <t>SA/1000 * Modal_Factor</t>
  </si>
  <si>
    <t>First Year Modal Prem Calcs</t>
  </si>
  <si>
    <t>Modal Premium (Basic Prem + Extra Prem, incl. Disc.)</t>
  </si>
  <si>
    <t>Total Modal Premium</t>
  </si>
  <si>
    <t>Annualized Premium</t>
  </si>
  <si>
    <t>Reversionary Bonus</t>
  </si>
  <si>
    <t>Terminal Bonus</t>
  </si>
  <si>
    <t xml:space="preserve"> Year</t>
  </si>
  <si>
    <t>Month</t>
  </si>
  <si>
    <t>PREM %</t>
  </si>
  <si>
    <t>Total Premium Annual without considering monthly mode for calculation purposes</t>
  </si>
  <si>
    <t>Cumulative Premium</t>
  </si>
  <si>
    <t>GSV - without Bonus</t>
  </si>
  <si>
    <t>BONUS %</t>
  </si>
  <si>
    <t>Bonus</t>
  </si>
  <si>
    <t>GSV - with Bonus</t>
  </si>
  <si>
    <t>GSV TABLE</t>
  </si>
  <si>
    <t>Bonus percentage</t>
  </si>
  <si>
    <t>Guaranteed Surrender Value - without Bonus</t>
  </si>
  <si>
    <t>YEARS</t>
  </si>
  <si>
    <t>PREM</t>
  </si>
  <si>
    <t>BON</t>
  </si>
  <si>
    <t>Percentage</t>
  </si>
  <si>
    <t>Months</t>
  </si>
  <si>
    <t>Premium value</t>
  </si>
  <si>
    <t>INPUT</t>
  </si>
  <si>
    <t>TEST1</t>
  </si>
  <si>
    <t>TEST2</t>
  </si>
  <si>
    <t>TEST3</t>
  </si>
  <si>
    <t>TEST4</t>
  </si>
  <si>
    <t>No</t>
  </si>
  <si>
    <t>NO</t>
  </si>
  <si>
    <t>EMR</t>
  </si>
  <si>
    <t>OUTPUT</t>
  </si>
  <si>
    <t>Sheet</t>
  </si>
  <si>
    <t>Old</t>
  </si>
  <si>
    <t>New</t>
  </si>
  <si>
    <t>Product Data n Calcs</t>
  </si>
  <si>
    <t>TRUNC(Net_Prem_Rate+Net_EMR_Rate,2)</t>
  </si>
  <si>
    <t>ROUND(Net_Prem_Rate+Net_EMR_Rate,2)</t>
  </si>
  <si>
    <t>TRUNC(Prem_after_rebate+Net_EMR_Rate,2)</t>
  </si>
  <si>
    <t>ROUND(Prem_after_rebate+Net_EMR_Rate,2)</t>
  </si>
</sst>
</file>

<file path=xl/styles.xml><?xml version="1.0" encoding="utf-8"?>
<styleSheet xmlns="http://schemas.openxmlformats.org/spreadsheetml/2006/main">
  <numFmts count="14">
    <numFmt numFmtId="176" formatCode="0.000%"/>
    <numFmt numFmtId="177" formatCode="_(* #,##0_);_(* \(#,##0\);_(* &quot;-&quot;??_);_(@_)"/>
    <numFmt numFmtId="178" formatCode="0.0%"/>
    <numFmt numFmtId="179" formatCode="_(* #,##0.00_);_(* \(#,##0.00\);_(* &quot;-&quot;??_);_(@_)"/>
    <numFmt numFmtId="44" formatCode="_-&quot;£&quot;* #,##0.00_-;\-&quot;£&quot;* #,##0.00_-;_-&quot;£&quot;* &quot;-&quot;??_-;_-@_-"/>
    <numFmt numFmtId="42" formatCode="_-&quot;£&quot;* #,##0_-;\-&quot;£&quot;* #,##0_-;_-&quot;£&quot;* &quot;-&quot;_-;_-@_-"/>
    <numFmt numFmtId="41" formatCode="_-* #,##0_-;\-* #,##0_-;_-* &quot;-&quot;_-;_-@_-"/>
    <numFmt numFmtId="180" formatCode="0.000"/>
    <numFmt numFmtId="181" formatCode="_ * #,##0_ ;_ * \-#,##0_ ;_ * &quot;-&quot;??_ ;_ @_ "/>
    <numFmt numFmtId="182" formatCode="_(* #,##0.000_);_(* \(#,##0.000\);_(* &quot;-&quot;??_);_(@_)"/>
    <numFmt numFmtId="183" formatCode="dd\-mmm\-yy"/>
    <numFmt numFmtId="184" formatCode="[$-409]d\-mmm\-yy;@"/>
    <numFmt numFmtId="185" formatCode="0.000000%"/>
    <numFmt numFmtId="186" formatCode="_ * #,##0.0_ ;_ * \-#,##0.0_ ;_ * &quot;-&quot;??_ ;_ @_ "/>
  </numFmts>
  <fonts count="45">
    <font>
      <sz val="11"/>
      <color indexed="8"/>
      <name val="Calibri"/>
      <family val="2"/>
      <charset val="134"/>
    </font>
    <font>
      <sz val="12"/>
      <name val="Times New Roman"/>
      <charset val="134"/>
    </font>
    <font>
      <sz val="10"/>
      <name val="Arial"/>
      <family val="2"/>
      <charset val="134"/>
    </font>
    <font>
      <b/>
      <sz val="11"/>
      <color indexed="8"/>
      <name val="Calibri"/>
      <family val="2"/>
      <charset val="134"/>
    </font>
    <font>
      <b/>
      <sz val="12"/>
      <name val="Times New Roman"/>
      <charset val="134"/>
    </font>
    <font>
      <b/>
      <sz val="11"/>
      <name val="Calibri"/>
      <family val="2"/>
      <charset val="134"/>
    </font>
    <font>
      <b/>
      <sz val="11"/>
      <color indexed="8"/>
      <name val="Helvetica"/>
      <family val="2"/>
      <charset val="134"/>
    </font>
    <font>
      <b/>
      <sz val="10"/>
      <color indexed="8"/>
      <name val="Helvetica"/>
      <family val="2"/>
      <charset val="134"/>
    </font>
    <font>
      <sz val="10"/>
      <color indexed="0"/>
      <name val="Helvetica"/>
      <family val="2"/>
      <charset val="134"/>
    </font>
    <font>
      <sz val="11"/>
      <color indexed="0"/>
      <name val="Helvetica"/>
      <family val="2"/>
      <charset val="134"/>
    </font>
    <font>
      <sz val="11"/>
      <color indexed="8"/>
      <name val="Helvetica"/>
      <family val="2"/>
      <charset val="134"/>
    </font>
    <font>
      <b/>
      <sz val="8"/>
      <color indexed="8"/>
      <name val="Helvetica"/>
      <family val="2"/>
      <charset val="134"/>
    </font>
    <font>
      <sz val="8"/>
      <color indexed="0"/>
      <name val="Helvetica"/>
      <family val="2"/>
      <charset val="134"/>
    </font>
    <font>
      <sz val="8"/>
      <color indexed="8"/>
      <name val="Helvetica"/>
      <family val="2"/>
      <charset val="134"/>
    </font>
    <font>
      <sz val="11"/>
      <name val="Calibri"/>
      <family val="2"/>
      <charset val="134"/>
    </font>
    <font>
      <b/>
      <sz val="12"/>
      <color indexed="8"/>
      <name val="Calibri"/>
      <family val="2"/>
      <charset val="134"/>
    </font>
    <font>
      <sz val="11"/>
      <color indexed="9"/>
      <name val="Calibri"/>
      <family val="2"/>
      <charset val="134"/>
    </font>
    <font>
      <sz val="8"/>
      <name val="Calibri"/>
      <family val="2"/>
      <charset val="134"/>
    </font>
    <font>
      <b/>
      <u/>
      <sz val="10"/>
      <color indexed="8"/>
      <name val="Calibri"/>
      <family val="2"/>
      <charset val="134"/>
    </font>
    <font>
      <sz val="10"/>
      <color indexed="8"/>
      <name val="Calibri"/>
      <family val="2"/>
      <charset val="134"/>
    </font>
    <font>
      <b/>
      <sz val="11"/>
      <color indexed="9"/>
      <name val="Calibri"/>
      <family val="2"/>
      <charset val="134"/>
    </font>
    <font>
      <sz val="11"/>
      <color indexed="8"/>
      <name val="Arial"/>
      <family val="2"/>
      <charset val="134"/>
    </font>
    <font>
      <b/>
      <sz val="14"/>
      <color indexed="8"/>
      <name val="Arial"/>
      <family val="2"/>
      <charset val="134"/>
    </font>
    <font>
      <sz val="10"/>
      <color indexed="8"/>
      <name val="Arial"/>
      <family val="2"/>
      <charset val="134"/>
    </font>
    <font>
      <b/>
      <sz val="8"/>
      <color indexed="9"/>
      <name val="Arial"/>
      <family val="2"/>
      <charset val="134"/>
    </font>
    <font>
      <sz val="6.5"/>
      <color indexed="8"/>
      <name val="Verdana"/>
      <family val="2"/>
      <charset val="134"/>
    </font>
    <font>
      <sz val="11"/>
      <name val="Arial"/>
      <family val="2"/>
      <charset val="134"/>
    </font>
    <font>
      <b/>
      <sz val="11"/>
      <color indexed="8"/>
      <name val="Arial"/>
      <family val="2"/>
      <charset val="134"/>
    </font>
    <font>
      <b/>
      <sz val="8"/>
      <color indexed="8"/>
      <name val="Arial"/>
      <family val="2"/>
      <charset val="134"/>
    </font>
    <font>
      <b/>
      <sz val="10"/>
      <color indexed="8"/>
      <name val="Arial"/>
      <family val="2"/>
      <charset val="134"/>
    </font>
    <font>
      <b/>
      <sz val="10"/>
      <color indexed="8"/>
      <name val="Calibri"/>
      <family val="2"/>
      <charset val="134"/>
    </font>
    <font>
      <sz val="9"/>
      <color indexed="8"/>
      <name val="Calibri"/>
      <family val="2"/>
      <charset val="134"/>
    </font>
    <font>
      <sz val="11"/>
      <color indexed="10"/>
      <name val="Calibri"/>
      <family val="2"/>
      <charset val="134"/>
    </font>
    <font>
      <b/>
      <u/>
      <sz val="8"/>
      <color indexed="10"/>
      <name val="Calibri"/>
      <family val="2"/>
      <charset val="134"/>
    </font>
    <font>
      <b/>
      <sz val="12"/>
      <color indexed="10"/>
      <name val="Calibri"/>
      <family val="2"/>
      <charset val="134"/>
    </font>
    <font>
      <u/>
      <sz val="11"/>
      <color indexed="8"/>
      <name val="Calibri"/>
      <family val="2"/>
      <charset val="134"/>
    </font>
    <font>
      <sz val="8"/>
      <color indexed="8"/>
      <name val="Calibri"/>
      <family val="2"/>
      <charset val="134"/>
    </font>
    <font>
      <sz val="10"/>
      <color indexed="56"/>
      <name val="Calibri"/>
      <family val="2"/>
      <charset val="134"/>
    </font>
    <font>
      <sz val="8"/>
      <color indexed="56"/>
      <name val="Calibri"/>
      <family val="2"/>
      <charset val="134"/>
    </font>
    <font>
      <b/>
      <sz val="11"/>
      <color indexed="8"/>
      <name val="Rupee Foradian"/>
      <family val="2"/>
      <charset val="134"/>
    </font>
    <font>
      <b/>
      <sz val="10"/>
      <color indexed="62"/>
      <name val="Rupee Foradian"/>
      <family val="2"/>
      <charset val="134"/>
    </font>
    <font>
      <b/>
      <sz val="10"/>
      <color indexed="62"/>
      <name val="Arial"/>
      <family val="2"/>
      <charset val="134"/>
    </font>
    <font>
      <b/>
      <sz val="11"/>
      <color indexed="56"/>
      <name val="Rupee Foradian"/>
      <family val="2"/>
      <charset val="134"/>
    </font>
    <font>
      <b/>
      <sz val="11"/>
      <color indexed="56"/>
      <name val="Arial"/>
      <family val="2"/>
      <charset val="134"/>
    </font>
    <font>
      <u/>
      <sz val="11"/>
      <color indexed="8"/>
      <name val="Arial"/>
      <family val="2"/>
      <charset val="134"/>
    </font>
  </fonts>
  <fills count="13">
    <fill>
      <patternFill patternType="none"/>
    </fill>
    <fill>
      <patternFill patternType="gray125"/>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indexed="9"/>
        <bgColor indexed="64"/>
      </patternFill>
    </fill>
    <fill>
      <patternFill patternType="solid">
        <fgColor indexed="46"/>
        <bgColor indexed="64"/>
      </patternFill>
    </fill>
    <fill>
      <patternFill patternType="solid">
        <fgColor indexed="29"/>
        <bgColor indexed="64"/>
      </patternFill>
    </fill>
    <fill>
      <patternFill patternType="solid">
        <fgColor indexed="57"/>
        <bgColor indexed="64"/>
      </patternFill>
    </fill>
    <fill>
      <patternFill patternType="solid">
        <fgColor indexed="42"/>
        <bgColor indexed="64"/>
      </patternFill>
    </fill>
    <fill>
      <patternFill patternType="solid">
        <fgColor indexed="23"/>
        <bgColor indexed="64"/>
      </patternFill>
    </fill>
    <fill>
      <patternFill patternType="solid">
        <fgColor indexed="11"/>
        <bgColor indexed="64"/>
      </patternFill>
    </fill>
    <fill>
      <patternFill patternType="solid">
        <fgColor indexed="43"/>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9">
    <xf numFmtId="0" fontId="0" fillId="0" borderId="0">
      <alignment vertical="center"/>
    </xf>
    <xf numFmtId="179" fontId="1" fillId="0" borderId="0" applyFont="0" applyFill="0" applyBorder="0" applyAlignment="0" applyProtection="0">
      <alignment vertical="center"/>
    </xf>
    <xf numFmtId="0" fontId="0" fillId="0" borderId="0">
      <alignment vertical="center"/>
    </xf>
    <xf numFmtId="177" fontId="1" fillId="0" borderId="0" applyFont="0" applyFill="0" applyBorder="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9" fontId="0"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lignment vertical="center"/>
    </xf>
  </cellStyleXfs>
  <cellXfs count="282">
    <xf numFmtId="0" fontId="0" fillId="0" borderId="0" xfId="0" applyAlignment="1"/>
    <xf numFmtId="0" fontId="0" fillId="0" borderId="0" xfId="0" applyAlignment="1">
      <alignment wrapText="1"/>
    </xf>
    <xf numFmtId="0" fontId="3" fillId="2" borderId="1" xfId="0" applyFont="1" applyFill="1" applyBorder="1" applyAlignment="1">
      <alignment wrapText="1"/>
    </xf>
    <xf numFmtId="0" fontId="4" fillId="2" borderId="1" xfId="0" applyFont="1" applyFill="1" applyBorder="1" applyAlignment="1">
      <alignment vertical="center" wrapText="1"/>
    </xf>
    <xf numFmtId="0" fontId="1" fillId="0" borderId="0" xfId="0" applyFont="1" applyBorder="1" applyAlignment="1">
      <alignment vertical="center" wrapText="1"/>
    </xf>
    <xf numFmtId="0" fontId="3" fillId="3" borderId="1" xfId="0" applyFont="1" applyFill="1" applyBorder="1" applyAlignment="1">
      <alignment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0" fillId="0" borderId="0" xfId="0" applyFont="1" applyBorder="1" applyAlignment="1">
      <alignment vertical="center" wrapText="1"/>
    </xf>
    <xf numFmtId="0" fontId="3" fillId="3" borderId="0" xfId="0" applyFont="1" applyFill="1" applyBorder="1" applyAlignment="1">
      <alignment horizontal="center" vertical="center" wrapText="1"/>
    </xf>
    <xf numFmtId="0" fontId="0" fillId="0" borderId="1" xfId="0" applyFont="1" applyBorder="1" applyAlignment="1">
      <alignment vertical="center" wrapText="1"/>
    </xf>
    <xf numFmtId="0" fontId="5" fillId="4" borderId="1" xfId="0" applyFont="1" applyFill="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left" vertical="center" wrapText="1"/>
    </xf>
    <xf numFmtId="0" fontId="0" fillId="0" borderId="1" xfId="0" applyFont="1" applyBorder="1" applyAlignment="1">
      <alignment vertical="center" wrapText="1"/>
    </xf>
    <xf numFmtId="9" fontId="0" fillId="0" borderId="1" xfId="0" applyNumberFormat="1" applyFont="1" applyBorder="1" applyAlignment="1">
      <alignment vertical="center" wrapText="1"/>
    </xf>
    <xf numFmtId="0" fontId="6" fillId="3" borderId="1" xfId="0" applyFont="1" applyFill="1" applyBorder="1" applyAlignment="1">
      <alignment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wrapText="1"/>
    </xf>
    <xf numFmtId="0" fontId="7" fillId="2" borderId="1" xfId="0" applyFont="1" applyFill="1" applyBorder="1" applyAlignment="1">
      <alignment vertical="center" wrapText="1"/>
    </xf>
    <xf numFmtId="3" fontId="8" fillId="0" borderId="1" xfId="0" applyNumberFormat="1" applyFont="1" applyBorder="1">
      <alignment vertical="center"/>
    </xf>
    <xf numFmtId="3" fontId="9" fillId="0" borderId="1" xfId="0" applyNumberFormat="1" applyFont="1" applyBorder="1">
      <alignment vertical="center"/>
    </xf>
    <xf numFmtId="3" fontId="9" fillId="0" borderId="1" xfId="0" applyNumberFormat="1" applyFont="1" applyBorder="1">
      <alignment vertical="center"/>
    </xf>
    <xf numFmtId="3" fontId="8" fillId="0" borderId="1" xfId="0" applyNumberFormat="1" applyFont="1" applyBorder="1">
      <alignment vertical="center"/>
    </xf>
    <xf numFmtId="0" fontId="6" fillId="2" borderId="1" xfId="0" applyFont="1" applyFill="1" applyBorder="1" applyAlignment="1">
      <alignment vertical="center" wrapText="1"/>
    </xf>
    <xf numFmtId="0" fontId="10" fillId="0" borderId="1" xfId="0" applyFont="1" applyBorder="1" applyAlignment="1">
      <alignment vertical="center" wrapText="1"/>
    </xf>
    <xf numFmtId="0" fontId="6" fillId="0" borderId="1" xfId="0" applyFont="1" applyBorder="1" applyAlignment="1">
      <alignment horizontal="center" vertical="center" wrapText="1"/>
    </xf>
    <xf numFmtId="0" fontId="10" fillId="0" borderId="0" xfId="0" applyFont="1" applyBorder="1" applyAlignment="1">
      <alignment vertical="center" wrapText="1"/>
    </xf>
    <xf numFmtId="0" fontId="11" fillId="2" borderId="1" xfId="0" applyFont="1" applyFill="1" applyBorder="1" applyAlignment="1">
      <alignment vertical="center" wrapText="1"/>
    </xf>
    <xf numFmtId="4" fontId="12" fillId="0" borderId="1" xfId="0" applyNumberFormat="1" applyFont="1" applyBorder="1">
      <alignment vertical="center"/>
    </xf>
    <xf numFmtId="4" fontId="12" fillId="0" borderId="1" xfId="0" applyNumberFormat="1" applyFont="1" applyBorder="1">
      <alignment vertical="center"/>
    </xf>
    <xf numFmtId="4" fontId="13" fillId="0" borderId="1" xfId="0" applyNumberFormat="1" applyFont="1" applyBorder="1" applyAlignment="1">
      <alignment vertical="center" wrapText="1"/>
    </xf>
    <xf numFmtId="0" fontId="13" fillId="0" borderId="1" xfId="0" applyFont="1" applyBorder="1" applyAlignment="1">
      <alignment vertical="center" wrapText="1"/>
    </xf>
    <xf numFmtId="0" fontId="0" fillId="5" borderId="0" xfId="0" applyFill="1" applyAlignment="1">
      <alignment horizontal="center" vertical="center"/>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3" xfId="0" applyFont="1" applyFill="1" applyBorder="1" applyAlignment="1">
      <alignment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9" fontId="0" fillId="0" borderId="5" xfId="6" applyFont="1" applyFill="1" applyBorder="1" applyAlignment="1">
      <alignment horizontal="center" vertical="center"/>
    </xf>
    <xf numFmtId="0" fontId="0" fillId="0" borderId="6" xfId="0" applyFill="1" applyBorder="1" applyAlignment="1">
      <alignment horizontal="center" vertical="center"/>
    </xf>
    <xf numFmtId="1" fontId="0" fillId="0" borderId="6" xfId="0" applyNumberFormat="1" applyFill="1" applyBorder="1" applyAlignment="1">
      <alignment horizontal="center" vertical="center"/>
    </xf>
    <xf numFmtId="0" fontId="0" fillId="6" borderId="7" xfId="0" applyFill="1" applyBorder="1" applyAlignment="1">
      <alignment horizontal="center" vertical="center"/>
    </xf>
    <xf numFmtId="0" fontId="0" fillId="6" borderId="1" xfId="0" applyFill="1" applyBorder="1" applyAlignment="1">
      <alignment horizontal="center" vertical="center"/>
    </xf>
    <xf numFmtId="9" fontId="0" fillId="6" borderId="1" xfId="6" applyFont="1" applyFill="1" applyBorder="1" applyAlignment="1">
      <alignment horizontal="center" vertical="center"/>
    </xf>
    <xf numFmtId="0" fontId="0" fillId="6" borderId="8" xfId="0" applyFill="1" applyBorder="1" applyAlignment="1">
      <alignment horizontal="center" vertical="center"/>
    </xf>
    <xf numFmtId="1" fontId="0" fillId="6" borderId="8" xfId="0" applyNumberFormat="1"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vertical="center"/>
    </xf>
    <xf numFmtId="9" fontId="0" fillId="0" borderId="1" xfId="6" applyFont="1" applyFill="1" applyBorder="1" applyAlignment="1">
      <alignment horizontal="center" vertical="center"/>
    </xf>
    <xf numFmtId="0" fontId="0" fillId="0" borderId="8" xfId="0" applyFill="1" applyBorder="1" applyAlignment="1">
      <alignment horizontal="center" vertical="center"/>
    </xf>
    <xf numFmtId="1" fontId="0" fillId="0" borderId="8" xfId="0" applyNumberFormat="1" applyFill="1" applyBorder="1" applyAlignment="1">
      <alignment horizontal="center" vertical="center"/>
    </xf>
    <xf numFmtId="0" fontId="3" fillId="6" borderId="9" xfId="0" applyFont="1" applyFill="1" applyBorder="1" applyAlignment="1">
      <alignment vertical="center"/>
    </xf>
    <xf numFmtId="0" fontId="3" fillId="6" borderId="4"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8" xfId="0" applyFont="1" applyFill="1" applyBorder="1" applyAlignment="1">
      <alignment horizontal="center" vertical="center" wrapText="1"/>
    </xf>
    <xf numFmtId="179" fontId="0" fillId="5" borderId="0" xfId="1" applyFont="1" applyFill="1" applyAlignment="1">
      <alignment horizontal="center" vertical="center"/>
    </xf>
    <xf numFmtId="9" fontId="3" fillId="6" borderId="1" xfId="6" applyFont="1" applyFill="1" applyBorder="1" applyAlignment="1">
      <alignment horizontal="center" vertical="center" wrapText="1"/>
    </xf>
    <xf numFmtId="9" fontId="3" fillId="6" borderId="8" xfId="6" applyFont="1" applyFill="1" applyBorder="1" applyAlignment="1">
      <alignment horizontal="center" vertical="center" wrapText="1"/>
    </xf>
    <xf numFmtId="0" fontId="3" fillId="6" borderId="10" xfId="0" applyFont="1" applyFill="1" applyBorder="1" applyAlignment="1">
      <alignment horizontal="center" vertical="center" wrapText="1"/>
    </xf>
    <xf numFmtId="2" fontId="0" fillId="5" borderId="0" xfId="0" applyNumberFormat="1" applyFill="1" applyAlignment="1">
      <alignment horizontal="center" vertical="center"/>
    </xf>
    <xf numFmtId="10" fontId="3" fillId="6" borderId="9" xfId="6" applyNumberFormat="1" applyFont="1" applyFill="1" applyBorder="1" applyAlignment="1">
      <alignment horizontal="center" vertical="center" wrapText="1"/>
    </xf>
    <xf numFmtId="0" fontId="3" fillId="6" borderId="3" xfId="0" applyFont="1" applyFill="1" applyBorder="1" applyAlignment="1">
      <alignment horizontal="center" vertical="center"/>
    </xf>
    <xf numFmtId="0" fontId="3" fillId="6" borderId="11" xfId="0" applyFont="1" applyFill="1" applyBorder="1" applyAlignment="1">
      <alignment horizontal="center" vertical="center"/>
    </xf>
    <xf numFmtId="10" fontId="3" fillId="6" borderId="8" xfId="6" applyNumberFormat="1" applyFont="1" applyFill="1" applyBorder="1" applyAlignment="1">
      <alignment horizontal="center" vertical="center" wrapText="1"/>
    </xf>
    <xf numFmtId="1" fontId="3" fillId="6" borderId="8" xfId="0" applyNumberFormat="1" applyFont="1" applyFill="1" applyBorder="1" applyAlignment="1">
      <alignment horizontal="center" vertical="center" wrapText="1"/>
    </xf>
    <xf numFmtId="0" fontId="0" fillId="6" borderId="10" xfId="0" applyFill="1" applyBorder="1" applyAlignment="1">
      <alignment horizontal="center" vertical="center"/>
    </xf>
    <xf numFmtId="0" fontId="0" fillId="6" borderId="12" xfId="0" applyFill="1" applyBorder="1" applyAlignment="1">
      <alignment horizontal="center" vertical="center"/>
    </xf>
    <xf numFmtId="9" fontId="0" fillId="6" borderId="12" xfId="6" applyFont="1" applyFill="1" applyBorder="1" applyAlignment="1">
      <alignment horizontal="center" vertical="center"/>
    </xf>
    <xf numFmtId="0" fontId="0" fillId="6" borderId="13" xfId="0" applyFill="1" applyBorder="1" applyAlignment="1">
      <alignment horizontal="center" vertical="center"/>
    </xf>
    <xf numFmtId="1" fontId="0" fillId="6" borderId="13" xfId="0" applyNumberFormat="1" applyFill="1" applyBorder="1" applyAlignment="1">
      <alignment horizontal="center" vertical="center"/>
    </xf>
    <xf numFmtId="0" fontId="14" fillId="5" borderId="0" xfId="0" applyFont="1" applyFill="1" applyBorder="1" applyAlignment="1"/>
    <xf numFmtId="0" fontId="3" fillId="6" borderId="14"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3" fillId="6" borderId="17" xfId="0" applyFont="1" applyFill="1" applyBorder="1" applyAlignment="1">
      <alignment horizontal="center" vertical="center" wrapText="1"/>
    </xf>
    <xf numFmtId="9" fontId="3" fillId="6" borderId="18" xfId="6" applyFont="1" applyFill="1" applyBorder="1" applyAlignment="1">
      <alignment horizontal="center" vertical="center" wrapText="1"/>
    </xf>
    <xf numFmtId="9" fontId="3" fillId="6" borderId="19" xfId="6" applyFont="1" applyFill="1" applyBorder="1" applyAlignment="1">
      <alignment horizontal="center" vertical="center" wrapText="1"/>
    </xf>
    <xf numFmtId="0" fontId="15" fillId="0" borderId="20" xfId="0" applyFont="1" applyBorder="1" applyAlignment="1">
      <alignment horizontal="center" vertical="center"/>
    </xf>
    <xf numFmtId="2" fontId="0" fillId="0" borderId="21" xfId="2" applyNumberFormat="1" applyBorder="1" applyAlignment="1">
      <alignment horizontal="center" vertical="center"/>
    </xf>
    <xf numFmtId="2" fontId="0" fillId="0" borderId="22" xfId="2" applyNumberFormat="1" applyBorder="1" applyAlignment="1">
      <alignment horizontal="center" vertical="center"/>
    </xf>
    <xf numFmtId="2" fontId="0" fillId="0" borderId="23" xfId="2" applyNumberFormat="1" applyBorder="1" applyAlignment="1">
      <alignment horizontal="center" vertical="center"/>
    </xf>
    <xf numFmtId="0" fontId="15" fillId="0" borderId="7" xfId="0" applyFont="1" applyBorder="1" applyAlignment="1">
      <alignment horizontal="center" vertical="center"/>
    </xf>
    <xf numFmtId="2" fontId="0" fillId="0" borderId="8" xfId="2" applyNumberFormat="1" applyBorder="1" applyAlignment="1">
      <alignment horizontal="center" vertical="center"/>
    </xf>
    <xf numFmtId="2" fontId="0" fillId="0" borderId="24" xfId="2" applyNumberFormat="1" applyBorder="1" applyAlignment="1">
      <alignment horizontal="center" vertical="center"/>
    </xf>
    <xf numFmtId="2" fontId="0" fillId="0" borderId="1" xfId="2" applyNumberFormat="1" applyBorder="1" applyAlignment="1">
      <alignment horizontal="center" vertical="center"/>
    </xf>
    <xf numFmtId="0" fontId="15" fillId="0" borderId="10" xfId="0" applyFont="1" applyBorder="1" applyAlignment="1">
      <alignment horizontal="center" vertical="center"/>
    </xf>
    <xf numFmtId="2" fontId="0" fillId="0" borderId="13" xfId="2" applyNumberFormat="1" applyBorder="1" applyAlignment="1">
      <alignment horizontal="center" vertical="center"/>
    </xf>
    <xf numFmtId="2" fontId="0" fillId="0" borderId="25" xfId="2" applyNumberFormat="1" applyBorder="1" applyAlignment="1">
      <alignment horizontal="center" vertical="center"/>
    </xf>
    <xf numFmtId="2" fontId="0" fillId="0" borderId="12" xfId="2" applyNumberFormat="1" applyBorder="1" applyAlignment="1">
      <alignment horizontal="center" vertical="center"/>
    </xf>
    <xf numFmtId="0" fontId="3" fillId="6" borderId="11" xfId="0" applyFont="1" applyFill="1" applyBorder="1" applyAlignment="1">
      <alignment horizontal="center" vertical="center" wrapText="1"/>
    </xf>
    <xf numFmtId="9" fontId="3" fillId="6" borderId="4" xfId="6" applyFont="1" applyFill="1" applyBorder="1" applyAlignment="1">
      <alignment horizontal="center" vertical="center" wrapText="1"/>
    </xf>
    <xf numFmtId="9" fontId="3" fillId="6" borderId="26" xfId="6" applyFont="1" applyFill="1" applyBorder="1" applyAlignment="1">
      <alignment horizontal="center" vertical="center" wrapText="1"/>
    </xf>
    <xf numFmtId="9" fontId="3" fillId="6" borderId="16" xfId="6" applyFont="1" applyFill="1" applyBorder="1" applyAlignment="1">
      <alignment horizontal="center" vertical="center" wrapText="1"/>
    </xf>
    <xf numFmtId="9" fontId="3" fillId="6" borderId="10" xfId="6" applyFont="1" applyFill="1" applyBorder="1" applyAlignment="1">
      <alignment horizontal="center" vertical="center" wrapText="1"/>
    </xf>
    <xf numFmtId="9" fontId="3" fillId="6" borderId="13" xfId="6" applyFont="1" applyFill="1" applyBorder="1" applyAlignment="1">
      <alignment horizontal="center" vertical="center" wrapText="1"/>
    </xf>
    <xf numFmtId="0" fontId="14" fillId="5" borderId="27" xfId="0" applyFont="1" applyFill="1" applyBorder="1" applyAlignment="1"/>
    <xf numFmtId="0" fontId="14" fillId="7" borderId="9" xfId="0" applyFont="1" applyFill="1" applyBorder="1" applyAlignment="1"/>
    <xf numFmtId="0" fontId="16" fillId="8" borderId="27" xfId="0" applyFont="1" applyFill="1" applyBorder="1" applyAlignment="1">
      <alignment horizontal="center" vertical="center"/>
    </xf>
    <xf numFmtId="9" fontId="17" fillId="5" borderId="0" xfId="0" applyNumberFormat="1" applyFont="1" applyFill="1" applyBorder="1" applyAlignment="1"/>
    <xf numFmtId="177" fontId="0" fillId="0" borderId="20" xfId="1" applyNumberFormat="1" applyFont="1" applyBorder="1" applyAlignment="1">
      <alignment horizontal="center" vertical="center"/>
    </xf>
    <xf numFmtId="9" fontId="3" fillId="6" borderId="7" xfId="6" applyFont="1" applyFill="1" applyBorder="1" applyAlignment="1">
      <alignment horizontal="left" vertical="center" wrapText="1"/>
    </xf>
    <xf numFmtId="2" fontId="0" fillId="7" borderId="21" xfId="2" applyNumberFormat="1" applyFill="1" applyBorder="1" applyAlignment="1">
      <alignment horizontal="center" vertical="center"/>
    </xf>
    <xf numFmtId="2" fontId="0" fillId="9" borderId="21" xfId="2" applyNumberFormat="1" applyFill="1" applyBorder="1" applyAlignment="1">
      <alignment horizontal="center" vertical="center"/>
    </xf>
    <xf numFmtId="177" fontId="0" fillId="0" borderId="7" xfId="1" applyNumberFormat="1" applyFont="1" applyBorder="1" applyAlignment="1">
      <alignment horizontal="center" vertical="center"/>
    </xf>
    <xf numFmtId="2" fontId="0" fillId="7" borderId="8" xfId="2" applyNumberFormat="1" applyFill="1" applyBorder="1" applyAlignment="1">
      <alignment horizontal="center" vertical="center"/>
    </xf>
    <xf numFmtId="2" fontId="0" fillId="9" borderId="8" xfId="2" applyNumberFormat="1" applyFill="1" applyBorder="1" applyAlignment="1">
      <alignment horizontal="center" vertical="center"/>
    </xf>
    <xf numFmtId="180" fontId="0" fillId="7" borderId="8" xfId="2" applyNumberFormat="1" applyFill="1" applyBorder="1" applyAlignment="1">
      <alignment horizontal="center" vertical="center"/>
    </xf>
    <xf numFmtId="180" fontId="0" fillId="9" borderId="8" xfId="2" applyNumberFormat="1" applyFill="1" applyBorder="1" applyAlignment="1">
      <alignment horizontal="center" vertical="center"/>
    </xf>
    <xf numFmtId="178" fontId="0" fillId="7" borderId="8" xfId="6" applyNumberFormat="1" applyFill="1" applyBorder="1" applyAlignment="1">
      <alignment horizontal="center" vertical="center"/>
    </xf>
    <xf numFmtId="178" fontId="0" fillId="9" borderId="8" xfId="6" applyNumberFormat="1" applyFill="1" applyBorder="1" applyAlignment="1">
      <alignment horizontal="center" vertical="center"/>
    </xf>
    <xf numFmtId="177" fontId="0" fillId="0" borderId="10" xfId="1" applyNumberFormat="1" applyFont="1" applyBorder="1" applyAlignment="1">
      <alignment horizontal="center" vertical="center"/>
    </xf>
    <xf numFmtId="180" fontId="0" fillId="7" borderId="8" xfId="1" applyNumberFormat="1" applyFont="1" applyFill="1" applyBorder="1" applyAlignment="1">
      <alignment horizontal="center" vertical="center"/>
    </xf>
    <xf numFmtId="180" fontId="0" fillId="9" borderId="8" xfId="1" applyNumberFormat="1" applyFont="1" applyFill="1" applyBorder="1" applyAlignment="1">
      <alignment horizontal="center" vertical="center"/>
    </xf>
    <xf numFmtId="9" fontId="3" fillId="6" borderId="2" xfId="6" applyFont="1" applyFill="1" applyBorder="1" applyAlignment="1">
      <alignment horizontal="center" vertical="center" wrapText="1"/>
    </xf>
    <xf numFmtId="9" fontId="3" fillId="6" borderId="10" xfId="6" applyFont="1" applyFill="1" applyBorder="1" applyAlignment="1">
      <alignment horizontal="left" vertical="center" wrapText="1"/>
    </xf>
    <xf numFmtId="180" fontId="0" fillId="7" borderId="13" xfId="2" applyNumberFormat="1" applyFill="1" applyBorder="1" applyAlignment="1">
      <alignment horizontal="center" vertical="center"/>
    </xf>
    <xf numFmtId="180" fontId="0" fillId="9" borderId="13" xfId="2" applyNumberFormat="1" applyFill="1" applyBorder="1" applyAlignment="1">
      <alignment horizontal="center" vertical="center"/>
    </xf>
    <xf numFmtId="9" fontId="3" fillId="6" borderId="28" xfId="6" applyFont="1" applyFill="1" applyBorder="1" applyAlignment="1">
      <alignment horizontal="left" vertical="center" wrapText="1"/>
    </xf>
    <xf numFmtId="180" fontId="0" fillId="7" borderId="13" xfId="1" applyNumberFormat="1" applyFont="1" applyFill="1" applyBorder="1" applyAlignment="1">
      <alignment horizontal="center" vertical="center"/>
    </xf>
    <xf numFmtId="180" fontId="0" fillId="9" borderId="13" xfId="1" applyNumberFormat="1" applyFont="1" applyFill="1" applyBorder="1" applyAlignment="1">
      <alignment horizontal="center" vertical="center"/>
    </xf>
    <xf numFmtId="9" fontId="3" fillId="6" borderId="2" xfId="6" applyFont="1" applyFill="1" applyBorder="1" applyAlignment="1">
      <alignment horizontal="left" vertical="center" wrapText="1"/>
    </xf>
    <xf numFmtId="2" fontId="0" fillId="7" borderId="16" xfId="2" applyNumberFormat="1" applyFill="1" applyBorder="1" applyAlignment="1">
      <alignment horizontal="center" vertical="center"/>
    </xf>
    <xf numFmtId="2" fontId="0" fillId="9" borderId="16" xfId="2" applyNumberFormat="1" applyFill="1" applyBorder="1" applyAlignment="1">
      <alignment horizontal="center" vertical="center"/>
    </xf>
    <xf numFmtId="179" fontId="14" fillId="5" borderId="0" xfId="1" applyFont="1" applyFill="1" applyBorder="1" applyAlignment="1"/>
    <xf numFmtId="9" fontId="3" fillId="6" borderId="3" xfId="6" applyFont="1" applyFill="1" applyBorder="1" applyAlignment="1">
      <alignment horizontal="center" vertical="center" wrapText="1"/>
    </xf>
    <xf numFmtId="9" fontId="3" fillId="6" borderId="17" xfId="6" applyFont="1" applyFill="1" applyBorder="1" applyAlignment="1">
      <alignment horizontal="center" vertical="center" wrapText="1"/>
    </xf>
    <xf numFmtId="9" fontId="3" fillId="6" borderId="11" xfId="6" applyFont="1" applyFill="1" applyBorder="1" applyAlignment="1">
      <alignment horizontal="center" vertical="center" wrapText="1"/>
    </xf>
    <xf numFmtId="9" fontId="3" fillId="6" borderId="20" xfId="6" applyFont="1" applyFill="1" applyBorder="1" applyAlignment="1">
      <alignment horizontal="left" vertical="center" wrapText="1"/>
    </xf>
    <xf numFmtId="0" fontId="16" fillId="8" borderId="0" xfId="0" applyFont="1" applyFill="1" applyBorder="1" applyAlignment="1">
      <alignment horizontal="center" vertical="center"/>
    </xf>
    <xf numFmtId="0" fontId="14" fillId="5" borderId="0" xfId="0" applyFont="1" applyFill="1" applyBorder="1" applyAlignment="1">
      <alignment horizontal="right"/>
    </xf>
    <xf numFmtId="2" fontId="18" fillId="9" borderId="8" xfId="2" applyNumberFormat="1" applyFont="1" applyFill="1" applyBorder="1" applyAlignment="1">
      <alignment horizontal="center" vertical="center"/>
    </xf>
    <xf numFmtId="179" fontId="14" fillId="5" borderId="0" xfId="0" applyNumberFormat="1" applyFont="1" applyFill="1" applyBorder="1" applyAlignment="1">
      <alignment horizontal="right"/>
    </xf>
    <xf numFmtId="182" fontId="14" fillId="5" borderId="0" xfId="1" applyNumberFormat="1" applyFont="1" applyFill="1" applyBorder="1" applyAlignment="1">
      <alignment horizontal="right"/>
    </xf>
    <xf numFmtId="2" fontId="19" fillId="9" borderId="8" xfId="2" applyNumberFormat="1" applyFont="1" applyFill="1" applyBorder="1" applyAlignment="1">
      <alignment horizontal="left" vertical="center"/>
    </xf>
    <xf numFmtId="2" fontId="0" fillId="9" borderId="8" xfId="2" applyNumberFormat="1" applyFill="1" applyBorder="1" applyAlignment="1">
      <alignment horizontal="left" vertical="center"/>
    </xf>
    <xf numFmtId="177" fontId="14" fillId="5" borderId="29" xfId="1" applyNumberFormat="1" applyFont="1" applyFill="1" applyBorder="1" applyAlignment="1"/>
    <xf numFmtId="0" fontId="20" fillId="10" borderId="1" xfId="0" applyFont="1" applyFill="1" applyBorder="1" applyAlignment="1">
      <alignment horizontal="center"/>
    </xf>
    <xf numFmtId="0" fontId="14" fillId="5" borderId="1" xfId="0" applyFont="1" applyFill="1" applyBorder="1" applyAlignment="1"/>
    <xf numFmtId="2" fontId="14" fillId="5" borderId="1" xfId="0" applyNumberFormat="1" applyFont="1" applyFill="1" applyBorder="1" applyAlignment="1"/>
    <xf numFmtId="177" fontId="14" fillId="5" borderId="1" xfId="0" applyNumberFormat="1" applyFont="1" applyFill="1" applyBorder="1" applyAlignment="1"/>
    <xf numFmtId="177" fontId="14" fillId="5" borderId="0" xfId="0" applyNumberFormat="1" applyFont="1" applyFill="1" applyBorder="1" applyAlignment="1"/>
    <xf numFmtId="0" fontId="0" fillId="5" borderId="0" xfId="0" applyFill="1" applyAlignment="1"/>
    <xf numFmtId="0" fontId="21" fillId="5" borderId="0" xfId="0" applyFont="1" applyFill="1" applyAlignment="1"/>
    <xf numFmtId="0" fontId="0" fillId="5" borderId="0" xfId="0" applyFont="1" applyFill="1" applyAlignment="1"/>
    <xf numFmtId="0" fontId="3" fillId="5" borderId="0" xfId="0" applyFont="1" applyFill="1" applyAlignment="1"/>
    <xf numFmtId="0" fontId="3" fillId="5" borderId="0" xfId="0" applyFont="1" applyFill="1" applyAlignment="1">
      <alignment horizontal="center"/>
    </xf>
    <xf numFmtId="0" fontId="22" fillId="5" borderId="0" xfId="0" applyFont="1" applyFill="1" applyBorder="1" applyAlignment="1">
      <alignment horizontal="left" vertical="center"/>
    </xf>
    <xf numFmtId="0" fontId="23" fillId="5" borderId="0" xfId="0" applyFont="1" applyFill="1" applyBorder="1" applyAlignment="1">
      <alignment horizontal="left" vertical="center"/>
    </xf>
    <xf numFmtId="0" fontId="21" fillId="5" borderId="0" xfId="0" applyFont="1" applyFill="1" applyBorder="1" applyAlignment="1">
      <alignment horizontal="left" vertical="center"/>
    </xf>
    <xf numFmtId="183" fontId="21" fillId="5" borderId="0" xfId="0" applyNumberFormat="1" applyFont="1" applyFill="1" applyBorder="1" applyAlignment="1">
      <alignment horizontal="left" vertical="center"/>
    </xf>
    <xf numFmtId="0" fontId="21" fillId="5" borderId="0" xfId="0" applyNumberFormat="1" applyFont="1" applyFill="1" applyBorder="1" applyAlignment="1">
      <alignment horizontal="left" vertical="center"/>
    </xf>
    <xf numFmtId="0" fontId="21" fillId="5" borderId="0" xfId="0" applyFont="1" applyFill="1" applyBorder="1" applyAlignment="1">
      <alignment horizontal="right" vertical="center"/>
    </xf>
    <xf numFmtId="0" fontId="21" fillId="5" borderId="0" xfId="0" applyFont="1" applyFill="1" applyBorder="1" applyAlignment="1">
      <alignment horizontal="right" wrapText="1"/>
    </xf>
    <xf numFmtId="0" fontId="21" fillId="5" borderId="0" xfId="0" applyFont="1" applyFill="1" applyBorder="1" applyAlignment="1">
      <alignment horizontal="left" vertical="center" wrapText="1"/>
    </xf>
    <xf numFmtId="184" fontId="21" fillId="5" borderId="0" xfId="0" applyNumberFormat="1" applyFont="1" applyFill="1" applyBorder="1" applyAlignment="1">
      <alignment horizontal="right" vertical="center"/>
    </xf>
    <xf numFmtId="0" fontId="21" fillId="5" borderId="0" xfId="0" applyFont="1" applyFill="1" applyAlignment="1">
      <alignment horizontal="left" vertical="center"/>
    </xf>
    <xf numFmtId="177" fontId="21" fillId="5" borderId="0" xfId="3" applyNumberFormat="1" applyFont="1" applyFill="1" applyBorder="1" applyAlignment="1">
      <alignment horizontal="left" vertical="center"/>
    </xf>
    <xf numFmtId="177" fontId="21" fillId="5" borderId="0" xfId="0" applyNumberFormat="1" applyFont="1" applyFill="1" applyAlignment="1">
      <alignment horizontal="left" vertical="center"/>
    </xf>
    <xf numFmtId="0" fontId="21" fillId="5" borderId="0" xfId="0" applyFont="1" applyFill="1" applyAlignment="1">
      <alignment horizontal="right" vertical="center"/>
    </xf>
    <xf numFmtId="0" fontId="21" fillId="5" borderId="0" xfId="0" applyFont="1" applyFill="1" applyBorder="1" applyAlignment="1">
      <alignment vertical="center" wrapText="1"/>
    </xf>
    <xf numFmtId="177" fontId="21" fillId="0" borderId="0" xfId="1" applyNumberFormat="1" applyFont="1" applyFill="1" applyBorder="1" applyAlignment="1">
      <alignment horizontal="right" vertical="center"/>
    </xf>
    <xf numFmtId="0" fontId="21" fillId="5" borderId="0" xfId="0" applyFont="1" applyFill="1" applyBorder="1" applyAlignment="1">
      <alignment horizontal="right" vertical="center" wrapText="1"/>
    </xf>
    <xf numFmtId="179" fontId="21" fillId="0" borderId="0" xfId="1" applyNumberFormat="1" applyFont="1" applyFill="1" applyBorder="1" applyAlignment="1">
      <alignment horizontal="right" vertical="center"/>
    </xf>
    <xf numFmtId="0" fontId="24" fillId="5" borderId="0" xfId="0" applyFont="1" applyFill="1" applyBorder="1" applyAlignment="1">
      <alignment horizontal="center" vertical="center" wrapText="1"/>
    </xf>
    <xf numFmtId="179" fontId="0" fillId="0" borderId="0" xfId="0" applyNumberFormat="1" applyAlignment="1"/>
    <xf numFmtId="0" fontId="25" fillId="5" borderId="0" xfId="0" applyFont="1" applyFill="1" applyBorder="1" applyAlignment="1">
      <alignment horizontal="center"/>
    </xf>
    <xf numFmtId="0" fontId="3" fillId="6" borderId="19" xfId="0" applyFont="1" applyFill="1" applyBorder="1" applyAlignment="1">
      <alignment horizontal="center" vertical="center" wrapText="1"/>
    </xf>
    <xf numFmtId="0" fontId="21" fillId="0" borderId="20" xfId="0" applyFont="1" applyFill="1" applyBorder="1" applyAlignment="1">
      <alignment horizontal="center" vertical="center"/>
    </xf>
    <xf numFmtId="0" fontId="21" fillId="0" borderId="23" xfId="0" applyNumberFormat="1" applyFont="1" applyFill="1" applyBorder="1" applyAlignment="1">
      <alignment horizontal="center" vertical="center"/>
    </xf>
    <xf numFmtId="177" fontId="21" fillId="0" borderId="23" xfId="1" applyNumberFormat="1" applyFont="1" applyFill="1" applyBorder="1" applyAlignment="1">
      <alignment horizontal="center" vertical="center"/>
    </xf>
    <xf numFmtId="177" fontId="26" fillId="0" borderId="23" xfId="1" applyNumberFormat="1" applyFont="1" applyFill="1" applyBorder="1" applyAlignment="1">
      <alignment horizontal="center" vertical="center"/>
    </xf>
    <xf numFmtId="0" fontId="21" fillId="6" borderId="7" xfId="0" applyFont="1" applyFill="1" applyBorder="1" applyAlignment="1">
      <alignment horizontal="center" vertical="center"/>
    </xf>
    <xf numFmtId="0" fontId="21" fillId="6" borderId="1" xfId="0" applyNumberFormat="1" applyFont="1" applyFill="1" applyBorder="1" applyAlignment="1">
      <alignment horizontal="center" vertical="center"/>
    </xf>
    <xf numFmtId="177" fontId="21" fillId="6" borderId="1" xfId="1" applyNumberFormat="1" applyFont="1" applyFill="1" applyBorder="1" applyAlignment="1">
      <alignment horizontal="center" vertical="center"/>
    </xf>
    <xf numFmtId="177" fontId="26" fillId="6" borderId="1" xfId="1" applyNumberFormat="1" applyFont="1" applyFill="1" applyBorder="1" applyAlignment="1">
      <alignment horizontal="center" vertical="center"/>
    </xf>
    <xf numFmtId="0" fontId="21" fillId="0" borderId="7" xfId="0" applyFont="1" applyFill="1" applyBorder="1" applyAlignment="1">
      <alignment horizontal="center" vertical="center"/>
    </xf>
    <xf numFmtId="0" fontId="21" fillId="0" borderId="1" xfId="0" applyNumberFormat="1" applyFont="1" applyFill="1" applyBorder="1" applyAlignment="1">
      <alignment horizontal="center" vertical="center"/>
    </xf>
    <xf numFmtId="177" fontId="21" fillId="0" borderId="1" xfId="1" applyNumberFormat="1" applyFont="1" applyFill="1" applyBorder="1" applyAlignment="1">
      <alignment horizontal="center" vertical="center"/>
    </xf>
    <xf numFmtId="177" fontId="26" fillId="0" borderId="1" xfId="1" applyNumberFormat="1" applyFont="1" applyFill="1" applyBorder="1" applyAlignment="1">
      <alignment horizontal="center" vertical="center"/>
    </xf>
    <xf numFmtId="0" fontId="21" fillId="0" borderId="10" xfId="0" applyFont="1" applyFill="1" applyBorder="1" applyAlignment="1">
      <alignment horizontal="center" vertical="center"/>
    </xf>
    <xf numFmtId="0" fontId="21" fillId="0" borderId="12" xfId="0" applyNumberFormat="1" applyFont="1" applyFill="1" applyBorder="1" applyAlignment="1">
      <alignment horizontal="center" vertical="center"/>
    </xf>
    <xf numFmtId="177" fontId="21" fillId="0" borderId="12" xfId="1" applyNumberFormat="1" applyFont="1" applyFill="1" applyBorder="1" applyAlignment="1">
      <alignment horizontal="center" vertical="center"/>
    </xf>
    <xf numFmtId="177" fontId="26" fillId="0" borderId="12" xfId="1" applyNumberFormat="1" applyFont="1" applyFill="1" applyBorder="1" applyAlignment="1">
      <alignment horizontal="center" vertical="center"/>
    </xf>
    <xf numFmtId="0" fontId="21" fillId="0" borderId="0" xfId="0" applyFont="1" applyFill="1" applyBorder="1" applyAlignment="1">
      <alignment horizontal="center"/>
    </xf>
    <xf numFmtId="181" fontId="21" fillId="5" borderId="0" xfId="0" applyNumberFormat="1" applyFont="1" applyFill="1" applyBorder="1" applyAlignment="1">
      <alignment horizontal="center"/>
    </xf>
    <xf numFmtId="181" fontId="26" fillId="5" borderId="0" xfId="0" applyNumberFormat="1" applyFont="1" applyFill="1" applyBorder="1" applyAlignment="1">
      <alignment horizontal="center"/>
    </xf>
    <xf numFmtId="177" fontId="0" fillId="5" borderId="0" xfId="3" applyNumberFormat="1" applyFont="1" applyFill="1" applyBorder="1" applyAlignment="1"/>
    <xf numFmtId="0" fontId="21" fillId="5" borderId="0" xfId="0" applyNumberFormat="1" applyFont="1" applyFill="1" applyAlignment="1"/>
    <xf numFmtId="185" fontId="0" fillId="5" borderId="0" xfId="0" applyNumberFormat="1" applyFill="1" applyAlignment="1"/>
    <xf numFmtId="9" fontId="0" fillId="5" borderId="0" xfId="0" applyNumberFormat="1" applyFill="1" applyAlignment="1"/>
    <xf numFmtId="177" fontId="0" fillId="5" borderId="0" xfId="0" applyNumberFormat="1" applyFill="1" applyAlignment="1"/>
    <xf numFmtId="181" fontId="0" fillId="5" borderId="0" xfId="6" applyNumberFormat="1" applyFont="1" applyFill="1" applyAlignment="1"/>
    <xf numFmtId="181" fontId="0" fillId="5" borderId="0" xfId="0" applyNumberFormat="1" applyFill="1" applyAlignment="1"/>
    <xf numFmtId="0" fontId="15" fillId="5" borderId="0" xfId="0" applyFont="1" applyFill="1" applyBorder="1" applyAlignment="1">
      <alignment horizontal="center" vertical="center"/>
    </xf>
    <xf numFmtId="181" fontId="26" fillId="0" borderId="30" xfId="3" applyNumberFormat="1" applyFont="1" applyFill="1" applyBorder="1" applyAlignment="1">
      <alignment horizontal="center" vertical="center"/>
    </xf>
    <xf numFmtId="181" fontId="26" fillId="0" borderId="31" xfId="3" applyNumberFormat="1" applyFont="1" applyFill="1" applyBorder="1" applyAlignment="1">
      <alignment horizontal="center" vertical="center" wrapText="1"/>
    </xf>
    <xf numFmtId="179" fontId="0" fillId="5" borderId="0" xfId="0" applyNumberFormat="1" applyFill="1" applyAlignment="1"/>
    <xf numFmtId="186" fontId="21" fillId="5" borderId="9" xfId="3" applyNumberFormat="1" applyFont="1" applyFill="1" applyBorder="1" applyAlignment="1">
      <alignment horizontal="center" vertical="center"/>
    </xf>
    <xf numFmtId="181" fontId="21" fillId="5" borderId="9" xfId="3" applyNumberFormat="1" applyFont="1" applyFill="1" applyBorder="1" applyAlignment="1">
      <alignment horizontal="center" vertical="center"/>
    </xf>
    <xf numFmtId="0" fontId="21" fillId="5" borderId="0" xfId="0" applyFont="1" applyFill="1" applyAlignment="1">
      <alignment horizontal="left" wrapText="1"/>
    </xf>
    <xf numFmtId="0" fontId="27" fillId="5" borderId="0" xfId="0" applyFont="1" applyFill="1" applyAlignment="1">
      <alignment horizontal="left" vertical="center" wrapText="1"/>
    </xf>
    <xf numFmtId="0" fontId="15" fillId="5" borderId="0" xfId="0" applyFont="1" applyFill="1" applyBorder="1" applyAlignment="1">
      <alignment horizontal="center"/>
    </xf>
    <xf numFmtId="3" fontId="28" fillId="5" borderId="0" xfId="0" applyNumberFormat="1" applyFont="1" applyFill="1" applyBorder="1" applyAlignment="1">
      <alignment horizontal="center" wrapText="1"/>
    </xf>
    <xf numFmtId="0" fontId="22" fillId="5" borderId="0" xfId="0" applyFont="1" applyFill="1" applyAlignment="1"/>
    <xf numFmtId="0" fontId="27" fillId="5" borderId="0" xfId="0" applyNumberFormat="1" applyFont="1" applyFill="1" applyAlignment="1">
      <alignment horizontal="left" vertical="top" wrapText="1"/>
    </xf>
    <xf numFmtId="0" fontId="27" fillId="5" borderId="0" xfId="0" applyFont="1" applyFill="1" applyAlignment="1"/>
    <xf numFmtId="0" fontId="26" fillId="5" borderId="0" xfId="0" applyNumberFormat="1" applyFont="1" applyFill="1" applyAlignment="1"/>
    <xf numFmtId="0" fontId="21" fillId="5" borderId="0" xfId="3" applyNumberFormat="1" applyFont="1" applyFill="1" applyBorder="1" applyAlignment="1">
      <alignment vertical="top"/>
    </xf>
    <xf numFmtId="0" fontId="21" fillId="5" borderId="0" xfId="0" applyFont="1" applyFill="1" applyBorder="1" applyAlignment="1">
      <alignment vertical="top"/>
    </xf>
    <xf numFmtId="0" fontId="21" fillId="5" borderId="0" xfId="3" applyNumberFormat="1" applyFont="1" applyFill="1" applyBorder="1" applyAlignment="1">
      <alignment horizontal="left" vertical="top"/>
    </xf>
    <xf numFmtId="0" fontId="21" fillId="5" borderId="0" xfId="0" applyFont="1" applyFill="1" applyBorder="1" applyAlignment="1">
      <alignment vertical="top" wrapText="1"/>
    </xf>
    <xf numFmtId="0" fontId="29" fillId="0" borderId="0" xfId="0" applyFont="1" applyAlignment="1"/>
    <xf numFmtId="0" fontId="29" fillId="5" borderId="0" xfId="0" applyFont="1" applyFill="1" applyAlignment="1"/>
    <xf numFmtId="0" fontId="0" fillId="0" borderId="0" xfId="0" applyFont="1" applyAlignment="1">
      <alignment horizontal="center" vertical="center"/>
    </xf>
    <xf numFmtId="0" fontId="0" fillId="0" borderId="0" xfId="0" applyFont="1" applyAlignment="1">
      <alignment horizontal="right" vertical="center"/>
    </xf>
    <xf numFmtId="0" fontId="3" fillId="11" borderId="0" xfId="0" applyFont="1" applyFill="1" applyAlignment="1">
      <alignment vertical="center"/>
    </xf>
    <xf numFmtId="0" fontId="3" fillId="7" borderId="0" xfId="0" applyFont="1" applyFill="1" applyBorder="1" applyAlignment="1" applyProtection="1">
      <alignment horizontal="left" vertical="center"/>
    </xf>
    <xf numFmtId="0" fontId="15" fillId="12" borderId="4" xfId="0" applyFont="1" applyFill="1" applyBorder="1" applyAlignment="1">
      <alignment horizontal="right" vertical="center"/>
    </xf>
    <xf numFmtId="0" fontId="15" fillId="12" borderId="6" xfId="0" applyFont="1" applyFill="1" applyBorder="1" applyAlignment="1">
      <alignment horizontal="right" vertical="center"/>
    </xf>
    <xf numFmtId="0" fontId="30" fillId="6" borderId="4" xfId="0" applyFont="1" applyFill="1" applyBorder="1" applyAlignment="1">
      <alignment horizontal="center"/>
    </xf>
    <xf numFmtId="0" fontId="30" fillId="6" borderId="6" xfId="0" applyFont="1" applyFill="1" applyBorder="1" applyAlignment="1">
      <alignment horizontal="center"/>
    </xf>
    <xf numFmtId="0" fontId="3" fillId="0" borderId="7" xfId="0" applyFont="1" applyFill="1" applyBorder="1" applyAlignment="1">
      <alignment horizontal="left" vertical="center"/>
    </xf>
    <xf numFmtId="177" fontId="31" fillId="0" borderId="8" xfId="1" applyNumberFormat="1" applyFont="1" applyFill="1" applyBorder="1" applyAlignment="1">
      <alignment horizontal="right" vertical="center"/>
    </xf>
    <xf numFmtId="0" fontId="19" fillId="0" borderId="10" xfId="0" applyFont="1" applyBorder="1" applyAlignment="1"/>
    <xf numFmtId="179" fontId="19" fillId="11" borderId="13" xfId="1" applyNumberFormat="1" applyFont="1" applyFill="1" applyBorder="1" applyAlignment="1" applyProtection="1">
      <protection locked="0"/>
    </xf>
    <xf numFmtId="0" fontId="31" fillId="11" borderId="8" xfId="0" applyFont="1" applyFill="1" applyBorder="1" applyAlignment="1" applyProtection="1">
      <alignment horizontal="right" vertical="center"/>
      <protection locked="0"/>
    </xf>
    <xf numFmtId="0" fontId="19" fillId="0" borderId="0" xfId="0" applyFont="1" applyAlignment="1">
      <alignment horizontal="center" vertical="center"/>
    </xf>
    <xf numFmtId="0" fontId="3" fillId="7" borderId="4" xfId="0" applyFont="1" applyFill="1" applyBorder="1" applyAlignment="1">
      <alignment horizontal="center" vertical="center"/>
    </xf>
    <xf numFmtId="0" fontId="3" fillId="7" borderId="6" xfId="0" applyFont="1" applyFill="1" applyBorder="1" applyAlignment="1">
      <alignment horizontal="center" vertical="center"/>
    </xf>
    <xf numFmtId="0" fontId="19" fillId="0" borderId="10" xfId="0" applyFont="1" applyFill="1" applyBorder="1" applyAlignment="1"/>
    <xf numFmtId="177" fontId="30" fillId="0" borderId="10" xfId="1" applyNumberFormat="1" applyFont="1" applyFill="1" applyBorder="1" applyAlignment="1"/>
    <xf numFmtId="0" fontId="32" fillId="0" borderId="0" xfId="0" applyFont="1" applyAlignment="1">
      <alignment horizontal="left" vertical="center" wrapText="1"/>
    </xf>
    <xf numFmtId="0" fontId="31" fillId="0" borderId="8" xfId="0" applyFont="1" applyFill="1" applyBorder="1" applyAlignment="1">
      <alignment horizontal="right" vertical="center"/>
    </xf>
    <xf numFmtId="0" fontId="3" fillId="0" borderId="7" xfId="0" applyFont="1" applyFill="1" applyBorder="1" applyAlignment="1">
      <alignment horizontal="left" vertical="center" wrapText="1"/>
    </xf>
    <xf numFmtId="0" fontId="19" fillId="11" borderId="13" xfId="0" applyFont="1" applyFill="1" applyBorder="1" applyAlignment="1" applyProtection="1">
      <alignment horizontal="right" vertical="center"/>
      <protection locked="0"/>
    </xf>
    <xf numFmtId="0" fontId="0" fillId="0" borderId="1" xfId="0" applyBorder="1" applyAlignment="1">
      <alignment vertical="center"/>
    </xf>
    <xf numFmtId="177" fontId="3" fillId="7" borderId="1" xfId="0" applyNumberFormat="1" applyFont="1" applyFill="1" applyBorder="1" applyAlignment="1"/>
    <xf numFmtId="0" fontId="31" fillId="0" borderId="0" xfId="0" applyFont="1" applyAlignment="1">
      <alignment horizontal="right" vertical="center"/>
    </xf>
    <xf numFmtId="0" fontId="0" fillId="0" borderId="1" xfId="0" applyBorder="1" applyAlignment="1">
      <alignment horizontal="left" vertical="center"/>
    </xf>
    <xf numFmtId="0" fontId="3" fillId="12" borderId="32" xfId="0" applyFont="1" applyFill="1" applyBorder="1" applyAlignment="1">
      <alignment vertical="center" wrapText="1"/>
    </xf>
    <xf numFmtId="0" fontId="3" fillId="12" borderId="33" xfId="0" applyFont="1" applyFill="1" applyBorder="1" applyAlignment="1">
      <alignment vertical="center" wrapText="1"/>
    </xf>
    <xf numFmtId="0" fontId="0" fillId="0" borderId="0" xfId="0" applyFont="1" applyAlignment="1">
      <alignment vertical="center"/>
    </xf>
    <xf numFmtId="9" fontId="31" fillId="11" borderId="8" xfId="6" applyFont="1" applyFill="1" applyBorder="1" applyAlignment="1" applyProtection="1">
      <alignment horizontal="right" vertical="center"/>
      <protection locked="0"/>
    </xf>
    <xf numFmtId="0" fontId="3" fillId="0" borderId="10" xfId="0" applyFont="1" applyFill="1" applyBorder="1" applyAlignment="1">
      <alignment horizontal="left" vertical="center"/>
    </xf>
    <xf numFmtId="2" fontId="31" fillId="11" borderId="13" xfId="0" applyNumberFormat="1" applyFont="1" applyFill="1" applyBorder="1" applyAlignment="1" applyProtection="1">
      <alignment horizontal="right" vertical="center"/>
      <protection locked="0"/>
    </xf>
    <xf numFmtId="9" fontId="33" fillId="0" borderId="0" xfId="0" applyNumberFormat="1" applyFont="1" applyBorder="1" applyAlignment="1">
      <alignment horizontal="left" vertical="center"/>
    </xf>
    <xf numFmtId="9" fontId="34" fillId="0" borderId="0" xfId="0" applyNumberFormat="1" applyFont="1" applyBorder="1" applyAlignment="1">
      <alignment horizontal="left" vertical="center"/>
    </xf>
    <xf numFmtId="9" fontId="19" fillId="0" borderId="1" xfId="0" applyNumberFormat="1" applyFont="1" applyBorder="1" applyAlignment="1">
      <alignment horizontal="left" vertical="center" wrapText="1"/>
    </xf>
    <xf numFmtId="177" fontId="19" fillId="0" borderId="1" xfId="1" applyNumberFormat="1" applyFont="1" applyBorder="1" applyAlignment="1">
      <alignment horizontal="right" vertical="center"/>
    </xf>
    <xf numFmtId="0" fontId="3" fillId="12" borderId="1" xfId="0" applyFont="1" applyFill="1" applyBorder="1" applyAlignment="1">
      <alignment horizontal="center" vertical="center" wrapText="1"/>
    </xf>
    <xf numFmtId="177" fontId="0" fillId="0" borderId="1" xfId="1" applyNumberFormat="1" applyFont="1" applyBorder="1" applyAlignment="1">
      <alignment horizontal="center" vertical="center"/>
    </xf>
    <xf numFmtId="176" fontId="0" fillId="0" borderId="1" xfId="6" applyNumberFormat="1" applyFill="1" applyBorder="1" applyAlignment="1">
      <alignment horizontal="center" vertical="center"/>
    </xf>
    <xf numFmtId="0" fontId="16" fillId="0" borderId="0" xfId="0" applyFont="1" applyAlignment="1">
      <alignment horizontal="right" vertical="center"/>
    </xf>
    <xf numFmtId="9" fontId="3" fillId="9" borderId="34" xfId="0" applyNumberFormat="1" applyFont="1" applyFill="1" applyBorder="1" applyAlignment="1">
      <alignment horizontal="center" vertical="center"/>
    </xf>
    <xf numFmtId="9" fontId="3" fillId="9" borderId="35" xfId="0" applyNumberFormat="1" applyFont="1" applyFill="1" applyBorder="1" applyAlignment="1">
      <alignment horizontal="center" vertical="center"/>
    </xf>
    <xf numFmtId="9" fontId="3" fillId="9" borderId="24" xfId="0" applyNumberFormat="1" applyFont="1" applyFill="1" applyBorder="1" applyAlignment="1">
      <alignment horizontal="center" vertical="center"/>
    </xf>
    <xf numFmtId="0" fontId="35" fillId="7" borderId="1" xfId="0" applyFont="1" applyFill="1" applyBorder="1" applyAlignment="1">
      <alignment horizontal="center" vertical="center"/>
    </xf>
    <xf numFmtId="0" fontId="35" fillId="9" borderId="1" xfId="0" applyFont="1" applyFill="1" applyBorder="1" applyAlignment="1">
      <alignment horizontal="center" vertical="center"/>
    </xf>
    <xf numFmtId="9" fontId="36" fillId="0" borderId="1" xfId="0" applyNumberFormat="1" applyFont="1" applyBorder="1" applyAlignment="1">
      <alignment horizontal="right" vertical="center" wrapText="1"/>
    </xf>
    <xf numFmtId="179" fontId="36" fillId="7" borderId="1" xfId="1" applyNumberFormat="1" applyFont="1" applyFill="1" applyBorder="1" applyAlignment="1">
      <alignment horizontal="right" vertical="center"/>
    </xf>
    <xf numFmtId="179" fontId="36" fillId="9" borderId="1" xfId="1" applyNumberFormat="1" applyFont="1" applyFill="1" applyBorder="1" applyAlignment="1">
      <alignment horizontal="right" vertical="center"/>
    </xf>
    <xf numFmtId="9" fontId="36" fillId="0" borderId="1" xfId="0" applyNumberFormat="1" applyFont="1" applyBorder="1" applyAlignment="1">
      <alignment horizontal="right" vertical="center"/>
    </xf>
    <xf numFmtId="182" fontId="36" fillId="7" borderId="1" xfId="1" applyNumberFormat="1" applyFont="1" applyFill="1" applyBorder="1" applyAlignment="1">
      <alignment horizontal="right" vertical="center"/>
    </xf>
    <xf numFmtId="182" fontId="36" fillId="9" borderId="1" xfId="1" applyNumberFormat="1" applyFont="1" applyFill="1" applyBorder="1" applyAlignment="1">
      <alignment horizontal="right" vertical="center"/>
    </xf>
    <xf numFmtId="0" fontId="37" fillId="8" borderId="4" xfId="0" applyFont="1" applyFill="1" applyBorder="1" applyAlignment="1">
      <alignment horizontal="center" vertical="center" wrapText="1"/>
    </xf>
    <xf numFmtId="0" fontId="37" fillId="8" borderId="5" xfId="0" applyFont="1" applyFill="1" applyBorder="1" applyAlignment="1">
      <alignment horizontal="center" vertical="center" wrapText="1"/>
    </xf>
    <xf numFmtId="0" fontId="19" fillId="0" borderId="1" xfId="0" applyFont="1" applyBorder="1" applyAlignment="1">
      <alignment horizontal="left" vertical="center"/>
    </xf>
    <xf numFmtId="0" fontId="38" fillId="0" borderId="7" xfId="0" applyFont="1" applyFill="1" applyBorder="1" applyAlignment="1">
      <alignment horizontal="center" vertical="center" wrapText="1"/>
    </xf>
    <xf numFmtId="0" fontId="36" fillId="0" borderId="1" xfId="0" applyFont="1" applyBorder="1" applyAlignment="1">
      <alignment horizontal="center" vertical="center"/>
    </xf>
    <xf numFmtId="0" fontId="38" fillId="0" borderId="10" xfId="0" applyFont="1" applyFill="1" applyBorder="1" applyAlignment="1">
      <alignment horizontal="center" vertical="center" wrapText="1"/>
    </xf>
    <xf numFmtId="0" fontId="36" fillId="0" borderId="12" xfId="0" applyFont="1" applyBorder="1" applyAlignment="1">
      <alignment horizontal="center" vertical="center"/>
    </xf>
    <xf numFmtId="0" fontId="36" fillId="0" borderId="0" xfId="0" applyFont="1" applyAlignment="1">
      <alignment horizontal="center" vertical="center"/>
    </xf>
    <xf numFmtId="0" fontId="37" fillId="8" borderId="6" xfId="0" applyFont="1" applyFill="1" applyBorder="1" applyAlignment="1">
      <alignment horizontal="center" vertical="center" wrapText="1"/>
    </xf>
    <xf numFmtId="0" fontId="37" fillId="8" borderId="36" xfId="0" applyFont="1" applyFill="1" applyBorder="1" applyAlignment="1">
      <alignment horizontal="center" vertical="center" wrapText="1"/>
    </xf>
    <xf numFmtId="0" fontId="36" fillId="0" borderId="8" xfId="0" applyFont="1" applyBorder="1" applyAlignment="1">
      <alignment horizontal="center" vertical="center"/>
    </xf>
    <xf numFmtId="9" fontId="36" fillId="0" borderId="37" xfId="6" applyFont="1" applyBorder="1" applyAlignment="1">
      <alignment horizontal="center" vertical="center"/>
    </xf>
    <xf numFmtId="0" fontId="36" fillId="0" borderId="13" xfId="0" applyFont="1" applyBorder="1" applyAlignment="1">
      <alignment horizontal="center" vertical="center"/>
    </xf>
    <xf numFmtId="9" fontId="36" fillId="0" borderId="38" xfId="6" applyFont="1" applyBorder="1" applyAlignment="1">
      <alignment horizontal="center" vertical="center"/>
    </xf>
    <xf numFmtId="9" fontId="34" fillId="0" borderId="0" xfId="0" applyNumberFormat="1" applyFont="1" applyBorder="1" applyAlignment="1" quotePrefix="1">
      <alignment horizontal="left" vertical="center"/>
    </xf>
  </cellXfs>
  <cellStyles count="9">
    <cellStyle name="Normal" xfId="0" builtinId="0"/>
    <cellStyle name="Comma" xfId="1" builtinId="3"/>
    <cellStyle name="Normal 2" xfId="2"/>
    <cellStyle name="Comma 2" xfId="3"/>
    <cellStyle name="Currency" xfId="4" builtinId="4"/>
    <cellStyle name="Comma[0]" xfId="5" builtinId="6"/>
    <cellStyle name="Percent" xfId="6" builtinId="5"/>
    <cellStyle name="Currency[0]" xfId="7" builtinId="7"/>
    <cellStyle name="Normal 3" xfId="8"/>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38"/>
  <sheetViews>
    <sheetView showGridLines="0" tabSelected="1" workbookViewId="0">
      <selection activeCell="C10" sqref="C10"/>
    </sheetView>
  </sheetViews>
  <sheetFormatPr defaultColWidth="9" defaultRowHeight="14.25"/>
  <cols>
    <col min="1" max="1" width="5.425" style="217" customWidth="1"/>
    <col min="2" max="2" width="44.2833333333333" style="218" customWidth="1"/>
    <col min="3" max="3" width="16.1416666666667" style="218" customWidth="1"/>
    <col min="4" max="4" width="13.675" style="218" customWidth="1"/>
    <col min="5" max="5" width="52.8583333333333" style="217" customWidth="1"/>
    <col min="6" max="6" width="19.1416666666667" style="217" customWidth="1"/>
    <col min="7" max="7" width="15.8583333333333" style="217" customWidth="1"/>
    <col min="8" max="10" width="9.14166666666667" style="217"/>
    <col min="11" max="11" width="26.5666666666667" style="217" hidden="1" customWidth="1"/>
    <col min="12" max="13" width="9.14166666666667" style="217"/>
    <col min="14" max="14" width="5" style="217" customWidth="1"/>
    <col min="15" max="15" width="5.59166666666667" style="217" customWidth="1"/>
    <col min="16" max="16" width="5.44166666666667" style="217" customWidth="1"/>
    <col min="17" max="17" width="11.175" style="217" customWidth="1"/>
    <col min="18" max="18" width="10.725" style="217" customWidth="1"/>
    <col min="19" max="16384" width="9.14166666666667" style="217"/>
  </cols>
  <sheetData>
    <row r="1" ht="15" spans="2:2">
      <c r="B1" s="219" t="s">
        <v>0</v>
      </c>
    </row>
    <row r="2" ht="15" spans="2:2">
      <c r="B2" s="220" t="s">
        <v>1</v>
      </c>
    </row>
    <row r="4" ht="15.75" spans="2:18">
      <c r="B4" s="221" t="s">
        <v>2</v>
      </c>
      <c r="C4" s="222"/>
      <c r="E4" s="223" t="s">
        <v>3</v>
      </c>
      <c r="F4" s="224"/>
      <c r="N4" s="268" t="s">
        <v>4</v>
      </c>
      <c r="O4" s="269" t="s">
        <v>5</v>
      </c>
      <c r="P4" s="269" t="s">
        <v>6</v>
      </c>
      <c r="Q4" s="276" t="s">
        <v>7</v>
      </c>
      <c r="R4" s="277" t="s">
        <v>8</v>
      </c>
    </row>
    <row r="5" ht="15" spans="2:18">
      <c r="B5" s="225" t="s">
        <v>9</v>
      </c>
      <c r="C5" s="226">
        <f>F10</f>
        <v>5360000</v>
      </c>
      <c r="E5" s="227" t="str">
        <f>IF(ST_Indicator="No",CONCATENATE(K5,K7,K8),CONCATENATE(K5,K6,K8))</f>
        <v>Orig. Installment Premium (Rs.) INCLUDING Service Tax for Year 1: </v>
      </c>
      <c r="F5" s="228">
        <v>50000</v>
      </c>
      <c r="K5" s="270" t="s">
        <v>10</v>
      </c>
      <c r="N5" s="271" t="s">
        <v>11</v>
      </c>
      <c r="O5" s="272" t="s">
        <v>12</v>
      </c>
      <c r="P5" s="272" t="s">
        <v>13</v>
      </c>
      <c r="Q5" s="278" t="s">
        <v>14</v>
      </c>
      <c r="R5" s="279">
        <v>0</v>
      </c>
    </row>
    <row r="6" ht="15" spans="2:18">
      <c r="B6" s="225" t="s">
        <v>15</v>
      </c>
      <c r="C6" s="229">
        <v>38</v>
      </c>
      <c r="E6" s="230"/>
      <c r="F6" s="230"/>
      <c r="K6" s="270" t="s">
        <v>16</v>
      </c>
      <c r="N6" s="273" t="s">
        <v>17</v>
      </c>
      <c r="O6" s="274" t="s">
        <v>18</v>
      </c>
      <c r="P6" s="274" t="s">
        <v>19</v>
      </c>
      <c r="Q6" s="280" t="s">
        <v>20</v>
      </c>
      <c r="R6" s="279">
        <v>0.25</v>
      </c>
    </row>
    <row r="7" ht="15" spans="2:18">
      <c r="B7" s="225" t="s">
        <v>4</v>
      </c>
      <c r="C7" s="229" t="s">
        <v>17</v>
      </c>
      <c r="E7" s="231" t="s">
        <v>21</v>
      </c>
      <c r="F7" s="232"/>
      <c r="K7" s="270" t="s">
        <v>22</v>
      </c>
      <c r="N7" s="275"/>
      <c r="O7" s="275"/>
      <c r="P7" s="275"/>
      <c r="Q7" s="275"/>
      <c r="R7" s="279">
        <v>0.5</v>
      </c>
    </row>
    <row r="8" ht="15" spans="2:18">
      <c r="B8" s="225" t="s">
        <v>5</v>
      </c>
      <c r="C8" s="229" t="s">
        <v>12</v>
      </c>
      <c r="E8" s="233" t="s">
        <v>23</v>
      </c>
      <c r="F8" s="234">
        <f>'Product Data n Calcs'!AI2</f>
        <v>5360815</v>
      </c>
      <c r="G8" s="235" t="str">
        <f>IF(F10&lt;200000,"The Sum Assured is less than the minimum allowed. Thus input a higher premium.","")</f>
        <v/>
      </c>
      <c r="H8" s="235"/>
      <c r="I8" s="235"/>
      <c r="J8" s="235"/>
      <c r="K8" s="270" t="s">
        <v>24</v>
      </c>
      <c r="N8" s="275"/>
      <c r="O8" s="275"/>
      <c r="P8" s="275"/>
      <c r="Q8" s="275"/>
      <c r="R8" s="279">
        <v>0.75</v>
      </c>
    </row>
    <row r="9" ht="15" spans="2:18">
      <c r="B9" s="225" t="s">
        <v>25</v>
      </c>
      <c r="C9" s="236" t="s">
        <v>19</v>
      </c>
      <c r="G9" s="235"/>
      <c r="H9" s="235"/>
      <c r="I9" s="235"/>
      <c r="J9" s="235"/>
      <c r="N9" s="275"/>
      <c r="O9" s="275"/>
      <c r="P9" s="275"/>
      <c r="Q9" s="275"/>
      <c r="R9" s="279">
        <v>1</v>
      </c>
    </row>
    <row r="10" ht="45" customHeight="1" spans="2:18">
      <c r="B10" s="237" t="s">
        <v>26</v>
      </c>
      <c r="C10" s="238" t="s">
        <v>27</v>
      </c>
      <c r="E10" s="239" t="s">
        <v>28</v>
      </c>
      <c r="F10" s="240">
        <f>+ROUNDDOWN(F8,-4)</f>
        <v>5360000</v>
      </c>
      <c r="G10" s="235" t="s">
        <v>29</v>
      </c>
      <c r="H10" s="235"/>
      <c r="I10" s="235"/>
      <c r="J10" s="235"/>
      <c r="N10" s="275"/>
      <c r="O10" s="275"/>
      <c r="P10" s="275"/>
      <c r="Q10" s="275"/>
      <c r="R10" s="279">
        <v>1.25</v>
      </c>
    </row>
    <row r="11" ht="15" spans="3:18">
      <c r="C11" s="241"/>
      <c r="E11" s="242" t="s">
        <v>30</v>
      </c>
      <c r="F11" s="240">
        <f>+C16</f>
        <v>49992.39</v>
      </c>
      <c r="G11" s="235"/>
      <c r="H11" s="235"/>
      <c r="I11" s="235"/>
      <c r="J11" s="235"/>
      <c r="N11" s="275"/>
      <c r="O11" s="275"/>
      <c r="P11" s="275"/>
      <c r="Q11" s="275"/>
      <c r="R11" s="279">
        <v>1.5</v>
      </c>
    </row>
    <row r="12" ht="15" spans="2:18">
      <c r="B12" s="243" t="s">
        <v>31</v>
      </c>
      <c r="C12" s="244"/>
      <c r="F12" s="245"/>
      <c r="G12" s="235"/>
      <c r="H12" s="235"/>
      <c r="I12" s="235"/>
      <c r="J12" s="235"/>
      <c r="N12" s="275"/>
      <c r="O12" s="275"/>
      <c r="P12" s="275"/>
      <c r="Q12" s="275"/>
      <c r="R12" s="279">
        <v>1.75</v>
      </c>
    </row>
    <row r="13" ht="15" spans="2:18">
      <c r="B13" s="225" t="s">
        <v>32</v>
      </c>
      <c r="C13" s="246">
        <v>0</v>
      </c>
      <c r="F13" s="245"/>
      <c r="G13" s="235"/>
      <c r="H13" s="235"/>
      <c r="I13" s="235"/>
      <c r="J13" s="235"/>
      <c r="N13" s="275"/>
      <c r="O13" s="275"/>
      <c r="P13" s="275"/>
      <c r="Q13" s="275"/>
      <c r="R13" s="279">
        <v>2</v>
      </c>
    </row>
    <row r="14" ht="15" spans="2:18">
      <c r="B14" s="247" t="s">
        <v>33</v>
      </c>
      <c r="C14" s="248">
        <v>0</v>
      </c>
      <c r="E14" s="249" t="s">
        <v>34</v>
      </c>
      <c r="N14" s="275"/>
      <c r="O14" s="275"/>
      <c r="P14" s="275"/>
      <c r="Q14" s="275"/>
      <c r="R14" s="279">
        <v>2.25</v>
      </c>
    </row>
    <row r="15" ht="15.75" spans="2:18">
      <c r="B15"/>
      <c r="C15"/>
      <c r="E15" s="250" t="s">
        <v>35</v>
      </c>
      <c r="N15" s="275"/>
      <c r="O15" s="275"/>
      <c r="P15" s="275"/>
      <c r="Q15" s="275"/>
      <c r="R15" s="279">
        <v>2.5</v>
      </c>
    </row>
    <row r="16" ht="15.75" spans="2:18">
      <c r="B16" s="251" t="s">
        <v>36</v>
      </c>
      <c r="C16" s="252">
        <f>IF(ST_Indicator="No",'Product Data n Calcs'!W18,'Product Data n Calcs'!W20)</f>
        <v>49992.39</v>
      </c>
      <c r="E16" s="282" t="s">
        <v>37</v>
      </c>
      <c r="N16" s="275"/>
      <c r="O16" s="275"/>
      <c r="P16" s="275"/>
      <c r="Q16" s="275"/>
      <c r="R16" s="279">
        <v>2.75</v>
      </c>
    </row>
    <row r="17" ht="16.5" customHeight="1" spans="14:18">
      <c r="N17" s="275"/>
      <c r="O17" s="275"/>
      <c r="P17" s="275"/>
      <c r="Q17" s="275"/>
      <c r="R17" s="279">
        <v>3</v>
      </c>
    </row>
    <row r="18" ht="15" spans="2:18">
      <c r="B18" s="253" t="s">
        <v>38</v>
      </c>
      <c r="C18" s="253" t="s">
        <v>39</v>
      </c>
      <c r="N18" s="275"/>
      <c r="O18" s="275"/>
      <c r="P18" s="275"/>
      <c r="Q18" s="275"/>
      <c r="R18" s="279">
        <v>3.25</v>
      </c>
    </row>
    <row r="19" ht="16.5" customHeight="1" spans="2:18">
      <c r="B19" s="254" t="s">
        <v>40</v>
      </c>
      <c r="C19" s="255">
        <v>0.045</v>
      </c>
      <c r="N19" s="275"/>
      <c r="O19" s="275"/>
      <c r="P19" s="275"/>
      <c r="Q19" s="275"/>
      <c r="R19" s="281">
        <v>3.5</v>
      </c>
    </row>
    <row r="20" ht="16.5" customHeight="1" spans="2:18">
      <c r="B20" s="254" t="s">
        <v>41</v>
      </c>
      <c r="C20" s="255">
        <v>0.0225</v>
      </c>
      <c r="N20" s="275"/>
      <c r="O20" s="275"/>
      <c r="P20" s="275"/>
      <c r="Q20" s="275"/>
      <c r="R20" s="279"/>
    </row>
    <row r="21" ht="16.5" customHeight="1" spans="14:18">
      <c r="N21" s="275"/>
      <c r="O21" s="275"/>
      <c r="P21" s="275"/>
      <c r="Q21" s="275"/>
      <c r="R21" s="279"/>
    </row>
    <row r="22" spans="1:4">
      <c r="A22" s="256"/>
      <c r="B22" s="256"/>
      <c r="C22" s="256"/>
      <c r="D22" s="256"/>
    </row>
    <row r="23" ht="15" spans="1:4">
      <c r="A23" s="256"/>
      <c r="B23" s="257" t="str">
        <f>'Product Data n Calcs'!$V$17</f>
        <v>First Year Modal Prem Calcs</v>
      </c>
      <c r="C23" s="258"/>
      <c r="D23" s="259"/>
    </row>
    <row r="24" spans="1:4">
      <c r="A24" s="256"/>
      <c r="B24" s="242"/>
      <c r="C24" s="260" t="s">
        <v>42</v>
      </c>
      <c r="D24" s="261" t="s">
        <v>43</v>
      </c>
    </row>
    <row r="25" spans="1:4">
      <c r="A25" s="256"/>
      <c r="B25" s="262" t="str">
        <f>'Product Data n Calcs'!V18</f>
        <v>Modal Premium (Basic Prem + Extra Prem, incl. Disc.)</v>
      </c>
      <c r="C25" s="263">
        <f>'Product Data n Calcs'!W18</f>
        <v>47839.61</v>
      </c>
      <c r="D25" s="264">
        <f>'Product Data n Calcs'!X18</f>
        <v>47840</v>
      </c>
    </row>
    <row r="26" spans="1:4">
      <c r="A26" s="256"/>
      <c r="B26" s="265" t="str">
        <f>'Product Data n Calcs'!V19</f>
        <v>Service Tax and applicable Cess</v>
      </c>
      <c r="C26" s="266">
        <f>'Product Data n Calcs'!W19</f>
        <v>2152.78</v>
      </c>
      <c r="D26" s="267">
        <f>'Product Data n Calcs'!X19</f>
        <v>2152.8</v>
      </c>
    </row>
    <row r="27" spans="1:4">
      <c r="A27"/>
      <c r="B27" s="265" t="str">
        <f>'Product Data n Calcs'!V20</f>
        <v>Total Modal Premium</v>
      </c>
      <c r="C27" s="266">
        <f>'Product Data n Calcs'!W20</f>
        <v>49992.39</v>
      </c>
      <c r="D27" s="264">
        <f>'Product Data n Calcs'!X20</f>
        <v>49992.8</v>
      </c>
    </row>
    <row r="28" spans="1:4">
      <c r="A28"/>
      <c r="B28" s="265" t="str">
        <f>'Product Data n Calcs'!V21</f>
        <v>Annualized Premium</v>
      </c>
      <c r="C28" s="263">
        <f>'Product Data n Calcs'!W21</f>
        <v>574075.32</v>
      </c>
      <c r="D28" s="264">
        <f>'Product Data n Calcs'!X21</f>
        <v>574080</v>
      </c>
    </row>
    <row r="29" spans="1:4">
      <c r="A29"/>
      <c r="B29" s="217"/>
      <c r="C29" s="217"/>
      <c r="D29" s="217"/>
    </row>
    <row r="30" ht="15" spans="1:4">
      <c r="A30"/>
      <c r="B30" s="257" t="s">
        <v>44</v>
      </c>
      <c r="C30" s="258"/>
      <c r="D30" s="259"/>
    </row>
    <row r="31" spans="1:4">
      <c r="A31"/>
      <c r="B31" s="242"/>
      <c r="C31" s="260" t="s">
        <v>42</v>
      </c>
      <c r="D31" s="261" t="s">
        <v>43</v>
      </c>
    </row>
    <row r="32" spans="1:4">
      <c r="A32"/>
      <c r="B32" s="262" t="str">
        <f>'Product Data n Calcs'!V24</f>
        <v>Modal Premium (Basic Prem + Extra Prem, incl. Disc.)</v>
      </c>
      <c r="C32" s="263">
        <f>'Product Data n Calcs'!W24</f>
        <v>47839.61</v>
      </c>
      <c r="D32" s="264">
        <f>'Product Data n Calcs'!X24</f>
        <v>47840</v>
      </c>
    </row>
    <row r="33" spans="1:4">
      <c r="A33"/>
      <c r="B33" s="265" t="str">
        <f>'Product Data n Calcs'!V25</f>
        <v>Service Tax and applicable Cess</v>
      </c>
      <c r="C33" s="263">
        <f>'Product Data n Calcs'!W25</f>
        <v>1076.39</v>
      </c>
      <c r="D33" s="267">
        <f>'Product Data n Calcs'!X25</f>
        <v>1076.4</v>
      </c>
    </row>
    <row r="34" spans="1:4">
      <c r="A34"/>
      <c r="B34" s="265" t="str">
        <f>'Product Data n Calcs'!V26</f>
        <v>Total Modal Premium</v>
      </c>
      <c r="C34" s="263">
        <f>'Product Data n Calcs'!W26</f>
        <v>48916</v>
      </c>
      <c r="D34" s="264">
        <f>'Product Data n Calcs'!X26</f>
        <v>48916.4</v>
      </c>
    </row>
    <row r="35" spans="1:4">
      <c r="A35"/>
      <c r="B35" s="265" t="str">
        <f>'Product Data n Calcs'!V27</f>
        <v>Annualized Premium</v>
      </c>
      <c r="C35" s="263">
        <f>'Product Data n Calcs'!W27</f>
        <v>574075.32</v>
      </c>
      <c r="D35" s="264">
        <f>'Product Data n Calcs'!X27</f>
        <v>574080</v>
      </c>
    </row>
    <row r="36" spans="1:3">
      <c r="A36"/>
      <c r="B36"/>
      <c r="C36"/>
    </row>
    <row r="37" spans="1:3">
      <c r="A37"/>
      <c r="B37"/>
      <c r="C37"/>
    </row>
    <row r="38" spans="1:3">
      <c r="A38"/>
      <c r="B38"/>
      <c r="C38"/>
    </row>
  </sheetData>
  <protectedRanges>
    <protectedRange sqref="C13:C15" name="Range2" securityDescriptor=""/>
    <protectedRange sqref="C5:C9" name="Range1" securityDescriptor=""/>
    <protectedRange sqref="C10" name="Range1_1" securityDescriptor=""/>
  </protectedRanges>
  <mergeCells count="7">
    <mergeCell ref="B4:C4"/>
    <mergeCell ref="E4:F4"/>
    <mergeCell ref="E7:F7"/>
    <mergeCell ref="B23:D23"/>
    <mergeCell ref="B30:D30"/>
    <mergeCell ref="G10:J13"/>
    <mergeCell ref="G8:J9"/>
  </mergeCells>
  <dataValidations count="8">
    <dataValidation type="decimal" operator="between" allowBlank="1" showInputMessage="1" showErrorMessage="1" prompt="Enter Decimal between 0 and 9." sqref="C14">
      <formula1>0</formula1>
      <formula2>9</formula2>
    </dataValidation>
    <dataValidation type="list" showInputMessage="1" showErrorMessage="1" sqref="C9">
      <formula1>$P$5:$P$6</formula1>
    </dataValidation>
    <dataValidation type="list" showInputMessage="1" showErrorMessage="1" sqref="C8">
      <formula1>$O$5:$O$6</formula1>
    </dataValidation>
    <dataValidation type="list" allowBlank="1" showInputMessage="1" showErrorMessage="1" sqref="C7">
      <formula1>$N$5:$N$6</formula1>
    </dataValidation>
    <dataValidation type="whole" operator="between" allowBlank="1" showInputMessage="1" showErrorMessage="1" prompt="Enter age (last birthday) between 18 and 55." sqref="C6">
      <formula1>18</formula1>
      <formula2>55</formula2>
    </dataValidation>
    <dataValidation type="whole" operator="between" allowBlank="1" showInputMessage="1" showErrorMessage="1" prompt="SA should be between 0 &amp; 100 Cr." sqref="C5">
      <formula1>0</formula1>
      <formula2>1000000000</formula2>
    </dataValidation>
    <dataValidation type="list" showInputMessage="1" showErrorMessage="1" sqref="C10">
      <formula1>"Yes,No"</formula1>
    </dataValidation>
    <dataValidation type="list" showInputMessage="1" showErrorMessage="1" sqref="C13">
      <formula1>$R$5:$R$19</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119"/>
  <sheetViews>
    <sheetView zoomScale="70" zoomScaleNormal="70" topLeftCell="A31" workbookViewId="0">
      <selection activeCell="E38" sqref="E38"/>
    </sheetView>
  </sheetViews>
  <sheetFormatPr defaultColWidth="9" defaultRowHeight="14.25"/>
  <cols>
    <col min="1" max="1" width="9.14166666666667" style="145"/>
    <col min="2" max="3" width="17.5666666666667" customWidth="1"/>
    <col min="4" max="4" width="21.8583333333333" customWidth="1"/>
    <col min="5" max="5" width="14.2833333333333" customWidth="1"/>
    <col min="6" max="6" width="19.5666666666667" customWidth="1"/>
    <col min="7" max="7" width="18.2833333333333" customWidth="1"/>
    <col min="8" max="8" width="18.7083333333333" customWidth="1"/>
    <col min="9" max="9" width="18.2833333333333" customWidth="1"/>
    <col min="10" max="10" width="21" style="145" customWidth="1"/>
    <col min="11" max="11" width="21.2833333333333" style="145" customWidth="1"/>
    <col min="12" max="12" width="19" style="145" customWidth="1"/>
    <col min="13" max="13" width="17" style="145" customWidth="1"/>
    <col min="14" max="14" width="12.1416666666667" style="145" hidden="1" customWidth="1"/>
    <col min="15" max="31" width="9.14166666666667" style="145"/>
  </cols>
  <sheetData>
    <row r="1" s="145" customFormat="1" ht="15" spans="1:6">
      <c r="A1" s="148" t="s">
        <v>45</v>
      </c>
      <c r="F1" s="149" t="s">
        <v>46</v>
      </c>
    </row>
    <row r="2" s="145" customFormat="1"/>
    <row r="3" s="145" customFormat="1"/>
    <row r="4" s="145" customFormat="1"/>
    <row r="5" s="145" customFormat="1"/>
    <row r="6" s="145" customFormat="1"/>
    <row r="7" s="145" customFormat="1"/>
    <row r="8" s="145" customFormat="1"/>
    <row r="9" s="146" customFormat="1" spans="1:1">
      <c r="A9" s="146" t="s">
        <v>47</v>
      </c>
    </row>
    <row r="10" s="146" customFormat="1" spans="1:1">
      <c r="A10" s="146" t="s">
        <v>48</v>
      </c>
    </row>
    <row r="11" s="146" customFormat="1"/>
    <row r="12" s="146" customFormat="1"/>
    <row r="13" s="146" customFormat="1" ht="18" spans="1:10">
      <c r="A13" s="150" t="s">
        <v>49</v>
      </c>
      <c r="B13" s="151"/>
      <c r="C13" s="151"/>
      <c r="D13" s="151"/>
      <c r="E13" s="151"/>
      <c r="F13" s="150" t="s">
        <v>50</v>
      </c>
      <c r="G13" s="151"/>
      <c r="H13" s="151"/>
      <c r="I13" s="151"/>
      <c r="J13" s="151"/>
    </row>
    <row r="14" s="146" customFormat="1" spans="1:10">
      <c r="A14" s="152" t="s">
        <v>51</v>
      </c>
      <c r="B14" s="152"/>
      <c r="C14" s="152"/>
      <c r="D14" s="153"/>
      <c r="E14" s="153"/>
      <c r="F14" s="152" t="s">
        <v>52</v>
      </c>
      <c r="G14" s="152"/>
      <c r="H14" s="152" t="s">
        <v>53</v>
      </c>
      <c r="I14" s="152"/>
      <c r="J14" s="152" t="s">
        <v>54</v>
      </c>
    </row>
    <row r="15" s="146" customFormat="1" spans="1:10">
      <c r="A15" s="152"/>
      <c r="B15" s="152"/>
      <c r="C15" s="152"/>
      <c r="D15" s="154"/>
      <c r="E15" s="152"/>
      <c r="F15" s="152"/>
      <c r="G15" s="152"/>
      <c r="H15" s="152"/>
      <c r="I15" s="152"/>
      <c r="J15" s="152"/>
    </row>
    <row r="16" s="146" customFormat="1" ht="52.5" customHeight="1" spans="1:10">
      <c r="A16" s="152" t="s">
        <v>55</v>
      </c>
      <c r="B16" s="152"/>
      <c r="C16" s="152"/>
      <c r="D16" s="155">
        <f>Age</f>
        <v>38</v>
      </c>
      <c r="E16" s="152"/>
      <c r="F16" s="152" t="s">
        <v>56</v>
      </c>
      <c r="G16" s="152"/>
      <c r="H16" s="156" t="s">
        <v>57</v>
      </c>
      <c r="I16" s="156"/>
      <c r="J16" s="152"/>
    </row>
    <row r="17" s="146" customFormat="1" spans="1:10">
      <c r="A17" s="152" t="s">
        <v>58</v>
      </c>
      <c r="B17" s="152"/>
      <c r="C17" s="152"/>
      <c r="D17" s="155" t="s">
        <v>59</v>
      </c>
      <c r="E17" s="152"/>
      <c r="F17" s="152"/>
      <c r="G17" s="152"/>
      <c r="H17" s="157"/>
      <c r="I17" s="157"/>
      <c r="J17" s="152"/>
    </row>
    <row r="18" s="146" customFormat="1" spans="1:10">
      <c r="A18" s="152" t="s">
        <v>60</v>
      </c>
      <c r="B18" s="152"/>
      <c r="C18" s="152"/>
      <c r="D18" s="155" t="str">
        <f>IF('Premium Calculation'!C8="M","Male","Female")</f>
        <v>Male</v>
      </c>
      <c r="E18" s="152"/>
      <c r="F18" s="152"/>
      <c r="G18" s="152"/>
      <c r="H18" s="152"/>
      <c r="I18" s="152"/>
      <c r="J18" s="152"/>
    </row>
    <row r="19" s="146" customFormat="1" spans="1:10">
      <c r="A19" s="152"/>
      <c r="B19" s="152"/>
      <c r="C19" s="152"/>
      <c r="D19" s="152"/>
      <c r="E19" s="152"/>
      <c r="F19" s="152"/>
      <c r="G19" s="152"/>
      <c r="H19" s="152"/>
      <c r="I19" s="152"/>
      <c r="J19" s="152"/>
    </row>
    <row r="20" s="146" customFormat="1" spans="1:10">
      <c r="A20" s="152" t="s">
        <v>61</v>
      </c>
      <c r="B20" s="152"/>
      <c r="C20" s="152"/>
      <c r="D20" s="158">
        <f ca="1">TODAY()</f>
        <v>42914</v>
      </c>
      <c r="E20" s="152"/>
      <c r="F20" s="152" t="s">
        <v>62</v>
      </c>
      <c r="G20" s="152"/>
      <c r="H20" s="155">
        <v>25</v>
      </c>
      <c r="I20" s="152" t="s">
        <v>63</v>
      </c>
      <c r="J20" s="152"/>
    </row>
    <row r="21" s="146" customFormat="1" spans="1:10">
      <c r="A21" s="152"/>
      <c r="B21" s="159"/>
      <c r="C21" s="159"/>
      <c r="D21" s="152"/>
      <c r="E21" s="152"/>
      <c r="F21" s="152"/>
      <c r="G21" s="152"/>
      <c r="H21" s="152"/>
      <c r="I21" s="152"/>
      <c r="J21" s="152"/>
    </row>
    <row r="22" s="146" customFormat="1" spans="1:10">
      <c r="A22" s="152" t="s">
        <v>64</v>
      </c>
      <c r="B22" s="152"/>
      <c r="C22" s="155" t="s">
        <v>65</v>
      </c>
      <c r="D22" s="160">
        <f>SA</f>
        <v>5360000</v>
      </c>
      <c r="E22" s="152"/>
      <c r="F22" s="152" t="s">
        <v>66</v>
      </c>
      <c r="G22" s="152"/>
      <c r="H22" s="155">
        <v>15</v>
      </c>
      <c r="I22" s="152" t="s">
        <v>63</v>
      </c>
      <c r="J22" s="152"/>
    </row>
    <row r="23" s="146" customFormat="1" spans="1:10">
      <c r="A23" s="152"/>
      <c r="B23" s="152"/>
      <c r="C23" s="152"/>
      <c r="D23" s="160"/>
      <c r="E23" s="152"/>
      <c r="F23" s="152"/>
      <c r="G23" s="152"/>
      <c r="H23" s="152"/>
      <c r="I23" s="152"/>
      <c r="J23" s="152"/>
    </row>
    <row r="24" s="146" customFormat="1" spans="1:8">
      <c r="A24" s="152" t="s">
        <v>67</v>
      </c>
      <c r="B24" s="152"/>
      <c r="C24" s="152"/>
      <c r="D24" s="161">
        <f>G38</f>
        <v>5740800</v>
      </c>
      <c r="E24" s="152"/>
      <c r="F24" s="152" t="s">
        <v>68</v>
      </c>
      <c r="G24" s="152"/>
      <c r="H24" s="162" t="str">
        <f>IF(Prem_Mode="Annual","Yearly","Monthly")</f>
        <v>Monthly</v>
      </c>
    </row>
    <row r="25" s="146" customFormat="1" spans="1:8">
      <c r="A25" s="152"/>
      <c r="B25" s="152"/>
      <c r="C25" s="152"/>
      <c r="D25" s="163"/>
      <c r="E25" s="152"/>
      <c r="F25" s="152"/>
      <c r="G25" s="152"/>
      <c r="H25" s="152"/>
    </row>
    <row r="26" s="146" customFormat="1" ht="21.75" customHeight="1" spans="1:8">
      <c r="A26" s="159" t="s">
        <v>69</v>
      </c>
      <c r="B26" s="159"/>
      <c r="C26" s="155" t="s">
        <v>65</v>
      </c>
      <c r="D26" s="161">
        <f>$D$22/100</f>
        <v>53600</v>
      </c>
      <c r="E26" s="152"/>
      <c r="F26" s="152" t="s">
        <v>70</v>
      </c>
      <c r="G26" s="155"/>
      <c r="H26" s="164" t="str">
        <f>CONCATENATE("Rs. ",Basic_Prem_Yr2_Annualized)</f>
        <v>Rs. 574080</v>
      </c>
    </row>
    <row r="27" s="146" customFormat="1" ht="21.75" customHeight="1" spans="1:8">
      <c r="A27" s="159"/>
      <c r="B27" s="159"/>
      <c r="C27" s="159"/>
      <c r="D27" s="159"/>
      <c r="E27" s="152"/>
      <c r="F27" s="152"/>
      <c r="G27" s="152"/>
      <c r="H27" s="160"/>
    </row>
    <row r="28" s="146" customFormat="1" ht="21" customHeight="1" spans="1:9">
      <c r="A28" s="152" t="s">
        <v>71</v>
      </c>
      <c r="B28" s="152"/>
      <c r="C28" s="155"/>
      <c r="D28" s="165" t="str">
        <f>CONCATENATE("Rs. ",J64)</f>
        <v>Rs. 0</v>
      </c>
      <c r="E28" s="152"/>
      <c r="F28" s="152" t="s">
        <v>72</v>
      </c>
      <c r="G28" s="155"/>
      <c r="H28" s="166" t="str">
        <f>CONCATENATE("Rs. ",ROUND(Basic_Premium_2+Stax_Oasis_Yr2,0))</f>
        <v>Rs. 48916</v>
      </c>
      <c r="I28" s="191"/>
    </row>
    <row r="29" s="146" customFormat="1" ht="21" customHeight="1" spans="1:8">
      <c r="A29" s="152"/>
      <c r="B29" s="152"/>
      <c r="D29" s="163"/>
      <c r="E29" s="152"/>
      <c r="F29" s="152"/>
      <c r="G29" s="152"/>
      <c r="H29" s="160"/>
    </row>
    <row r="30" s="146" customFormat="1" spans="1:10">
      <c r="A30" s="152" t="s">
        <v>73</v>
      </c>
      <c r="B30" s="152"/>
      <c r="C30" s="155"/>
      <c r="D30" s="165" t="str">
        <f>CONCATENATE("Rs. ",K64)</f>
        <v>Rs. 8308000</v>
      </c>
      <c r="E30" s="152"/>
      <c r="F30" s="152" t="s">
        <v>74</v>
      </c>
      <c r="G30" s="152"/>
      <c r="H30" s="152" t="s">
        <v>75</v>
      </c>
      <c r="I30" s="152"/>
      <c r="J30" s="152"/>
    </row>
    <row r="31" s="146" customFormat="1" spans="1:1">
      <c r="A31" s="146" t="s">
        <v>76</v>
      </c>
    </row>
    <row r="32" s="146" customFormat="1"/>
    <row r="33" s="145" customFormat="1"/>
    <row r="34" s="145" customFormat="1" ht="15" spans="6:6">
      <c r="F34" s="149" t="s">
        <v>77</v>
      </c>
    </row>
    <row r="35" s="145" customFormat="1"/>
    <row r="36" s="145" customFormat="1" ht="15.75" customHeight="1" spans="1:11">
      <c r="A36" s="167"/>
      <c r="B36" s="146"/>
      <c r="C36" s="146"/>
      <c r="D36" s="146"/>
      <c r="E36" s="168"/>
      <c r="F36"/>
      <c r="G36" s="35" t="s">
        <v>78</v>
      </c>
      <c r="H36" s="78"/>
      <c r="I36" s="93"/>
      <c r="J36" s="35" t="s">
        <v>79</v>
      </c>
      <c r="K36" s="93"/>
    </row>
    <row r="37" s="145" customFormat="1" ht="60" spans="1:13">
      <c r="A37" s="169"/>
      <c r="B37" s="34" t="s">
        <v>80</v>
      </c>
      <c r="C37" s="170" t="s">
        <v>81</v>
      </c>
      <c r="D37" s="170" t="s">
        <v>82</v>
      </c>
      <c r="E37" s="170" t="s">
        <v>83</v>
      </c>
      <c r="F37" s="170" t="s">
        <v>84</v>
      </c>
      <c r="G37" s="170" t="s">
        <v>85</v>
      </c>
      <c r="H37" s="170" t="s">
        <v>86</v>
      </c>
      <c r="I37" s="170" t="s">
        <v>87</v>
      </c>
      <c r="J37" s="170" t="s">
        <v>88</v>
      </c>
      <c r="K37" s="77" t="s">
        <v>89</v>
      </c>
      <c r="L37" s="192"/>
      <c r="M37" s="193"/>
    </row>
    <row r="38" s="145" customFormat="1" spans="1:13">
      <c r="A38" s="169"/>
      <c r="B38" s="171">
        <v>1</v>
      </c>
      <c r="C38" s="172">
        <f>Age</f>
        <v>38</v>
      </c>
      <c r="D38" s="173">
        <f>IF(B38&gt;15,0,(IF(B38=1,Basic_Prem_Yr1_Annualized,Basic_Prem_Yr2_Annualized)))</f>
        <v>574080</v>
      </c>
      <c r="E38" s="173">
        <f>IF(B38=1,Stax_Oasis_Yr1,Stax_Oasis_Yr2)*IF(Prem_Mode="Monthly",12,1)*(D38&lt;&gt;0)</f>
        <v>25833.6</v>
      </c>
      <c r="F38" s="173">
        <f>IF(B38&gt;15,0,D38+E38)</f>
        <v>599913.6</v>
      </c>
      <c r="G38" s="173">
        <f>MAX(Base_Ann_Prem_For_DB_Yr2*10,$D$26*100)</f>
        <v>5740800</v>
      </c>
      <c r="H38" s="174">
        <f t="shared" ref="H38:H62" si="0">IF(B38&lt;=10,0,$D$26*12)</f>
        <v>0</v>
      </c>
      <c r="I38" s="174">
        <f>'GSV for SSV Cal'!T6</f>
        <v>0</v>
      </c>
      <c r="J38" s="174">
        <v>0</v>
      </c>
      <c r="K38" s="174">
        <f>B38*SA*Rev_Bon</f>
        <v>160800</v>
      </c>
      <c r="L38" s="194"/>
      <c r="M38" s="195"/>
    </row>
    <row r="39" s="145" customFormat="1" spans="1:13">
      <c r="A39" s="169"/>
      <c r="B39" s="175">
        <v>2</v>
      </c>
      <c r="C39" s="176">
        <f>C38+1</f>
        <v>39</v>
      </c>
      <c r="D39" s="177">
        <f>IF(B39&gt;15,0,(IF(B39=1,Basic_Prem_Yr1_Annualized,Basic_Prem_Yr2_Annualized)))</f>
        <v>574080</v>
      </c>
      <c r="E39" s="177">
        <f>IF(B39=1,Stax_Oasis_Yr1,Stax_Oasis_Yr2)*IF(Prem_Mode="Monthly",12,1)*(D39&lt;&gt;0)</f>
        <v>12916.8</v>
      </c>
      <c r="F39" s="177">
        <f t="shared" ref="F39:F62" si="1">IF(B39&gt;15,0,D39+E39)</f>
        <v>586996.8</v>
      </c>
      <c r="G39" s="178">
        <f>MAX(Base_Ann_Prem_For_DB_Yr2*10,$D$26*100)</f>
        <v>5740800</v>
      </c>
      <c r="H39" s="178">
        <f>IF(B39&lt;=10,0,$D$26*12)</f>
        <v>0</v>
      </c>
      <c r="I39" s="178">
        <f>'GSV for SSV Cal'!T7</f>
        <v>0</v>
      </c>
      <c r="J39" s="178">
        <v>0</v>
      </c>
      <c r="K39" s="178">
        <f>B39*SA*Rev_Bon</f>
        <v>321600</v>
      </c>
      <c r="L39" s="194"/>
      <c r="M39" s="195"/>
    </row>
    <row r="40" s="145" customFormat="1" spans="1:16">
      <c r="A40" s="169"/>
      <c r="B40" s="179">
        <v>3</v>
      </c>
      <c r="C40" s="180">
        <f t="shared" ref="C40:C62" si="2">C39+1</f>
        <v>40</v>
      </c>
      <c r="D40" s="181">
        <f>IF(B40&gt;15,0,(IF(B40=1,Basic_Prem_Yr1_Annualized,Basic_Prem_Yr2_Annualized)))</f>
        <v>574080</v>
      </c>
      <c r="E40" s="181">
        <f>IF(B40=1,Stax_Oasis_Yr1,Stax_Oasis_Yr2)*IF(Prem_Mode="Monthly",12,1)*(D40&lt;&gt;0)</f>
        <v>12916.8</v>
      </c>
      <c r="F40" s="181">
        <f>IF(B40&gt;15,0,D40+E40)</f>
        <v>586996.8</v>
      </c>
      <c r="G40" s="182">
        <f>MAX(Base_Ann_Prem_For_DB_Yr2*10,$D$26*100)</f>
        <v>5740800</v>
      </c>
      <c r="H40" s="182">
        <f>IF(B40&lt;=10,0,$D$26*12)</f>
        <v>0</v>
      </c>
      <c r="I40" s="182">
        <f>'GSV for SSV Cal'!T8</f>
        <v>516672</v>
      </c>
      <c r="J40" s="182">
        <v>0</v>
      </c>
      <c r="K40" s="182">
        <f>B40*SA*Rev_Bon</f>
        <v>482400</v>
      </c>
      <c r="M40" s="195"/>
      <c r="P40" s="196"/>
    </row>
    <row r="41" s="145" customFormat="1" spans="1:13">
      <c r="A41" s="169"/>
      <c r="B41" s="175">
        <v>4</v>
      </c>
      <c r="C41" s="176">
        <f>C40+1</f>
        <v>41</v>
      </c>
      <c r="D41" s="177">
        <f>IF(B41&gt;15,0,(IF(B41=1,Basic_Prem_Yr1_Annualized,Basic_Prem_Yr2_Annualized)))</f>
        <v>574080</v>
      </c>
      <c r="E41" s="177">
        <f>IF(B41=1,Stax_Oasis_Yr1,Stax_Oasis_Yr2)*IF(Prem_Mode="Monthly",12,1)*(D41&lt;&gt;0)</f>
        <v>12916.8</v>
      </c>
      <c r="F41" s="177">
        <f>IF(B41&gt;15,0,D41+E41)</f>
        <v>586996.8</v>
      </c>
      <c r="G41" s="178">
        <f>MAX(Base_Ann_Prem_For_DB_Yr2*10,$D$26*100)</f>
        <v>5740800</v>
      </c>
      <c r="H41" s="178">
        <f>IF(B41&lt;=10,0,$D$26*12)</f>
        <v>0</v>
      </c>
      <c r="I41" s="178">
        <f>'GSV for SSV Cal'!T9</f>
        <v>1148160</v>
      </c>
      <c r="J41" s="178">
        <v>0</v>
      </c>
      <c r="K41" s="178">
        <f>B41*SA*Rev_Bon</f>
        <v>643200</v>
      </c>
      <c r="M41" s="195"/>
    </row>
    <row r="42" s="145" customFormat="1" spans="1:13">
      <c r="A42" s="169"/>
      <c r="B42" s="179">
        <v>5</v>
      </c>
      <c r="C42" s="180">
        <f>C41+1</f>
        <v>42</v>
      </c>
      <c r="D42" s="181">
        <f>IF(B42&gt;15,0,(IF(B42=1,Basic_Prem_Yr1_Annualized,Basic_Prem_Yr2_Annualized)))</f>
        <v>574080</v>
      </c>
      <c r="E42" s="181">
        <f>IF(B42=1,Stax_Oasis_Yr1,Stax_Oasis_Yr2)*IF(Prem_Mode="Monthly",12,1)*(D42&lt;&gt;0)</f>
        <v>12916.8</v>
      </c>
      <c r="F42" s="181">
        <f>IF(B42&gt;15,0,D42+E42)</f>
        <v>586996.8</v>
      </c>
      <c r="G42" s="182">
        <f>MAX(Base_Ann_Prem_For_DB_Yr2*10,$D$26*100)</f>
        <v>5740800</v>
      </c>
      <c r="H42" s="182">
        <f>IF(B42&lt;=10,0,$D$26*12)</f>
        <v>0</v>
      </c>
      <c r="I42" s="182">
        <f>'GSV for SSV Cal'!T10</f>
        <v>1435200</v>
      </c>
      <c r="J42" s="182">
        <v>0</v>
      </c>
      <c r="K42" s="182">
        <f>B42*SA*Rev_Bon</f>
        <v>804000</v>
      </c>
      <c r="M42" s="195"/>
    </row>
    <row r="43" s="145" customFormat="1" spans="1:13">
      <c r="A43" s="169"/>
      <c r="B43" s="175">
        <v>6</v>
      </c>
      <c r="C43" s="176">
        <f>C42+1</f>
        <v>43</v>
      </c>
      <c r="D43" s="177">
        <f>IF(B43&gt;15,0,(IF(B43=1,Basic_Prem_Yr1_Annualized,Basic_Prem_Yr2_Annualized)))</f>
        <v>574080</v>
      </c>
      <c r="E43" s="177">
        <f>IF(B43=1,Stax_Oasis_Yr1,Stax_Oasis_Yr2)*IF(Prem_Mode="Monthly",12,1)*(D43&lt;&gt;0)</f>
        <v>12916.8</v>
      </c>
      <c r="F43" s="177">
        <f>IF(B43&gt;15,0,D43+E43)</f>
        <v>586996.8</v>
      </c>
      <c r="G43" s="178">
        <f>MAX(Base_Ann_Prem_For_DB_Yr2*10,$D$26*100)</f>
        <v>5740800</v>
      </c>
      <c r="H43" s="178">
        <f>IF(B43&lt;=10,0,$D$26*12)</f>
        <v>0</v>
      </c>
      <c r="I43" s="178">
        <f>'GSV for SSV Cal'!T11</f>
        <v>1722240</v>
      </c>
      <c r="J43" s="178">
        <v>0</v>
      </c>
      <c r="K43" s="178">
        <f>B43*SA*Rev_Bon</f>
        <v>964800</v>
      </c>
      <c r="M43" s="195"/>
    </row>
    <row r="44" s="145" customFormat="1" spans="1:13">
      <c r="A44" s="169"/>
      <c r="B44" s="179">
        <v>7</v>
      </c>
      <c r="C44" s="180">
        <f>C43+1</f>
        <v>44</v>
      </c>
      <c r="D44" s="181">
        <f>IF(B44&gt;15,0,(IF(B44=1,Basic_Prem_Yr1_Annualized,Basic_Prem_Yr2_Annualized)))</f>
        <v>574080</v>
      </c>
      <c r="E44" s="181">
        <f>IF(B44=1,Stax_Oasis_Yr1,Stax_Oasis_Yr2)*IF(Prem_Mode="Monthly",12,1)*(D44&lt;&gt;0)</f>
        <v>12916.8</v>
      </c>
      <c r="F44" s="181">
        <f>IF(B44&gt;15,0,D44+E44)</f>
        <v>586996.8</v>
      </c>
      <c r="G44" s="182">
        <f>MAX(Base_Ann_Prem_For_DB_Yr2*10,$D$26*100)</f>
        <v>5740800</v>
      </c>
      <c r="H44" s="182">
        <f>IF(B44&lt;=10,0,$D$26*12)</f>
        <v>0</v>
      </c>
      <c r="I44" s="182">
        <f>'GSV for SSV Cal'!T12</f>
        <v>2009280</v>
      </c>
      <c r="J44" s="182">
        <v>0</v>
      </c>
      <c r="K44" s="182">
        <f>B44*SA*Rev_Bon</f>
        <v>1125600</v>
      </c>
      <c r="M44" s="195"/>
    </row>
    <row r="45" s="145" customFormat="1" spans="1:13">
      <c r="A45" s="169"/>
      <c r="B45" s="175">
        <v>8</v>
      </c>
      <c r="C45" s="176">
        <f>C44+1</f>
        <v>45</v>
      </c>
      <c r="D45" s="177">
        <f>IF(B45&gt;15,0,(IF(B45=1,Basic_Prem_Yr1_Annualized,Basic_Prem_Yr2_Annualized)))</f>
        <v>574080</v>
      </c>
      <c r="E45" s="177">
        <f>IF(B45=1,Stax_Oasis_Yr1,Stax_Oasis_Yr2)*IF(Prem_Mode="Monthly",12,1)*(D45&lt;&gt;0)</f>
        <v>12916.8</v>
      </c>
      <c r="F45" s="177">
        <f>IF(B45&gt;15,0,D45+E45)</f>
        <v>586996.8</v>
      </c>
      <c r="G45" s="178">
        <f>MAX(Base_Ann_Prem_For_DB_Yr2*10,$D$26*100)</f>
        <v>5740800</v>
      </c>
      <c r="H45" s="178">
        <f>IF(B45&lt;=10,0,$D$26*12)</f>
        <v>0</v>
      </c>
      <c r="I45" s="178">
        <f>'GSV for SSV Cal'!T13</f>
        <v>2388172.8</v>
      </c>
      <c r="J45" s="178">
        <v>0</v>
      </c>
      <c r="K45" s="178">
        <f>B45*SA*Rev_Bon</f>
        <v>1286400</v>
      </c>
      <c r="M45" s="195"/>
    </row>
    <row r="46" s="145" customFormat="1" spans="1:13">
      <c r="A46" s="169"/>
      <c r="B46" s="179">
        <v>9</v>
      </c>
      <c r="C46" s="180">
        <f>C45+1</f>
        <v>46</v>
      </c>
      <c r="D46" s="181">
        <f>IF(B46&gt;15,0,(IF(B46=1,Basic_Prem_Yr1_Annualized,Basic_Prem_Yr2_Annualized)))</f>
        <v>574080</v>
      </c>
      <c r="E46" s="181">
        <f>IF(B46=1,Stax_Oasis_Yr1,Stax_Oasis_Yr2)*IF(Prem_Mode="Monthly",12,1)*(D46&lt;&gt;0)</f>
        <v>12916.8</v>
      </c>
      <c r="F46" s="181">
        <f>IF(B46&gt;15,0,D46+E46)</f>
        <v>586996.8</v>
      </c>
      <c r="G46" s="182">
        <f>MAX(Base_Ann_Prem_For_DB_Yr2*10,$D$26*100)</f>
        <v>5740800</v>
      </c>
      <c r="H46" s="182">
        <f>IF(B46&lt;=10,0,$D$26*12)</f>
        <v>0</v>
      </c>
      <c r="I46" s="182">
        <f>'GSV for SSV Cal'!T14</f>
        <v>2790028.8</v>
      </c>
      <c r="J46" s="182">
        <v>0</v>
      </c>
      <c r="K46" s="182">
        <f>B46*SA*Rev_Bon</f>
        <v>1447200</v>
      </c>
      <c r="M46" s="195"/>
    </row>
    <row r="47" s="145" customFormat="1" spans="1:13">
      <c r="A47" s="169"/>
      <c r="B47" s="175">
        <v>10</v>
      </c>
      <c r="C47" s="176">
        <f>C46+1</f>
        <v>47</v>
      </c>
      <c r="D47" s="177">
        <f>IF(B47&gt;15,0,(IF(B47=1,Basic_Prem_Yr1_Annualized,Basic_Prem_Yr2_Annualized)))</f>
        <v>574080</v>
      </c>
      <c r="E47" s="177">
        <f>IF(B47=1,Stax_Oasis_Yr1,Stax_Oasis_Yr2)*IF(Prem_Mode="Monthly",12,1)*(D47&lt;&gt;0)</f>
        <v>12916.8</v>
      </c>
      <c r="F47" s="177">
        <f>IF(B47&gt;15,0,D47+E47)</f>
        <v>586996.8</v>
      </c>
      <c r="G47" s="178">
        <f>MAX(Base_Ann_Prem_For_DB_Yr2*10,$D$26*100)</f>
        <v>5740800</v>
      </c>
      <c r="H47" s="178">
        <f>IF(B47&lt;=10,0,$D$26*12)</f>
        <v>0</v>
      </c>
      <c r="I47" s="178">
        <f>'GSV for SSV Cal'!T15</f>
        <v>3214848</v>
      </c>
      <c r="J47" s="178">
        <v>0</v>
      </c>
      <c r="K47" s="178">
        <f>B47*SA*Rev_Bon</f>
        <v>1608000</v>
      </c>
      <c r="M47" s="195"/>
    </row>
    <row r="48" s="145" customFormat="1" spans="1:13">
      <c r="A48" s="169"/>
      <c r="B48" s="179">
        <v>11</v>
      </c>
      <c r="C48" s="180">
        <f>C47+1</f>
        <v>48</v>
      </c>
      <c r="D48" s="181">
        <f>IF(B48&gt;15,0,(IF(B48=1,Basic_Prem_Yr1_Annualized,Basic_Prem_Yr2_Annualized)))</f>
        <v>574080</v>
      </c>
      <c r="E48" s="181">
        <f>IF(B48=1,Stax_Oasis_Yr1,Stax_Oasis_Yr2)*IF(Prem_Mode="Monthly",12,1)*(D48&lt;&gt;0)</f>
        <v>12916.8</v>
      </c>
      <c r="F48" s="181">
        <f>IF(B48&gt;15,0,D48+E48)</f>
        <v>586996.8</v>
      </c>
      <c r="G48" s="182">
        <f>MAX(Base_Ann_Prem_For_DB_Yr2*10,$D$26*100)</f>
        <v>5740800</v>
      </c>
      <c r="H48" s="182">
        <f>IF(B48&lt;=10,0,$D$26*12)</f>
        <v>643200</v>
      </c>
      <c r="I48" s="182">
        <f>'GSV for SSV Cal'!T16</f>
        <v>3019430.4</v>
      </c>
      <c r="J48" s="182">
        <v>0</v>
      </c>
      <c r="K48" s="182">
        <f>B48*SA*Rev_Bon</f>
        <v>1768800</v>
      </c>
      <c r="M48" s="195"/>
    </row>
    <row r="49" s="145" customFormat="1" spans="1:13">
      <c r="A49" s="169"/>
      <c r="B49" s="175">
        <v>12</v>
      </c>
      <c r="C49" s="176">
        <f>C48+1</f>
        <v>49</v>
      </c>
      <c r="D49" s="177">
        <f>IF(B49&gt;15,0,(IF(B49=1,Basic_Prem_Yr1_Annualized,Basic_Prem_Yr2_Annualized)))</f>
        <v>574080</v>
      </c>
      <c r="E49" s="177">
        <f>IF(B49=1,Stax_Oasis_Yr1,Stax_Oasis_Yr2)*IF(Prem_Mode="Monthly",12,1)*(D49&lt;&gt;0)</f>
        <v>12916.8</v>
      </c>
      <c r="F49" s="177">
        <f>IF(B49&gt;15,0,D49+E49)</f>
        <v>586996.8</v>
      </c>
      <c r="G49" s="178">
        <f>MAX(Base_Ann_Prem_For_DB_Yr2*10,$D$26*100)</f>
        <v>5740800</v>
      </c>
      <c r="H49" s="178">
        <f>IF(B49&lt;=10,0,$D$26*12)</f>
        <v>643200</v>
      </c>
      <c r="I49" s="178">
        <f>'GSV for SSV Cal'!T17</f>
        <v>2846976</v>
      </c>
      <c r="J49" s="178">
        <v>0</v>
      </c>
      <c r="K49" s="178">
        <f>B49*SA*Rev_Bon</f>
        <v>1929600</v>
      </c>
      <c r="M49" s="195"/>
    </row>
    <row r="50" s="145" customFormat="1" spans="1:13">
      <c r="A50" s="169"/>
      <c r="B50" s="179">
        <v>13</v>
      </c>
      <c r="C50" s="180">
        <f>C49+1</f>
        <v>50</v>
      </c>
      <c r="D50" s="181">
        <f>IF(B50&gt;15,0,(IF(B50=1,Basic_Prem_Yr1_Annualized,Basic_Prem_Yr2_Annualized)))</f>
        <v>574080</v>
      </c>
      <c r="E50" s="181">
        <f>IF(B50=1,Stax_Oasis_Yr1,Stax_Oasis_Yr2)*IF(Prem_Mode="Monthly",12,1)*(D50&lt;&gt;0)</f>
        <v>12916.8</v>
      </c>
      <c r="F50" s="181">
        <f>IF(B50&gt;15,0,D50+E50)</f>
        <v>586996.8</v>
      </c>
      <c r="G50" s="182">
        <f>MAX(Base_Ann_Prem_For_DB_Yr2*10,$D$26*100)</f>
        <v>5740800</v>
      </c>
      <c r="H50" s="182">
        <f>IF(B50&lt;=10,0,$D$26*12)</f>
        <v>643200</v>
      </c>
      <c r="I50" s="182">
        <f>'GSV for SSV Cal'!T18</f>
        <v>2697484.8</v>
      </c>
      <c r="J50" s="182">
        <v>0</v>
      </c>
      <c r="K50" s="182">
        <f>B50*SA*Rev_Bon</f>
        <v>2090400</v>
      </c>
      <c r="M50" s="195"/>
    </row>
    <row r="51" s="145" customFormat="1" spans="1:13">
      <c r="A51" s="169"/>
      <c r="B51" s="175">
        <v>14</v>
      </c>
      <c r="C51" s="176">
        <f>C50+1</f>
        <v>51</v>
      </c>
      <c r="D51" s="177">
        <f>IF(B51&gt;15,0,(IF(B51=1,Basic_Prem_Yr1_Annualized,Basic_Prem_Yr2_Annualized)))</f>
        <v>574080</v>
      </c>
      <c r="E51" s="177">
        <f>IF(B51=1,Stax_Oasis_Yr1,Stax_Oasis_Yr2)*IF(Prem_Mode="Monthly",12,1)*(D51&lt;&gt;0)</f>
        <v>12916.8</v>
      </c>
      <c r="F51" s="177">
        <f>IF(B51&gt;15,0,D51+E51)</f>
        <v>586996.8</v>
      </c>
      <c r="G51" s="178">
        <f>MAX(Base_Ann_Prem_For_DB_Yr2*10,$D$26*100)</f>
        <v>5740800</v>
      </c>
      <c r="H51" s="178">
        <f>IF(B51&lt;=10,0,$D$26*12)</f>
        <v>643200</v>
      </c>
      <c r="I51" s="178">
        <f>'GSV for SSV Cal'!T19</f>
        <v>2570956.8</v>
      </c>
      <c r="J51" s="178">
        <v>0</v>
      </c>
      <c r="K51" s="178">
        <f>B51*SA*Rev_Bon</f>
        <v>2251200</v>
      </c>
      <c r="M51" s="195"/>
    </row>
    <row r="52" s="145" customFormat="1" spans="1:13">
      <c r="A52" s="169"/>
      <c r="B52" s="179">
        <v>15</v>
      </c>
      <c r="C52" s="180">
        <f>C51+1</f>
        <v>52</v>
      </c>
      <c r="D52" s="181">
        <f>IF(B52&gt;15,0,(IF(B52=1,Basic_Prem_Yr1_Annualized,Basic_Prem_Yr2_Annualized)))</f>
        <v>574080</v>
      </c>
      <c r="E52" s="181">
        <f>IF(B52=1,Stax_Oasis_Yr1,Stax_Oasis_Yr2)*IF(Prem_Mode="Monthly",12,1)*(D52&lt;&gt;0)</f>
        <v>12916.8</v>
      </c>
      <c r="F52" s="181">
        <f>IF(B52&gt;15,0,D52+E52)</f>
        <v>586996.8</v>
      </c>
      <c r="G52" s="182">
        <f>MAX(Base_Ann_Prem_For_DB_Yr2*10,$D$26*100)</f>
        <v>5740800</v>
      </c>
      <c r="H52" s="182">
        <f>IF(B52&lt;=10,0,$D$26*12)</f>
        <v>643200</v>
      </c>
      <c r="I52" s="182">
        <f>'GSV for SSV Cal'!T20</f>
        <v>2467392</v>
      </c>
      <c r="J52" s="182">
        <v>0</v>
      </c>
      <c r="K52" s="182">
        <f>B52*SA*Rev_Bon</f>
        <v>2412000</v>
      </c>
      <c r="M52" s="195"/>
    </row>
    <row r="53" s="145" customFormat="1" spans="1:13">
      <c r="A53" s="169"/>
      <c r="B53" s="175">
        <v>16</v>
      </c>
      <c r="C53" s="176">
        <f>C52+1</f>
        <v>53</v>
      </c>
      <c r="D53" s="177">
        <f>IF(B53&gt;15,0,(IF(B53=1,Basic_Prem_Yr1_Annualized,Basic_Prem_Yr2_Annualized)))</f>
        <v>0</v>
      </c>
      <c r="E53" s="177">
        <f>IF(B53=1,Stax_Oasis_Yr1,Stax_Oasis_Yr2)*IF(Prem_Mode="Monthly",12,1)*(D53&lt;&gt;0)</f>
        <v>0</v>
      </c>
      <c r="F53" s="177">
        <f>IF(B53&gt;15,0,D53+E53)</f>
        <v>0</v>
      </c>
      <c r="G53" s="178">
        <f>MAX(Base_Ann_Prem_For_DB_Yr2*10,$D$26*100)</f>
        <v>5740800</v>
      </c>
      <c r="H53" s="178">
        <f>IF(B53&lt;=10,0,$D$26*12)</f>
        <v>643200</v>
      </c>
      <c r="I53" s="178">
        <f>'GSV for SSV Cal'!T21</f>
        <v>1996416</v>
      </c>
      <c r="J53" s="178">
        <v>0</v>
      </c>
      <c r="K53" s="178">
        <f>B53*SA*Rev_Bon</f>
        <v>2572800</v>
      </c>
      <c r="M53" s="195"/>
    </row>
    <row r="54" s="145" customFormat="1" spans="1:13">
      <c r="A54" s="169"/>
      <c r="B54" s="179">
        <v>17</v>
      </c>
      <c r="C54" s="180">
        <f>C53+1</f>
        <v>54</v>
      </c>
      <c r="D54" s="181">
        <f>IF(B54&gt;15,0,(IF(B54=1,Basic_Prem_Yr1_Annualized,Basic_Prem_Yr2_Annualized)))</f>
        <v>0</v>
      </c>
      <c r="E54" s="181">
        <f>IF(B54=1,Stax_Oasis_Yr1,Stax_Oasis_Yr2)*IF(Prem_Mode="Monthly",12,1)*(D54&lt;&gt;0)</f>
        <v>0</v>
      </c>
      <c r="F54" s="181">
        <f>IF(B54&gt;15,0,D54+E54)</f>
        <v>0</v>
      </c>
      <c r="G54" s="182">
        <f>MAX(Base_Ann_Prem_For_DB_Yr2*10,$D$26*100)</f>
        <v>5740800</v>
      </c>
      <c r="H54" s="182">
        <f>IF(B54&lt;=10,0,$D$26*12)</f>
        <v>643200</v>
      </c>
      <c r="I54" s="182">
        <f>'GSV for SSV Cal'!T22</f>
        <v>1525440</v>
      </c>
      <c r="J54" s="182">
        <v>0</v>
      </c>
      <c r="K54" s="182">
        <f>B54*SA*Rev_Bon</f>
        <v>2733600</v>
      </c>
      <c r="M54" s="195"/>
    </row>
    <row r="55" s="145" customFormat="1" spans="1:13">
      <c r="A55" s="169"/>
      <c r="B55" s="175">
        <v>18</v>
      </c>
      <c r="C55" s="176">
        <f>C54+1</f>
        <v>55</v>
      </c>
      <c r="D55" s="177">
        <f>IF(B55&gt;15,0,(IF(B55=1,Basic_Prem_Yr1_Annualized,Basic_Prem_Yr2_Annualized)))</f>
        <v>0</v>
      </c>
      <c r="E55" s="177">
        <f>IF(B55=1,Stax_Oasis_Yr1,Stax_Oasis_Yr2)*IF(Prem_Mode="Monthly",12,1)*(D55&lt;&gt;0)</f>
        <v>0</v>
      </c>
      <c r="F55" s="177">
        <f>IF(B55&gt;15,0,D55+E55)</f>
        <v>0</v>
      </c>
      <c r="G55" s="178">
        <f>MAX(Base_Ann_Prem_For_DB_Yr2*10,$D$26*100)</f>
        <v>5740800</v>
      </c>
      <c r="H55" s="178">
        <f>IF(B55&lt;=10,0,$D$26*12)</f>
        <v>643200</v>
      </c>
      <c r="I55" s="178">
        <f>'GSV for SSV Cal'!T23</f>
        <v>1054464</v>
      </c>
      <c r="J55" s="178">
        <v>0</v>
      </c>
      <c r="K55" s="178">
        <f>B55*SA*Rev_Bon</f>
        <v>2894400</v>
      </c>
      <c r="M55" s="195"/>
    </row>
    <row r="56" s="145" customFormat="1" spans="1:13">
      <c r="A56" s="169"/>
      <c r="B56" s="179">
        <v>19</v>
      </c>
      <c r="C56" s="180">
        <f>C55+1</f>
        <v>56</v>
      </c>
      <c r="D56" s="181">
        <f>IF(B56&gt;15,0,(IF(B56=1,Basic_Prem_Yr1_Annualized,Basic_Prem_Yr2_Annualized)))</f>
        <v>0</v>
      </c>
      <c r="E56" s="181">
        <f>IF(B56=1,Stax_Oasis_Yr1,Stax_Oasis_Yr2)*IF(Prem_Mode="Monthly",12,1)*(D56&lt;&gt;0)</f>
        <v>0</v>
      </c>
      <c r="F56" s="181">
        <f>IF(B56&gt;15,0,D56+E56)</f>
        <v>0</v>
      </c>
      <c r="G56" s="182">
        <f>MAX(Base_Ann_Prem_For_DB_Yr2*10,$D$26*100)</f>
        <v>5740800</v>
      </c>
      <c r="H56" s="182">
        <f>IF(B56&lt;=10,0,$D$26*12)</f>
        <v>643200</v>
      </c>
      <c r="I56" s="182">
        <f>'GSV for SSV Cal'!T24</f>
        <v>583488</v>
      </c>
      <c r="J56" s="182">
        <v>0</v>
      </c>
      <c r="K56" s="182">
        <f>B56*SA*Rev_Bon</f>
        <v>3055200</v>
      </c>
      <c r="M56" s="195"/>
    </row>
    <row r="57" s="145" customFormat="1" spans="1:13">
      <c r="A57" s="169"/>
      <c r="B57" s="175">
        <v>20</v>
      </c>
      <c r="C57" s="176">
        <f>C56+1</f>
        <v>57</v>
      </c>
      <c r="D57" s="177">
        <f>IF(B57&gt;15,0,(IF(B57=1,Basic_Prem_Yr1_Annualized,Basic_Prem_Yr2_Annualized)))</f>
        <v>0</v>
      </c>
      <c r="E57" s="177">
        <f>IF(B57=1,Stax_Oasis_Yr1,Stax_Oasis_Yr2)*IF(Prem_Mode="Monthly",12,1)*(D57&lt;&gt;0)</f>
        <v>0</v>
      </c>
      <c r="F57" s="177">
        <f>IF(B57&gt;15,0,D57+E57)</f>
        <v>0</v>
      </c>
      <c r="G57" s="178">
        <f>MAX(Base_Ann_Prem_For_DB_Yr2*10,$D$26*100)</f>
        <v>5740800</v>
      </c>
      <c r="H57" s="178">
        <f>IF(B57&lt;=10,0,$D$26*12)</f>
        <v>643200</v>
      </c>
      <c r="I57" s="178">
        <f>'GSV for SSV Cal'!T25</f>
        <v>112512</v>
      </c>
      <c r="J57" s="178">
        <v>0</v>
      </c>
      <c r="K57" s="178">
        <f>B57*SA*Rev_Bon</f>
        <v>3216000</v>
      </c>
      <c r="M57" s="195"/>
    </row>
    <row r="58" s="145" customFormat="1" spans="1:13">
      <c r="A58" s="169"/>
      <c r="B58" s="179">
        <v>21</v>
      </c>
      <c r="C58" s="180">
        <f>C57+1</f>
        <v>58</v>
      </c>
      <c r="D58" s="181">
        <f>IF(B58&gt;15,0,(IF(B58=1,Basic_Prem_Yr1_Annualized,Basic_Prem_Yr2_Annualized)))</f>
        <v>0</v>
      </c>
      <c r="E58" s="181">
        <f>IF(B58=1,Stax_Oasis_Yr1,Stax_Oasis_Yr2)*IF(Prem_Mode="Monthly",12,1)*(D58&lt;&gt;0)</f>
        <v>0</v>
      </c>
      <c r="F58" s="181">
        <f>IF(B58&gt;15,0,D58+E58)</f>
        <v>0</v>
      </c>
      <c r="G58" s="182">
        <f>MAX(Base_Ann_Prem_For_DB_Yr2*10,$D$26*100)</f>
        <v>5740800</v>
      </c>
      <c r="H58" s="182">
        <f>IF(B58&lt;=10,0,$D$26*12)</f>
        <v>643200</v>
      </c>
      <c r="I58" s="182">
        <f>'GSV for SSV Cal'!T26</f>
        <v>0</v>
      </c>
      <c r="J58" s="182">
        <v>0</v>
      </c>
      <c r="K58" s="182">
        <f>B58*SA*Rev_Bon</f>
        <v>3376800</v>
      </c>
      <c r="M58" s="195"/>
    </row>
    <row r="59" s="145" customFormat="1" spans="1:13">
      <c r="A59" s="169"/>
      <c r="B59" s="175">
        <v>22</v>
      </c>
      <c r="C59" s="176">
        <f>C58+1</f>
        <v>59</v>
      </c>
      <c r="D59" s="177">
        <f>IF(B59&gt;15,0,(IF(B59=1,Basic_Prem_Yr1_Annualized,Basic_Prem_Yr2_Annualized)))</f>
        <v>0</v>
      </c>
      <c r="E59" s="177">
        <f>IF(B59=1,Stax_Oasis_Yr1,Stax_Oasis_Yr2)*IF(Prem_Mode="Monthly",12,1)*(D59&lt;&gt;0)</f>
        <v>0</v>
      </c>
      <c r="F59" s="177">
        <f>IF(B59&gt;15,0,D59+E59)</f>
        <v>0</v>
      </c>
      <c r="G59" s="178">
        <f>MAX(Base_Ann_Prem_For_DB_Yr2*10,$D$26*100)</f>
        <v>5740800</v>
      </c>
      <c r="H59" s="178">
        <f>IF(B59&lt;=10,0,$D$26*12)</f>
        <v>643200</v>
      </c>
      <c r="I59" s="178">
        <f>'GSV for SSV Cal'!T27</f>
        <v>0</v>
      </c>
      <c r="J59" s="178">
        <v>0</v>
      </c>
      <c r="K59" s="178">
        <f>B59*SA*Rev_Bon</f>
        <v>3537600</v>
      </c>
      <c r="M59" s="195"/>
    </row>
    <row r="60" s="145" customFormat="1" spans="1:13">
      <c r="A60" s="169"/>
      <c r="B60" s="179">
        <v>23</v>
      </c>
      <c r="C60" s="180">
        <f>C59+1</f>
        <v>60</v>
      </c>
      <c r="D60" s="181">
        <f>IF(B60&gt;15,0,(IF(B60=1,Basic_Prem_Yr1_Annualized,Basic_Prem_Yr2_Annualized)))</f>
        <v>0</v>
      </c>
      <c r="E60" s="181">
        <f>IF(B60=1,Stax_Oasis_Yr1,Stax_Oasis_Yr2)*IF(Prem_Mode="Monthly",12,1)*(D60&lt;&gt;0)</f>
        <v>0</v>
      </c>
      <c r="F60" s="181">
        <f>IF(B60&gt;15,0,D60+E60)</f>
        <v>0</v>
      </c>
      <c r="G60" s="182">
        <f>MAX(Base_Ann_Prem_For_DB_Yr2*10,$D$26*100)</f>
        <v>5740800</v>
      </c>
      <c r="H60" s="182">
        <f>IF(B60&lt;=10,0,$D$26*12)</f>
        <v>643200</v>
      </c>
      <c r="I60" s="182">
        <f>'GSV for SSV Cal'!T28</f>
        <v>0</v>
      </c>
      <c r="J60" s="182">
        <v>0</v>
      </c>
      <c r="K60" s="182">
        <f>B60*SA*Rev_Bon</f>
        <v>3698400</v>
      </c>
      <c r="M60" s="195"/>
    </row>
    <row r="61" s="145" customFormat="1" ht="15.75" spans="1:16">
      <c r="A61" s="169"/>
      <c r="B61" s="175">
        <v>24</v>
      </c>
      <c r="C61" s="176">
        <f>C60+1</f>
        <v>61</v>
      </c>
      <c r="D61" s="177">
        <f>IF(B61&gt;15,0,(IF(B61=1,Basic_Prem_Yr1_Annualized,Basic_Prem_Yr2_Annualized)))</f>
        <v>0</v>
      </c>
      <c r="E61" s="177">
        <f>IF(B61=1,Stax_Oasis_Yr1,Stax_Oasis_Yr2)*IF(Prem_Mode="Monthly",12,1)*(D61&lt;&gt;0)</f>
        <v>0</v>
      </c>
      <c r="F61" s="177">
        <f>IF(B61&gt;15,0,D61+E61)</f>
        <v>0</v>
      </c>
      <c r="G61" s="178">
        <f>MAX(Base_Ann_Prem_For_DB_Yr2*10,$D$26*100)</f>
        <v>5740800</v>
      </c>
      <c r="H61" s="178">
        <f>IF(B61&lt;=10,0,$D$26*12)</f>
        <v>643200</v>
      </c>
      <c r="I61" s="178">
        <f>'GSV for SSV Cal'!T29</f>
        <v>0</v>
      </c>
      <c r="J61" s="178">
        <v>0</v>
      </c>
      <c r="K61" s="178">
        <f>B61*SA*Rev_Bon</f>
        <v>3859200</v>
      </c>
      <c r="M61" s="195"/>
      <c r="P61" s="197"/>
    </row>
    <row r="62" s="145" customFormat="1" spans="1:13">
      <c r="A62" s="169"/>
      <c r="B62" s="183">
        <v>25</v>
      </c>
      <c r="C62" s="184">
        <f>C61+1</f>
        <v>62</v>
      </c>
      <c r="D62" s="185">
        <f>IF(B62&gt;15,0,(IF(B62=1,Basic_Prem_Yr1_Annualized,Basic_Prem_Yr2_Annualized)))</f>
        <v>0</v>
      </c>
      <c r="E62" s="185">
        <f>IF(B62=1,Stax_Oasis_Yr1,Stax_Oasis_Yr2)*IF(Prem_Mode="Monthly",12,1)*(D62&lt;&gt;0)</f>
        <v>0</v>
      </c>
      <c r="F62" s="185">
        <f>IF(B62&gt;15,0,D62+E62)</f>
        <v>0</v>
      </c>
      <c r="G62" s="186">
        <f>MAX(Base_Ann_Prem_For_DB_Yr2*10,$D$26*100)</f>
        <v>5740800</v>
      </c>
      <c r="H62" s="186">
        <f>IF(B62&lt;=10,0,$D$26*12)</f>
        <v>643200</v>
      </c>
      <c r="I62" s="186">
        <f>'GSV for SSV Cal'!T30</f>
        <v>0</v>
      </c>
      <c r="J62" s="186">
        <v>0</v>
      </c>
      <c r="K62" s="186">
        <f>B62*SA*Rev_Bon</f>
        <v>4020000</v>
      </c>
      <c r="M62" s="195"/>
    </row>
    <row r="63" s="145" customFormat="1" ht="30" spans="1:13">
      <c r="A63" s="169"/>
      <c r="B63" s="187"/>
      <c r="C63" s="187"/>
      <c r="D63" s="188"/>
      <c r="G63" s="189"/>
      <c r="H63" s="189"/>
      <c r="I63" s="170" t="s">
        <v>90</v>
      </c>
      <c r="J63" s="198">
        <v>0</v>
      </c>
      <c r="K63" s="199">
        <f>Term_bon*SA</f>
        <v>4288000</v>
      </c>
      <c r="L63" s="200"/>
      <c r="M63" s="196"/>
    </row>
    <row r="64" s="145" customFormat="1" ht="46.5" customHeight="1" spans="1:11">
      <c r="A64" s="145" t="s">
        <v>91</v>
      </c>
      <c r="B64" s="190"/>
      <c r="C64" s="190"/>
      <c r="I64" s="170" t="s">
        <v>92</v>
      </c>
      <c r="J64" s="201">
        <f>J63+J62</f>
        <v>0</v>
      </c>
      <c r="K64" s="202">
        <f>K63+K62</f>
        <v>8308000</v>
      </c>
    </row>
    <row r="65" s="145" customFormat="1" ht="51" customHeight="1" spans="1:12">
      <c r="A65" s="203"/>
      <c r="B65" s="203"/>
      <c r="C65" s="203"/>
      <c r="D65" s="203"/>
      <c r="E65" s="203"/>
      <c r="F65" s="203"/>
      <c r="G65" s="203"/>
      <c r="H65" s="203"/>
      <c r="I65" s="203"/>
      <c r="J65" s="203"/>
      <c r="K65" s="203"/>
      <c r="L65" s="203"/>
    </row>
    <row r="66" s="145" customFormat="1" ht="15" customHeight="1" spans="1:11">
      <c r="A66" s="204" t="s">
        <v>93</v>
      </c>
      <c r="B66" s="204"/>
      <c r="C66" s="204"/>
      <c r="D66" s="204"/>
      <c r="E66" s="204"/>
      <c r="F66" s="204"/>
      <c r="G66" s="204"/>
      <c r="H66" s="204"/>
      <c r="I66" s="204"/>
      <c r="J66" s="204"/>
      <c r="K66" s="204"/>
    </row>
    <row r="67" s="145" customFormat="1" ht="15" customHeight="1" spans="1:11">
      <c r="A67" s="204"/>
      <c r="B67" s="204"/>
      <c r="C67" s="204"/>
      <c r="D67" s="204"/>
      <c r="E67" s="204"/>
      <c r="F67" s="204"/>
      <c r="G67" s="204"/>
      <c r="H67" s="204"/>
      <c r="I67" s="204"/>
      <c r="J67" s="204"/>
      <c r="K67" s="204"/>
    </row>
    <row r="68" s="145" customFormat="1" ht="50.25" customHeight="1" spans="1:12">
      <c r="A68" s="203" t="s">
        <v>94</v>
      </c>
      <c r="B68" s="203"/>
      <c r="C68" s="203"/>
      <c r="D68" s="203"/>
      <c r="E68" s="203"/>
      <c r="F68" s="203"/>
      <c r="G68" s="203"/>
      <c r="H68" s="203"/>
      <c r="I68" s="203"/>
      <c r="J68" s="203"/>
      <c r="K68" s="203"/>
      <c r="L68" s="203"/>
    </row>
    <row r="69" s="145" customFormat="1" ht="17.25" customHeight="1"/>
    <row r="70" s="145" customFormat="1" ht="17.25" customHeight="1" spans="1:1">
      <c r="A70" s="146" t="s">
        <v>95</v>
      </c>
    </row>
    <row r="71" s="145" customFormat="1" ht="22.5" customHeight="1" spans="1:9">
      <c r="A71" s="146" t="s">
        <v>96</v>
      </c>
      <c r="B71" s="190"/>
      <c r="C71" s="190"/>
      <c r="G71" s="205"/>
      <c r="H71" s="206"/>
      <c r="I71" s="206"/>
    </row>
    <row r="72" s="145" customFormat="1" ht="22.5" customHeight="1" spans="1:1">
      <c r="A72" s="146" t="s">
        <v>96</v>
      </c>
    </row>
    <row r="73" s="145" customFormat="1"/>
    <row r="74" s="145" customFormat="1"/>
    <row r="75" s="145" customFormat="1" ht="15" spans="6:6">
      <c r="F75" s="149" t="s">
        <v>97</v>
      </c>
    </row>
    <row r="76" s="145" customFormat="1" ht="18" spans="1:13">
      <c r="A76" s="207" t="s">
        <v>91</v>
      </c>
      <c r="B76" s="146"/>
      <c r="C76" s="146"/>
      <c r="D76" s="146"/>
      <c r="E76" s="146"/>
      <c r="F76" s="146"/>
      <c r="G76" s="146"/>
      <c r="H76" s="146"/>
      <c r="I76" s="146"/>
      <c r="J76" s="146"/>
      <c r="K76" s="146"/>
      <c r="L76" s="146"/>
      <c r="M76" s="146"/>
    </row>
    <row r="77" s="145" customFormat="1" ht="18" customHeight="1" spans="1:13">
      <c r="A77" s="208" t="s">
        <v>98</v>
      </c>
      <c r="B77" s="208"/>
      <c r="C77" s="208"/>
      <c r="D77" s="208"/>
      <c r="E77" s="208"/>
      <c r="F77" s="208"/>
      <c r="G77" s="208"/>
      <c r="H77" s="208"/>
      <c r="I77" s="208"/>
      <c r="J77" s="208"/>
      <c r="K77" s="208"/>
      <c r="L77" s="208"/>
      <c r="M77" s="146"/>
    </row>
    <row r="78" s="145" customFormat="1" ht="18" customHeight="1" spans="1:13">
      <c r="A78" s="208"/>
      <c r="B78" s="208"/>
      <c r="C78" s="208"/>
      <c r="D78" s="208"/>
      <c r="E78" s="208"/>
      <c r="F78" s="208"/>
      <c r="G78" s="208"/>
      <c r="H78" s="208"/>
      <c r="I78" s="208"/>
      <c r="J78" s="208"/>
      <c r="K78" s="208"/>
      <c r="L78" s="208"/>
      <c r="M78" s="146"/>
    </row>
    <row r="79" s="145" customFormat="1" ht="26.25" customHeight="1" spans="1:13">
      <c r="A79" s="208"/>
      <c r="B79" s="208"/>
      <c r="C79" s="208"/>
      <c r="D79" s="208"/>
      <c r="E79" s="208"/>
      <c r="F79" s="208"/>
      <c r="G79" s="208"/>
      <c r="H79" s="208"/>
      <c r="I79" s="208"/>
      <c r="J79" s="208"/>
      <c r="K79" s="208"/>
      <c r="L79" s="208"/>
      <c r="M79" s="146"/>
    </row>
    <row r="80" s="147" customFormat="1" spans="1:13">
      <c r="A80" s="146" t="s">
        <v>99</v>
      </c>
      <c r="B80" s="146"/>
      <c r="C80" s="146"/>
      <c r="D80" s="146"/>
      <c r="E80" s="146"/>
      <c r="F80" s="146"/>
      <c r="G80" s="146"/>
      <c r="H80" s="146"/>
      <c r="I80" s="146"/>
      <c r="J80" s="146"/>
      <c r="K80" s="146"/>
      <c r="L80" s="146"/>
      <c r="M80" s="146"/>
    </row>
    <row r="81" s="145" customFormat="1" spans="1:13">
      <c r="A81" s="146" t="s">
        <v>100</v>
      </c>
      <c r="B81" s="146"/>
      <c r="C81" s="146"/>
      <c r="D81" s="146"/>
      <c r="E81" s="146"/>
      <c r="F81" s="146"/>
      <c r="G81" s="146"/>
      <c r="H81" s="146"/>
      <c r="I81" s="146"/>
      <c r="J81" s="146"/>
      <c r="K81" s="146"/>
      <c r="L81" s="146"/>
      <c r="M81" s="146"/>
    </row>
    <row r="82" s="145" customFormat="1" ht="15" spans="1:28">
      <c r="A82" s="209" t="s">
        <v>101</v>
      </c>
      <c r="B82" s="146"/>
      <c r="C82" s="146"/>
      <c r="D82" s="146"/>
      <c r="E82" s="146"/>
      <c r="F82" s="146"/>
      <c r="G82" s="146"/>
      <c r="H82" s="146"/>
      <c r="I82" s="146"/>
      <c r="J82" s="146"/>
      <c r="K82" s="146"/>
      <c r="L82" s="146"/>
      <c r="M82" s="146"/>
      <c r="P82" s="215"/>
      <c r="Q82" s="215"/>
      <c r="R82" s="215"/>
      <c r="S82" s="215"/>
      <c r="T82" s="215"/>
      <c r="U82" s="215"/>
      <c r="V82" s="215"/>
      <c r="W82" s="215"/>
      <c r="X82" s="215"/>
      <c r="Y82" s="215"/>
      <c r="Z82" s="215"/>
      <c r="AA82" s="215"/>
      <c r="AB82" s="215"/>
    </row>
    <row r="83" s="145" customFormat="1" ht="15" spans="1:28">
      <c r="A83" s="209" t="s">
        <v>102</v>
      </c>
      <c r="B83" s="146"/>
      <c r="C83" s="146"/>
      <c r="D83" s="146"/>
      <c r="E83" s="146"/>
      <c r="F83" s="146"/>
      <c r="G83" s="146"/>
      <c r="H83" s="146"/>
      <c r="I83" s="146"/>
      <c r="J83" s="146"/>
      <c r="K83" s="146"/>
      <c r="L83" s="146"/>
      <c r="M83" s="146"/>
      <c r="P83" s="215"/>
      <c r="Q83" s="215"/>
      <c r="R83" s="215"/>
      <c r="S83" s="215"/>
      <c r="T83" s="215"/>
      <c r="U83" s="215"/>
      <c r="V83" s="215"/>
      <c r="W83" s="215"/>
      <c r="X83" s="215"/>
      <c r="Y83" s="215"/>
      <c r="Z83" s="215"/>
      <c r="AA83" s="215"/>
      <c r="AB83" s="215"/>
    </row>
    <row r="84" s="145" customFormat="1" ht="15" spans="1:28">
      <c r="A84" s="209" t="s">
        <v>103</v>
      </c>
      <c r="B84" s="146"/>
      <c r="C84" s="146"/>
      <c r="D84" s="146"/>
      <c r="E84" s="146"/>
      <c r="F84" s="146"/>
      <c r="G84" s="146"/>
      <c r="H84" s="146"/>
      <c r="I84" s="146"/>
      <c r="J84" s="146"/>
      <c r="K84" s="146"/>
      <c r="L84" s="146"/>
      <c r="M84" s="146"/>
      <c r="P84" s="216"/>
      <c r="Q84" s="216"/>
      <c r="R84" s="216"/>
      <c r="S84" s="216"/>
      <c r="T84" s="216"/>
      <c r="U84" s="216"/>
      <c r="V84" s="216"/>
      <c r="W84" s="216"/>
      <c r="X84" s="216"/>
      <c r="Y84" s="216"/>
      <c r="Z84" s="216"/>
      <c r="AA84" s="216"/>
      <c r="AB84" s="216"/>
    </row>
    <row r="85" s="145" customFormat="1" spans="1:28">
      <c r="A85" s="210" t="s">
        <v>104</v>
      </c>
      <c r="B85" s="146"/>
      <c r="C85" s="146"/>
      <c r="D85" s="146"/>
      <c r="E85" s="146"/>
      <c r="F85" s="146"/>
      <c r="G85" s="146"/>
      <c r="H85" s="146"/>
      <c r="I85" s="146"/>
      <c r="J85" s="146"/>
      <c r="K85" s="146"/>
      <c r="L85" s="146"/>
      <c r="M85" s="146"/>
      <c r="O85" s="215"/>
      <c r="P85" s="215"/>
      <c r="Q85" s="215"/>
      <c r="R85" s="215"/>
      <c r="S85" s="215"/>
      <c r="T85" s="215"/>
      <c r="U85" s="215"/>
      <c r="V85" s="215"/>
      <c r="W85" s="215"/>
      <c r="X85" s="215"/>
      <c r="Y85" s="215"/>
      <c r="Z85" s="215"/>
      <c r="AA85" s="215"/>
      <c r="AB85" s="215"/>
    </row>
    <row r="86" s="145" customFormat="1" spans="1:28">
      <c r="A86" s="146" t="s">
        <v>105</v>
      </c>
      <c r="B86" s="146"/>
      <c r="C86" s="146"/>
      <c r="D86" s="146"/>
      <c r="E86" s="146"/>
      <c r="F86" s="146"/>
      <c r="G86" s="146"/>
      <c r="H86" s="146"/>
      <c r="I86" s="146"/>
      <c r="J86" s="146"/>
      <c r="K86" s="146"/>
      <c r="L86" s="146"/>
      <c r="M86" s="146"/>
      <c r="O86" s="216"/>
      <c r="P86" s="216"/>
      <c r="Q86" s="216"/>
      <c r="R86" s="216"/>
      <c r="S86" s="216"/>
      <c r="T86" s="216"/>
      <c r="U86" s="216"/>
      <c r="V86" s="216"/>
      <c r="W86" s="216"/>
      <c r="X86" s="216"/>
      <c r="Y86" s="216"/>
      <c r="Z86" s="216"/>
      <c r="AA86" s="216"/>
      <c r="AB86" s="216"/>
    </row>
    <row r="87" s="145" customFormat="1" spans="1:28">
      <c r="A87" s="146" t="s">
        <v>106</v>
      </c>
      <c r="B87" s="146"/>
      <c r="C87" s="146"/>
      <c r="D87" s="146"/>
      <c r="E87" s="146"/>
      <c r="F87" s="146"/>
      <c r="G87" s="146"/>
      <c r="H87" s="146"/>
      <c r="I87" s="146"/>
      <c r="J87" s="146"/>
      <c r="K87" s="146"/>
      <c r="L87" s="146"/>
      <c r="M87" s="146"/>
      <c r="O87" s="215"/>
      <c r="P87" s="215"/>
      <c r="Q87" s="215"/>
      <c r="R87" s="215"/>
      <c r="S87" s="215"/>
      <c r="T87" s="215"/>
      <c r="U87" s="215"/>
      <c r="V87" s="215"/>
      <c r="W87" s="215"/>
      <c r="X87" s="215"/>
      <c r="Y87" s="215"/>
      <c r="Z87" s="215"/>
      <c r="AA87" s="215"/>
      <c r="AB87" s="215"/>
    </row>
    <row r="88" s="147" customFormat="1" spans="1:28">
      <c r="A88" s="146" t="s">
        <v>107</v>
      </c>
      <c r="B88" s="146"/>
      <c r="C88" s="146"/>
      <c r="D88" s="146"/>
      <c r="E88" s="146"/>
      <c r="F88" s="146"/>
      <c r="G88" s="146"/>
      <c r="H88" s="146"/>
      <c r="I88" s="146"/>
      <c r="J88" s="146"/>
      <c r="K88" s="146"/>
      <c r="L88" s="146"/>
      <c r="M88" s="146"/>
      <c r="O88" s="216"/>
      <c r="P88" s="216"/>
      <c r="Q88" s="216"/>
      <c r="R88" s="216"/>
      <c r="S88" s="216"/>
      <c r="T88" s="216"/>
      <c r="U88" s="216"/>
      <c r="V88" s="216"/>
      <c r="W88" s="216"/>
      <c r="X88" s="216"/>
      <c r="Y88" s="216"/>
      <c r="Z88" s="216"/>
      <c r="AA88" s="216"/>
      <c r="AB88" s="216"/>
    </row>
    <row r="89" s="145" customFormat="1" spans="1:28">
      <c r="A89" s="146" t="s">
        <v>108</v>
      </c>
      <c r="B89" s="146"/>
      <c r="C89" s="146"/>
      <c r="D89" s="146"/>
      <c r="E89" s="146"/>
      <c r="F89" s="146"/>
      <c r="G89" s="146"/>
      <c r="H89" s="146"/>
      <c r="I89" s="146"/>
      <c r="J89" s="146"/>
      <c r="K89" s="146"/>
      <c r="L89" s="146"/>
      <c r="M89" s="146"/>
      <c r="O89" s="215"/>
      <c r="P89" s="215"/>
      <c r="Q89" s="215"/>
      <c r="R89" s="215"/>
      <c r="S89" s="215"/>
      <c r="T89" s="215"/>
      <c r="U89" s="215"/>
      <c r="V89" s="215"/>
      <c r="W89" s="215"/>
      <c r="X89" s="215"/>
      <c r="Y89" s="215"/>
      <c r="Z89" s="215"/>
      <c r="AA89" s="215"/>
      <c r="AB89" s="215"/>
    </row>
    <row r="90" s="147" customFormat="1" spans="1:13">
      <c r="A90" s="146" t="s">
        <v>109</v>
      </c>
      <c r="B90" s="146"/>
      <c r="C90" s="146"/>
      <c r="D90" s="146"/>
      <c r="E90" s="146"/>
      <c r="F90" s="146"/>
      <c r="G90" s="146"/>
      <c r="H90" s="146"/>
      <c r="I90" s="146"/>
      <c r="J90" s="146"/>
      <c r="K90" s="146"/>
      <c r="L90" s="146"/>
      <c r="M90" s="146"/>
    </row>
    <row r="91" s="145" customFormat="1" spans="1:13">
      <c r="A91" s="146" t="s">
        <v>110</v>
      </c>
      <c r="B91" s="146"/>
      <c r="C91" s="146"/>
      <c r="D91" s="146"/>
      <c r="E91" s="146"/>
      <c r="F91" s="146"/>
      <c r="G91" s="146"/>
      <c r="H91" s="146"/>
      <c r="I91" s="146"/>
      <c r="J91" s="146"/>
      <c r="K91" s="146"/>
      <c r="L91" s="146"/>
      <c r="M91" s="146"/>
    </row>
    <row r="92" s="147" customFormat="1" spans="1:13">
      <c r="A92" s="146"/>
      <c r="B92" s="146"/>
      <c r="C92" s="146"/>
      <c r="D92" s="146"/>
      <c r="E92" s="146"/>
      <c r="F92" s="146"/>
      <c r="G92" s="146"/>
      <c r="H92" s="146"/>
      <c r="I92" s="146"/>
      <c r="J92" s="146"/>
      <c r="K92" s="146"/>
      <c r="L92" s="146"/>
      <c r="M92" s="146"/>
    </row>
    <row r="93" s="145" customFormat="1" ht="18" spans="1:13">
      <c r="A93" s="207" t="s">
        <v>111</v>
      </c>
      <c r="B93" s="146"/>
      <c r="C93" s="146"/>
      <c r="D93" s="146"/>
      <c r="E93" s="146"/>
      <c r="F93" s="146"/>
      <c r="G93" s="146"/>
      <c r="H93" s="146"/>
      <c r="I93" s="146"/>
      <c r="J93" s="146"/>
      <c r="K93" s="146"/>
      <c r="L93" s="146"/>
      <c r="M93" s="146"/>
    </row>
    <row r="94" s="145" customFormat="1" spans="1:13">
      <c r="A94" s="211" t="s">
        <v>112</v>
      </c>
      <c r="B94" s="211"/>
      <c r="C94" s="211"/>
      <c r="D94" s="211"/>
      <c r="E94" s="211"/>
      <c r="F94" s="211"/>
      <c r="G94" s="211"/>
      <c r="H94" s="211"/>
      <c r="I94" s="211"/>
      <c r="J94" s="211"/>
      <c r="K94" s="211"/>
      <c r="L94" s="211"/>
      <c r="M94" s="211"/>
    </row>
    <row r="95" s="145" customFormat="1" spans="1:13">
      <c r="A95" s="211" t="s">
        <v>113</v>
      </c>
      <c r="B95" s="211"/>
      <c r="C95" s="211"/>
      <c r="D95" s="211"/>
      <c r="E95" s="211"/>
      <c r="F95" s="211"/>
      <c r="G95" s="211"/>
      <c r="H95" s="211"/>
      <c r="I95" s="211"/>
      <c r="J95" s="211"/>
      <c r="K95" s="211"/>
      <c r="L95" s="211"/>
      <c r="M95" s="211"/>
    </row>
    <row r="96" s="145" customFormat="1" spans="1:13">
      <c r="A96" s="211" t="s">
        <v>114</v>
      </c>
      <c r="B96" s="211"/>
      <c r="C96" s="211"/>
      <c r="D96" s="211"/>
      <c r="E96" s="211"/>
      <c r="F96" s="211"/>
      <c r="G96" s="211"/>
      <c r="H96" s="211"/>
      <c r="I96" s="211"/>
      <c r="J96" s="211"/>
      <c r="K96" s="211"/>
      <c r="L96" s="211"/>
      <c r="M96" s="211"/>
    </row>
    <row r="97" s="145" customFormat="1" spans="1:13">
      <c r="A97" s="212" t="s">
        <v>115</v>
      </c>
      <c r="B97" s="212"/>
      <c r="C97" s="212"/>
      <c r="D97" s="212"/>
      <c r="E97" s="212"/>
      <c r="F97" s="212"/>
      <c r="G97" s="212"/>
      <c r="H97" s="212"/>
      <c r="I97" s="212"/>
      <c r="J97" s="212"/>
      <c r="K97" s="212"/>
      <c r="L97" s="212"/>
      <c r="M97" s="212"/>
    </row>
    <row r="98" s="145" customFormat="1" spans="1:13">
      <c r="A98" s="212" t="s">
        <v>116</v>
      </c>
      <c r="B98" s="212"/>
      <c r="C98" s="212"/>
      <c r="D98" s="212"/>
      <c r="E98" s="212"/>
      <c r="F98" s="212"/>
      <c r="G98" s="212"/>
      <c r="H98" s="212"/>
      <c r="I98" s="212"/>
      <c r="J98" s="212"/>
      <c r="K98" s="212"/>
      <c r="L98" s="212"/>
      <c r="M98" s="212"/>
    </row>
    <row r="99" s="145" customFormat="1" spans="1:13">
      <c r="A99" s="212" t="s">
        <v>114</v>
      </c>
      <c r="B99" s="212"/>
      <c r="C99" s="212"/>
      <c r="D99" s="212"/>
      <c r="E99" s="212"/>
      <c r="F99" s="212"/>
      <c r="G99" s="212"/>
      <c r="H99" s="212"/>
      <c r="I99" s="212"/>
      <c r="J99" s="212"/>
      <c r="K99" s="212"/>
      <c r="L99" s="212"/>
      <c r="M99" s="212"/>
    </row>
    <row r="100" s="145" customFormat="1" spans="1:13">
      <c r="A100" s="213" t="s">
        <v>117</v>
      </c>
      <c r="B100" s="214"/>
      <c r="C100" s="214"/>
      <c r="D100" s="214"/>
      <c r="E100" s="214"/>
      <c r="F100" s="214"/>
      <c r="G100" s="214"/>
      <c r="H100" s="214"/>
      <c r="I100" s="214"/>
      <c r="J100" s="214"/>
      <c r="K100" s="146"/>
      <c r="L100" s="146"/>
      <c r="M100" s="146"/>
    </row>
    <row r="101" s="145" customFormat="1" spans="1:13">
      <c r="A101" s="146"/>
      <c r="B101" s="146"/>
      <c r="C101" s="146"/>
      <c r="D101" s="146"/>
      <c r="E101" s="146"/>
      <c r="F101" s="146"/>
      <c r="G101" s="146"/>
      <c r="H101" s="146"/>
      <c r="I101" s="146"/>
      <c r="J101" s="146"/>
      <c r="K101" s="146"/>
      <c r="L101" s="146"/>
      <c r="M101" s="146"/>
    </row>
    <row r="102" s="145" customFormat="1" ht="18" spans="1:13">
      <c r="A102" s="207" t="s">
        <v>118</v>
      </c>
      <c r="B102" s="146"/>
      <c r="C102" s="146"/>
      <c r="D102" s="146"/>
      <c r="E102" s="146"/>
      <c r="F102" s="146"/>
      <c r="G102" s="146"/>
      <c r="H102" s="146"/>
      <c r="I102" s="146"/>
      <c r="J102" s="146"/>
      <c r="K102" s="146"/>
      <c r="L102" s="146"/>
      <c r="M102" s="146"/>
    </row>
    <row r="103" s="147" customFormat="1" spans="1:13">
      <c r="A103" s="146" t="s">
        <v>119</v>
      </c>
      <c r="B103" s="212"/>
      <c r="C103" s="212"/>
      <c r="D103" s="212"/>
      <c r="E103" s="212"/>
      <c r="F103" s="212"/>
      <c r="G103" s="212"/>
      <c r="H103" s="212"/>
      <c r="I103" s="212"/>
      <c r="J103" s="212"/>
      <c r="K103" s="146"/>
      <c r="L103" s="146"/>
      <c r="M103" s="146"/>
    </row>
    <row r="104" s="145" customFormat="1" spans="1:13">
      <c r="A104" s="146" t="s">
        <v>120</v>
      </c>
      <c r="B104" s="212"/>
      <c r="C104" s="212"/>
      <c r="D104" s="212"/>
      <c r="E104" s="212"/>
      <c r="F104" s="212"/>
      <c r="G104" s="212"/>
      <c r="H104" s="212"/>
      <c r="I104" s="212"/>
      <c r="J104" s="212"/>
      <c r="K104" s="146"/>
      <c r="L104" s="146"/>
      <c r="M104" s="146"/>
    </row>
    <row r="105" s="145" customFormat="1" spans="1:13">
      <c r="A105" s="146"/>
      <c r="B105" s="146"/>
      <c r="C105" s="146"/>
      <c r="D105" s="146"/>
      <c r="E105" s="146"/>
      <c r="F105" s="146"/>
      <c r="G105" s="146"/>
      <c r="H105" s="146"/>
      <c r="I105" s="146"/>
      <c r="J105" s="146"/>
      <c r="K105" s="146"/>
      <c r="L105" s="146"/>
      <c r="M105" s="146"/>
    </row>
    <row r="106" s="145" customFormat="1" ht="18" spans="1:13">
      <c r="A106" s="207" t="s">
        <v>121</v>
      </c>
      <c r="B106" s="146"/>
      <c r="C106" s="146"/>
      <c r="D106" s="146"/>
      <c r="E106" s="146"/>
      <c r="F106" s="146"/>
      <c r="G106" s="146"/>
      <c r="H106" s="146"/>
      <c r="I106" s="146"/>
      <c r="J106" s="146"/>
      <c r="K106" s="146"/>
      <c r="L106" s="146"/>
      <c r="M106" s="146"/>
    </row>
    <row r="107" s="145" customFormat="1" spans="1:13">
      <c r="A107" s="146" t="s">
        <v>122</v>
      </c>
      <c r="B107" s="146"/>
      <c r="C107" s="146"/>
      <c r="D107" s="146"/>
      <c r="E107" s="146"/>
      <c r="F107" s="146"/>
      <c r="G107" s="146"/>
      <c r="H107" s="146"/>
      <c r="I107" s="146"/>
      <c r="J107" s="146"/>
      <c r="K107" s="146"/>
      <c r="L107" s="146"/>
      <c r="M107" s="146"/>
    </row>
    <row r="108" s="145" customFormat="1" spans="1:13">
      <c r="A108" s="146"/>
      <c r="B108" s="146"/>
      <c r="C108" s="146"/>
      <c r="D108" s="146"/>
      <c r="E108" s="146"/>
      <c r="F108" s="146"/>
      <c r="G108" s="146"/>
      <c r="H108" s="146"/>
      <c r="I108" s="146"/>
      <c r="J108" s="146"/>
      <c r="K108" s="146"/>
      <c r="L108" s="146"/>
      <c r="M108" s="146"/>
    </row>
    <row r="109" s="145" customFormat="1" spans="1:13">
      <c r="A109" s="146" t="s">
        <v>123</v>
      </c>
      <c r="B109" s="146"/>
      <c r="C109" s="146"/>
      <c r="D109" s="146"/>
      <c r="E109" s="146"/>
      <c r="F109" s="146" t="s">
        <v>124</v>
      </c>
      <c r="G109" s="146"/>
      <c r="H109" s="146"/>
      <c r="I109" s="146"/>
      <c r="J109" s="146"/>
      <c r="K109" s="146"/>
      <c r="L109" s="146"/>
      <c r="M109" s="146"/>
    </row>
    <row r="110" s="145" customFormat="1" spans="1:13">
      <c r="A110" s="146"/>
      <c r="B110" s="146"/>
      <c r="C110" s="146"/>
      <c r="D110" s="146"/>
      <c r="E110" s="146"/>
      <c r="F110" s="146"/>
      <c r="G110" s="146"/>
      <c r="H110" s="146"/>
      <c r="I110" s="146"/>
      <c r="J110" s="146"/>
      <c r="K110" s="146"/>
      <c r="L110" s="146"/>
      <c r="M110" s="146"/>
    </row>
    <row r="111" s="145" customFormat="1" spans="1:13">
      <c r="A111" s="146"/>
      <c r="B111" s="146"/>
      <c r="C111" s="146"/>
      <c r="D111" s="146"/>
      <c r="E111" s="146"/>
      <c r="F111" s="146"/>
      <c r="G111" s="146"/>
      <c r="H111" s="146"/>
      <c r="I111" s="146"/>
      <c r="J111" s="146"/>
      <c r="K111" s="146"/>
      <c r="L111" s="146"/>
      <c r="M111" s="146"/>
    </row>
    <row r="112" s="145" customFormat="1" spans="1:13">
      <c r="A112" s="146" t="s">
        <v>125</v>
      </c>
      <c r="B112" s="146"/>
      <c r="C112" s="146"/>
      <c r="D112" s="146"/>
      <c r="E112" s="146"/>
      <c r="F112" s="146"/>
      <c r="G112" s="146"/>
      <c r="H112" s="146"/>
      <c r="I112" s="146"/>
      <c r="J112" s="146"/>
      <c r="K112" s="146"/>
      <c r="L112" s="146"/>
      <c r="M112" s="146"/>
    </row>
    <row r="113" s="145" customFormat="1" spans="1:13">
      <c r="A113" s="146"/>
      <c r="B113" s="146"/>
      <c r="C113" s="146"/>
      <c r="D113" s="146"/>
      <c r="E113" s="146"/>
      <c r="F113" s="146"/>
      <c r="G113" s="146"/>
      <c r="H113" s="146"/>
      <c r="I113" s="146"/>
      <c r="J113" s="146"/>
      <c r="K113" s="146"/>
      <c r="L113" s="146"/>
      <c r="M113" s="146"/>
    </row>
    <row r="114" s="145" customFormat="1" spans="1:13">
      <c r="A114" s="146"/>
      <c r="B114" s="146"/>
      <c r="C114" s="146"/>
      <c r="D114" s="146"/>
      <c r="E114" s="146"/>
      <c r="F114" s="146"/>
      <c r="G114" s="146"/>
      <c r="H114" s="146"/>
      <c r="I114" s="146"/>
      <c r="J114" s="146"/>
      <c r="K114" s="146"/>
      <c r="L114" s="146"/>
      <c r="M114" s="146"/>
    </row>
    <row r="115" s="145" customFormat="1" spans="1:13">
      <c r="A115" s="146" t="s">
        <v>126</v>
      </c>
      <c r="B115" s="146"/>
      <c r="C115" s="146"/>
      <c r="D115" s="146"/>
      <c r="E115" s="146"/>
      <c r="F115" s="146"/>
      <c r="G115" s="146"/>
      <c r="H115" s="146"/>
      <c r="I115" s="146"/>
      <c r="J115" s="146"/>
      <c r="K115" s="146"/>
      <c r="L115" s="146"/>
      <c r="M115" s="146"/>
    </row>
    <row r="116" s="145" customFormat="1" spans="1:13">
      <c r="A116" s="146"/>
      <c r="B116" s="146"/>
      <c r="C116" s="146"/>
      <c r="D116" s="146"/>
      <c r="E116" s="146"/>
      <c r="F116" s="146"/>
      <c r="G116" s="146"/>
      <c r="H116" s="146"/>
      <c r="I116" s="146"/>
      <c r="J116" s="146"/>
      <c r="K116" s="146"/>
      <c r="L116" s="146"/>
      <c r="M116" s="146"/>
    </row>
    <row r="117" s="145" customFormat="1" spans="1:13">
      <c r="A117" s="146" t="s">
        <v>127</v>
      </c>
      <c r="B117" s="146"/>
      <c r="C117" s="146"/>
      <c r="D117" s="146"/>
      <c r="E117" s="146"/>
      <c r="F117" s="146"/>
      <c r="G117" s="146"/>
      <c r="H117" s="146"/>
      <c r="I117" s="146"/>
      <c r="J117" s="146"/>
      <c r="K117" s="146"/>
      <c r="L117" s="146"/>
      <c r="M117" s="146"/>
    </row>
    <row r="118" s="145" customFormat="1"/>
    <row r="119" s="145" customFormat="1"/>
  </sheetData>
  <mergeCells count="7">
    <mergeCell ref="H16:I16"/>
    <mergeCell ref="G36:I36"/>
    <mergeCell ref="J36:K36"/>
    <mergeCell ref="A65:L65"/>
    <mergeCell ref="A68:L68"/>
    <mergeCell ref="A77:L79"/>
    <mergeCell ref="A66:K67"/>
  </mergeCells>
  <printOptions horizontalCentered="1" verticalCentered="1"/>
  <pageMargins left="0.169444444444444" right="0.169444444444444" top="0.309722222222222" bottom="0.75" header="0.3" footer="0.3"/>
  <pageSetup paperSize="9" scale="61" orientation="landscape"/>
  <headerFooter alignWithMargins="0"/>
  <rowBreaks count="2" manualBreakCount="2">
    <brk id="33" max="16383" man="1"/>
    <brk id="73" max="16383" man="1"/>
  </rowBreaks>
  <colBreaks count="1" manualBreakCount="1">
    <brk id="14" max="1048575" man="1"/>
  </colBreaks>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K41"/>
  <sheetViews>
    <sheetView zoomScale="85" zoomScaleNormal="85" workbookViewId="0">
      <pane xSplit="2" ySplit="3" topLeftCell="C4" activePane="bottomRight" state="frozen"/>
      <selection/>
      <selection pane="topRight"/>
      <selection pane="bottomLeft"/>
      <selection pane="bottomRight" activeCell="G7" sqref="G7"/>
    </sheetView>
  </sheetViews>
  <sheetFormatPr defaultColWidth="9" defaultRowHeight="14.25"/>
  <cols>
    <col min="1" max="1" width="3.70833333333333" style="74" customWidth="1"/>
    <col min="2" max="2" width="14" style="74" customWidth="1"/>
    <col min="3" max="3" width="27.1416666666667" style="74" customWidth="1"/>
    <col min="4" max="8" width="9.14166666666667" style="74"/>
    <col min="9" max="9" width="10.5666666666667" style="74" customWidth="1"/>
    <col min="10" max="13" width="9.14166666666667" style="74"/>
    <col min="14" max="14" width="10.5666666666667" style="74" customWidth="1"/>
    <col min="15" max="18" width="9.14166666666667" style="74"/>
    <col min="19" max="19" width="14.5666666666667" style="74" customWidth="1"/>
    <col min="20" max="20" width="24" style="74" customWidth="1"/>
    <col min="21" max="21" width="6.475" style="74" customWidth="1"/>
    <col min="22" max="22" width="5.13333333333333" style="74" customWidth="1"/>
    <col min="23" max="23" width="18.675" style="74" customWidth="1"/>
    <col min="24" max="24" width="15.575" style="74" customWidth="1"/>
    <col min="25" max="25" width="6.31666666666667" style="74" customWidth="1"/>
    <col min="26" max="26" width="8.08333333333333" style="74" customWidth="1"/>
    <col min="27" max="27" width="10.4416666666667" style="74" customWidth="1"/>
    <col min="28" max="28" width="13.0833333333333" style="74" customWidth="1"/>
    <col min="29" max="29" width="20" style="74" customWidth="1"/>
    <col min="30" max="30" width="10.5833333333333" style="74" customWidth="1"/>
    <col min="31" max="33" width="9.14166666666667" style="74"/>
    <col min="34" max="34" width="14.2833333333333" style="74" customWidth="1"/>
    <col min="35" max="35" width="15.1416666666667" style="74" customWidth="1"/>
    <col min="36" max="36" width="10.5666666666667" style="74" customWidth="1"/>
    <col min="37" max="37" width="9.70833333333333" style="74" customWidth="1"/>
    <col min="38" max="16384" width="9.14166666666667" style="74"/>
  </cols>
  <sheetData>
    <row r="1" ht="15" spans="2:3">
      <c r="B1" s="75" t="s">
        <v>128</v>
      </c>
      <c r="C1" s="76"/>
    </row>
    <row r="2" ht="15" spans="2:35">
      <c r="B2" s="34" t="s">
        <v>129</v>
      </c>
      <c r="C2" s="77" t="s">
        <v>130</v>
      </c>
      <c r="D2" s="35" t="s">
        <v>131</v>
      </c>
      <c r="E2" s="78"/>
      <c r="F2" s="78"/>
      <c r="G2" s="78"/>
      <c r="H2" s="78"/>
      <c r="I2" s="78"/>
      <c r="J2" s="78"/>
      <c r="K2" s="78"/>
      <c r="L2" s="78"/>
      <c r="M2" s="78"/>
      <c r="N2" s="78"/>
      <c r="O2" s="78"/>
      <c r="P2" s="78"/>
      <c r="Q2" s="93"/>
      <c r="S2" s="53" t="s">
        <v>132</v>
      </c>
      <c r="T2" s="55"/>
      <c r="V2" s="94" t="s">
        <v>133</v>
      </c>
      <c r="W2" s="95"/>
      <c r="AI2" s="139">
        <f>VLOOKUP("OK",$AH$4:$AI$15,2,0)</f>
        <v>5360815</v>
      </c>
    </row>
    <row r="3" ht="15" spans="4:35">
      <c r="D3" s="79">
        <v>0.25</v>
      </c>
      <c r="E3" s="80">
        <v>0.5</v>
      </c>
      <c r="F3" s="80">
        <v>0.75</v>
      </c>
      <c r="G3" s="80">
        <v>1</v>
      </c>
      <c r="H3" s="80">
        <v>1.25</v>
      </c>
      <c r="I3" s="80">
        <v>1.5</v>
      </c>
      <c r="J3" s="80">
        <v>1.75</v>
      </c>
      <c r="K3" s="80">
        <v>2</v>
      </c>
      <c r="L3" s="80">
        <v>2.25</v>
      </c>
      <c r="M3" s="80">
        <v>2.5</v>
      </c>
      <c r="N3" s="80">
        <v>2.75</v>
      </c>
      <c r="O3" s="80">
        <v>3</v>
      </c>
      <c r="P3" s="80">
        <v>3.25</v>
      </c>
      <c r="Q3" s="96">
        <v>3.5</v>
      </c>
      <c r="S3" s="97" t="s">
        <v>134</v>
      </c>
      <c r="T3" s="98" t="s">
        <v>135</v>
      </c>
      <c r="V3" s="99"/>
      <c r="W3" s="100" t="s">
        <v>136</v>
      </c>
      <c r="X3" s="101" t="s">
        <v>137</v>
      </c>
      <c r="Y3" s="132"/>
      <c r="AH3" s="140" t="s">
        <v>138</v>
      </c>
      <c r="AI3" s="140"/>
    </row>
    <row r="4" ht="15.75" spans="2:35">
      <c r="B4" s="81">
        <v>18</v>
      </c>
      <c r="C4" s="82">
        <v>101.63</v>
      </c>
      <c r="D4" s="83">
        <v>2.11</v>
      </c>
      <c r="E4" s="84">
        <v>2.38</v>
      </c>
      <c r="F4" s="84">
        <v>2.63</v>
      </c>
      <c r="G4" s="84">
        <v>2.89</v>
      </c>
      <c r="H4" s="84">
        <v>3.15</v>
      </c>
      <c r="I4" s="84">
        <v>3.43</v>
      </c>
      <c r="J4" s="84">
        <v>3.68</v>
      </c>
      <c r="K4" s="84">
        <v>3.94</v>
      </c>
      <c r="L4" s="84">
        <v>4.2</v>
      </c>
      <c r="M4" s="84">
        <v>4.46</v>
      </c>
      <c r="N4" s="84">
        <v>4.72</v>
      </c>
      <c r="O4" s="84">
        <v>4.98</v>
      </c>
      <c r="P4" s="84">
        <v>5.24</v>
      </c>
      <c r="Q4" s="82">
        <v>5.5</v>
      </c>
      <c r="R4" s="102"/>
      <c r="S4" s="103">
        <v>0</v>
      </c>
      <c r="T4" s="82">
        <v>0</v>
      </c>
      <c r="V4" s="104" t="s">
        <v>139</v>
      </c>
      <c r="W4" s="105">
        <f>VLOOKUP(Age,RATES,2,FALSE)</f>
        <v>106.17</v>
      </c>
      <c r="X4" s="106">
        <f>Base_Prem</f>
        <v>106.17</v>
      </c>
      <c r="Y4" s="133"/>
      <c r="AH4" s="141"/>
      <c r="AI4" s="142">
        <f>(VLOOKUP(Age,RATES,2,FALSE)-T9+IFERROR(VLOOKUP(Age,RATES,MATCH(EM_PC,RATES_HEADINGS),FALSE),0)+Tot_Flat_Extra)*VLOOKUP(Prem_Mode,$S$13:$T$14,2,FALSE)</f>
        <v>8.9253</v>
      </c>
    </row>
    <row r="5" ht="15.75" spans="2:37">
      <c r="B5" s="85">
        <v>19</v>
      </c>
      <c r="C5" s="86">
        <v>101.65</v>
      </c>
      <c r="D5" s="87">
        <v>2.16</v>
      </c>
      <c r="E5" s="88">
        <v>2.44</v>
      </c>
      <c r="F5" s="88">
        <v>2.72</v>
      </c>
      <c r="G5" s="88">
        <v>2.99</v>
      </c>
      <c r="H5" s="88">
        <v>3.27</v>
      </c>
      <c r="I5" s="88">
        <v>3.54</v>
      </c>
      <c r="J5" s="88">
        <v>3.82</v>
      </c>
      <c r="K5" s="88">
        <v>4.1</v>
      </c>
      <c r="L5" s="88">
        <v>4.37</v>
      </c>
      <c r="M5" s="88">
        <v>4.65</v>
      </c>
      <c r="N5" s="88">
        <v>4.92</v>
      </c>
      <c r="O5" s="88">
        <v>5.2</v>
      </c>
      <c r="P5" s="88">
        <v>5.47</v>
      </c>
      <c r="Q5" s="86">
        <v>5.75</v>
      </c>
      <c r="R5" s="102"/>
      <c r="S5" s="107">
        <v>300000</v>
      </c>
      <c r="T5" s="86">
        <v>3</v>
      </c>
      <c r="V5" s="104" t="s">
        <v>140</v>
      </c>
      <c r="W5" s="108">
        <f>VLOOKUP(SA,$S$4:$T$10,2,TRUE)</f>
        <v>7</v>
      </c>
      <c r="X5" s="109">
        <f>SA_Rebate</f>
        <v>7</v>
      </c>
      <c r="Y5" s="134" t="s">
        <v>141</v>
      </c>
      <c r="AH5" s="141" t="str">
        <f>IF(AI5&gt;=S9,"OK","Not OK")</f>
        <v>OK</v>
      </c>
      <c r="AI5" s="143">
        <f>IFERROR(ROUNDDOWN(IF(ST_Indicator="No",('Premium Calculation'!$F$5*1000/AI4),(('Premium Calculation'!$F$5/(1+STax_1))*1000/AI4)),0),0)</f>
        <v>5360815</v>
      </c>
      <c r="AJ5" s="144"/>
      <c r="AK5" s="144"/>
    </row>
    <row r="6" ht="15.75" spans="2:35">
      <c r="B6" s="85">
        <v>20</v>
      </c>
      <c r="C6" s="86">
        <v>101.7</v>
      </c>
      <c r="D6" s="87">
        <v>2.2</v>
      </c>
      <c r="E6" s="88">
        <v>2.49</v>
      </c>
      <c r="F6" s="88">
        <v>2.78</v>
      </c>
      <c r="G6" s="88">
        <v>3.07</v>
      </c>
      <c r="H6" s="88">
        <v>3.36</v>
      </c>
      <c r="I6" s="88">
        <v>3.66</v>
      </c>
      <c r="J6" s="88">
        <v>3.95</v>
      </c>
      <c r="K6" s="88">
        <v>4.24</v>
      </c>
      <c r="L6" s="88">
        <v>4.53</v>
      </c>
      <c r="M6" s="88">
        <v>4.82</v>
      </c>
      <c r="N6" s="88">
        <v>5.11</v>
      </c>
      <c r="O6" s="88">
        <v>5.4</v>
      </c>
      <c r="P6" s="88">
        <v>5.69</v>
      </c>
      <c r="Q6" s="86">
        <v>5.98</v>
      </c>
      <c r="R6" s="102"/>
      <c r="S6" s="107">
        <v>400000</v>
      </c>
      <c r="T6" s="86">
        <v>4</v>
      </c>
      <c r="V6" s="104" t="s">
        <v>142</v>
      </c>
      <c r="W6" s="110">
        <f>W4-W5</f>
        <v>99.17</v>
      </c>
      <c r="X6" s="111">
        <f>X4-X5</f>
        <v>99.17</v>
      </c>
      <c r="Y6" s="109">
        <f>ROUND(X6*SA/1000*IF(Prem_Mode="Monthly",0.09,1),0)*IF(Prem_Mode="Monthly",12,1)</f>
        <v>574080</v>
      </c>
      <c r="AH6" s="141"/>
      <c r="AI6" s="141">
        <f>(VLOOKUP(Age,RATES,2,FALSE)-T8+IFERROR(VLOOKUP(Age,RATES,MATCH(EM_PC,RATES_HEADINGS),FALSE),0)+Tot_Flat_Extra)*VLOOKUP(Prem_Mode,$S$13:$T$14,2,FALSE)</f>
        <v>9.0153</v>
      </c>
    </row>
    <row r="7" ht="15.75" spans="2:35">
      <c r="B7" s="85">
        <v>21</v>
      </c>
      <c r="C7" s="86">
        <v>101.76</v>
      </c>
      <c r="D7" s="87">
        <v>2.23</v>
      </c>
      <c r="E7" s="88">
        <v>2.54</v>
      </c>
      <c r="F7" s="88">
        <v>2.85</v>
      </c>
      <c r="G7" s="88">
        <v>3.16</v>
      </c>
      <c r="H7" s="88">
        <v>3.46</v>
      </c>
      <c r="I7" s="88">
        <v>3.77</v>
      </c>
      <c r="J7" s="88">
        <v>4.08</v>
      </c>
      <c r="K7" s="88">
        <v>4.39</v>
      </c>
      <c r="L7" s="88">
        <v>4.7</v>
      </c>
      <c r="M7" s="88">
        <v>5</v>
      </c>
      <c r="N7" s="88">
        <v>5.31</v>
      </c>
      <c r="O7" s="88">
        <v>5.62</v>
      </c>
      <c r="P7" s="88">
        <v>5.93</v>
      </c>
      <c r="Q7" s="86">
        <v>6.23</v>
      </c>
      <c r="R7" s="102"/>
      <c r="S7" s="107">
        <v>500000</v>
      </c>
      <c r="T7" s="86">
        <v>5</v>
      </c>
      <c r="V7" s="104" t="s">
        <v>25</v>
      </c>
      <c r="W7" s="112">
        <f>IF(Staff_Case='Premium Calculation'!$P$5,15%,0)</f>
        <v>0</v>
      </c>
      <c r="X7" s="113">
        <f>Staff_Discount</f>
        <v>0</v>
      </c>
      <c r="Y7" s="135"/>
      <c r="AH7" s="141" t="str">
        <f>IF(AI5&gt;=S8,"OK","Not OK")</f>
        <v>OK</v>
      </c>
      <c r="AI7" s="143">
        <f>IFERROR(ROUNDDOWN(IF(ST_Indicator="No",('Premium Calculation'!$F$5*1000/AI6),(('Premium Calculation'!$F$5/(1+STax_1))*1000/AI6)),0),0)</f>
        <v>5307298</v>
      </c>
    </row>
    <row r="8" ht="15.75" spans="2:35">
      <c r="B8" s="85">
        <v>22</v>
      </c>
      <c r="C8" s="86">
        <v>101.85</v>
      </c>
      <c r="D8" s="87">
        <v>2.24</v>
      </c>
      <c r="E8" s="88">
        <v>2.57</v>
      </c>
      <c r="F8" s="88">
        <v>2.9</v>
      </c>
      <c r="G8" s="88">
        <v>3.23</v>
      </c>
      <c r="H8" s="88">
        <v>3.55</v>
      </c>
      <c r="I8" s="88">
        <v>3.88</v>
      </c>
      <c r="J8" s="88">
        <v>4.21</v>
      </c>
      <c r="K8" s="88">
        <v>4.54</v>
      </c>
      <c r="L8" s="88">
        <v>4.86</v>
      </c>
      <c r="M8" s="88">
        <v>5.19</v>
      </c>
      <c r="N8" s="88">
        <v>5.51</v>
      </c>
      <c r="O8" s="88">
        <v>5.84</v>
      </c>
      <c r="P8" s="88">
        <v>6.16</v>
      </c>
      <c r="Q8" s="86">
        <v>6.49</v>
      </c>
      <c r="R8" s="102"/>
      <c r="S8" s="107">
        <v>600000</v>
      </c>
      <c r="T8" s="86">
        <v>6</v>
      </c>
      <c r="V8" s="104" t="s">
        <v>33</v>
      </c>
      <c r="W8" s="108">
        <f>Flat_Extra</f>
        <v>0</v>
      </c>
      <c r="X8" s="109">
        <f>Tot_Flat_Extra</f>
        <v>0</v>
      </c>
      <c r="AH8" s="141"/>
      <c r="AI8" s="141">
        <f>(VLOOKUP(Age,RATES,2,FALSE)-T7+IFERROR(VLOOKUP(Age,RATES,MATCH(EM_PC,RATES_HEADINGS),FALSE),0)+Tot_Flat_Extra)*VLOOKUP(Prem_Mode,$S$13:$T$14,2,FALSE)</f>
        <v>9.1053</v>
      </c>
    </row>
    <row r="9" ht="15.75" spans="2:35">
      <c r="B9" s="85">
        <v>23</v>
      </c>
      <c r="C9" s="86">
        <v>101.96</v>
      </c>
      <c r="D9" s="87">
        <v>2.24</v>
      </c>
      <c r="E9" s="88">
        <v>2.59</v>
      </c>
      <c r="F9" s="88">
        <v>2.95</v>
      </c>
      <c r="G9" s="88">
        <v>3.3</v>
      </c>
      <c r="H9" s="88">
        <v>3.65</v>
      </c>
      <c r="I9" s="88">
        <v>3.99</v>
      </c>
      <c r="J9" s="88">
        <v>4.34</v>
      </c>
      <c r="K9" s="88">
        <v>4.69</v>
      </c>
      <c r="L9" s="88">
        <v>5.04</v>
      </c>
      <c r="M9" s="88">
        <v>5.38</v>
      </c>
      <c r="N9" s="88">
        <v>5.73</v>
      </c>
      <c r="O9" s="88">
        <v>6.08</v>
      </c>
      <c r="P9" s="88">
        <v>6.42</v>
      </c>
      <c r="Q9" s="86">
        <v>6.76</v>
      </c>
      <c r="R9" s="102"/>
      <c r="S9" s="107">
        <v>900000</v>
      </c>
      <c r="T9" s="86">
        <v>7</v>
      </c>
      <c r="V9" s="104" t="s">
        <v>143</v>
      </c>
      <c r="W9" s="112">
        <f>EM_PC</f>
        <v>0</v>
      </c>
      <c r="X9" s="113">
        <f>EMR_Rating</f>
        <v>0</v>
      </c>
      <c r="AH9" s="141" t="str">
        <f>IF(AI5&gt;=S7,"OK","Not OK")</f>
        <v>OK</v>
      </c>
      <c r="AI9" s="143">
        <f>IFERROR(ROUNDDOWN(IF(ST_Indicator="No",('Premium Calculation'!$F$5*1000/AI8),(('Premium Calculation'!$F$5/(1+STax_1))*1000/AI8)),0),0)</f>
        <v>5254839</v>
      </c>
    </row>
    <row r="10" ht="15.75" spans="2:35">
      <c r="B10" s="85">
        <v>24</v>
      </c>
      <c r="C10" s="86">
        <v>102.09</v>
      </c>
      <c r="D10" s="87">
        <v>2.24</v>
      </c>
      <c r="E10" s="88">
        <v>2.62</v>
      </c>
      <c r="F10" s="88">
        <v>3</v>
      </c>
      <c r="G10" s="88">
        <v>3.37</v>
      </c>
      <c r="H10" s="88">
        <v>3.75</v>
      </c>
      <c r="I10" s="88">
        <v>4.12</v>
      </c>
      <c r="J10" s="88">
        <v>4.49</v>
      </c>
      <c r="K10" s="88">
        <v>4.86</v>
      </c>
      <c r="L10" s="88">
        <v>5.23</v>
      </c>
      <c r="M10" s="88">
        <v>5.6</v>
      </c>
      <c r="N10" s="88">
        <v>5.97</v>
      </c>
      <c r="O10" s="88">
        <v>6.34</v>
      </c>
      <c r="P10" s="88">
        <v>6.71</v>
      </c>
      <c r="Q10" s="86">
        <v>7.07</v>
      </c>
      <c r="R10" s="102"/>
      <c r="S10" s="114">
        <v>1000000000</v>
      </c>
      <c r="T10" s="90">
        <v>7</v>
      </c>
      <c r="V10" s="104" t="s">
        <v>144</v>
      </c>
      <c r="W10" s="110">
        <f>IFERROR(VLOOKUP(Age,RATES,MATCH(EM_PC,RATES_HEADINGS),FALSE),0)</f>
        <v>0</v>
      </c>
      <c r="X10" s="111">
        <f>EMR_Rate</f>
        <v>0</v>
      </c>
      <c r="AH10" s="141"/>
      <c r="AI10" s="141">
        <f>(VLOOKUP(Age,RATES,2,FALSE)-T6+IFERROR(VLOOKUP(Age,RATES,MATCH(EM_PC,RATES_HEADINGS),FALSE),0)+Tot_Flat_Extra)*VLOOKUP(Prem_Mode,$S$13:$T$14,2,FALSE)</f>
        <v>9.1953</v>
      </c>
    </row>
    <row r="11" ht="15.75" spans="2:35">
      <c r="B11" s="85">
        <v>25</v>
      </c>
      <c r="C11" s="86">
        <v>102.25</v>
      </c>
      <c r="D11" s="87">
        <v>2.23</v>
      </c>
      <c r="E11" s="88">
        <v>2.64</v>
      </c>
      <c r="F11" s="88">
        <v>3.04</v>
      </c>
      <c r="G11" s="88">
        <v>3.44</v>
      </c>
      <c r="H11" s="88">
        <v>3.85</v>
      </c>
      <c r="I11" s="88">
        <v>4.25</v>
      </c>
      <c r="J11" s="88">
        <v>4.65</v>
      </c>
      <c r="K11" s="88">
        <v>5.04</v>
      </c>
      <c r="L11" s="88">
        <v>5.44</v>
      </c>
      <c r="M11" s="88">
        <v>5.84</v>
      </c>
      <c r="N11" s="88">
        <v>6.23</v>
      </c>
      <c r="O11" s="88">
        <v>6.62</v>
      </c>
      <c r="P11" s="88">
        <v>7.02</v>
      </c>
      <c r="Q11" s="86">
        <v>7.41</v>
      </c>
      <c r="R11" s="102"/>
      <c r="V11" s="104" t="s">
        <v>145</v>
      </c>
      <c r="W11" s="115">
        <f>(Prem_after_rebate*(1-Staff_Discount))</f>
        <v>99.17</v>
      </c>
      <c r="X11" s="116">
        <f>X6*(1-X7)</f>
        <v>99.17</v>
      </c>
      <c r="Y11" s="136"/>
      <c r="AH11" s="141" t="str">
        <f>IF(AI5&gt;=S6,"OK","Not OK")</f>
        <v>OK</v>
      </c>
      <c r="AI11" s="143">
        <f>IFERROR(ROUNDDOWN(IF(ST_Indicator="No",('Premium Calculation'!$F$5*1000/AI10),(('Premium Calculation'!$F$5/(1+STax_1))*1000/AI10)),0),0)</f>
        <v>5203407</v>
      </c>
    </row>
    <row r="12" ht="15.75" spans="2:35">
      <c r="B12" s="85">
        <v>26</v>
      </c>
      <c r="C12" s="86">
        <v>102.42</v>
      </c>
      <c r="D12" s="87">
        <v>2.23</v>
      </c>
      <c r="E12" s="88">
        <v>2.67</v>
      </c>
      <c r="F12" s="88">
        <v>3.1</v>
      </c>
      <c r="G12" s="88">
        <v>3.54</v>
      </c>
      <c r="H12" s="88">
        <v>3.97</v>
      </c>
      <c r="I12" s="88">
        <v>4.4</v>
      </c>
      <c r="J12" s="88">
        <v>4.83</v>
      </c>
      <c r="K12" s="88">
        <v>5.26</v>
      </c>
      <c r="L12" s="88">
        <v>5.69</v>
      </c>
      <c r="M12" s="88">
        <v>6.11</v>
      </c>
      <c r="N12" s="88">
        <v>6.53</v>
      </c>
      <c r="O12" s="88">
        <v>6.96</v>
      </c>
      <c r="P12" s="88">
        <v>7.38</v>
      </c>
      <c r="Q12" s="86">
        <v>7.79</v>
      </c>
      <c r="R12" s="102"/>
      <c r="S12" s="117" t="s">
        <v>4</v>
      </c>
      <c r="T12" s="96" t="s">
        <v>39</v>
      </c>
      <c r="V12" s="118" t="s">
        <v>146</v>
      </c>
      <c r="W12" s="119">
        <f>Tot_Flat_Extra+EMR_Rate</f>
        <v>0</v>
      </c>
      <c r="X12" s="120">
        <f>X10+X8</f>
        <v>0</v>
      </c>
      <c r="Y12" s="134" t="s">
        <v>147</v>
      </c>
      <c r="AH12" s="141"/>
      <c r="AI12" s="141">
        <f>(VLOOKUP(Age,RATES,2,FALSE)-T5+IFERROR(VLOOKUP(Age,RATES,MATCH(EM_PC,RATES_HEADINGS),FALSE),0)+Tot_Flat_Extra)*VLOOKUP(Prem_Mode,$S$13:$T$14,2,FALSE)</f>
        <v>9.2853</v>
      </c>
    </row>
    <row r="13" ht="15.75" spans="2:35">
      <c r="B13" s="85">
        <v>27</v>
      </c>
      <c r="C13" s="86">
        <v>102.62</v>
      </c>
      <c r="D13" s="87">
        <v>2.22</v>
      </c>
      <c r="E13" s="88">
        <v>2.7</v>
      </c>
      <c r="F13" s="88">
        <v>3.17</v>
      </c>
      <c r="G13" s="88">
        <v>3.64</v>
      </c>
      <c r="H13" s="88">
        <v>4.11</v>
      </c>
      <c r="I13" s="88">
        <v>4.57</v>
      </c>
      <c r="J13" s="88">
        <v>5.03</v>
      </c>
      <c r="K13" s="88">
        <v>5.49</v>
      </c>
      <c r="L13" s="88">
        <v>5.95</v>
      </c>
      <c r="M13" s="88">
        <v>6.41</v>
      </c>
      <c r="N13" s="88">
        <v>6.87</v>
      </c>
      <c r="O13" s="88">
        <v>7.32</v>
      </c>
      <c r="P13" s="88">
        <v>7.77</v>
      </c>
      <c r="Q13" s="86">
        <v>8.22</v>
      </c>
      <c r="R13" s="102"/>
      <c r="S13" s="103" t="s">
        <v>11</v>
      </c>
      <c r="T13" s="82">
        <v>1</v>
      </c>
      <c r="V13" s="121" t="s">
        <v>148</v>
      </c>
      <c r="W13" s="122">
        <f>ROUND(Net_Prem_Rate+Net_EMR_Rate,2)</f>
        <v>99.17</v>
      </c>
      <c r="X13" s="123">
        <f>ROUND(X11+X12,2)</f>
        <v>99.17</v>
      </c>
      <c r="Y13" s="109">
        <f>ROUND(ROUND(X11,2)*X15,0)</f>
        <v>47840</v>
      </c>
      <c r="Z13" s="137" t="s">
        <v>149</v>
      </c>
      <c r="AA13" s="138"/>
      <c r="AB13" s="138"/>
      <c r="AC13" s="138"/>
      <c r="AH13" s="141" t="str">
        <f>IF(AI5&gt;=S5,"OK","Not OK")</f>
        <v>OK</v>
      </c>
      <c r="AI13" s="143">
        <f>IFERROR(ROUNDDOWN(IF(ST_Indicator="No",('Premium Calculation'!$F$5*1000/AI12),(('Premium Calculation'!$F$5/(1+STax_1))*1000/AI12)),0),0)</f>
        <v>5152971</v>
      </c>
    </row>
    <row r="14" ht="15.75" spans="2:35">
      <c r="B14" s="85">
        <v>28</v>
      </c>
      <c r="C14" s="86">
        <v>102.84</v>
      </c>
      <c r="D14" s="87">
        <v>2.21</v>
      </c>
      <c r="E14" s="88">
        <v>2.73</v>
      </c>
      <c r="F14" s="88">
        <v>3.24</v>
      </c>
      <c r="G14" s="88">
        <v>3.75</v>
      </c>
      <c r="H14" s="88">
        <v>4.26</v>
      </c>
      <c r="I14" s="88">
        <v>4.76</v>
      </c>
      <c r="J14" s="88">
        <v>5.26</v>
      </c>
      <c r="K14" s="88">
        <v>5.76</v>
      </c>
      <c r="L14" s="88">
        <v>6.25</v>
      </c>
      <c r="M14" s="88">
        <v>6.75</v>
      </c>
      <c r="N14" s="88">
        <v>7.23</v>
      </c>
      <c r="O14" s="88">
        <v>7.72</v>
      </c>
      <c r="P14" s="88">
        <v>8.21</v>
      </c>
      <c r="Q14" s="86">
        <v>8.69</v>
      </c>
      <c r="R14" s="102"/>
      <c r="S14" s="114" t="s">
        <v>17</v>
      </c>
      <c r="T14" s="90">
        <v>0.09</v>
      </c>
      <c r="V14" s="121" t="s">
        <v>150</v>
      </c>
      <c r="W14" s="122">
        <f>ROUND(Prem_after_rebate+Net_EMR_Rate,2)</f>
        <v>99.17</v>
      </c>
      <c r="X14" s="123">
        <f>X6+X12</f>
        <v>99.17</v>
      </c>
      <c r="Y14" s="109">
        <f>ROUND(X6*X15,0)</f>
        <v>47840</v>
      </c>
      <c r="Z14" s="137" t="s">
        <v>151</v>
      </c>
      <c r="AA14" s="138"/>
      <c r="AB14" s="138"/>
      <c r="AC14" s="138"/>
      <c r="AH14" s="141"/>
      <c r="AI14" s="141">
        <f>(VLOOKUP(Age,RATES,2,FALSE)-T4+IFERROR(VLOOKUP(Age,RATES,MATCH(EM_PC,RATES_HEADINGS),FALSE),0)+Tot_Flat_Extra)*VLOOKUP(Prem_Mode,$S$13:$T$14,2,FALSE)</f>
        <v>9.5553</v>
      </c>
    </row>
    <row r="15" ht="15.75" spans="2:35">
      <c r="B15" s="85">
        <v>29</v>
      </c>
      <c r="C15" s="86">
        <v>103.08</v>
      </c>
      <c r="D15" s="87">
        <v>2.21</v>
      </c>
      <c r="E15" s="88">
        <v>2.77</v>
      </c>
      <c r="F15" s="88">
        <v>3.33</v>
      </c>
      <c r="G15" s="88">
        <v>3.88</v>
      </c>
      <c r="H15" s="88">
        <v>4.43</v>
      </c>
      <c r="I15" s="88">
        <v>4.97</v>
      </c>
      <c r="J15" s="88">
        <v>5.51</v>
      </c>
      <c r="K15" s="88">
        <v>6.05</v>
      </c>
      <c r="L15" s="88">
        <v>6.59</v>
      </c>
      <c r="M15" s="88">
        <v>7.12</v>
      </c>
      <c r="N15" s="88">
        <v>7.64</v>
      </c>
      <c r="O15" s="88">
        <v>8.17</v>
      </c>
      <c r="P15" s="88">
        <v>8.69</v>
      </c>
      <c r="Q15" s="86">
        <v>9.21</v>
      </c>
      <c r="V15" s="124" t="s">
        <v>152</v>
      </c>
      <c r="W15" s="125">
        <f>SA/1000*VLOOKUP(Prem_Mode,$S$13:$T$14,2,FALSE)</f>
        <v>482.4</v>
      </c>
      <c r="X15" s="126">
        <f>SA_by_1000_n_Modal_Factor</f>
        <v>482.4</v>
      </c>
      <c r="Y15" s="133"/>
      <c r="AH15" s="141" t="str">
        <f>IF(AI5&gt;=S4,"OK","Not OK")</f>
        <v>OK</v>
      </c>
      <c r="AI15" s="143">
        <f>IFERROR(ROUNDDOWN(IF(ST_Indicator="No",('Premium Calculation'!$F$5*1000/AI14),(('Premium Calculation'!$F$5/(1+STax_1))*1000/AI14)),0),0)</f>
        <v>5007366</v>
      </c>
    </row>
    <row r="16" ht="15.75" spans="2:24">
      <c r="B16" s="85">
        <v>30</v>
      </c>
      <c r="C16" s="86">
        <v>103.35</v>
      </c>
      <c r="D16" s="87">
        <v>2.2</v>
      </c>
      <c r="E16" s="88">
        <v>2.81</v>
      </c>
      <c r="F16" s="88">
        <v>3.42</v>
      </c>
      <c r="G16" s="88">
        <v>4.01</v>
      </c>
      <c r="H16" s="88">
        <v>4.61</v>
      </c>
      <c r="I16" s="88">
        <v>5.2</v>
      </c>
      <c r="J16" s="88">
        <v>5.78</v>
      </c>
      <c r="K16" s="88">
        <v>6.36</v>
      </c>
      <c r="L16" s="88">
        <v>6.94</v>
      </c>
      <c r="M16" s="88">
        <v>7.51</v>
      </c>
      <c r="N16" s="88">
        <v>8.08</v>
      </c>
      <c r="O16" s="88">
        <v>8.65</v>
      </c>
      <c r="P16" s="88">
        <v>9.21</v>
      </c>
      <c r="Q16" s="86">
        <v>9.76</v>
      </c>
      <c r="X16" s="127"/>
    </row>
    <row r="17" ht="16.5" customHeight="1" spans="2:27">
      <c r="B17" s="85">
        <v>31</v>
      </c>
      <c r="C17" s="86">
        <v>103.63</v>
      </c>
      <c r="D17" s="87">
        <v>2.21</v>
      </c>
      <c r="E17" s="88">
        <v>2.87</v>
      </c>
      <c r="F17" s="88">
        <v>3.52</v>
      </c>
      <c r="G17" s="88">
        <v>4.17</v>
      </c>
      <c r="H17" s="88">
        <v>4.82</v>
      </c>
      <c r="I17" s="88">
        <v>5.46</v>
      </c>
      <c r="J17" s="88">
        <v>6.09</v>
      </c>
      <c r="K17" s="88">
        <v>6.72</v>
      </c>
      <c r="L17" s="88">
        <v>7.34</v>
      </c>
      <c r="M17" s="88">
        <v>7.96</v>
      </c>
      <c r="N17" s="88">
        <v>8.57</v>
      </c>
      <c r="O17" s="88">
        <v>9.18</v>
      </c>
      <c r="P17" s="88">
        <v>9.78</v>
      </c>
      <c r="Q17" s="86">
        <v>10.37</v>
      </c>
      <c r="V17" s="128" t="s">
        <v>153</v>
      </c>
      <c r="W17" s="129"/>
      <c r="X17" s="130"/>
      <c r="AA17" s="127"/>
    </row>
    <row r="18" ht="45" spans="2:27">
      <c r="B18" s="85">
        <v>32</v>
      </c>
      <c r="C18" s="86">
        <v>103.94</v>
      </c>
      <c r="D18" s="87">
        <v>2.21</v>
      </c>
      <c r="E18" s="88">
        <v>2.93</v>
      </c>
      <c r="F18" s="88">
        <v>3.64</v>
      </c>
      <c r="G18" s="88">
        <v>4.34</v>
      </c>
      <c r="H18" s="88">
        <v>5.04</v>
      </c>
      <c r="I18" s="88">
        <v>5.73</v>
      </c>
      <c r="J18" s="88">
        <v>6.41</v>
      </c>
      <c r="K18" s="88">
        <v>7.09</v>
      </c>
      <c r="L18" s="88">
        <v>7.76</v>
      </c>
      <c r="M18" s="88">
        <v>8.43</v>
      </c>
      <c r="N18" s="88">
        <v>9.08</v>
      </c>
      <c r="O18" s="88">
        <v>9.74</v>
      </c>
      <c r="P18" s="88">
        <v>10.38</v>
      </c>
      <c r="Q18" s="86">
        <v>11.02</v>
      </c>
      <c r="V18" s="131" t="s">
        <v>154</v>
      </c>
      <c r="W18" s="105">
        <f>ROUND(Tot_Prem_Rate_Yr1*SA_by_1000_n_Modal_Factor,2)</f>
        <v>47839.61</v>
      </c>
      <c r="X18" s="106">
        <f>ROUND(Tot_Prem_Rate_Oasis_Yr1*X15,0)</f>
        <v>47840</v>
      </c>
      <c r="AA18" s="127"/>
    </row>
    <row r="19" ht="30" spans="2:27">
      <c r="B19" s="85">
        <v>33</v>
      </c>
      <c r="C19" s="86">
        <v>104.27</v>
      </c>
      <c r="D19" s="87">
        <v>2.21</v>
      </c>
      <c r="E19" s="88">
        <v>2.99</v>
      </c>
      <c r="F19" s="88">
        <v>3.76</v>
      </c>
      <c r="G19" s="88">
        <v>4.53</v>
      </c>
      <c r="H19" s="88">
        <v>5.28</v>
      </c>
      <c r="I19" s="88">
        <v>6.03</v>
      </c>
      <c r="J19" s="88">
        <v>6.76</v>
      </c>
      <c r="K19" s="88">
        <v>7.49</v>
      </c>
      <c r="L19" s="88">
        <v>8.22</v>
      </c>
      <c r="M19" s="88">
        <v>8.93</v>
      </c>
      <c r="N19" s="88">
        <v>9.64</v>
      </c>
      <c r="O19" s="88">
        <v>10.34</v>
      </c>
      <c r="P19" s="88">
        <v>11.03</v>
      </c>
      <c r="Q19" s="86">
        <v>11.71</v>
      </c>
      <c r="V19" s="104" t="s">
        <v>38</v>
      </c>
      <c r="W19" s="110">
        <f>ROUND((W18)*STax_1,2)</f>
        <v>2152.78</v>
      </c>
      <c r="X19" s="111">
        <f>X18*STax_1</f>
        <v>2152.8</v>
      </c>
      <c r="AA19" s="127"/>
    </row>
    <row r="20" ht="15.75" spans="2:27">
      <c r="B20" s="85">
        <v>34</v>
      </c>
      <c r="C20" s="86">
        <v>104.63</v>
      </c>
      <c r="D20" s="87">
        <v>2.21</v>
      </c>
      <c r="E20" s="88">
        <v>3.06</v>
      </c>
      <c r="F20" s="88">
        <v>3.9</v>
      </c>
      <c r="G20" s="88">
        <v>4.72</v>
      </c>
      <c r="H20" s="88">
        <v>5.53</v>
      </c>
      <c r="I20" s="88">
        <v>6.34</v>
      </c>
      <c r="J20" s="88">
        <v>7.14</v>
      </c>
      <c r="K20" s="88">
        <v>7.92</v>
      </c>
      <c r="L20" s="88">
        <v>8.7</v>
      </c>
      <c r="M20" s="88">
        <v>9.47</v>
      </c>
      <c r="N20" s="88">
        <v>10.22</v>
      </c>
      <c r="O20" s="88">
        <v>10.97</v>
      </c>
      <c r="P20" s="88">
        <v>11.71</v>
      </c>
      <c r="Q20" s="86">
        <v>12.44</v>
      </c>
      <c r="V20" s="104" t="s">
        <v>155</v>
      </c>
      <c r="W20" s="110">
        <f>W18+W19</f>
        <v>49992.39</v>
      </c>
      <c r="X20" s="109">
        <f>X18+X19</f>
        <v>49992.8</v>
      </c>
      <c r="AA20" s="127"/>
    </row>
    <row r="21" ht="15.75" spans="2:27">
      <c r="B21" s="85">
        <v>35</v>
      </c>
      <c r="C21" s="86">
        <v>105</v>
      </c>
      <c r="D21" s="87">
        <v>2.23</v>
      </c>
      <c r="E21" s="88">
        <v>3.15</v>
      </c>
      <c r="F21" s="88">
        <v>4.05</v>
      </c>
      <c r="G21" s="88">
        <v>4.94</v>
      </c>
      <c r="H21" s="88">
        <v>5.82</v>
      </c>
      <c r="I21" s="88">
        <v>6.69</v>
      </c>
      <c r="J21" s="88">
        <v>7.55</v>
      </c>
      <c r="K21" s="88">
        <v>8.39</v>
      </c>
      <c r="L21" s="88">
        <v>9.23</v>
      </c>
      <c r="M21" s="88">
        <v>10.05</v>
      </c>
      <c r="N21" s="88">
        <v>10.86</v>
      </c>
      <c r="O21" s="88">
        <v>11.66</v>
      </c>
      <c r="P21" s="88">
        <v>12.46</v>
      </c>
      <c r="Q21" s="86">
        <v>13.25</v>
      </c>
      <c r="V21" s="104" t="s">
        <v>156</v>
      </c>
      <c r="W21" s="108">
        <f>W18*IF(Prem_Mode="Monthly",12,1)</f>
        <v>574075.32</v>
      </c>
      <c r="X21" s="109">
        <f>X18*IF(Prem_Mode="Monthly",12,1)</f>
        <v>574080</v>
      </c>
      <c r="AA21" s="127"/>
    </row>
    <row r="22" ht="15.75" spans="2:23">
      <c r="B22" s="85">
        <v>36</v>
      </c>
      <c r="C22" s="86">
        <v>105.38</v>
      </c>
      <c r="D22" s="87">
        <v>2.27</v>
      </c>
      <c r="E22" s="88">
        <v>3.26</v>
      </c>
      <c r="F22" s="88">
        <v>4.24</v>
      </c>
      <c r="G22" s="88">
        <v>5.2</v>
      </c>
      <c r="H22" s="88">
        <v>6.15</v>
      </c>
      <c r="I22" s="88">
        <v>7.09</v>
      </c>
      <c r="J22" s="88">
        <v>8.01</v>
      </c>
      <c r="K22" s="88">
        <v>8.92</v>
      </c>
      <c r="L22" s="88">
        <v>9.81</v>
      </c>
      <c r="M22" s="88">
        <v>10.69</v>
      </c>
      <c r="N22" s="88">
        <v>11.56</v>
      </c>
      <c r="O22" s="88">
        <v>12.42</v>
      </c>
      <c r="P22" s="88">
        <v>13.25</v>
      </c>
      <c r="Q22" s="86">
        <v>14.1</v>
      </c>
      <c r="V22"/>
      <c r="W22"/>
    </row>
    <row r="23" ht="16.5" customHeight="1" spans="2:26">
      <c r="B23" s="85">
        <v>37</v>
      </c>
      <c r="C23" s="86">
        <v>105.77</v>
      </c>
      <c r="D23" s="87">
        <v>2.33</v>
      </c>
      <c r="E23" s="88">
        <v>3.41</v>
      </c>
      <c r="F23" s="88">
        <v>4.46</v>
      </c>
      <c r="G23" s="88">
        <v>5.5</v>
      </c>
      <c r="H23" s="88">
        <v>6.52</v>
      </c>
      <c r="I23" s="88">
        <v>7.53</v>
      </c>
      <c r="J23" s="88">
        <v>8.52</v>
      </c>
      <c r="K23" s="88">
        <v>9.49</v>
      </c>
      <c r="L23" s="88">
        <v>10.45</v>
      </c>
      <c r="M23" s="88">
        <v>11.4</v>
      </c>
      <c r="N23" s="88">
        <v>12.33</v>
      </c>
      <c r="O23" s="88">
        <v>13.24</v>
      </c>
      <c r="P23" s="88">
        <v>14.14</v>
      </c>
      <c r="Q23" s="86">
        <v>15.03</v>
      </c>
      <c r="V23" s="128" t="s">
        <v>44</v>
      </c>
      <c r="W23" s="129"/>
      <c r="X23" s="130"/>
      <c r="Y23"/>
      <c r="Z23"/>
    </row>
    <row r="24" ht="45" spans="2:24">
      <c r="B24" s="85">
        <v>38</v>
      </c>
      <c r="C24" s="86">
        <v>106.17</v>
      </c>
      <c r="D24" s="87">
        <v>2.42</v>
      </c>
      <c r="E24" s="88">
        <v>3.58</v>
      </c>
      <c r="F24" s="88">
        <v>4.72</v>
      </c>
      <c r="G24" s="88">
        <v>5.84</v>
      </c>
      <c r="H24" s="88">
        <v>6.94</v>
      </c>
      <c r="I24" s="88">
        <v>8.03</v>
      </c>
      <c r="J24" s="88">
        <v>9.09</v>
      </c>
      <c r="K24" s="88">
        <v>10.14</v>
      </c>
      <c r="L24" s="88">
        <v>11.16</v>
      </c>
      <c r="M24" s="88">
        <v>12.17</v>
      </c>
      <c r="N24" s="88">
        <v>13.17</v>
      </c>
      <c r="O24" s="88">
        <v>14.15</v>
      </c>
      <c r="P24" s="88">
        <v>15.11</v>
      </c>
      <c r="Q24" s="86">
        <v>16.06</v>
      </c>
      <c r="V24" s="131" t="s">
        <v>154</v>
      </c>
      <c r="W24" s="105">
        <f>ROUND(Tot_Prem_Rate_Yr2*SA_by_1000_n_Modal_Factor,2)</f>
        <v>47839.61</v>
      </c>
      <c r="X24" s="106">
        <f>ROUND(Tot_Prem_Rate_Oasis_Yr2*X15,0)</f>
        <v>47840</v>
      </c>
    </row>
    <row r="25" ht="30" spans="2:24">
      <c r="B25" s="85">
        <v>39</v>
      </c>
      <c r="C25" s="86">
        <v>106.58</v>
      </c>
      <c r="D25" s="87">
        <v>2.54</v>
      </c>
      <c r="E25" s="88">
        <v>3.8</v>
      </c>
      <c r="F25" s="88">
        <v>5.03</v>
      </c>
      <c r="G25" s="88">
        <v>6.24</v>
      </c>
      <c r="H25" s="88">
        <v>7.42</v>
      </c>
      <c r="I25" s="88">
        <v>8.59</v>
      </c>
      <c r="J25" s="88">
        <v>9.73</v>
      </c>
      <c r="K25" s="88">
        <v>10.85</v>
      </c>
      <c r="L25" s="88">
        <v>11.96</v>
      </c>
      <c r="M25" s="88">
        <v>13.04</v>
      </c>
      <c r="N25" s="88">
        <v>14.1</v>
      </c>
      <c r="O25" s="88">
        <v>15.15</v>
      </c>
      <c r="P25" s="88">
        <v>16.18</v>
      </c>
      <c r="Q25" s="86">
        <v>17.19</v>
      </c>
      <c r="V25" s="104" t="s">
        <v>38</v>
      </c>
      <c r="W25" s="110">
        <f>ROUND((W24)*Stax_2,2)</f>
        <v>1076.39</v>
      </c>
      <c r="X25" s="111">
        <f>X24*Stax_2</f>
        <v>1076.4</v>
      </c>
    </row>
    <row r="26" ht="15.75" spans="2:24">
      <c r="B26" s="85">
        <v>40</v>
      </c>
      <c r="C26" s="86">
        <v>107</v>
      </c>
      <c r="D26" s="87">
        <v>2.7</v>
      </c>
      <c r="E26" s="88">
        <v>4.06</v>
      </c>
      <c r="F26" s="88">
        <v>5.39</v>
      </c>
      <c r="G26" s="88">
        <v>6.69</v>
      </c>
      <c r="H26" s="88">
        <v>7.97</v>
      </c>
      <c r="I26" s="88">
        <v>9.23</v>
      </c>
      <c r="J26" s="88">
        <v>10.46</v>
      </c>
      <c r="K26" s="88">
        <v>11.66</v>
      </c>
      <c r="L26" s="88">
        <v>12.84</v>
      </c>
      <c r="M26" s="88">
        <v>14</v>
      </c>
      <c r="N26" s="88">
        <v>15.14</v>
      </c>
      <c r="O26" s="88">
        <v>16.26</v>
      </c>
      <c r="P26" s="88">
        <v>17.37</v>
      </c>
      <c r="Q26" s="86">
        <v>18.47</v>
      </c>
      <c r="V26" s="104" t="s">
        <v>155</v>
      </c>
      <c r="W26" s="108">
        <f>W24+W25</f>
        <v>48916</v>
      </c>
      <c r="X26" s="109">
        <f>X24+X25</f>
        <v>48916.4</v>
      </c>
    </row>
    <row r="27" ht="15.75" spans="2:24">
      <c r="B27" s="85">
        <v>41</v>
      </c>
      <c r="C27" s="86">
        <v>107.57</v>
      </c>
      <c r="D27" s="87">
        <v>2.78</v>
      </c>
      <c r="E27" s="88">
        <v>4.26</v>
      </c>
      <c r="F27" s="88">
        <v>5.69</v>
      </c>
      <c r="G27" s="88">
        <v>7.1</v>
      </c>
      <c r="H27" s="88">
        <v>8.49</v>
      </c>
      <c r="I27" s="88">
        <v>9.84</v>
      </c>
      <c r="J27" s="88">
        <v>11.16</v>
      </c>
      <c r="K27" s="88">
        <v>12.46</v>
      </c>
      <c r="L27" s="88">
        <v>13.73</v>
      </c>
      <c r="M27" s="88">
        <v>14.98</v>
      </c>
      <c r="N27" s="88">
        <v>16.21</v>
      </c>
      <c r="O27" s="88">
        <v>17.41</v>
      </c>
      <c r="P27" s="88">
        <v>18.61</v>
      </c>
      <c r="Q27" s="86">
        <v>19.79</v>
      </c>
      <c r="V27" s="104" t="s">
        <v>156</v>
      </c>
      <c r="W27" s="108">
        <f>W24*IF(Prem_Mode="Monthly",12,1)</f>
        <v>574075.32</v>
      </c>
      <c r="X27" s="109">
        <f>X24*IF(Prem_Mode="Monthly",12,1)</f>
        <v>574080</v>
      </c>
    </row>
    <row r="28" ht="15.75" spans="2:17">
      <c r="B28" s="85">
        <v>42</v>
      </c>
      <c r="C28" s="86">
        <v>108.15</v>
      </c>
      <c r="D28" s="87">
        <v>2.92</v>
      </c>
      <c r="E28" s="88">
        <v>4.51</v>
      </c>
      <c r="F28" s="88">
        <v>6.07</v>
      </c>
      <c r="G28" s="88">
        <v>7.6</v>
      </c>
      <c r="H28" s="88">
        <v>9.09</v>
      </c>
      <c r="I28" s="88">
        <v>10.55</v>
      </c>
      <c r="J28" s="88">
        <v>11.98</v>
      </c>
      <c r="K28" s="88">
        <v>13.38</v>
      </c>
      <c r="L28" s="88">
        <v>14.75</v>
      </c>
      <c r="M28" s="88">
        <v>16.1</v>
      </c>
      <c r="N28" s="88">
        <v>17.42</v>
      </c>
      <c r="O28" s="88">
        <v>18.74</v>
      </c>
      <c r="P28" s="88">
        <v>20.03</v>
      </c>
      <c r="Q28" s="86">
        <v>21.3</v>
      </c>
    </row>
    <row r="29" ht="15.75" spans="2:17">
      <c r="B29" s="85">
        <v>43</v>
      </c>
      <c r="C29" s="86">
        <v>108.76</v>
      </c>
      <c r="D29" s="87">
        <v>3.09</v>
      </c>
      <c r="E29" s="88">
        <v>4.83</v>
      </c>
      <c r="F29" s="88">
        <v>6.52</v>
      </c>
      <c r="G29" s="88">
        <v>8.17</v>
      </c>
      <c r="H29" s="88">
        <v>9.79</v>
      </c>
      <c r="I29" s="88">
        <v>11.37</v>
      </c>
      <c r="J29" s="88">
        <v>12.91</v>
      </c>
      <c r="K29" s="88">
        <v>14.43</v>
      </c>
      <c r="L29" s="88">
        <v>15.91</v>
      </c>
      <c r="M29" s="88">
        <v>17.36</v>
      </c>
      <c r="N29" s="88">
        <v>18.81</v>
      </c>
      <c r="O29" s="88">
        <v>20.23</v>
      </c>
      <c r="P29" s="88">
        <v>21.62</v>
      </c>
      <c r="Q29" s="86">
        <v>23.02</v>
      </c>
    </row>
    <row r="30" ht="15.75" spans="2:17">
      <c r="B30" s="85">
        <v>44</v>
      </c>
      <c r="C30" s="86">
        <v>109.37</v>
      </c>
      <c r="D30" s="87">
        <v>3.35</v>
      </c>
      <c r="E30" s="88">
        <v>5.23</v>
      </c>
      <c r="F30" s="88">
        <v>7.06</v>
      </c>
      <c r="G30" s="88">
        <v>8.86</v>
      </c>
      <c r="H30" s="88">
        <v>10.61</v>
      </c>
      <c r="I30" s="88">
        <v>12.32</v>
      </c>
      <c r="J30" s="88">
        <v>13.99</v>
      </c>
      <c r="K30" s="88">
        <v>15.63</v>
      </c>
      <c r="L30" s="88">
        <v>17.23</v>
      </c>
      <c r="M30" s="88">
        <v>18.82</v>
      </c>
      <c r="N30" s="88">
        <v>20.39</v>
      </c>
      <c r="O30" s="88">
        <v>21.95</v>
      </c>
      <c r="P30" s="88">
        <v>23.47</v>
      </c>
      <c r="Q30" s="86">
        <v>24.97</v>
      </c>
    </row>
    <row r="31" ht="15.75" spans="2:17">
      <c r="B31" s="85">
        <v>45</v>
      </c>
      <c r="C31" s="86">
        <v>110</v>
      </c>
      <c r="D31" s="87">
        <v>3.66</v>
      </c>
      <c r="E31" s="88">
        <v>5.71</v>
      </c>
      <c r="F31" s="88">
        <v>7.71</v>
      </c>
      <c r="G31" s="88">
        <v>9.65</v>
      </c>
      <c r="H31" s="88">
        <v>11.55</v>
      </c>
      <c r="I31" s="88">
        <v>13.4</v>
      </c>
      <c r="J31" s="88">
        <v>15.21</v>
      </c>
      <c r="K31" s="88">
        <v>16.98</v>
      </c>
      <c r="L31" s="88">
        <v>18.76</v>
      </c>
      <c r="M31" s="88">
        <v>20.49</v>
      </c>
      <c r="N31" s="88">
        <v>22.19</v>
      </c>
      <c r="O31" s="88">
        <v>23.87</v>
      </c>
      <c r="P31" s="88">
        <v>25.53</v>
      </c>
      <c r="Q31" s="86">
        <v>27.17</v>
      </c>
    </row>
    <row r="32" ht="15.75" spans="2:17">
      <c r="B32" s="85">
        <v>46</v>
      </c>
      <c r="C32" s="86">
        <v>111.14</v>
      </c>
      <c r="D32" s="87">
        <v>3.64</v>
      </c>
      <c r="E32" s="88">
        <v>5.87</v>
      </c>
      <c r="F32" s="88">
        <v>8.06</v>
      </c>
      <c r="G32" s="88">
        <v>10.18</v>
      </c>
      <c r="H32" s="88">
        <v>12.25</v>
      </c>
      <c r="I32" s="88">
        <v>14.27</v>
      </c>
      <c r="J32" s="88">
        <v>16.24</v>
      </c>
      <c r="K32" s="88">
        <v>18.2</v>
      </c>
      <c r="L32" s="88">
        <v>20.13</v>
      </c>
      <c r="M32" s="88">
        <v>22.02</v>
      </c>
      <c r="N32" s="88">
        <v>23.89</v>
      </c>
      <c r="O32" s="88">
        <v>25.73</v>
      </c>
      <c r="P32" s="88">
        <v>27.56</v>
      </c>
      <c r="Q32" s="86">
        <v>29.37</v>
      </c>
    </row>
    <row r="33" ht="15.75" spans="2:17">
      <c r="B33" s="85">
        <v>47</v>
      </c>
      <c r="C33" s="86">
        <v>112.3</v>
      </c>
      <c r="D33" s="87">
        <v>3.7</v>
      </c>
      <c r="E33" s="88">
        <v>6.14</v>
      </c>
      <c r="F33" s="88">
        <v>8.53</v>
      </c>
      <c r="G33" s="88">
        <v>10.84</v>
      </c>
      <c r="H33" s="88">
        <v>13.1</v>
      </c>
      <c r="I33" s="88">
        <v>15.32</v>
      </c>
      <c r="J33" s="88">
        <v>17.47</v>
      </c>
      <c r="K33" s="88">
        <v>19.62</v>
      </c>
      <c r="L33" s="88">
        <v>21.72</v>
      </c>
      <c r="M33" s="88">
        <v>23.8</v>
      </c>
      <c r="N33" s="88">
        <v>25.85</v>
      </c>
      <c r="O33" s="88">
        <v>27.88</v>
      </c>
      <c r="P33" s="88">
        <v>29.9</v>
      </c>
      <c r="Q33" s="86">
        <v>32.45</v>
      </c>
    </row>
    <row r="34" ht="15.75" spans="2:17">
      <c r="B34" s="85">
        <v>48</v>
      </c>
      <c r="C34" s="86">
        <v>113.51</v>
      </c>
      <c r="D34" s="87">
        <v>3.83</v>
      </c>
      <c r="E34" s="88">
        <v>6.5</v>
      </c>
      <c r="F34" s="88">
        <v>9.1</v>
      </c>
      <c r="G34" s="88">
        <v>11.63</v>
      </c>
      <c r="H34" s="88">
        <v>14.11</v>
      </c>
      <c r="I34" s="88">
        <v>16.51</v>
      </c>
      <c r="J34" s="88">
        <v>18.88</v>
      </c>
      <c r="K34" s="88">
        <v>21.22</v>
      </c>
      <c r="L34" s="88">
        <v>23.53</v>
      </c>
      <c r="M34" s="88">
        <v>25.8</v>
      </c>
      <c r="N34" s="88">
        <v>28.06</v>
      </c>
      <c r="O34" s="88">
        <v>30.31</v>
      </c>
      <c r="P34" s="88">
        <v>34.05</v>
      </c>
      <c r="Q34" s="86">
        <v>38.72</v>
      </c>
    </row>
    <row r="35" ht="15.75" spans="2:17">
      <c r="B35" s="85">
        <v>49</v>
      </c>
      <c r="C35" s="86">
        <v>114.74</v>
      </c>
      <c r="D35" s="87">
        <v>4.06</v>
      </c>
      <c r="E35" s="88">
        <v>6.97</v>
      </c>
      <c r="F35" s="88">
        <v>9.81</v>
      </c>
      <c r="G35" s="88">
        <v>12.56</v>
      </c>
      <c r="H35" s="88">
        <v>15.26</v>
      </c>
      <c r="I35" s="88">
        <v>17.88</v>
      </c>
      <c r="J35" s="88">
        <v>20.48</v>
      </c>
      <c r="K35" s="88">
        <v>23.04</v>
      </c>
      <c r="L35" s="88">
        <v>25.57</v>
      </c>
      <c r="M35" s="88">
        <v>28.07</v>
      </c>
      <c r="N35" s="88">
        <v>30.57</v>
      </c>
      <c r="O35" s="88">
        <v>35.13</v>
      </c>
      <c r="P35" s="88">
        <v>40.62</v>
      </c>
      <c r="Q35" s="86">
        <v>46.46</v>
      </c>
    </row>
    <row r="36" ht="15.75" spans="2:17">
      <c r="B36" s="85">
        <v>50</v>
      </c>
      <c r="C36" s="86">
        <v>116</v>
      </c>
      <c r="D36" s="87">
        <v>4.38</v>
      </c>
      <c r="E36" s="88">
        <v>7.56</v>
      </c>
      <c r="F36" s="88">
        <v>10.65</v>
      </c>
      <c r="G36" s="88">
        <v>13.66</v>
      </c>
      <c r="H36" s="88">
        <v>16.57</v>
      </c>
      <c r="I36" s="88">
        <v>19.44</v>
      </c>
      <c r="J36" s="88">
        <v>22.28</v>
      </c>
      <c r="K36" s="88">
        <v>25.08</v>
      </c>
      <c r="L36" s="88">
        <v>27.85</v>
      </c>
      <c r="M36" s="88">
        <v>30.61</v>
      </c>
      <c r="N36" s="88">
        <v>35.99</v>
      </c>
      <c r="O36" s="88">
        <v>42.19</v>
      </c>
      <c r="P36" s="88">
        <v>49.33</v>
      </c>
      <c r="Q36" s="86">
        <v>57.02</v>
      </c>
    </row>
    <row r="37" ht="15.75" spans="2:17">
      <c r="B37" s="85">
        <v>51</v>
      </c>
      <c r="C37" s="86">
        <v>117.52</v>
      </c>
      <c r="D37" s="87">
        <v>4.63</v>
      </c>
      <c r="E37" s="88">
        <v>8.09</v>
      </c>
      <c r="F37" s="88">
        <v>11.47</v>
      </c>
      <c r="G37" s="88">
        <v>14.73</v>
      </c>
      <c r="H37" s="88">
        <v>17.9</v>
      </c>
      <c r="I37" s="88">
        <v>21.05</v>
      </c>
      <c r="J37" s="88">
        <v>24.15</v>
      </c>
      <c r="K37" s="88">
        <v>27.21</v>
      </c>
      <c r="L37" s="88">
        <v>30.25</v>
      </c>
      <c r="M37" s="88">
        <v>36.13</v>
      </c>
      <c r="N37" s="88">
        <v>43.08</v>
      </c>
      <c r="O37" s="88">
        <v>51.21</v>
      </c>
      <c r="P37" s="88">
        <v>60.04</v>
      </c>
      <c r="Q37" s="86">
        <v>70.24</v>
      </c>
    </row>
    <row r="38" ht="15.75" spans="2:17">
      <c r="B38" s="85">
        <v>52</v>
      </c>
      <c r="C38" s="86">
        <v>119.07</v>
      </c>
      <c r="D38" s="87">
        <v>4.99</v>
      </c>
      <c r="E38" s="88">
        <v>8.78</v>
      </c>
      <c r="F38" s="88">
        <v>12.43</v>
      </c>
      <c r="G38" s="88">
        <v>15.97</v>
      </c>
      <c r="H38" s="88">
        <v>19.43</v>
      </c>
      <c r="I38" s="88">
        <v>22.86</v>
      </c>
      <c r="J38" s="88">
        <v>26.25</v>
      </c>
      <c r="K38" s="88">
        <v>29.6</v>
      </c>
      <c r="L38" s="88">
        <v>35.64</v>
      </c>
      <c r="M38" s="88">
        <v>43.37</v>
      </c>
      <c r="N38" s="88">
        <v>52.48</v>
      </c>
      <c r="O38" s="88">
        <v>62.52</v>
      </c>
      <c r="P38" s="88">
        <v>74.29</v>
      </c>
      <c r="Q38" s="86">
        <v>90.84</v>
      </c>
    </row>
    <row r="39" ht="15.75" spans="2:17">
      <c r="B39" s="85">
        <v>53</v>
      </c>
      <c r="C39" s="86">
        <v>119.85</v>
      </c>
      <c r="D39" s="87">
        <v>6.07</v>
      </c>
      <c r="E39" s="88">
        <v>10.14</v>
      </c>
      <c r="F39" s="88">
        <v>14.08</v>
      </c>
      <c r="G39" s="88">
        <v>17.89</v>
      </c>
      <c r="H39" s="88">
        <v>21.65</v>
      </c>
      <c r="I39" s="88">
        <v>25.35</v>
      </c>
      <c r="J39" s="88">
        <v>29.02</v>
      </c>
      <c r="K39" s="88">
        <v>35.2</v>
      </c>
      <c r="L39" s="88">
        <v>43.67</v>
      </c>
      <c r="M39" s="88">
        <v>53.76</v>
      </c>
      <c r="N39" s="88">
        <v>64.92</v>
      </c>
      <c r="O39" s="88">
        <v>79.11</v>
      </c>
      <c r="P39" s="88">
        <v>98.65</v>
      </c>
      <c r="Q39" s="86">
        <v>121.39</v>
      </c>
    </row>
    <row r="40" ht="15.75" spans="2:17">
      <c r="B40" s="85">
        <v>54</v>
      </c>
      <c r="C40" s="86">
        <v>121.77</v>
      </c>
      <c r="D40" s="87">
        <v>6.45</v>
      </c>
      <c r="E40" s="88">
        <v>10.88</v>
      </c>
      <c r="F40" s="88">
        <v>15.14</v>
      </c>
      <c r="G40" s="88">
        <v>19.28</v>
      </c>
      <c r="H40" s="88">
        <v>23.38</v>
      </c>
      <c r="I40" s="88">
        <v>27.43</v>
      </c>
      <c r="J40" s="88">
        <v>32.97</v>
      </c>
      <c r="K40" s="88">
        <v>42.03</v>
      </c>
      <c r="L40" s="88">
        <v>52.99</v>
      </c>
      <c r="M40" s="88">
        <v>65.33</v>
      </c>
      <c r="N40" s="88">
        <v>81.86</v>
      </c>
      <c r="O40" s="88">
        <v>104.26</v>
      </c>
      <c r="P40" s="88">
        <v>130.85</v>
      </c>
      <c r="Q40" s="86">
        <v>163.59</v>
      </c>
    </row>
    <row r="41" ht="15.75" spans="2:17">
      <c r="B41" s="89">
        <v>55</v>
      </c>
      <c r="C41" s="90">
        <v>124</v>
      </c>
      <c r="D41" s="91">
        <v>6.78</v>
      </c>
      <c r="E41" s="92">
        <v>11.6</v>
      </c>
      <c r="F41" s="92">
        <v>16.23</v>
      </c>
      <c r="G41" s="92">
        <v>20.74</v>
      </c>
      <c r="H41" s="92">
        <v>25.21</v>
      </c>
      <c r="I41" s="92">
        <v>29.63</v>
      </c>
      <c r="J41" s="92">
        <v>39.16</v>
      </c>
      <c r="K41" s="92">
        <v>50.88</v>
      </c>
      <c r="L41" s="92">
        <v>64.4</v>
      </c>
      <c r="M41" s="92">
        <v>82.98</v>
      </c>
      <c r="N41" s="92">
        <v>108.11</v>
      </c>
      <c r="O41" s="92">
        <v>138.73</v>
      </c>
      <c r="P41" s="92">
        <v>179.92</v>
      </c>
      <c r="Q41" s="90">
        <v>235.43</v>
      </c>
    </row>
  </sheetData>
  <mergeCells count="8">
    <mergeCell ref="B1:C1"/>
    <mergeCell ref="D2:Q2"/>
    <mergeCell ref="S2:T2"/>
    <mergeCell ref="V2:W2"/>
    <mergeCell ref="X3:Y3"/>
    <mergeCell ref="AH3:AI3"/>
    <mergeCell ref="V17:X17"/>
    <mergeCell ref="V23:X23"/>
  </mergeCell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T305"/>
  <sheetViews>
    <sheetView zoomScale="55" zoomScaleNormal="55" workbookViewId="0">
      <selection activeCell="J21" sqref="J21"/>
    </sheetView>
  </sheetViews>
  <sheetFormatPr defaultColWidth="9" defaultRowHeight="14.25"/>
  <cols>
    <col min="1" max="1" width="4" style="33" customWidth="1"/>
    <col min="2" max="3" width="9.14166666666667" style="33"/>
    <col min="4" max="4" width="16.7083333333333" style="33" customWidth="1"/>
    <col min="5" max="5" width="28.5666666666667" style="33" customWidth="1"/>
    <col min="6" max="6" width="16.7083333333333" style="33" customWidth="1"/>
    <col min="7" max="7" width="21" style="33" customWidth="1"/>
    <col min="8" max="8" width="21.1416666666667" style="33" customWidth="1"/>
    <col min="9" max="9" width="15" style="33" customWidth="1"/>
    <col min="10" max="10" width="17.1416666666667" style="33" customWidth="1"/>
    <col min="11" max="11" width="15" style="33" customWidth="1"/>
    <col min="12" max="12" width="16.425" style="33" customWidth="1"/>
    <col min="13" max="15" width="9.14166666666667" style="33"/>
    <col min="16" max="16" width="21.7083333333333" style="33" customWidth="1"/>
    <col min="17" max="17" width="13.425" style="33" customWidth="1"/>
    <col min="18" max="18" width="9.14166666666667" style="33"/>
    <col min="19" max="19" width="18.7083333333333" style="33" customWidth="1"/>
    <col min="20" max="20" width="21.425" style="33" customWidth="1"/>
    <col min="21" max="16384" width="9.14166666666667" style="33"/>
  </cols>
  <sheetData>
    <row r="2" ht="15" spans="16:20">
      <c r="P2" s="34" t="s">
        <v>157</v>
      </c>
      <c r="Q2" s="64">
        <v>0.03</v>
      </c>
      <c r="S2" s="34" t="s">
        <v>158</v>
      </c>
      <c r="T2" s="64">
        <v>0.8</v>
      </c>
    </row>
    <row r="4" ht="61.5" customHeight="1" spans="2:20">
      <c r="B4" s="34" t="s">
        <v>159</v>
      </c>
      <c r="C4" s="34" t="s">
        <v>160</v>
      </c>
      <c r="D4" s="34" t="s">
        <v>161</v>
      </c>
      <c r="E4" s="35" t="s">
        <v>162</v>
      </c>
      <c r="F4" s="35" t="s">
        <v>163</v>
      </c>
      <c r="G4" s="36" t="s">
        <v>164</v>
      </c>
      <c r="H4" s="34" t="s">
        <v>165</v>
      </c>
      <c r="I4" s="34" t="s">
        <v>166</v>
      </c>
      <c r="J4" s="52" t="s">
        <v>167</v>
      </c>
      <c r="L4" s="53" t="s">
        <v>168</v>
      </c>
      <c r="M4" s="54"/>
      <c r="N4" s="55"/>
      <c r="P4" s="53" t="s">
        <v>169</v>
      </c>
      <c r="Q4" s="55"/>
      <c r="S4" s="65" t="s">
        <v>170</v>
      </c>
      <c r="T4" s="66"/>
    </row>
    <row r="5" ht="15" spans="12:20">
      <c r="L5" s="56" t="s">
        <v>171</v>
      </c>
      <c r="M5" s="57" t="s">
        <v>172</v>
      </c>
      <c r="N5" s="58" t="s">
        <v>173</v>
      </c>
      <c r="P5" s="56" t="s">
        <v>171</v>
      </c>
      <c r="Q5" s="58" t="s">
        <v>174</v>
      </c>
      <c r="S5" s="53" t="s">
        <v>175</v>
      </c>
      <c r="T5" s="55" t="s">
        <v>176</v>
      </c>
    </row>
    <row r="6" ht="15" spans="2:20">
      <c r="B6" s="37">
        <v>1</v>
      </c>
      <c r="C6" s="38">
        <v>1</v>
      </c>
      <c r="D6" s="39">
        <f>VLOOKUP(B6,$L$5:$N$30,2,0)</f>
        <v>0</v>
      </c>
      <c r="E6" s="40">
        <f>(IF(B6=1,Modal_Basic_Prem_Yr1,Modal_Basic_Prem_Yr2)*(Prem_Mode="Monthly")+(Prem_Mode="Annual")*IF(B6=1,Modal_Basic_Prem_Yr1,Modal_Basic_Prem_Yr2)*(MOD(C6-1,12)=0))*(B6&lt;=15)</f>
        <v>47840</v>
      </c>
      <c r="F6" s="40">
        <f>SUM($E$6:E6)</f>
        <v>47840</v>
      </c>
      <c r="G6" s="41">
        <f>MAX(F6*D6-SA/100*(C6-10*12)*(B6&gt;10),0)</f>
        <v>0</v>
      </c>
      <c r="H6" s="39">
        <f>VLOOKUP(B6,$L$5:$N$30,3,0)</f>
        <v>0</v>
      </c>
      <c r="I6" s="40">
        <f>VLOOKUP(B6,$P$5:$Q$30,2,0)*SA*(B6-1)*H6</f>
        <v>0</v>
      </c>
      <c r="J6" s="40">
        <f>G6+I6</f>
        <v>0</v>
      </c>
      <c r="K6" s="59"/>
      <c r="L6" s="56">
        <v>1</v>
      </c>
      <c r="M6" s="60">
        <v>0</v>
      </c>
      <c r="N6" s="61">
        <v>0</v>
      </c>
      <c r="P6" s="56">
        <v>1</v>
      </c>
      <c r="Q6" s="67">
        <f>$Q$2</f>
        <v>0.03</v>
      </c>
      <c r="S6" s="56">
        <f>P6*12</f>
        <v>12</v>
      </c>
      <c r="T6" s="68">
        <f>VLOOKUP(S6,$C$6:$J$305,5,0)</f>
        <v>0</v>
      </c>
    </row>
    <row r="7" ht="15" spans="2:20">
      <c r="B7" s="42">
        <v>1</v>
      </c>
      <c r="C7" s="43">
        <f>C6+1</f>
        <v>2</v>
      </c>
      <c r="D7" s="44">
        <f t="shared" ref="D7:D70" si="0">VLOOKUP(B7,$L$5:$N$30,2,0)</f>
        <v>0</v>
      </c>
      <c r="E7" s="45">
        <f>(IF(B7=1,Modal_Basic_Prem_Yr1,Modal_Basic_Prem_Yr2)*(Prem_Mode="Monthly")+(Prem_Mode="Annual")*IF(B7=1,Modal_Basic_Prem_Yr1,Modal_Basic_Prem_Yr2)*(MOD(C7-1,12)=0))*(B7&lt;=15)</f>
        <v>47840</v>
      </c>
      <c r="F7" s="45">
        <f>SUM($E$6:E7)</f>
        <v>95680</v>
      </c>
      <c r="G7" s="46">
        <f>MAX(F7*D7-SA/100*(C7-10*12)*(B7&gt;10),0)</f>
        <v>0</v>
      </c>
      <c r="H7" s="44">
        <f t="shared" ref="H7:H70" si="1">VLOOKUP(B7,$L$5:$N$30,3,0)</f>
        <v>0</v>
      </c>
      <c r="I7" s="45">
        <f>VLOOKUP(B7,$P$5:$Q$30,2,0)*SA*(B7-1)*H7</f>
        <v>0</v>
      </c>
      <c r="J7" s="45">
        <f t="shared" ref="J7:J70" si="2">G7+I7</f>
        <v>0</v>
      </c>
      <c r="K7" s="59"/>
      <c r="L7" s="56">
        <v>2</v>
      </c>
      <c r="M7" s="60">
        <v>0</v>
      </c>
      <c r="N7" s="61">
        <v>0</v>
      </c>
      <c r="P7" s="56">
        <v>2</v>
      </c>
      <c r="Q7" s="67">
        <f t="shared" ref="Q7:Q30" si="3">$Q$2</f>
        <v>0.03</v>
      </c>
      <c r="S7" s="56">
        <f t="shared" ref="S7:S30" si="4">P7*12</f>
        <v>24</v>
      </c>
      <c r="T7" s="68">
        <f t="shared" ref="T7:T30" si="5">VLOOKUP(S7,$C$6:$J$305,5,0)</f>
        <v>0</v>
      </c>
    </row>
    <row r="8" ht="15" spans="2:20">
      <c r="B8" s="47">
        <v>1</v>
      </c>
      <c r="C8" s="48">
        <f t="shared" ref="C8:C71" si="6">C7+1</f>
        <v>3</v>
      </c>
      <c r="D8" s="49">
        <f>VLOOKUP(B8,$L$5:$N$30,2,0)</f>
        <v>0</v>
      </c>
      <c r="E8" s="50">
        <f>(IF(B8=1,Modal_Basic_Prem_Yr1,Modal_Basic_Prem_Yr2)*(Prem_Mode="Monthly")+(Prem_Mode="Annual")*IF(B8=1,Modal_Basic_Prem_Yr1,Modal_Basic_Prem_Yr2)*(MOD(C8-1,12)=0))*(B8&lt;=15)</f>
        <v>47840</v>
      </c>
      <c r="F8" s="50">
        <f>SUM($E$6:E8)</f>
        <v>143520</v>
      </c>
      <c r="G8" s="51">
        <f>MAX(F8*D8-SA/100*(C8-10*12)*(B8&gt;10),0)</f>
        <v>0</v>
      </c>
      <c r="H8" s="49">
        <f>VLOOKUP(B8,$L$5:$N$30,3,0)</f>
        <v>0</v>
      </c>
      <c r="I8" s="50">
        <f>VLOOKUP(B8,$P$5:$Q$30,2,0)*SA*(B8-1)*H8</f>
        <v>0</v>
      </c>
      <c r="J8" s="50">
        <f>G8+I8</f>
        <v>0</v>
      </c>
      <c r="K8" s="59"/>
      <c r="L8" s="56">
        <v>3</v>
      </c>
      <c r="M8" s="60">
        <v>0.3</v>
      </c>
      <c r="N8" s="61">
        <v>0.14</v>
      </c>
      <c r="P8" s="56">
        <v>3</v>
      </c>
      <c r="Q8" s="67">
        <f>$Q$2</f>
        <v>0.03</v>
      </c>
      <c r="S8" s="56">
        <f>P8*12</f>
        <v>36</v>
      </c>
      <c r="T8" s="68">
        <f>VLOOKUP(S8,$C$6:$J$305,5,0)</f>
        <v>516672</v>
      </c>
    </row>
    <row r="9" ht="15" spans="2:20">
      <c r="B9" s="42">
        <v>1</v>
      </c>
      <c r="C9" s="43">
        <f>C8+1</f>
        <v>4</v>
      </c>
      <c r="D9" s="44">
        <f>VLOOKUP(B9,$L$5:$N$30,2,0)</f>
        <v>0</v>
      </c>
      <c r="E9" s="45">
        <f>(IF(B9=1,Modal_Basic_Prem_Yr1,Modal_Basic_Prem_Yr2)*(Prem_Mode="Monthly")+(Prem_Mode="Annual")*IF(B9=1,Modal_Basic_Prem_Yr1,Modal_Basic_Prem_Yr2)*(MOD(C9-1,12)=0))*(B9&lt;=15)</f>
        <v>47840</v>
      </c>
      <c r="F9" s="45">
        <f>SUM($E$6:E9)</f>
        <v>191360</v>
      </c>
      <c r="G9" s="46">
        <f>MAX(F9*D9-SA/100*(C9-10*12)*(B9&gt;10),0)</f>
        <v>0</v>
      </c>
      <c r="H9" s="44">
        <f>VLOOKUP(B9,$L$5:$N$30,3,0)</f>
        <v>0</v>
      </c>
      <c r="I9" s="45">
        <f>VLOOKUP(B9,$P$5:$Q$30,2,0)*SA*(B9-1)*H9</f>
        <v>0</v>
      </c>
      <c r="J9" s="45">
        <f>G9+I9</f>
        <v>0</v>
      </c>
      <c r="K9" s="59"/>
      <c r="L9" s="56">
        <v>4</v>
      </c>
      <c r="M9" s="60">
        <v>0.5</v>
      </c>
      <c r="N9" s="61">
        <v>0.15</v>
      </c>
      <c r="P9" s="56">
        <v>4</v>
      </c>
      <c r="Q9" s="67">
        <f>$Q$2</f>
        <v>0.03</v>
      </c>
      <c r="S9" s="56">
        <f>P9*12</f>
        <v>48</v>
      </c>
      <c r="T9" s="68">
        <f>VLOOKUP(S9,$C$6:$J$305,5,0)</f>
        <v>1148160</v>
      </c>
    </row>
    <row r="10" ht="15" spans="2:20">
      <c r="B10" s="47">
        <v>1</v>
      </c>
      <c r="C10" s="48">
        <f>C9+1</f>
        <v>5</v>
      </c>
      <c r="D10" s="49">
        <f>VLOOKUP(B10,$L$5:$N$30,2,0)</f>
        <v>0</v>
      </c>
      <c r="E10" s="50">
        <f>(IF(B10=1,Modal_Basic_Prem_Yr1,Modal_Basic_Prem_Yr2)*(Prem_Mode="Monthly")+(Prem_Mode="Annual")*IF(B10=1,Modal_Basic_Prem_Yr1,Modal_Basic_Prem_Yr2)*(MOD(C10-1,12)=0))*(B10&lt;=15)</f>
        <v>47840</v>
      </c>
      <c r="F10" s="50">
        <f>SUM($E$6:E10)</f>
        <v>239200</v>
      </c>
      <c r="G10" s="51">
        <f>MAX(F10*D10-SA/100*(C10-10*12)*(B10&gt;10),0)</f>
        <v>0</v>
      </c>
      <c r="H10" s="49">
        <f>VLOOKUP(B10,$L$5:$N$30,3,0)</f>
        <v>0</v>
      </c>
      <c r="I10" s="50">
        <f>VLOOKUP(B10,$P$5:$Q$30,2,0)*SA*(B10-1)*H10</f>
        <v>0</v>
      </c>
      <c r="J10" s="50">
        <f>G10+I10</f>
        <v>0</v>
      </c>
      <c r="K10" s="59"/>
      <c r="L10" s="56">
        <v>5</v>
      </c>
      <c r="M10" s="60">
        <v>0.5</v>
      </c>
      <c r="N10" s="61">
        <v>0.16</v>
      </c>
      <c r="P10" s="56">
        <v>5</v>
      </c>
      <c r="Q10" s="67">
        <f>$Q$2</f>
        <v>0.03</v>
      </c>
      <c r="S10" s="56">
        <f>P10*12</f>
        <v>60</v>
      </c>
      <c r="T10" s="68">
        <f>VLOOKUP(S10,$C$6:$J$305,5,0)</f>
        <v>1435200</v>
      </c>
    </row>
    <row r="11" ht="15" spans="2:20">
      <c r="B11" s="42">
        <v>1</v>
      </c>
      <c r="C11" s="43">
        <f>C10+1</f>
        <v>6</v>
      </c>
      <c r="D11" s="44">
        <f>VLOOKUP(B11,$L$5:$N$30,2,0)</f>
        <v>0</v>
      </c>
      <c r="E11" s="45">
        <f>(IF(B11=1,Modal_Basic_Prem_Yr1,Modal_Basic_Prem_Yr2)*(Prem_Mode="Monthly")+(Prem_Mode="Annual")*IF(B11=1,Modal_Basic_Prem_Yr1,Modal_Basic_Prem_Yr2)*(MOD(C11-1,12)=0))*(B11&lt;=15)</f>
        <v>47840</v>
      </c>
      <c r="F11" s="45">
        <f>SUM($E$6:E11)</f>
        <v>287040</v>
      </c>
      <c r="G11" s="46">
        <f>MAX(F11*D11-SA/100*(C11-10*12)*(B11&gt;10),0)</f>
        <v>0</v>
      </c>
      <c r="H11" s="44">
        <f>VLOOKUP(B11,$L$5:$N$30,3,0)</f>
        <v>0</v>
      </c>
      <c r="I11" s="45">
        <f>VLOOKUP(B11,$P$5:$Q$30,2,0)*SA*(B11-1)*H11</f>
        <v>0</v>
      </c>
      <c r="J11" s="45">
        <f>G11+I11</f>
        <v>0</v>
      </c>
      <c r="K11" s="59"/>
      <c r="L11" s="56">
        <v>6</v>
      </c>
      <c r="M11" s="60">
        <v>0.5</v>
      </c>
      <c r="N11" s="61">
        <v>0.18</v>
      </c>
      <c r="P11" s="56">
        <v>6</v>
      </c>
      <c r="Q11" s="67">
        <f>$Q$2</f>
        <v>0.03</v>
      </c>
      <c r="S11" s="56">
        <f>P11*12</f>
        <v>72</v>
      </c>
      <c r="T11" s="68">
        <f>VLOOKUP(S11,$C$6:$J$305,5,0)</f>
        <v>1722240</v>
      </c>
    </row>
    <row r="12" ht="15" spans="2:20">
      <c r="B12" s="47">
        <v>1</v>
      </c>
      <c r="C12" s="48">
        <f>C11+1</f>
        <v>7</v>
      </c>
      <c r="D12" s="49">
        <f>VLOOKUP(B12,$L$5:$N$30,2,0)</f>
        <v>0</v>
      </c>
      <c r="E12" s="50">
        <f>(IF(B12=1,Modal_Basic_Prem_Yr1,Modal_Basic_Prem_Yr2)*(Prem_Mode="Monthly")+(Prem_Mode="Annual")*IF(B12=1,Modal_Basic_Prem_Yr1,Modal_Basic_Prem_Yr2)*(MOD(C12-1,12)=0))*(B12&lt;=15)</f>
        <v>47840</v>
      </c>
      <c r="F12" s="50">
        <f>SUM($E$6:E12)</f>
        <v>334880</v>
      </c>
      <c r="G12" s="51">
        <f>MAX(F12*D12-SA/100*(C12-10*12)*(B12&gt;10),0)</f>
        <v>0</v>
      </c>
      <c r="H12" s="49">
        <f>VLOOKUP(B12,$L$5:$N$30,3,0)</f>
        <v>0</v>
      </c>
      <c r="I12" s="50">
        <f>VLOOKUP(B12,$P$5:$Q$30,2,0)*SA*(B12-1)*H12</f>
        <v>0</v>
      </c>
      <c r="J12" s="50">
        <f>G12+I12</f>
        <v>0</v>
      </c>
      <c r="K12" s="59"/>
      <c r="L12" s="56">
        <v>7</v>
      </c>
      <c r="M12" s="60">
        <v>0.5</v>
      </c>
      <c r="N12" s="61">
        <v>0.19</v>
      </c>
      <c r="P12" s="56">
        <v>7</v>
      </c>
      <c r="Q12" s="67">
        <f>$Q$2</f>
        <v>0.03</v>
      </c>
      <c r="S12" s="56">
        <f>P12*12</f>
        <v>84</v>
      </c>
      <c r="T12" s="68">
        <f>VLOOKUP(S12,$C$6:$J$305,5,0)</f>
        <v>2009280</v>
      </c>
    </row>
    <row r="13" ht="15" spans="2:20">
      <c r="B13" s="42">
        <v>1</v>
      </c>
      <c r="C13" s="43">
        <f>C12+1</f>
        <v>8</v>
      </c>
      <c r="D13" s="44">
        <f>VLOOKUP(B13,$L$5:$N$30,2,0)</f>
        <v>0</v>
      </c>
      <c r="E13" s="45">
        <f>(IF(B13=1,Modal_Basic_Prem_Yr1,Modal_Basic_Prem_Yr2)*(Prem_Mode="Monthly")+(Prem_Mode="Annual")*IF(B13=1,Modal_Basic_Prem_Yr1,Modal_Basic_Prem_Yr2)*(MOD(C13-1,12)=0))*(B13&lt;=15)</f>
        <v>47840</v>
      </c>
      <c r="F13" s="45">
        <f>SUM($E$6:E13)</f>
        <v>382720</v>
      </c>
      <c r="G13" s="46">
        <f>MAX(F13*D13-SA/100*(C13-10*12)*(B13&gt;10),0)</f>
        <v>0</v>
      </c>
      <c r="H13" s="44">
        <f>VLOOKUP(B13,$L$5:$N$30,3,0)</f>
        <v>0</v>
      </c>
      <c r="I13" s="45">
        <f>VLOOKUP(B13,$P$5:$Q$30,2,0)*SA*(B13-1)*H13</f>
        <v>0</v>
      </c>
      <c r="J13" s="45">
        <f>G13+I13</f>
        <v>0</v>
      </c>
      <c r="K13" s="59"/>
      <c r="L13" s="56">
        <v>8</v>
      </c>
      <c r="M13" s="60">
        <v>0.52</v>
      </c>
      <c r="N13" s="61">
        <v>0.21</v>
      </c>
      <c r="P13" s="56">
        <v>8</v>
      </c>
      <c r="Q13" s="67">
        <f>$Q$2</f>
        <v>0.03</v>
      </c>
      <c r="S13" s="56">
        <f>P13*12</f>
        <v>96</v>
      </c>
      <c r="T13" s="68">
        <f>VLOOKUP(S13,$C$6:$J$305,5,0)</f>
        <v>2388172.8</v>
      </c>
    </row>
    <row r="14" ht="15" spans="2:20">
      <c r="B14" s="47">
        <v>1</v>
      </c>
      <c r="C14" s="48">
        <f>C13+1</f>
        <v>9</v>
      </c>
      <c r="D14" s="49">
        <f>VLOOKUP(B14,$L$5:$N$30,2,0)</f>
        <v>0</v>
      </c>
      <c r="E14" s="50">
        <f>(IF(B14=1,Modal_Basic_Prem_Yr1,Modal_Basic_Prem_Yr2)*(Prem_Mode="Monthly")+(Prem_Mode="Annual")*IF(B14=1,Modal_Basic_Prem_Yr1,Modal_Basic_Prem_Yr2)*(MOD(C14-1,12)=0))*(B14&lt;=15)</f>
        <v>47840</v>
      </c>
      <c r="F14" s="50">
        <f>SUM($E$6:E14)</f>
        <v>430560</v>
      </c>
      <c r="G14" s="51">
        <f>MAX(F14*D14-SA/100*(C14-10*12)*(B14&gt;10),0)</f>
        <v>0</v>
      </c>
      <c r="H14" s="49">
        <f>VLOOKUP(B14,$L$5:$N$30,3,0)</f>
        <v>0</v>
      </c>
      <c r="I14" s="50">
        <f>VLOOKUP(B14,$P$5:$Q$30,2,0)*SA*(B14-1)*H14</f>
        <v>0</v>
      </c>
      <c r="J14" s="50">
        <f>G14+I14</f>
        <v>0</v>
      </c>
      <c r="K14" s="59"/>
      <c r="L14" s="56">
        <v>9</v>
      </c>
      <c r="M14" s="60">
        <v>0.54</v>
      </c>
      <c r="N14" s="61">
        <v>0.23</v>
      </c>
      <c r="P14" s="56">
        <v>9</v>
      </c>
      <c r="Q14" s="67">
        <f>$Q$2</f>
        <v>0.03</v>
      </c>
      <c r="S14" s="56">
        <f>P14*12</f>
        <v>108</v>
      </c>
      <c r="T14" s="68">
        <f>VLOOKUP(S14,$C$6:$J$305,5,0)</f>
        <v>2790028.8</v>
      </c>
    </row>
    <row r="15" ht="15" spans="2:20">
      <c r="B15" s="42">
        <v>1</v>
      </c>
      <c r="C15" s="43">
        <f>C14+1</f>
        <v>10</v>
      </c>
      <c r="D15" s="44">
        <f>VLOOKUP(B15,$L$5:$N$30,2,0)</f>
        <v>0</v>
      </c>
      <c r="E15" s="45">
        <f>(IF(B15=1,Modal_Basic_Prem_Yr1,Modal_Basic_Prem_Yr2)*(Prem_Mode="Monthly")+(Prem_Mode="Annual")*IF(B15=1,Modal_Basic_Prem_Yr1,Modal_Basic_Prem_Yr2)*(MOD(C15-1,12)=0))*(B15&lt;=15)</f>
        <v>47840</v>
      </c>
      <c r="F15" s="45">
        <f>SUM($E$6:E15)</f>
        <v>478400</v>
      </c>
      <c r="G15" s="46">
        <f>MAX(F15*D15-SA/100*(C15-10*12)*(B15&gt;10),0)</f>
        <v>0</v>
      </c>
      <c r="H15" s="44">
        <f>VLOOKUP(B15,$L$5:$N$30,3,0)</f>
        <v>0</v>
      </c>
      <c r="I15" s="45">
        <f>VLOOKUP(B15,$P$5:$Q$30,2,0)*SA*(B15-1)*H15</f>
        <v>0</v>
      </c>
      <c r="J15" s="45">
        <f>G15+I15</f>
        <v>0</v>
      </c>
      <c r="K15" s="59"/>
      <c r="L15" s="56">
        <v>10</v>
      </c>
      <c r="M15" s="60">
        <v>0.56</v>
      </c>
      <c r="N15" s="61">
        <v>0.25</v>
      </c>
      <c r="P15" s="56">
        <v>10</v>
      </c>
      <c r="Q15" s="67">
        <f>$Q$2</f>
        <v>0.03</v>
      </c>
      <c r="S15" s="56">
        <f>P15*12</f>
        <v>120</v>
      </c>
      <c r="T15" s="68">
        <f>VLOOKUP(S15,$C$6:$J$305,5,0)</f>
        <v>3214848</v>
      </c>
    </row>
    <row r="16" ht="15" spans="2:20">
      <c r="B16" s="47">
        <v>1</v>
      </c>
      <c r="C16" s="48">
        <f>C15+1</f>
        <v>11</v>
      </c>
      <c r="D16" s="49">
        <f>VLOOKUP(B16,$L$5:$N$30,2,0)</f>
        <v>0</v>
      </c>
      <c r="E16" s="50">
        <f>(IF(B16=1,Modal_Basic_Prem_Yr1,Modal_Basic_Prem_Yr2)*(Prem_Mode="Monthly")+(Prem_Mode="Annual")*IF(B16=1,Modal_Basic_Prem_Yr1,Modal_Basic_Prem_Yr2)*(MOD(C16-1,12)=0))*(B16&lt;=15)</f>
        <v>47840</v>
      </c>
      <c r="F16" s="50">
        <f>SUM($E$6:E16)</f>
        <v>526240</v>
      </c>
      <c r="G16" s="51">
        <f>MAX(F16*D16-SA/100*(C16-10*12)*(B16&gt;10),0)</f>
        <v>0</v>
      </c>
      <c r="H16" s="49">
        <f>VLOOKUP(B16,$L$5:$N$30,3,0)</f>
        <v>0</v>
      </c>
      <c r="I16" s="50">
        <f>VLOOKUP(B16,$P$5:$Q$30,2,0)*SA*(B16-1)*H16</f>
        <v>0</v>
      </c>
      <c r="J16" s="50">
        <f>G16+I16</f>
        <v>0</v>
      </c>
      <c r="K16" s="59"/>
      <c r="L16" s="56">
        <v>11</v>
      </c>
      <c r="M16" s="60">
        <v>0.58</v>
      </c>
      <c r="N16" s="61">
        <v>0.27</v>
      </c>
      <c r="P16" s="56">
        <v>11</v>
      </c>
      <c r="Q16" s="67">
        <f>$Q$2</f>
        <v>0.03</v>
      </c>
      <c r="S16" s="56">
        <f>P16*12</f>
        <v>132</v>
      </c>
      <c r="T16" s="68">
        <f>VLOOKUP(S16,$C$6:$J$305,5,0)</f>
        <v>3019430.4</v>
      </c>
    </row>
    <row r="17" ht="15" spans="2:20">
      <c r="B17" s="42">
        <v>1</v>
      </c>
      <c r="C17" s="43">
        <f>C16+1</f>
        <v>12</v>
      </c>
      <c r="D17" s="44">
        <f>VLOOKUP(B17,$L$5:$N$30,2,0)</f>
        <v>0</v>
      </c>
      <c r="E17" s="45">
        <f>(IF(B17=1,Modal_Basic_Prem_Yr1,Modal_Basic_Prem_Yr2)*(Prem_Mode="Monthly")+(Prem_Mode="Annual")*IF(B17=1,Modal_Basic_Prem_Yr1,Modal_Basic_Prem_Yr2)*(MOD(C17-1,12)=0))*(B17&lt;=15)</f>
        <v>47840</v>
      </c>
      <c r="F17" s="45">
        <f>SUM($E$6:E17)</f>
        <v>574080</v>
      </c>
      <c r="G17" s="46">
        <f>MAX(F17*D17-SA/100*(C17-10*12)*(B17&gt;10),0)</f>
        <v>0</v>
      </c>
      <c r="H17" s="44">
        <f>VLOOKUP(B17,$L$5:$N$30,3,0)</f>
        <v>0</v>
      </c>
      <c r="I17" s="45">
        <f>VLOOKUP(B17,$P$5:$Q$30,2,0)*SA*(B17-1)*H17</f>
        <v>0</v>
      </c>
      <c r="J17" s="45">
        <f>G17+I17</f>
        <v>0</v>
      </c>
      <c r="K17" s="59"/>
      <c r="L17" s="56">
        <v>12</v>
      </c>
      <c r="M17" s="60">
        <v>0.6</v>
      </c>
      <c r="N17" s="61">
        <v>0.3</v>
      </c>
      <c r="P17" s="56">
        <v>12</v>
      </c>
      <c r="Q17" s="67">
        <f>$Q$2</f>
        <v>0.03</v>
      </c>
      <c r="S17" s="56">
        <f>P17*12</f>
        <v>144</v>
      </c>
      <c r="T17" s="68">
        <f>VLOOKUP(S17,$C$6:$J$305,5,0)</f>
        <v>2846976</v>
      </c>
    </row>
    <row r="18" ht="15" spans="2:20">
      <c r="B18" s="47">
        <f>B6+1</f>
        <v>2</v>
      </c>
      <c r="C18" s="48">
        <f>C17+1</f>
        <v>13</v>
      </c>
      <c r="D18" s="49">
        <f>VLOOKUP(B18,$L$5:$N$30,2,0)</f>
        <v>0</v>
      </c>
      <c r="E18" s="50">
        <f>(IF(B18=1,Modal_Basic_Prem_Yr1,Modal_Basic_Prem_Yr2)*(Prem_Mode="Monthly")+(Prem_Mode="Annual")*IF(B18=1,Modal_Basic_Prem_Yr1,Modal_Basic_Prem_Yr2)*(MOD(C18-1,12)=0))*(B18&lt;=15)</f>
        <v>47840</v>
      </c>
      <c r="F18" s="50">
        <f>SUM($E$6:E18)</f>
        <v>621920</v>
      </c>
      <c r="G18" s="51">
        <f>MAX(F18*D18-SA/100*(C18-10*12)*(B18&gt;10),0)</f>
        <v>0</v>
      </c>
      <c r="H18" s="49">
        <f>VLOOKUP(B18,$L$5:$N$30,3,0)</f>
        <v>0</v>
      </c>
      <c r="I18" s="50">
        <f>VLOOKUP(B18,$P$5:$Q$30,2,0)*SA*(B18-1)*H18</f>
        <v>0</v>
      </c>
      <c r="J18" s="50">
        <f>G18+I18</f>
        <v>0</v>
      </c>
      <c r="K18" s="59"/>
      <c r="L18" s="56">
        <v>13</v>
      </c>
      <c r="M18" s="60">
        <v>0.62</v>
      </c>
      <c r="N18" s="61">
        <v>0.33</v>
      </c>
      <c r="P18" s="56">
        <v>13</v>
      </c>
      <c r="Q18" s="67">
        <f>$Q$2</f>
        <v>0.03</v>
      </c>
      <c r="S18" s="56">
        <f>P18*12</f>
        <v>156</v>
      </c>
      <c r="T18" s="68">
        <f>VLOOKUP(S18,$C$6:$J$305,5,0)</f>
        <v>2697484.8</v>
      </c>
    </row>
    <row r="19" ht="15" spans="2:20">
      <c r="B19" s="42">
        <f t="shared" ref="B19:B82" si="7">B7+1</f>
        <v>2</v>
      </c>
      <c r="C19" s="43">
        <f>C18+1</f>
        <v>14</v>
      </c>
      <c r="D19" s="44">
        <f>VLOOKUP(B19,$L$5:$N$30,2,0)</f>
        <v>0</v>
      </c>
      <c r="E19" s="45">
        <f>(IF(B19=1,Modal_Basic_Prem_Yr1,Modal_Basic_Prem_Yr2)*(Prem_Mode="Monthly")+(Prem_Mode="Annual")*IF(B19=1,Modal_Basic_Prem_Yr1,Modal_Basic_Prem_Yr2)*(MOD(C19-1,12)=0))*(B19&lt;=15)</f>
        <v>47840</v>
      </c>
      <c r="F19" s="45">
        <f>SUM($E$6:E19)</f>
        <v>669760</v>
      </c>
      <c r="G19" s="46">
        <f>MAX(F19*D19-SA/100*(C19-10*12)*(B19&gt;10),0)</f>
        <v>0</v>
      </c>
      <c r="H19" s="44">
        <f>VLOOKUP(B19,$L$5:$N$30,3,0)</f>
        <v>0</v>
      </c>
      <c r="I19" s="45">
        <f>VLOOKUP(B19,$P$5:$Q$30,2,0)*SA*(B19-1)*H19</f>
        <v>0</v>
      </c>
      <c r="J19" s="45">
        <f>G19+I19</f>
        <v>0</v>
      </c>
      <c r="K19" s="59"/>
      <c r="L19" s="56">
        <v>14</v>
      </c>
      <c r="M19" s="60">
        <v>0.64</v>
      </c>
      <c r="N19" s="61">
        <v>0.36</v>
      </c>
      <c r="P19" s="56">
        <v>14</v>
      </c>
      <c r="Q19" s="67">
        <f>$Q$2</f>
        <v>0.03</v>
      </c>
      <c r="S19" s="56">
        <f>P19*12</f>
        <v>168</v>
      </c>
      <c r="T19" s="68">
        <f>VLOOKUP(S19,$C$6:$J$305,5,0)</f>
        <v>2570956.8</v>
      </c>
    </row>
    <row r="20" ht="15" spans="2:20">
      <c r="B20" s="47">
        <f>B8+1</f>
        <v>2</v>
      </c>
      <c r="C20" s="48">
        <f>C19+1</f>
        <v>15</v>
      </c>
      <c r="D20" s="49">
        <f>VLOOKUP(B20,$L$5:$N$30,2,0)</f>
        <v>0</v>
      </c>
      <c r="E20" s="50">
        <f>(IF(B20=1,Modal_Basic_Prem_Yr1,Modal_Basic_Prem_Yr2)*(Prem_Mode="Monthly")+(Prem_Mode="Annual")*IF(B20=1,Modal_Basic_Prem_Yr1,Modal_Basic_Prem_Yr2)*(MOD(C20-1,12)=0))*(B20&lt;=15)</f>
        <v>47840</v>
      </c>
      <c r="F20" s="50">
        <f>SUM($E$6:E20)</f>
        <v>717600</v>
      </c>
      <c r="G20" s="51">
        <f>MAX(F20*D20-SA/100*(C20-10*12)*(B20&gt;10),0)</f>
        <v>0</v>
      </c>
      <c r="H20" s="49">
        <f>VLOOKUP(B20,$L$5:$N$30,3,0)</f>
        <v>0</v>
      </c>
      <c r="I20" s="50">
        <f>VLOOKUP(B20,$P$5:$Q$30,2,0)*SA*(B20-1)*H20</f>
        <v>0</v>
      </c>
      <c r="J20" s="50">
        <f>G20+I20</f>
        <v>0</v>
      </c>
      <c r="K20" s="59"/>
      <c r="L20" s="56">
        <v>15</v>
      </c>
      <c r="M20" s="60">
        <v>0.66</v>
      </c>
      <c r="N20" s="61">
        <v>0.39</v>
      </c>
      <c r="P20" s="56">
        <v>15</v>
      </c>
      <c r="Q20" s="67">
        <f>$Q$2</f>
        <v>0.03</v>
      </c>
      <c r="S20" s="56">
        <f>P20*12</f>
        <v>180</v>
      </c>
      <c r="T20" s="68">
        <f>VLOOKUP(S20,$C$6:$J$305,5,0)</f>
        <v>2467392</v>
      </c>
    </row>
    <row r="21" ht="15" spans="2:20">
      <c r="B21" s="42">
        <f>B9+1</f>
        <v>2</v>
      </c>
      <c r="C21" s="43">
        <f>C20+1</f>
        <v>16</v>
      </c>
      <c r="D21" s="44">
        <f>VLOOKUP(B21,$L$5:$N$30,2,0)</f>
        <v>0</v>
      </c>
      <c r="E21" s="45">
        <f>(IF(B21=1,Modal_Basic_Prem_Yr1,Modal_Basic_Prem_Yr2)*(Prem_Mode="Monthly")+(Prem_Mode="Annual")*IF(B21=1,Modal_Basic_Prem_Yr1,Modal_Basic_Prem_Yr2)*(MOD(C21-1,12)=0))*(B21&lt;=15)</f>
        <v>47840</v>
      </c>
      <c r="F21" s="45">
        <f>SUM($E$6:E21)</f>
        <v>765440</v>
      </c>
      <c r="G21" s="46">
        <f>MAX(F21*D21-SA/100*(C21-10*12)*(B21&gt;10),0)</f>
        <v>0</v>
      </c>
      <c r="H21" s="44">
        <f>VLOOKUP(B21,$L$5:$N$30,3,0)</f>
        <v>0</v>
      </c>
      <c r="I21" s="45">
        <f>VLOOKUP(B21,$P$5:$Q$30,2,0)*SA*(B21-1)*H21</f>
        <v>0</v>
      </c>
      <c r="J21" s="45">
        <f>G21+I21</f>
        <v>0</v>
      </c>
      <c r="K21" s="59"/>
      <c r="L21" s="56">
        <v>16</v>
      </c>
      <c r="M21" s="60">
        <v>0.68</v>
      </c>
      <c r="N21" s="61">
        <v>0.42</v>
      </c>
      <c r="P21" s="56">
        <v>16</v>
      </c>
      <c r="Q21" s="67">
        <f>$Q$2</f>
        <v>0.03</v>
      </c>
      <c r="S21" s="56">
        <f>P21*12</f>
        <v>192</v>
      </c>
      <c r="T21" s="68">
        <f>VLOOKUP(S21,$C$6:$J$305,5,0)</f>
        <v>1996416</v>
      </c>
    </row>
    <row r="22" ht="15" spans="2:20">
      <c r="B22" s="47">
        <f>B10+1</f>
        <v>2</v>
      </c>
      <c r="C22" s="48">
        <f>C21+1</f>
        <v>17</v>
      </c>
      <c r="D22" s="49">
        <f>VLOOKUP(B22,$L$5:$N$30,2,0)</f>
        <v>0</v>
      </c>
      <c r="E22" s="50">
        <f>(IF(B22=1,Modal_Basic_Prem_Yr1,Modal_Basic_Prem_Yr2)*(Prem_Mode="Monthly")+(Prem_Mode="Annual")*IF(B22=1,Modal_Basic_Prem_Yr1,Modal_Basic_Prem_Yr2)*(MOD(C22-1,12)=0))*(B22&lt;=15)</f>
        <v>47840</v>
      </c>
      <c r="F22" s="50">
        <f>SUM($E$6:E22)</f>
        <v>813280</v>
      </c>
      <c r="G22" s="51">
        <f>MAX(F22*D22-SA/100*(C22-10*12)*(B22&gt;10),0)</f>
        <v>0</v>
      </c>
      <c r="H22" s="49">
        <f>VLOOKUP(B22,$L$5:$N$30,3,0)</f>
        <v>0</v>
      </c>
      <c r="I22" s="50">
        <f>VLOOKUP(B22,$P$5:$Q$30,2,0)*SA*(B22-1)*H22</f>
        <v>0</v>
      </c>
      <c r="J22" s="50">
        <f>G22+I22</f>
        <v>0</v>
      </c>
      <c r="K22" s="59"/>
      <c r="L22" s="56">
        <v>17</v>
      </c>
      <c r="M22" s="60">
        <v>0.7</v>
      </c>
      <c r="N22" s="61">
        <v>0.46</v>
      </c>
      <c r="P22" s="56">
        <v>17</v>
      </c>
      <c r="Q22" s="67">
        <f>$Q$2</f>
        <v>0.03</v>
      </c>
      <c r="S22" s="56">
        <f>P22*12</f>
        <v>204</v>
      </c>
      <c r="T22" s="68">
        <f>VLOOKUP(S22,$C$6:$J$305,5,0)</f>
        <v>1525440</v>
      </c>
    </row>
    <row r="23" ht="15" spans="2:20">
      <c r="B23" s="42">
        <f>B11+1</f>
        <v>2</v>
      </c>
      <c r="C23" s="43">
        <f>C22+1</f>
        <v>18</v>
      </c>
      <c r="D23" s="44">
        <f>VLOOKUP(B23,$L$5:$N$30,2,0)</f>
        <v>0</v>
      </c>
      <c r="E23" s="45">
        <f>(IF(B23=1,Modal_Basic_Prem_Yr1,Modal_Basic_Prem_Yr2)*(Prem_Mode="Monthly")+(Prem_Mode="Annual")*IF(B23=1,Modal_Basic_Prem_Yr1,Modal_Basic_Prem_Yr2)*(MOD(C23-1,12)=0))*(B23&lt;=15)</f>
        <v>47840</v>
      </c>
      <c r="F23" s="45">
        <f>SUM($E$6:E23)</f>
        <v>861120</v>
      </c>
      <c r="G23" s="46">
        <f>MAX(F23*D23-SA/100*(C23-10*12)*(B23&gt;10),0)</f>
        <v>0</v>
      </c>
      <c r="H23" s="44">
        <f>VLOOKUP(B23,$L$5:$N$30,3,0)</f>
        <v>0</v>
      </c>
      <c r="I23" s="45">
        <f>VLOOKUP(B23,$P$5:$Q$30,2,0)*SA*(B23-1)*H23</f>
        <v>0</v>
      </c>
      <c r="J23" s="45">
        <f>G23+I23</f>
        <v>0</v>
      </c>
      <c r="K23" s="59"/>
      <c r="L23" s="56">
        <v>18</v>
      </c>
      <c r="M23" s="60">
        <v>0.72</v>
      </c>
      <c r="N23" s="61">
        <v>0.5</v>
      </c>
      <c r="P23" s="56">
        <v>18</v>
      </c>
      <c r="Q23" s="67">
        <f>$Q$2</f>
        <v>0.03</v>
      </c>
      <c r="S23" s="56">
        <f>P23*12</f>
        <v>216</v>
      </c>
      <c r="T23" s="68">
        <f>VLOOKUP(S23,$C$6:$J$305,5,0)</f>
        <v>1054464</v>
      </c>
    </row>
    <row r="24" ht="15" spans="2:20">
      <c r="B24" s="47">
        <f>B12+1</f>
        <v>2</v>
      </c>
      <c r="C24" s="48">
        <f>C23+1</f>
        <v>19</v>
      </c>
      <c r="D24" s="49">
        <f>VLOOKUP(B24,$L$5:$N$30,2,0)</f>
        <v>0</v>
      </c>
      <c r="E24" s="50">
        <f>(IF(B24=1,Modal_Basic_Prem_Yr1,Modal_Basic_Prem_Yr2)*(Prem_Mode="Monthly")+(Prem_Mode="Annual")*IF(B24=1,Modal_Basic_Prem_Yr1,Modal_Basic_Prem_Yr2)*(MOD(C24-1,12)=0))*(B24&lt;=15)</f>
        <v>47840</v>
      </c>
      <c r="F24" s="50">
        <f>SUM($E$6:E24)</f>
        <v>908960</v>
      </c>
      <c r="G24" s="51">
        <f>MAX(F24*D24-SA/100*(C24-10*12)*(B24&gt;10),0)</f>
        <v>0</v>
      </c>
      <c r="H24" s="49">
        <f>VLOOKUP(B24,$L$5:$N$30,3,0)</f>
        <v>0</v>
      </c>
      <c r="I24" s="50">
        <f>VLOOKUP(B24,$P$5:$Q$30,2,0)*SA*(B24-1)*H24</f>
        <v>0</v>
      </c>
      <c r="J24" s="50">
        <f>G24+I24</f>
        <v>0</v>
      </c>
      <c r="K24" s="59"/>
      <c r="L24" s="56">
        <v>19</v>
      </c>
      <c r="M24" s="60">
        <v>0.74</v>
      </c>
      <c r="N24" s="61">
        <v>0.55</v>
      </c>
      <c r="P24" s="56">
        <v>19</v>
      </c>
      <c r="Q24" s="67">
        <f>$Q$2</f>
        <v>0.03</v>
      </c>
      <c r="S24" s="56">
        <f>P24*12</f>
        <v>228</v>
      </c>
      <c r="T24" s="68">
        <f>VLOOKUP(S24,$C$6:$J$305,5,0)</f>
        <v>583488</v>
      </c>
    </row>
    <row r="25" ht="15" spans="2:20">
      <c r="B25" s="42">
        <f>B13+1</f>
        <v>2</v>
      </c>
      <c r="C25" s="43">
        <f>C24+1</f>
        <v>20</v>
      </c>
      <c r="D25" s="44">
        <f>VLOOKUP(B25,$L$5:$N$30,2,0)</f>
        <v>0</v>
      </c>
      <c r="E25" s="45">
        <f>(IF(B25=1,Modal_Basic_Prem_Yr1,Modal_Basic_Prem_Yr2)*(Prem_Mode="Monthly")+(Prem_Mode="Annual")*IF(B25=1,Modal_Basic_Prem_Yr1,Modal_Basic_Prem_Yr2)*(MOD(C25-1,12)=0))*(B25&lt;=15)</f>
        <v>47840</v>
      </c>
      <c r="F25" s="45">
        <f>SUM($E$6:E25)</f>
        <v>956800</v>
      </c>
      <c r="G25" s="46">
        <f>MAX(F25*D25-SA/100*(C25-10*12)*(B25&gt;10),0)</f>
        <v>0</v>
      </c>
      <c r="H25" s="44">
        <f>VLOOKUP(B25,$L$5:$N$30,3,0)</f>
        <v>0</v>
      </c>
      <c r="I25" s="45">
        <f>VLOOKUP(B25,$P$5:$Q$30,2,0)*SA*(B25-1)*H25</f>
        <v>0</v>
      </c>
      <c r="J25" s="45">
        <f>G25+I25</f>
        <v>0</v>
      </c>
      <c r="K25" s="59"/>
      <c r="L25" s="56">
        <v>20</v>
      </c>
      <c r="M25" s="60">
        <v>0.76</v>
      </c>
      <c r="N25" s="61">
        <v>0.6</v>
      </c>
      <c r="P25" s="56">
        <v>20</v>
      </c>
      <c r="Q25" s="67">
        <f>$Q$2</f>
        <v>0.03</v>
      </c>
      <c r="S25" s="56">
        <f>P25*12</f>
        <v>240</v>
      </c>
      <c r="T25" s="68">
        <f>VLOOKUP(S25,$C$6:$J$305,5,0)</f>
        <v>112512</v>
      </c>
    </row>
    <row r="26" ht="15" spans="2:20">
      <c r="B26" s="47">
        <f>B14+1</f>
        <v>2</v>
      </c>
      <c r="C26" s="48">
        <f>C25+1</f>
        <v>21</v>
      </c>
      <c r="D26" s="49">
        <f>VLOOKUP(B26,$L$5:$N$30,2,0)</f>
        <v>0</v>
      </c>
      <c r="E26" s="50">
        <f>(IF(B26=1,Modal_Basic_Prem_Yr1,Modal_Basic_Prem_Yr2)*(Prem_Mode="Monthly")+(Prem_Mode="Annual")*IF(B26=1,Modal_Basic_Prem_Yr1,Modal_Basic_Prem_Yr2)*(MOD(C26-1,12)=0))*(B26&lt;=15)</f>
        <v>47840</v>
      </c>
      <c r="F26" s="50">
        <f>SUM($E$6:E26)</f>
        <v>1004640</v>
      </c>
      <c r="G26" s="51">
        <f>MAX(F26*D26-SA/100*(C26-10*12)*(B26&gt;10),0)</f>
        <v>0</v>
      </c>
      <c r="H26" s="49">
        <f>VLOOKUP(B26,$L$5:$N$30,3,0)</f>
        <v>0</v>
      </c>
      <c r="I26" s="50">
        <f>VLOOKUP(B26,$P$5:$Q$30,2,0)*SA*(B26-1)*H26</f>
        <v>0</v>
      </c>
      <c r="J26" s="50">
        <f>G26+I26</f>
        <v>0</v>
      </c>
      <c r="K26" s="59"/>
      <c r="L26" s="56">
        <v>21</v>
      </c>
      <c r="M26" s="60">
        <v>0.78</v>
      </c>
      <c r="N26" s="61">
        <v>0.65</v>
      </c>
      <c r="P26" s="56">
        <v>21</v>
      </c>
      <c r="Q26" s="67">
        <f>$Q$2</f>
        <v>0.03</v>
      </c>
      <c r="S26" s="56">
        <f>P26*12</f>
        <v>252</v>
      </c>
      <c r="T26" s="68">
        <f>VLOOKUP(S26,$C$6:$J$305,5,0)</f>
        <v>0</v>
      </c>
    </row>
    <row r="27" ht="15" spans="2:20">
      <c r="B27" s="42">
        <f>B15+1</f>
        <v>2</v>
      </c>
      <c r="C27" s="43">
        <f>C26+1</f>
        <v>22</v>
      </c>
      <c r="D27" s="44">
        <f>VLOOKUP(B27,$L$5:$N$30,2,0)</f>
        <v>0</v>
      </c>
      <c r="E27" s="45">
        <f>(IF(B27=1,Modal_Basic_Prem_Yr1,Modal_Basic_Prem_Yr2)*(Prem_Mode="Monthly")+(Prem_Mode="Annual")*IF(B27=1,Modal_Basic_Prem_Yr1,Modal_Basic_Prem_Yr2)*(MOD(C27-1,12)=0))*(B27&lt;=15)</f>
        <v>47840</v>
      </c>
      <c r="F27" s="45">
        <f>SUM($E$6:E27)</f>
        <v>1052480</v>
      </c>
      <c r="G27" s="46">
        <f>MAX(F27*D27-SA/100*(C27-10*12)*(B27&gt;10),0)</f>
        <v>0</v>
      </c>
      <c r="H27" s="44">
        <f>VLOOKUP(B27,$L$5:$N$30,3,0)</f>
        <v>0</v>
      </c>
      <c r="I27" s="45">
        <f>VLOOKUP(B27,$P$5:$Q$30,2,0)*SA*(B27-1)*H27</f>
        <v>0</v>
      </c>
      <c r="J27" s="45">
        <f>G27+I27</f>
        <v>0</v>
      </c>
      <c r="K27" s="59"/>
      <c r="L27" s="56">
        <v>22</v>
      </c>
      <c r="M27" s="60">
        <v>0.8</v>
      </c>
      <c r="N27" s="61">
        <v>0.71</v>
      </c>
      <c r="P27" s="56">
        <v>22</v>
      </c>
      <c r="Q27" s="67">
        <f>$Q$2</f>
        <v>0.03</v>
      </c>
      <c r="S27" s="56">
        <f>P27*12</f>
        <v>264</v>
      </c>
      <c r="T27" s="68">
        <f>VLOOKUP(S27,$C$6:$J$305,5,0)</f>
        <v>0</v>
      </c>
    </row>
    <row r="28" ht="15" spans="2:20">
      <c r="B28" s="47">
        <f>B16+1</f>
        <v>2</v>
      </c>
      <c r="C28" s="48">
        <f>C27+1</f>
        <v>23</v>
      </c>
      <c r="D28" s="49">
        <f>VLOOKUP(B28,$L$5:$N$30,2,0)</f>
        <v>0</v>
      </c>
      <c r="E28" s="50">
        <f>(IF(B28=1,Modal_Basic_Prem_Yr1,Modal_Basic_Prem_Yr2)*(Prem_Mode="Monthly")+(Prem_Mode="Annual")*IF(B28=1,Modal_Basic_Prem_Yr1,Modal_Basic_Prem_Yr2)*(MOD(C28-1,12)=0))*(B28&lt;=15)</f>
        <v>47840</v>
      </c>
      <c r="F28" s="50">
        <f>SUM($E$6:E28)</f>
        <v>1100320</v>
      </c>
      <c r="G28" s="51">
        <f>MAX(F28*D28-SA/100*(C28-10*12)*(B28&gt;10),0)</f>
        <v>0</v>
      </c>
      <c r="H28" s="49">
        <f>VLOOKUP(B28,$L$5:$N$30,3,0)</f>
        <v>0</v>
      </c>
      <c r="I28" s="50">
        <f>VLOOKUP(B28,$P$5:$Q$30,2,0)*SA*(B28-1)*H28</f>
        <v>0</v>
      </c>
      <c r="J28" s="50">
        <f>G28+I28</f>
        <v>0</v>
      </c>
      <c r="K28" s="59"/>
      <c r="L28" s="56">
        <v>23</v>
      </c>
      <c r="M28" s="60">
        <v>0.82</v>
      </c>
      <c r="N28" s="61">
        <v>0.77</v>
      </c>
      <c r="P28" s="56">
        <v>23</v>
      </c>
      <c r="Q28" s="67">
        <f>$Q$2</f>
        <v>0.03</v>
      </c>
      <c r="S28" s="56">
        <f>P28*12</f>
        <v>276</v>
      </c>
      <c r="T28" s="68">
        <f>VLOOKUP(S28,$C$6:$J$305,5,0)</f>
        <v>0</v>
      </c>
    </row>
    <row r="29" ht="15" spans="2:20">
      <c r="B29" s="42">
        <f>B17+1</f>
        <v>2</v>
      </c>
      <c r="C29" s="43">
        <f>C28+1</f>
        <v>24</v>
      </c>
      <c r="D29" s="44">
        <f>VLOOKUP(B29,$L$5:$N$30,2,0)</f>
        <v>0</v>
      </c>
      <c r="E29" s="45">
        <f>(IF(B29=1,Modal_Basic_Prem_Yr1,Modal_Basic_Prem_Yr2)*(Prem_Mode="Monthly")+(Prem_Mode="Annual")*IF(B29=1,Modal_Basic_Prem_Yr1,Modal_Basic_Prem_Yr2)*(MOD(C29-1,12)=0))*(B29&lt;=15)</f>
        <v>47840</v>
      </c>
      <c r="F29" s="45">
        <f>SUM($E$6:E29)</f>
        <v>1148160</v>
      </c>
      <c r="G29" s="46">
        <f>MAX(F29*D29-SA/100*(C29-10*12)*(B29&gt;10),0)</f>
        <v>0</v>
      </c>
      <c r="H29" s="44">
        <f>VLOOKUP(B29,$L$5:$N$30,3,0)</f>
        <v>0</v>
      </c>
      <c r="I29" s="45">
        <f>VLOOKUP(B29,$P$5:$Q$30,2,0)*SA*(B29-1)*H29</f>
        <v>0</v>
      </c>
      <c r="J29" s="45">
        <f>G29+I29</f>
        <v>0</v>
      </c>
      <c r="K29" s="59"/>
      <c r="L29" s="56">
        <v>24</v>
      </c>
      <c r="M29" s="60">
        <v>0.84</v>
      </c>
      <c r="N29" s="61">
        <v>0.84</v>
      </c>
      <c r="P29" s="56">
        <v>24</v>
      </c>
      <c r="Q29" s="67">
        <f>$Q$2</f>
        <v>0.03</v>
      </c>
      <c r="S29" s="56">
        <f>P29*12</f>
        <v>288</v>
      </c>
      <c r="T29" s="68">
        <f>VLOOKUP(S29,$C$6:$J$305,5,0)</f>
        <v>0</v>
      </c>
    </row>
    <row r="30" ht="15" spans="2:20">
      <c r="B30" s="47">
        <f>B18+1</f>
        <v>3</v>
      </c>
      <c r="C30" s="48">
        <f>C29+1</f>
        <v>25</v>
      </c>
      <c r="D30" s="49">
        <f>VLOOKUP(B30,$L$5:$N$30,2,0)</f>
        <v>0.3</v>
      </c>
      <c r="E30" s="50">
        <f>(IF(B30=1,Modal_Basic_Prem_Yr1,Modal_Basic_Prem_Yr2)*(Prem_Mode="Monthly")+(Prem_Mode="Annual")*IF(B30=1,Modal_Basic_Prem_Yr1,Modal_Basic_Prem_Yr2)*(MOD(C30-1,12)=0))*(B30&lt;=15)</f>
        <v>47840</v>
      </c>
      <c r="F30" s="50">
        <f>SUM($E$6:E30)</f>
        <v>1196000</v>
      </c>
      <c r="G30" s="51">
        <f>MAX(F30*D30-SA/100*(C30-10*12)*(B30&gt;10),0)</f>
        <v>358800</v>
      </c>
      <c r="H30" s="49">
        <f>VLOOKUP(B30,$L$5:$N$30,3,0)</f>
        <v>0.14</v>
      </c>
      <c r="I30" s="50">
        <f>VLOOKUP(B30,$P$5:$Q$30,2,0)*SA*(B30-1)*H30</f>
        <v>45024</v>
      </c>
      <c r="J30" s="50">
        <f>G30+I30</f>
        <v>403824</v>
      </c>
      <c r="K30" s="59"/>
      <c r="L30" s="62">
        <v>25</v>
      </c>
      <c r="M30" s="60">
        <v>0.86</v>
      </c>
      <c r="N30" s="61">
        <v>0.92</v>
      </c>
      <c r="P30" s="62">
        <v>25</v>
      </c>
      <c r="Q30" s="67">
        <f>$Q$2</f>
        <v>0.03</v>
      </c>
      <c r="S30" s="62">
        <f>P30*12</f>
        <v>300</v>
      </c>
      <c r="T30" s="68">
        <f>VLOOKUP(S30,$C$6:$J$305,5,0)</f>
        <v>0</v>
      </c>
    </row>
    <row r="31" spans="2:12">
      <c r="B31" s="42">
        <f>B19+1</f>
        <v>3</v>
      </c>
      <c r="C31" s="43">
        <f>C30+1</f>
        <v>26</v>
      </c>
      <c r="D31" s="44">
        <f>VLOOKUP(B31,$L$5:$N$30,2,0)</f>
        <v>0.3</v>
      </c>
      <c r="E31" s="45">
        <f>(IF(B31=1,Modal_Basic_Prem_Yr1,Modal_Basic_Prem_Yr2)*(Prem_Mode="Monthly")+(Prem_Mode="Annual")*IF(B31=1,Modal_Basic_Prem_Yr1,Modal_Basic_Prem_Yr2)*(MOD(C31-1,12)=0))*(B31&lt;=15)</f>
        <v>47840</v>
      </c>
      <c r="F31" s="45">
        <f>SUM($E$6:E31)</f>
        <v>1243840</v>
      </c>
      <c r="G31" s="46">
        <f>MAX(F31*D31-SA/100*(C31-10*12)*(B31&gt;10),0)</f>
        <v>373152</v>
      </c>
      <c r="H31" s="44">
        <f>VLOOKUP(B31,$L$5:$N$30,3,0)</f>
        <v>0.14</v>
      </c>
      <c r="I31" s="45">
        <f>VLOOKUP(B31,$P$5:$Q$30,2,0)*SA*(B31-1)*H31</f>
        <v>45024</v>
      </c>
      <c r="J31" s="45">
        <f>G31+I31</f>
        <v>418176</v>
      </c>
      <c r="K31" s="59"/>
      <c r="L31" s="63"/>
    </row>
    <row r="32" spans="2:12">
      <c r="B32" s="47">
        <f>B20+1</f>
        <v>3</v>
      </c>
      <c r="C32" s="48">
        <f>C31+1</f>
        <v>27</v>
      </c>
      <c r="D32" s="49">
        <f>VLOOKUP(B32,$L$5:$N$30,2,0)</f>
        <v>0.3</v>
      </c>
      <c r="E32" s="50">
        <f>(IF(B32=1,Modal_Basic_Prem_Yr1,Modal_Basic_Prem_Yr2)*(Prem_Mode="Monthly")+(Prem_Mode="Annual")*IF(B32=1,Modal_Basic_Prem_Yr1,Modal_Basic_Prem_Yr2)*(MOD(C32-1,12)=0))*(B32&lt;=15)</f>
        <v>47840</v>
      </c>
      <c r="F32" s="50">
        <f>SUM($E$6:E32)</f>
        <v>1291680</v>
      </c>
      <c r="G32" s="51">
        <f>MAX(F32*D32-SA/100*(C32-10*12)*(B32&gt;10),0)</f>
        <v>387504</v>
      </c>
      <c r="H32" s="49">
        <f>VLOOKUP(B32,$L$5:$N$30,3,0)</f>
        <v>0.14</v>
      </c>
      <c r="I32" s="50">
        <f>VLOOKUP(B32,$P$5:$Q$30,2,0)*SA*(B32-1)*H32</f>
        <v>45024</v>
      </c>
      <c r="J32" s="50">
        <f>G32+I32</f>
        <v>432528</v>
      </c>
      <c r="K32" s="59"/>
      <c r="L32" s="63"/>
    </row>
    <row r="33" spans="2:12">
      <c r="B33" s="42">
        <f>B21+1</f>
        <v>3</v>
      </c>
      <c r="C33" s="43">
        <f>C32+1</f>
        <v>28</v>
      </c>
      <c r="D33" s="44">
        <f>VLOOKUP(B33,$L$5:$N$30,2,0)</f>
        <v>0.3</v>
      </c>
      <c r="E33" s="45">
        <f>(IF(B33=1,Modal_Basic_Prem_Yr1,Modal_Basic_Prem_Yr2)*(Prem_Mode="Monthly")+(Prem_Mode="Annual")*IF(B33=1,Modal_Basic_Prem_Yr1,Modal_Basic_Prem_Yr2)*(MOD(C33-1,12)=0))*(B33&lt;=15)</f>
        <v>47840</v>
      </c>
      <c r="F33" s="45">
        <f>SUM($E$6:E33)</f>
        <v>1339520</v>
      </c>
      <c r="G33" s="46">
        <f>MAX(F33*D33-SA/100*(C33-10*12)*(B33&gt;10),0)</f>
        <v>401856</v>
      </c>
      <c r="H33" s="44">
        <f>VLOOKUP(B33,$L$5:$N$30,3,0)</f>
        <v>0.14</v>
      </c>
      <c r="I33" s="45">
        <f>VLOOKUP(B33,$P$5:$Q$30,2,0)*SA*(B33-1)*H33</f>
        <v>45024</v>
      </c>
      <c r="J33" s="45">
        <f>G33+I33</f>
        <v>446880</v>
      </c>
      <c r="K33" s="59"/>
      <c r="L33" s="63"/>
    </row>
    <row r="34" spans="2:12">
      <c r="B34" s="47">
        <f>B22+1</f>
        <v>3</v>
      </c>
      <c r="C34" s="48">
        <f>C33+1</f>
        <v>29</v>
      </c>
      <c r="D34" s="49">
        <f>VLOOKUP(B34,$L$5:$N$30,2,0)</f>
        <v>0.3</v>
      </c>
      <c r="E34" s="50">
        <f>(IF(B34=1,Modal_Basic_Prem_Yr1,Modal_Basic_Prem_Yr2)*(Prem_Mode="Monthly")+(Prem_Mode="Annual")*IF(B34=1,Modal_Basic_Prem_Yr1,Modal_Basic_Prem_Yr2)*(MOD(C34-1,12)=0))*(B34&lt;=15)</f>
        <v>47840</v>
      </c>
      <c r="F34" s="50">
        <f>SUM($E$6:E34)</f>
        <v>1387360</v>
      </c>
      <c r="G34" s="51">
        <f>MAX(F34*D34-SA/100*(C34-10*12)*(B34&gt;10),0)</f>
        <v>416208</v>
      </c>
      <c r="H34" s="49">
        <f>VLOOKUP(B34,$L$5:$N$30,3,0)</f>
        <v>0.14</v>
      </c>
      <c r="I34" s="50">
        <f>VLOOKUP(B34,$P$5:$Q$30,2,0)*SA*(B34-1)*H34</f>
        <v>45024</v>
      </c>
      <c r="J34" s="50">
        <f>G34+I34</f>
        <v>461232</v>
      </c>
      <c r="K34" s="59"/>
      <c r="L34" s="63"/>
    </row>
    <row r="35" spans="2:12">
      <c r="B35" s="42">
        <f>B23+1</f>
        <v>3</v>
      </c>
      <c r="C35" s="43">
        <f>C34+1</f>
        <v>30</v>
      </c>
      <c r="D35" s="44">
        <f>VLOOKUP(B35,$L$5:$N$30,2,0)</f>
        <v>0.3</v>
      </c>
      <c r="E35" s="45">
        <f>(IF(B35=1,Modal_Basic_Prem_Yr1,Modal_Basic_Prem_Yr2)*(Prem_Mode="Monthly")+(Prem_Mode="Annual")*IF(B35=1,Modal_Basic_Prem_Yr1,Modal_Basic_Prem_Yr2)*(MOD(C35-1,12)=0))*(B35&lt;=15)</f>
        <v>47840</v>
      </c>
      <c r="F35" s="45">
        <f>SUM($E$6:E35)</f>
        <v>1435200</v>
      </c>
      <c r="G35" s="46">
        <f>MAX(F35*D35-SA/100*(C35-10*12)*(B35&gt;10),0)</f>
        <v>430560</v>
      </c>
      <c r="H35" s="44">
        <f>VLOOKUP(B35,$L$5:$N$30,3,0)</f>
        <v>0.14</v>
      </c>
      <c r="I35" s="45">
        <f>VLOOKUP(B35,$P$5:$Q$30,2,0)*SA*(B35-1)*H35</f>
        <v>45024</v>
      </c>
      <c r="J35" s="45">
        <f>G35+I35</f>
        <v>475584</v>
      </c>
      <c r="K35" s="59"/>
      <c r="L35" s="63"/>
    </row>
    <row r="36" spans="2:12">
      <c r="B36" s="47">
        <f>B24+1</f>
        <v>3</v>
      </c>
      <c r="C36" s="48">
        <f>C35+1</f>
        <v>31</v>
      </c>
      <c r="D36" s="49">
        <f>VLOOKUP(B36,$L$5:$N$30,2,0)</f>
        <v>0.3</v>
      </c>
      <c r="E36" s="50">
        <f>(IF(B36=1,Modal_Basic_Prem_Yr1,Modal_Basic_Prem_Yr2)*(Prem_Mode="Monthly")+(Prem_Mode="Annual")*IF(B36=1,Modal_Basic_Prem_Yr1,Modal_Basic_Prem_Yr2)*(MOD(C36-1,12)=0))*(B36&lt;=15)</f>
        <v>47840</v>
      </c>
      <c r="F36" s="50">
        <f>SUM($E$6:E36)</f>
        <v>1483040</v>
      </c>
      <c r="G36" s="51">
        <f>MAX(F36*D36-SA/100*(C36-10*12)*(B36&gt;10),0)</f>
        <v>444912</v>
      </c>
      <c r="H36" s="49">
        <f>VLOOKUP(B36,$L$5:$N$30,3,0)</f>
        <v>0.14</v>
      </c>
      <c r="I36" s="50">
        <f>VLOOKUP(B36,$P$5:$Q$30,2,0)*SA*(B36-1)*H36</f>
        <v>45024</v>
      </c>
      <c r="J36" s="50">
        <f>G36+I36</f>
        <v>489936</v>
      </c>
      <c r="K36" s="59"/>
      <c r="L36" s="63"/>
    </row>
    <row r="37" spans="2:12">
      <c r="B37" s="42">
        <f>B25+1</f>
        <v>3</v>
      </c>
      <c r="C37" s="43">
        <f>C36+1</f>
        <v>32</v>
      </c>
      <c r="D37" s="44">
        <f>VLOOKUP(B37,$L$5:$N$30,2,0)</f>
        <v>0.3</v>
      </c>
      <c r="E37" s="45">
        <f>(IF(B37=1,Modal_Basic_Prem_Yr1,Modal_Basic_Prem_Yr2)*(Prem_Mode="Monthly")+(Prem_Mode="Annual")*IF(B37=1,Modal_Basic_Prem_Yr1,Modal_Basic_Prem_Yr2)*(MOD(C37-1,12)=0))*(B37&lt;=15)</f>
        <v>47840</v>
      </c>
      <c r="F37" s="45">
        <f>SUM($E$6:E37)</f>
        <v>1530880</v>
      </c>
      <c r="G37" s="46">
        <f>MAX(F37*D37-SA/100*(C37-10*12)*(B37&gt;10),0)</f>
        <v>459264</v>
      </c>
      <c r="H37" s="44">
        <f>VLOOKUP(B37,$L$5:$N$30,3,0)</f>
        <v>0.14</v>
      </c>
      <c r="I37" s="45">
        <f>VLOOKUP(B37,$P$5:$Q$30,2,0)*SA*(B37-1)*H37</f>
        <v>45024</v>
      </c>
      <c r="J37" s="45">
        <f>G37+I37</f>
        <v>504288</v>
      </c>
      <c r="K37" s="59"/>
      <c r="L37" s="63"/>
    </row>
    <row r="38" spans="2:12">
      <c r="B38" s="47">
        <f>B26+1</f>
        <v>3</v>
      </c>
      <c r="C38" s="48">
        <f>C37+1</f>
        <v>33</v>
      </c>
      <c r="D38" s="49">
        <f>VLOOKUP(B38,$L$5:$N$30,2,0)</f>
        <v>0.3</v>
      </c>
      <c r="E38" s="50">
        <f>(IF(B38=1,Modal_Basic_Prem_Yr1,Modal_Basic_Prem_Yr2)*(Prem_Mode="Monthly")+(Prem_Mode="Annual")*IF(B38=1,Modal_Basic_Prem_Yr1,Modal_Basic_Prem_Yr2)*(MOD(C38-1,12)=0))*(B38&lt;=15)</f>
        <v>47840</v>
      </c>
      <c r="F38" s="50">
        <f>SUM($E$6:E38)</f>
        <v>1578720</v>
      </c>
      <c r="G38" s="51">
        <f>MAX(F38*D38-SA/100*(C38-10*12)*(B38&gt;10),0)</f>
        <v>473616</v>
      </c>
      <c r="H38" s="49">
        <f>VLOOKUP(B38,$L$5:$N$30,3,0)</f>
        <v>0.14</v>
      </c>
      <c r="I38" s="50">
        <f>VLOOKUP(B38,$P$5:$Q$30,2,0)*SA*(B38-1)*H38</f>
        <v>45024</v>
      </c>
      <c r="J38" s="50">
        <f>G38+I38</f>
        <v>518640</v>
      </c>
      <c r="K38" s="59"/>
      <c r="L38" s="63"/>
    </row>
    <row r="39" spans="2:12">
      <c r="B39" s="42">
        <f>B27+1</f>
        <v>3</v>
      </c>
      <c r="C39" s="43">
        <f>C38+1</f>
        <v>34</v>
      </c>
      <c r="D39" s="44">
        <f>VLOOKUP(B39,$L$5:$N$30,2,0)</f>
        <v>0.3</v>
      </c>
      <c r="E39" s="45">
        <f>(IF(B39=1,Modal_Basic_Prem_Yr1,Modal_Basic_Prem_Yr2)*(Prem_Mode="Monthly")+(Prem_Mode="Annual")*IF(B39=1,Modal_Basic_Prem_Yr1,Modal_Basic_Prem_Yr2)*(MOD(C39-1,12)=0))*(B39&lt;=15)</f>
        <v>47840</v>
      </c>
      <c r="F39" s="45">
        <f>SUM($E$6:E39)</f>
        <v>1626560</v>
      </c>
      <c r="G39" s="46">
        <f>MAX(F39*D39-SA/100*(C39-10*12)*(B39&gt;10),0)</f>
        <v>487968</v>
      </c>
      <c r="H39" s="44">
        <f>VLOOKUP(B39,$L$5:$N$30,3,0)</f>
        <v>0.14</v>
      </c>
      <c r="I39" s="45">
        <f>VLOOKUP(B39,$P$5:$Q$30,2,0)*SA*(B39-1)*H39</f>
        <v>45024</v>
      </c>
      <c r="J39" s="45">
        <f>G39+I39</f>
        <v>532992</v>
      </c>
      <c r="K39" s="59"/>
      <c r="L39" s="63"/>
    </row>
    <row r="40" spans="2:12">
      <c r="B40" s="47">
        <f>B28+1</f>
        <v>3</v>
      </c>
      <c r="C40" s="48">
        <f>C39+1</f>
        <v>35</v>
      </c>
      <c r="D40" s="49">
        <f>VLOOKUP(B40,$L$5:$N$30,2,0)</f>
        <v>0.3</v>
      </c>
      <c r="E40" s="50">
        <f>(IF(B40=1,Modal_Basic_Prem_Yr1,Modal_Basic_Prem_Yr2)*(Prem_Mode="Monthly")+(Prem_Mode="Annual")*IF(B40=1,Modal_Basic_Prem_Yr1,Modal_Basic_Prem_Yr2)*(MOD(C40-1,12)=0))*(B40&lt;=15)</f>
        <v>47840</v>
      </c>
      <c r="F40" s="50">
        <f>SUM($E$6:E40)</f>
        <v>1674400</v>
      </c>
      <c r="G40" s="51">
        <f>MAX(F40*D40-SA/100*(C40-10*12)*(B40&gt;10),0)</f>
        <v>502320</v>
      </c>
      <c r="H40" s="49">
        <f>VLOOKUP(B40,$L$5:$N$30,3,0)</f>
        <v>0.14</v>
      </c>
      <c r="I40" s="50">
        <f>VLOOKUP(B40,$P$5:$Q$30,2,0)*SA*(B40-1)*H40</f>
        <v>45024</v>
      </c>
      <c r="J40" s="50">
        <f>G40+I40</f>
        <v>547344</v>
      </c>
      <c r="K40" s="59"/>
      <c r="L40" s="63"/>
    </row>
    <row r="41" spans="2:12">
      <c r="B41" s="42">
        <f>B29+1</f>
        <v>3</v>
      </c>
      <c r="C41" s="43">
        <f>C40+1</f>
        <v>36</v>
      </c>
      <c r="D41" s="44">
        <f>VLOOKUP(B41,$L$5:$N$30,2,0)</f>
        <v>0.3</v>
      </c>
      <c r="E41" s="45">
        <f>(IF(B41=1,Modal_Basic_Prem_Yr1,Modal_Basic_Prem_Yr2)*(Prem_Mode="Monthly")+(Prem_Mode="Annual")*IF(B41=1,Modal_Basic_Prem_Yr1,Modal_Basic_Prem_Yr2)*(MOD(C41-1,12)=0))*(B41&lt;=15)</f>
        <v>47840</v>
      </c>
      <c r="F41" s="45">
        <f>SUM($E$6:E41)</f>
        <v>1722240</v>
      </c>
      <c r="G41" s="46">
        <f>MAX(F41*D41-SA/100*(C41-10*12)*(B41&gt;10),0)</f>
        <v>516672</v>
      </c>
      <c r="H41" s="44">
        <f>VLOOKUP(B41,$L$5:$N$30,3,0)</f>
        <v>0.14</v>
      </c>
      <c r="I41" s="45">
        <f>VLOOKUP(B41,$P$5:$Q$30,2,0)*SA*(B41-1)*H41</f>
        <v>45024</v>
      </c>
      <c r="J41" s="45">
        <f>G41+I41</f>
        <v>561696</v>
      </c>
      <c r="K41" s="59"/>
      <c r="L41" s="63"/>
    </row>
    <row r="42" spans="2:12">
      <c r="B42" s="47">
        <f>B30+1</f>
        <v>4</v>
      </c>
      <c r="C42" s="48">
        <f>C41+1</f>
        <v>37</v>
      </c>
      <c r="D42" s="49">
        <f>VLOOKUP(B42,$L$5:$N$30,2,0)</f>
        <v>0.5</v>
      </c>
      <c r="E42" s="50">
        <f>(IF(B42=1,Modal_Basic_Prem_Yr1,Modal_Basic_Prem_Yr2)*(Prem_Mode="Monthly")+(Prem_Mode="Annual")*IF(B42=1,Modal_Basic_Prem_Yr1,Modal_Basic_Prem_Yr2)*(MOD(C42-1,12)=0))*(B42&lt;=15)</f>
        <v>47840</v>
      </c>
      <c r="F42" s="50">
        <f>SUM($E$6:E42)</f>
        <v>1770080</v>
      </c>
      <c r="G42" s="51">
        <f>MAX(F42*D42-SA/100*(C42-10*12)*(B42&gt;10),0)</f>
        <v>885040</v>
      </c>
      <c r="H42" s="49">
        <f>VLOOKUP(B42,$L$5:$N$30,3,0)</f>
        <v>0.15</v>
      </c>
      <c r="I42" s="50">
        <f>VLOOKUP(B42,$P$5:$Q$30,2,0)*SA*(B42-1)*H42</f>
        <v>72360</v>
      </c>
      <c r="J42" s="50">
        <f>G42+I42</f>
        <v>957400</v>
      </c>
      <c r="K42" s="59"/>
      <c r="L42" s="63"/>
    </row>
    <row r="43" spans="2:12">
      <c r="B43" s="42">
        <f>B31+1</f>
        <v>4</v>
      </c>
      <c r="C43" s="43">
        <f>C42+1</f>
        <v>38</v>
      </c>
      <c r="D43" s="44">
        <f>VLOOKUP(B43,$L$5:$N$30,2,0)</f>
        <v>0.5</v>
      </c>
      <c r="E43" s="45">
        <f>(IF(B43=1,Modal_Basic_Prem_Yr1,Modal_Basic_Prem_Yr2)*(Prem_Mode="Monthly")+(Prem_Mode="Annual")*IF(B43=1,Modal_Basic_Prem_Yr1,Modal_Basic_Prem_Yr2)*(MOD(C43-1,12)=0))*(B43&lt;=15)</f>
        <v>47840</v>
      </c>
      <c r="F43" s="45">
        <f>SUM($E$6:E43)</f>
        <v>1817920</v>
      </c>
      <c r="G43" s="46">
        <f>MAX(F43*D43-SA/100*(C43-10*12)*(B43&gt;10),0)</f>
        <v>908960</v>
      </c>
      <c r="H43" s="44">
        <f>VLOOKUP(B43,$L$5:$N$30,3,0)</f>
        <v>0.15</v>
      </c>
      <c r="I43" s="45">
        <f>VLOOKUP(B43,$P$5:$Q$30,2,0)*SA*(B43-1)*H43</f>
        <v>72360</v>
      </c>
      <c r="J43" s="45">
        <f>G43+I43</f>
        <v>981320</v>
      </c>
      <c r="K43" s="59"/>
      <c r="L43" s="63"/>
    </row>
    <row r="44" spans="2:12">
      <c r="B44" s="47">
        <f>B32+1</f>
        <v>4</v>
      </c>
      <c r="C44" s="48">
        <f>C43+1</f>
        <v>39</v>
      </c>
      <c r="D44" s="49">
        <f>VLOOKUP(B44,$L$5:$N$30,2,0)</f>
        <v>0.5</v>
      </c>
      <c r="E44" s="50">
        <f>(IF(B44=1,Modal_Basic_Prem_Yr1,Modal_Basic_Prem_Yr2)*(Prem_Mode="Monthly")+(Prem_Mode="Annual")*IF(B44=1,Modal_Basic_Prem_Yr1,Modal_Basic_Prem_Yr2)*(MOD(C44-1,12)=0))*(B44&lt;=15)</f>
        <v>47840</v>
      </c>
      <c r="F44" s="50">
        <f>SUM($E$6:E44)</f>
        <v>1865760</v>
      </c>
      <c r="G44" s="51">
        <f>MAX(F44*D44-SA/100*(C44-10*12)*(B44&gt;10),0)</f>
        <v>932880</v>
      </c>
      <c r="H44" s="49">
        <f>VLOOKUP(B44,$L$5:$N$30,3,0)</f>
        <v>0.15</v>
      </c>
      <c r="I44" s="50">
        <f>VLOOKUP(B44,$P$5:$Q$30,2,0)*SA*(B44-1)*H44</f>
        <v>72360</v>
      </c>
      <c r="J44" s="50">
        <f>G44+I44</f>
        <v>1005240</v>
      </c>
      <c r="K44" s="59"/>
      <c r="L44" s="63"/>
    </row>
    <row r="45" spans="2:12">
      <c r="B45" s="42">
        <f>B33+1</f>
        <v>4</v>
      </c>
      <c r="C45" s="43">
        <f>C44+1</f>
        <v>40</v>
      </c>
      <c r="D45" s="44">
        <f>VLOOKUP(B45,$L$5:$N$30,2,0)</f>
        <v>0.5</v>
      </c>
      <c r="E45" s="45">
        <f>(IF(B45=1,Modal_Basic_Prem_Yr1,Modal_Basic_Prem_Yr2)*(Prem_Mode="Monthly")+(Prem_Mode="Annual")*IF(B45=1,Modal_Basic_Prem_Yr1,Modal_Basic_Prem_Yr2)*(MOD(C45-1,12)=0))*(B45&lt;=15)</f>
        <v>47840</v>
      </c>
      <c r="F45" s="45">
        <f>SUM($E$6:E45)</f>
        <v>1913600</v>
      </c>
      <c r="G45" s="46">
        <f>MAX(F45*D45-SA/100*(C45-10*12)*(B45&gt;10),0)</f>
        <v>956800</v>
      </c>
      <c r="H45" s="44">
        <f>VLOOKUP(B45,$L$5:$N$30,3,0)</f>
        <v>0.15</v>
      </c>
      <c r="I45" s="45">
        <f>VLOOKUP(B45,$P$5:$Q$30,2,0)*SA*(B45-1)*H45</f>
        <v>72360</v>
      </c>
      <c r="J45" s="45">
        <f>G45+I45</f>
        <v>1029160</v>
      </c>
      <c r="K45" s="59"/>
      <c r="L45" s="63"/>
    </row>
    <row r="46" spans="2:12">
      <c r="B46" s="47">
        <f>B34+1</f>
        <v>4</v>
      </c>
      <c r="C46" s="48">
        <f>C45+1</f>
        <v>41</v>
      </c>
      <c r="D46" s="49">
        <f>VLOOKUP(B46,$L$5:$N$30,2,0)</f>
        <v>0.5</v>
      </c>
      <c r="E46" s="50">
        <f>(IF(B46=1,Modal_Basic_Prem_Yr1,Modal_Basic_Prem_Yr2)*(Prem_Mode="Monthly")+(Prem_Mode="Annual")*IF(B46=1,Modal_Basic_Prem_Yr1,Modal_Basic_Prem_Yr2)*(MOD(C46-1,12)=0))*(B46&lt;=15)</f>
        <v>47840</v>
      </c>
      <c r="F46" s="50">
        <f>SUM($E$6:E46)</f>
        <v>1961440</v>
      </c>
      <c r="G46" s="51">
        <f>MAX(F46*D46-SA/100*(C46-10*12)*(B46&gt;10),0)</f>
        <v>980720</v>
      </c>
      <c r="H46" s="49">
        <f>VLOOKUP(B46,$L$5:$N$30,3,0)</f>
        <v>0.15</v>
      </c>
      <c r="I46" s="50">
        <f>VLOOKUP(B46,$P$5:$Q$30,2,0)*SA*(B46-1)*H46</f>
        <v>72360</v>
      </c>
      <c r="J46" s="50">
        <f>G46+I46</f>
        <v>1053080</v>
      </c>
      <c r="K46" s="59"/>
      <c r="L46" s="63"/>
    </row>
    <row r="47" spans="2:12">
      <c r="B47" s="42">
        <f>B35+1</f>
        <v>4</v>
      </c>
      <c r="C47" s="43">
        <f>C46+1</f>
        <v>42</v>
      </c>
      <c r="D47" s="44">
        <f>VLOOKUP(B47,$L$5:$N$30,2,0)</f>
        <v>0.5</v>
      </c>
      <c r="E47" s="45">
        <f>(IF(B47=1,Modal_Basic_Prem_Yr1,Modal_Basic_Prem_Yr2)*(Prem_Mode="Monthly")+(Prem_Mode="Annual")*IF(B47=1,Modal_Basic_Prem_Yr1,Modal_Basic_Prem_Yr2)*(MOD(C47-1,12)=0))*(B47&lt;=15)</f>
        <v>47840</v>
      </c>
      <c r="F47" s="45">
        <f>SUM($E$6:E47)</f>
        <v>2009280</v>
      </c>
      <c r="G47" s="46">
        <f>MAX(F47*D47-SA/100*(C47-10*12)*(B47&gt;10),0)</f>
        <v>1004640</v>
      </c>
      <c r="H47" s="44">
        <f>VLOOKUP(B47,$L$5:$N$30,3,0)</f>
        <v>0.15</v>
      </c>
      <c r="I47" s="45">
        <f>VLOOKUP(B47,$P$5:$Q$30,2,0)*SA*(B47-1)*H47</f>
        <v>72360</v>
      </c>
      <c r="J47" s="45">
        <f>G47+I47</f>
        <v>1077000</v>
      </c>
      <c r="K47" s="59"/>
      <c r="L47" s="63"/>
    </row>
    <row r="48" spans="2:12">
      <c r="B48" s="47">
        <f>B36+1</f>
        <v>4</v>
      </c>
      <c r="C48" s="48">
        <f>C47+1</f>
        <v>43</v>
      </c>
      <c r="D48" s="49">
        <f>VLOOKUP(B48,$L$5:$N$30,2,0)</f>
        <v>0.5</v>
      </c>
      <c r="E48" s="50">
        <f>(IF(B48=1,Modal_Basic_Prem_Yr1,Modal_Basic_Prem_Yr2)*(Prem_Mode="Monthly")+(Prem_Mode="Annual")*IF(B48=1,Modal_Basic_Prem_Yr1,Modal_Basic_Prem_Yr2)*(MOD(C48-1,12)=0))*(B48&lt;=15)</f>
        <v>47840</v>
      </c>
      <c r="F48" s="50">
        <f>SUM($E$6:E48)</f>
        <v>2057120</v>
      </c>
      <c r="G48" s="51">
        <f>MAX(F48*D48-SA/100*(C48-10*12)*(B48&gt;10),0)</f>
        <v>1028560</v>
      </c>
      <c r="H48" s="49">
        <f>VLOOKUP(B48,$L$5:$N$30,3,0)</f>
        <v>0.15</v>
      </c>
      <c r="I48" s="50">
        <f>VLOOKUP(B48,$P$5:$Q$30,2,0)*SA*(B48-1)*H48</f>
        <v>72360</v>
      </c>
      <c r="J48" s="50">
        <f>G48+I48</f>
        <v>1100920</v>
      </c>
      <c r="K48" s="59"/>
      <c r="L48" s="63"/>
    </row>
    <row r="49" spans="2:12">
      <c r="B49" s="42">
        <f>B37+1</f>
        <v>4</v>
      </c>
      <c r="C49" s="43">
        <f>C48+1</f>
        <v>44</v>
      </c>
      <c r="D49" s="44">
        <f>VLOOKUP(B49,$L$5:$N$30,2,0)</f>
        <v>0.5</v>
      </c>
      <c r="E49" s="45">
        <f>(IF(B49=1,Modal_Basic_Prem_Yr1,Modal_Basic_Prem_Yr2)*(Prem_Mode="Monthly")+(Prem_Mode="Annual")*IF(B49=1,Modal_Basic_Prem_Yr1,Modal_Basic_Prem_Yr2)*(MOD(C49-1,12)=0))*(B49&lt;=15)</f>
        <v>47840</v>
      </c>
      <c r="F49" s="45">
        <f>SUM($E$6:E49)</f>
        <v>2104960</v>
      </c>
      <c r="G49" s="46">
        <f>MAX(F49*D49-SA/100*(C49-10*12)*(B49&gt;10),0)</f>
        <v>1052480</v>
      </c>
      <c r="H49" s="44">
        <f>VLOOKUP(B49,$L$5:$N$30,3,0)</f>
        <v>0.15</v>
      </c>
      <c r="I49" s="45">
        <f>VLOOKUP(B49,$P$5:$Q$30,2,0)*SA*(B49-1)*H49</f>
        <v>72360</v>
      </c>
      <c r="J49" s="45">
        <f>G49+I49</f>
        <v>1124840</v>
      </c>
      <c r="K49" s="59"/>
      <c r="L49" s="63"/>
    </row>
    <row r="50" spans="2:12">
      <c r="B50" s="47">
        <f>B38+1</f>
        <v>4</v>
      </c>
      <c r="C50" s="48">
        <f>C49+1</f>
        <v>45</v>
      </c>
      <c r="D50" s="49">
        <f>VLOOKUP(B50,$L$5:$N$30,2,0)</f>
        <v>0.5</v>
      </c>
      <c r="E50" s="50">
        <f>(IF(B50=1,Modal_Basic_Prem_Yr1,Modal_Basic_Prem_Yr2)*(Prem_Mode="Monthly")+(Prem_Mode="Annual")*IF(B50=1,Modal_Basic_Prem_Yr1,Modal_Basic_Prem_Yr2)*(MOD(C50-1,12)=0))*(B50&lt;=15)</f>
        <v>47840</v>
      </c>
      <c r="F50" s="50">
        <f>SUM($E$6:E50)</f>
        <v>2152800</v>
      </c>
      <c r="G50" s="51">
        <f>MAX(F50*D50-SA/100*(C50-10*12)*(B50&gt;10),0)</f>
        <v>1076400</v>
      </c>
      <c r="H50" s="49">
        <f>VLOOKUP(B50,$L$5:$N$30,3,0)</f>
        <v>0.15</v>
      </c>
      <c r="I50" s="50">
        <f>VLOOKUP(B50,$P$5:$Q$30,2,0)*SA*(B50-1)*H50</f>
        <v>72360</v>
      </c>
      <c r="J50" s="50">
        <f>G50+I50</f>
        <v>1148760</v>
      </c>
      <c r="K50" s="59"/>
      <c r="L50" s="63"/>
    </row>
    <row r="51" spans="2:12">
      <c r="B51" s="42">
        <f>B39+1</f>
        <v>4</v>
      </c>
      <c r="C51" s="43">
        <f>C50+1</f>
        <v>46</v>
      </c>
      <c r="D51" s="44">
        <f>VLOOKUP(B51,$L$5:$N$30,2,0)</f>
        <v>0.5</v>
      </c>
      <c r="E51" s="45">
        <f>(IF(B51=1,Modal_Basic_Prem_Yr1,Modal_Basic_Prem_Yr2)*(Prem_Mode="Monthly")+(Prem_Mode="Annual")*IF(B51=1,Modal_Basic_Prem_Yr1,Modal_Basic_Prem_Yr2)*(MOD(C51-1,12)=0))*(B51&lt;=15)</f>
        <v>47840</v>
      </c>
      <c r="F51" s="45">
        <f>SUM($E$6:E51)</f>
        <v>2200640</v>
      </c>
      <c r="G51" s="46">
        <f>MAX(F51*D51-SA/100*(C51-10*12)*(B51&gt;10),0)</f>
        <v>1100320</v>
      </c>
      <c r="H51" s="44">
        <f>VLOOKUP(B51,$L$5:$N$30,3,0)</f>
        <v>0.15</v>
      </c>
      <c r="I51" s="45">
        <f>VLOOKUP(B51,$P$5:$Q$30,2,0)*SA*(B51-1)*H51</f>
        <v>72360</v>
      </c>
      <c r="J51" s="45">
        <f>G51+I51</f>
        <v>1172680</v>
      </c>
      <c r="K51" s="59"/>
      <c r="L51" s="63"/>
    </row>
    <row r="52" spans="2:12">
      <c r="B52" s="47">
        <f>B40+1</f>
        <v>4</v>
      </c>
      <c r="C52" s="48">
        <f>C51+1</f>
        <v>47</v>
      </c>
      <c r="D52" s="49">
        <f>VLOOKUP(B52,$L$5:$N$30,2,0)</f>
        <v>0.5</v>
      </c>
      <c r="E52" s="50">
        <f>(IF(B52=1,Modal_Basic_Prem_Yr1,Modal_Basic_Prem_Yr2)*(Prem_Mode="Monthly")+(Prem_Mode="Annual")*IF(B52=1,Modal_Basic_Prem_Yr1,Modal_Basic_Prem_Yr2)*(MOD(C52-1,12)=0))*(B52&lt;=15)</f>
        <v>47840</v>
      </c>
      <c r="F52" s="50">
        <f>SUM($E$6:E52)</f>
        <v>2248480</v>
      </c>
      <c r="G52" s="51">
        <f>MAX(F52*D52-SA/100*(C52-10*12)*(B52&gt;10),0)</f>
        <v>1124240</v>
      </c>
      <c r="H52" s="49">
        <f>VLOOKUP(B52,$L$5:$N$30,3,0)</f>
        <v>0.15</v>
      </c>
      <c r="I52" s="50">
        <f>VLOOKUP(B52,$P$5:$Q$30,2,0)*SA*(B52-1)*H52</f>
        <v>72360</v>
      </c>
      <c r="J52" s="50">
        <f>G52+I52</f>
        <v>1196600</v>
      </c>
      <c r="K52" s="59"/>
      <c r="L52" s="63"/>
    </row>
    <row r="53" spans="2:12">
      <c r="B53" s="42">
        <f>B41+1</f>
        <v>4</v>
      </c>
      <c r="C53" s="43">
        <f>C52+1</f>
        <v>48</v>
      </c>
      <c r="D53" s="44">
        <f>VLOOKUP(B53,$L$5:$N$30,2,0)</f>
        <v>0.5</v>
      </c>
      <c r="E53" s="45">
        <f>(IF(B53=1,Modal_Basic_Prem_Yr1,Modal_Basic_Prem_Yr2)*(Prem_Mode="Monthly")+(Prem_Mode="Annual")*IF(B53=1,Modal_Basic_Prem_Yr1,Modal_Basic_Prem_Yr2)*(MOD(C53-1,12)=0))*(B53&lt;=15)</f>
        <v>47840</v>
      </c>
      <c r="F53" s="45">
        <f>SUM($E$6:E53)</f>
        <v>2296320</v>
      </c>
      <c r="G53" s="46">
        <f>MAX(F53*D53-SA/100*(C53-10*12)*(B53&gt;10),0)</f>
        <v>1148160</v>
      </c>
      <c r="H53" s="44">
        <f>VLOOKUP(B53,$L$5:$N$30,3,0)</f>
        <v>0.15</v>
      </c>
      <c r="I53" s="45">
        <f>VLOOKUP(B53,$P$5:$Q$30,2,0)*SA*(B53-1)*H53</f>
        <v>72360</v>
      </c>
      <c r="J53" s="45">
        <f>G53+I53</f>
        <v>1220520</v>
      </c>
      <c r="K53" s="59"/>
      <c r="L53" s="63"/>
    </row>
    <row r="54" spans="2:12">
      <c r="B54" s="47">
        <f>B42+1</f>
        <v>5</v>
      </c>
      <c r="C54" s="48">
        <f>C53+1</f>
        <v>49</v>
      </c>
      <c r="D54" s="49">
        <f>VLOOKUP(B54,$L$5:$N$30,2,0)</f>
        <v>0.5</v>
      </c>
      <c r="E54" s="50">
        <f>(IF(B54=1,Modal_Basic_Prem_Yr1,Modal_Basic_Prem_Yr2)*(Prem_Mode="Monthly")+(Prem_Mode="Annual")*IF(B54=1,Modal_Basic_Prem_Yr1,Modal_Basic_Prem_Yr2)*(MOD(C54-1,12)=0))*(B54&lt;=15)</f>
        <v>47840</v>
      </c>
      <c r="F54" s="50">
        <f>SUM($E$6:E54)</f>
        <v>2344160</v>
      </c>
      <c r="G54" s="51">
        <f>MAX(F54*D54-SA/100*(C54-10*12)*(B54&gt;10),0)</f>
        <v>1172080</v>
      </c>
      <c r="H54" s="49">
        <f>VLOOKUP(B54,$L$5:$N$30,3,0)</f>
        <v>0.16</v>
      </c>
      <c r="I54" s="50">
        <f>VLOOKUP(B54,$P$5:$Q$30,2,0)*SA*(B54-1)*H54</f>
        <v>102912</v>
      </c>
      <c r="J54" s="50">
        <f>G54+I54</f>
        <v>1274992</v>
      </c>
      <c r="K54" s="59"/>
      <c r="L54" s="63"/>
    </row>
    <row r="55" spans="2:12">
      <c r="B55" s="42">
        <f>B43+1</f>
        <v>5</v>
      </c>
      <c r="C55" s="43">
        <f>C54+1</f>
        <v>50</v>
      </c>
      <c r="D55" s="44">
        <f>VLOOKUP(B55,$L$5:$N$30,2,0)</f>
        <v>0.5</v>
      </c>
      <c r="E55" s="45">
        <f>(IF(B55=1,Modal_Basic_Prem_Yr1,Modal_Basic_Prem_Yr2)*(Prem_Mode="Monthly")+(Prem_Mode="Annual")*IF(B55=1,Modal_Basic_Prem_Yr1,Modal_Basic_Prem_Yr2)*(MOD(C55-1,12)=0))*(B55&lt;=15)</f>
        <v>47840</v>
      </c>
      <c r="F55" s="45">
        <f>SUM($E$6:E55)</f>
        <v>2392000</v>
      </c>
      <c r="G55" s="46">
        <f>MAX(F55*D55-SA/100*(C55-10*12)*(B55&gt;10),0)</f>
        <v>1196000</v>
      </c>
      <c r="H55" s="44">
        <f>VLOOKUP(B55,$L$5:$N$30,3,0)</f>
        <v>0.16</v>
      </c>
      <c r="I55" s="45">
        <f>VLOOKUP(B55,$P$5:$Q$30,2,0)*SA*(B55-1)*H55</f>
        <v>102912</v>
      </c>
      <c r="J55" s="45">
        <f>G55+I55</f>
        <v>1298912</v>
      </c>
      <c r="K55" s="59"/>
      <c r="L55" s="63"/>
    </row>
    <row r="56" spans="2:12">
      <c r="B56" s="47">
        <f>B44+1</f>
        <v>5</v>
      </c>
      <c r="C56" s="48">
        <f>C55+1</f>
        <v>51</v>
      </c>
      <c r="D56" s="49">
        <f>VLOOKUP(B56,$L$5:$N$30,2,0)</f>
        <v>0.5</v>
      </c>
      <c r="E56" s="50">
        <f>(IF(B56=1,Modal_Basic_Prem_Yr1,Modal_Basic_Prem_Yr2)*(Prem_Mode="Monthly")+(Prem_Mode="Annual")*IF(B56=1,Modal_Basic_Prem_Yr1,Modal_Basic_Prem_Yr2)*(MOD(C56-1,12)=0))*(B56&lt;=15)</f>
        <v>47840</v>
      </c>
      <c r="F56" s="50">
        <f>SUM($E$6:E56)</f>
        <v>2439840</v>
      </c>
      <c r="G56" s="51">
        <f>MAX(F56*D56-SA/100*(C56-10*12)*(B56&gt;10),0)</f>
        <v>1219920</v>
      </c>
      <c r="H56" s="49">
        <f>VLOOKUP(B56,$L$5:$N$30,3,0)</f>
        <v>0.16</v>
      </c>
      <c r="I56" s="50">
        <f>VLOOKUP(B56,$P$5:$Q$30,2,0)*SA*(B56-1)*H56</f>
        <v>102912</v>
      </c>
      <c r="J56" s="50">
        <f>G56+I56</f>
        <v>1322832</v>
      </c>
      <c r="K56" s="59"/>
      <c r="L56" s="63"/>
    </row>
    <row r="57" spans="2:12">
      <c r="B57" s="42">
        <f>B45+1</f>
        <v>5</v>
      </c>
      <c r="C57" s="43">
        <f>C56+1</f>
        <v>52</v>
      </c>
      <c r="D57" s="44">
        <f>VLOOKUP(B57,$L$5:$N$30,2,0)</f>
        <v>0.5</v>
      </c>
      <c r="E57" s="45">
        <f>(IF(B57=1,Modal_Basic_Prem_Yr1,Modal_Basic_Prem_Yr2)*(Prem_Mode="Monthly")+(Prem_Mode="Annual")*IF(B57=1,Modal_Basic_Prem_Yr1,Modal_Basic_Prem_Yr2)*(MOD(C57-1,12)=0))*(B57&lt;=15)</f>
        <v>47840</v>
      </c>
      <c r="F57" s="45">
        <f>SUM($E$6:E57)</f>
        <v>2487680</v>
      </c>
      <c r="G57" s="46">
        <f>MAX(F57*D57-SA/100*(C57-10*12)*(B57&gt;10),0)</f>
        <v>1243840</v>
      </c>
      <c r="H57" s="44">
        <f>VLOOKUP(B57,$L$5:$N$30,3,0)</f>
        <v>0.16</v>
      </c>
      <c r="I57" s="45">
        <f>VLOOKUP(B57,$P$5:$Q$30,2,0)*SA*(B57-1)*H57</f>
        <v>102912</v>
      </c>
      <c r="J57" s="45">
        <f>G57+I57</f>
        <v>1346752</v>
      </c>
      <c r="K57" s="59"/>
      <c r="L57" s="63"/>
    </row>
    <row r="58" spans="2:12">
      <c r="B58" s="47">
        <f>B46+1</f>
        <v>5</v>
      </c>
      <c r="C58" s="48">
        <f>C57+1</f>
        <v>53</v>
      </c>
      <c r="D58" s="49">
        <f>VLOOKUP(B58,$L$5:$N$30,2,0)</f>
        <v>0.5</v>
      </c>
      <c r="E58" s="50">
        <f>(IF(B58=1,Modal_Basic_Prem_Yr1,Modal_Basic_Prem_Yr2)*(Prem_Mode="Monthly")+(Prem_Mode="Annual")*IF(B58=1,Modal_Basic_Prem_Yr1,Modal_Basic_Prem_Yr2)*(MOD(C58-1,12)=0))*(B58&lt;=15)</f>
        <v>47840</v>
      </c>
      <c r="F58" s="50">
        <f>SUM($E$6:E58)</f>
        <v>2535520</v>
      </c>
      <c r="G58" s="51">
        <f>MAX(F58*D58-SA/100*(C58-10*12)*(B58&gt;10),0)</f>
        <v>1267760</v>
      </c>
      <c r="H58" s="49">
        <f>VLOOKUP(B58,$L$5:$N$30,3,0)</f>
        <v>0.16</v>
      </c>
      <c r="I58" s="50">
        <f>VLOOKUP(B58,$P$5:$Q$30,2,0)*SA*(B58-1)*H58</f>
        <v>102912</v>
      </c>
      <c r="J58" s="50">
        <f>G58+I58</f>
        <v>1370672</v>
      </c>
      <c r="K58" s="59"/>
      <c r="L58" s="63"/>
    </row>
    <row r="59" spans="2:12">
      <c r="B59" s="42">
        <f>B47+1</f>
        <v>5</v>
      </c>
      <c r="C59" s="43">
        <f>C58+1</f>
        <v>54</v>
      </c>
      <c r="D59" s="44">
        <f>VLOOKUP(B59,$L$5:$N$30,2,0)</f>
        <v>0.5</v>
      </c>
      <c r="E59" s="45">
        <f>(IF(B59=1,Modal_Basic_Prem_Yr1,Modal_Basic_Prem_Yr2)*(Prem_Mode="Monthly")+(Prem_Mode="Annual")*IF(B59=1,Modal_Basic_Prem_Yr1,Modal_Basic_Prem_Yr2)*(MOD(C59-1,12)=0))*(B59&lt;=15)</f>
        <v>47840</v>
      </c>
      <c r="F59" s="45">
        <f>SUM($E$6:E59)</f>
        <v>2583360</v>
      </c>
      <c r="G59" s="46">
        <f>MAX(F59*D59-SA/100*(C59-10*12)*(B59&gt;10),0)</f>
        <v>1291680</v>
      </c>
      <c r="H59" s="44">
        <f>VLOOKUP(B59,$L$5:$N$30,3,0)</f>
        <v>0.16</v>
      </c>
      <c r="I59" s="45">
        <f>VLOOKUP(B59,$P$5:$Q$30,2,0)*SA*(B59-1)*H59</f>
        <v>102912</v>
      </c>
      <c r="J59" s="45">
        <f>G59+I59</f>
        <v>1394592</v>
      </c>
      <c r="K59" s="59"/>
      <c r="L59" s="63"/>
    </row>
    <row r="60" spans="2:12">
      <c r="B60" s="47">
        <f>B48+1</f>
        <v>5</v>
      </c>
      <c r="C60" s="48">
        <f>C59+1</f>
        <v>55</v>
      </c>
      <c r="D60" s="49">
        <f>VLOOKUP(B60,$L$5:$N$30,2,0)</f>
        <v>0.5</v>
      </c>
      <c r="E60" s="50">
        <f>(IF(B60=1,Modal_Basic_Prem_Yr1,Modal_Basic_Prem_Yr2)*(Prem_Mode="Monthly")+(Prem_Mode="Annual")*IF(B60=1,Modal_Basic_Prem_Yr1,Modal_Basic_Prem_Yr2)*(MOD(C60-1,12)=0))*(B60&lt;=15)</f>
        <v>47840</v>
      </c>
      <c r="F60" s="50">
        <f>SUM($E$6:E60)</f>
        <v>2631200</v>
      </c>
      <c r="G60" s="51">
        <f>MAX(F60*D60-SA/100*(C60-10*12)*(B60&gt;10),0)</f>
        <v>1315600</v>
      </c>
      <c r="H60" s="49">
        <f>VLOOKUP(B60,$L$5:$N$30,3,0)</f>
        <v>0.16</v>
      </c>
      <c r="I60" s="50">
        <f>VLOOKUP(B60,$P$5:$Q$30,2,0)*SA*(B60-1)*H60</f>
        <v>102912</v>
      </c>
      <c r="J60" s="50">
        <f>G60+I60</f>
        <v>1418512</v>
      </c>
      <c r="K60" s="59"/>
      <c r="L60" s="63"/>
    </row>
    <row r="61" spans="2:12">
      <c r="B61" s="42">
        <f>B49+1</f>
        <v>5</v>
      </c>
      <c r="C61" s="43">
        <f>C60+1</f>
        <v>56</v>
      </c>
      <c r="D61" s="44">
        <f>VLOOKUP(B61,$L$5:$N$30,2,0)</f>
        <v>0.5</v>
      </c>
      <c r="E61" s="45">
        <f>(IF(B61=1,Modal_Basic_Prem_Yr1,Modal_Basic_Prem_Yr2)*(Prem_Mode="Monthly")+(Prem_Mode="Annual")*IF(B61=1,Modal_Basic_Prem_Yr1,Modal_Basic_Prem_Yr2)*(MOD(C61-1,12)=0))*(B61&lt;=15)</f>
        <v>47840</v>
      </c>
      <c r="F61" s="45">
        <f>SUM($E$6:E61)</f>
        <v>2679040</v>
      </c>
      <c r="G61" s="46">
        <f>MAX(F61*D61-SA/100*(C61-10*12)*(B61&gt;10),0)</f>
        <v>1339520</v>
      </c>
      <c r="H61" s="44">
        <f>VLOOKUP(B61,$L$5:$N$30,3,0)</f>
        <v>0.16</v>
      </c>
      <c r="I61" s="45">
        <f>VLOOKUP(B61,$P$5:$Q$30,2,0)*SA*(B61-1)*H61</f>
        <v>102912</v>
      </c>
      <c r="J61" s="45">
        <f>G61+I61</f>
        <v>1442432</v>
      </c>
      <c r="K61" s="59"/>
      <c r="L61" s="63"/>
    </row>
    <row r="62" spans="2:12">
      <c r="B62" s="47">
        <f>B50+1</f>
        <v>5</v>
      </c>
      <c r="C62" s="48">
        <f>C61+1</f>
        <v>57</v>
      </c>
      <c r="D62" s="49">
        <f>VLOOKUP(B62,$L$5:$N$30,2,0)</f>
        <v>0.5</v>
      </c>
      <c r="E62" s="50">
        <f>(IF(B62=1,Modal_Basic_Prem_Yr1,Modal_Basic_Prem_Yr2)*(Prem_Mode="Monthly")+(Prem_Mode="Annual")*IF(B62=1,Modal_Basic_Prem_Yr1,Modal_Basic_Prem_Yr2)*(MOD(C62-1,12)=0))*(B62&lt;=15)</f>
        <v>47840</v>
      </c>
      <c r="F62" s="50">
        <f>SUM($E$6:E62)</f>
        <v>2726880</v>
      </c>
      <c r="G62" s="51">
        <f>MAX(F62*D62-SA/100*(C62-10*12)*(B62&gt;10),0)</f>
        <v>1363440</v>
      </c>
      <c r="H62" s="49">
        <f>VLOOKUP(B62,$L$5:$N$30,3,0)</f>
        <v>0.16</v>
      </c>
      <c r="I62" s="50">
        <f>VLOOKUP(B62,$P$5:$Q$30,2,0)*SA*(B62-1)*H62</f>
        <v>102912</v>
      </c>
      <c r="J62" s="50">
        <f>G62+I62</f>
        <v>1466352</v>
      </c>
      <c r="K62" s="59"/>
      <c r="L62" s="63"/>
    </row>
    <row r="63" spans="2:12">
      <c r="B63" s="42">
        <f>B51+1</f>
        <v>5</v>
      </c>
      <c r="C63" s="43">
        <f>C62+1</f>
        <v>58</v>
      </c>
      <c r="D63" s="44">
        <f>VLOOKUP(B63,$L$5:$N$30,2,0)</f>
        <v>0.5</v>
      </c>
      <c r="E63" s="45">
        <f>(IF(B63=1,Modal_Basic_Prem_Yr1,Modal_Basic_Prem_Yr2)*(Prem_Mode="Monthly")+(Prem_Mode="Annual")*IF(B63=1,Modal_Basic_Prem_Yr1,Modal_Basic_Prem_Yr2)*(MOD(C63-1,12)=0))*(B63&lt;=15)</f>
        <v>47840</v>
      </c>
      <c r="F63" s="45">
        <f>SUM($E$6:E63)</f>
        <v>2774720</v>
      </c>
      <c r="G63" s="46">
        <f>MAX(F63*D63-SA/100*(C63-10*12)*(B63&gt;10),0)</f>
        <v>1387360</v>
      </c>
      <c r="H63" s="44">
        <f>VLOOKUP(B63,$L$5:$N$30,3,0)</f>
        <v>0.16</v>
      </c>
      <c r="I63" s="45">
        <f>VLOOKUP(B63,$P$5:$Q$30,2,0)*SA*(B63-1)*H63</f>
        <v>102912</v>
      </c>
      <c r="J63" s="45">
        <f>G63+I63</f>
        <v>1490272</v>
      </c>
      <c r="K63" s="59"/>
      <c r="L63" s="63"/>
    </row>
    <row r="64" spans="2:12">
      <c r="B64" s="47">
        <f>B52+1</f>
        <v>5</v>
      </c>
      <c r="C64" s="48">
        <f>C63+1</f>
        <v>59</v>
      </c>
      <c r="D64" s="49">
        <f>VLOOKUP(B64,$L$5:$N$30,2,0)</f>
        <v>0.5</v>
      </c>
      <c r="E64" s="50">
        <f>(IF(B64=1,Modal_Basic_Prem_Yr1,Modal_Basic_Prem_Yr2)*(Prem_Mode="Monthly")+(Prem_Mode="Annual")*IF(B64=1,Modal_Basic_Prem_Yr1,Modal_Basic_Prem_Yr2)*(MOD(C64-1,12)=0))*(B64&lt;=15)</f>
        <v>47840</v>
      </c>
      <c r="F64" s="50">
        <f>SUM($E$6:E64)</f>
        <v>2822560</v>
      </c>
      <c r="G64" s="51">
        <f>MAX(F64*D64-SA/100*(C64-10*12)*(B64&gt;10),0)</f>
        <v>1411280</v>
      </c>
      <c r="H64" s="49">
        <f>VLOOKUP(B64,$L$5:$N$30,3,0)</f>
        <v>0.16</v>
      </c>
      <c r="I64" s="50">
        <f>VLOOKUP(B64,$P$5:$Q$30,2,0)*SA*(B64-1)*H64</f>
        <v>102912</v>
      </c>
      <c r="J64" s="50">
        <f>G64+I64</f>
        <v>1514192</v>
      </c>
      <c r="K64" s="59"/>
      <c r="L64" s="63"/>
    </row>
    <row r="65" spans="2:12">
      <c r="B65" s="42">
        <f>B53+1</f>
        <v>5</v>
      </c>
      <c r="C65" s="43">
        <f>C64+1</f>
        <v>60</v>
      </c>
      <c r="D65" s="44">
        <f>VLOOKUP(B65,$L$5:$N$30,2,0)</f>
        <v>0.5</v>
      </c>
      <c r="E65" s="45">
        <f>(IF(B65=1,Modal_Basic_Prem_Yr1,Modal_Basic_Prem_Yr2)*(Prem_Mode="Monthly")+(Prem_Mode="Annual")*IF(B65=1,Modal_Basic_Prem_Yr1,Modal_Basic_Prem_Yr2)*(MOD(C65-1,12)=0))*(B65&lt;=15)</f>
        <v>47840</v>
      </c>
      <c r="F65" s="45">
        <f>SUM($E$6:E65)</f>
        <v>2870400</v>
      </c>
      <c r="G65" s="46">
        <f>MAX(F65*D65-SA/100*(C65-10*12)*(B65&gt;10),0)</f>
        <v>1435200</v>
      </c>
      <c r="H65" s="44">
        <f>VLOOKUP(B65,$L$5:$N$30,3,0)</f>
        <v>0.16</v>
      </c>
      <c r="I65" s="45">
        <f>VLOOKUP(B65,$P$5:$Q$30,2,0)*SA*(B65-1)*H65</f>
        <v>102912</v>
      </c>
      <c r="J65" s="45">
        <f>G65+I65</f>
        <v>1538112</v>
      </c>
      <c r="K65" s="59"/>
      <c r="L65" s="63"/>
    </row>
    <row r="66" spans="2:12">
      <c r="B66" s="47">
        <f>B54+1</f>
        <v>6</v>
      </c>
      <c r="C66" s="48">
        <f>C65+1</f>
        <v>61</v>
      </c>
      <c r="D66" s="49">
        <f>VLOOKUP(B66,$L$5:$N$30,2,0)</f>
        <v>0.5</v>
      </c>
      <c r="E66" s="50">
        <f>(IF(B66=1,Modal_Basic_Prem_Yr1,Modal_Basic_Prem_Yr2)*(Prem_Mode="Monthly")+(Prem_Mode="Annual")*IF(B66=1,Modal_Basic_Prem_Yr1,Modal_Basic_Prem_Yr2)*(MOD(C66-1,12)=0))*(B66&lt;=15)</f>
        <v>47840</v>
      </c>
      <c r="F66" s="50">
        <f>SUM($E$6:E66)</f>
        <v>2918240</v>
      </c>
      <c r="G66" s="51">
        <f>MAX(F66*D66-SA/100*(C66-10*12)*(B66&gt;10),0)</f>
        <v>1459120</v>
      </c>
      <c r="H66" s="49">
        <f>VLOOKUP(B66,$L$5:$N$30,3,0)</f>
        <v>0.18</v>
      </c>
      <c r="I66" s="50">
        <f>VLOOKUP(B66,$P$5:$Q$30,2,0)*SA*(B66-1)*H66</f>
        <v>144720</v>
      </c>
      <c r="J66" s="50">
        <f>G66+I66</f>
        <v>1603840</v>
      </c>
      <c r="K66" s="59"/>
      <c r="L66" s="63"/>
    </row>
    <row r="67" spans="2:12">
      <c r="B67" s="42">
        <f>B55+1</f>
        <v>6</v>
      </c>
      <c r="C67" s="43">
        <f>C66+1</f>
        <v>62</v>
      </c>
      <c r="D67" s="44">
        <f>VLOOKUP(B67,$L$5:$N$30,2,0)</f>
        <v>0.5</v>
      </c>
      <c r="E67" s="45">
        <f>(IF(B67=1,Modal_Basic_Prem_Yr1,Modal_Basic_Prem_Yr2)*(Prem_Mode="Monthly")+(Prem_Mode="Annual")*IF(B67=1,Modal_Basic_Prem_Yr1,Modal_Basic_Prem_Yr2)*(MOD(C67-1,12)=0))*(B67&lt;=15)</f>
        <v>47840</v>
      </c>
      <c r="F67" s="45">
        <f>SUM($E$6:E67)</f>
        <v>2966080</v>
      </c>
      <c r="G67" s="46">
        <f>MAX(F67*D67-SA/100*(C67-10*12)*(B67&gt;10),0)</f>
        <v>1483040</v>
      </c>
      <c r="H67" s="44">
        <f>VLOOKUP(B67,$L$5:$N$30,3,0)</f>
        <v>0.18</v>
      </c>
      <c r="I67" s="45">
        <f>VLOOKUP(B67,$P$5:$Q$30,2,0)*SA*(B67-1)*H67</f>
        <v>144720</v>
      </c>
      <c r="J67" s="45">
        <f>G67+I67</f>
        <v>1627760</v>
      </c>
      <c r="K67" s="59"/>
      <c r="L67" s="63"/>
    </row>
    <row r="68" spans="2:12">
      <c r="B68" s="47">
        <f>B56+1</f>
        <v>6</v>
      </c>
      <c r="C68" s="48">
        <f>C67+1</f>
        <v>63</v>
      </c>
      <c r="D68" s="49">
        <f>VLOOKUP(B68,$L$5:$N$30,2,0)</f>
        <v>0.5</v>
      </c>
      <c r="E68" s="50">
        <f>(IF(B68=1,Modal_Basic_Prem_Yr1,Modal_Basic_Prem_Yr2)*(Prem_Mode="Monthly")+(Prem_Mode="Annual")*IF(B68=1,Modal_Basic_Prem_Yr1,Modal_Basic_Prem_Yr2)*(MOD(C68-1,12)=0))*(B68&lt;=15)</f>
        <v>47840</v>
      </c>
      <c r="F68" s="50">
        <f>SUM($E$6:E68)</f>
        <v>3013920</v>
      </c>
      <c r="G68" s="51">
        <f>MAX(F68*D68-SA/100*(C68-10*12)*(B68&gt;10),0)</f>
        <v>1506960</v>
      </c>
      <c r="H68" s="49">
        <f>VLOOKUP(B68,$L$5:$N$30,3,0)</f>
        <v>0.18</v>
      </c>
      <c r="I68" s="50">
        <f>VLOOKUP(B68,$P$5:$Q$30,2,0)*SA*(B68-1)*H68</f>
        <v>144720</v>
      </c>
      <c r="J68" s="50">
        <f>G68+I68</f>
        <v>1651680</v>
      </c>
      <c r="K68" s="59"/>
      <c r="L68" s="63"/>
    </row>
    <row r="69" spans="2:12">
      <c r="B69" s="42">
        <f>B57+1</f>
        <v>6</v>
      </c>
      <c r="C69" s="43">
        <f>C68+1</f>
        <v>64</v>
      </c>
      <c r="D69" s="44">
        <f>VLOOKUP(B69,$L$5:$N$30,2,0)</f>
        <v>0.5</v>
      </c>
      <c r="E69" s="45">
        <f>(IF(B69=1,Modal_Basic_Prem_Yr1,Modal_Basic_Prem_Yr2)*(Prem_Mode="Monthly")+(Prem_Mode="Annual")*IF(B69=1,Modal_Basic_Prem_Yr1,Modal_Basic_Prem_Yr2)*(MOD(C69-1,12)=0))*(B69&lt;=15)</f>
        <v>47840</v>
      </c>
      <c r="F69" s="45">
        <f>SUM($E$6:E69)</f>
        <v>3061760</v>
      </c>
      <c r="G69" s="46">
        <f>MAX(F69*D69-SA/100*(C69-10*12)*(B69&gt;10),0)</f>
        <v>1530880</v>
      </c>
      <c r="H69" s="44">
        <f>VLOOKUP(B69,$L$5:$N$30,3,0)</f>
        <v>0.18</v>
      </c>
      <c r="I69" s="45">
        <f>VLOOKUP(B69,$P$5:$Q$30,2,0)*SA*(B69-1)*H69</f>
        <v>144720</v>
      </c>
      <c r="J69" s="45">
        <f>G69+I69</f>
        <v>1675600</v>
      </c>
      <c r="K69" s="59"/>
      <c r="L69" s="63"/>
    </row>
    <row r="70" spans="2:12">
      <c r="B70" s="47">
        <f>B58+1</f>
        <v>6</v>
      </c>
      <c r="C70" s="48">
        <f>C69+1</f>
        <v>65</v>
      </c>
      <c r="D70" s="49">
        <f>VLOOKUP(B70,$L$5:$N$30,2,0)</f>
        <v>0.5</v>
      </c>
      <c r="E70" s="50">
        <f>(IF(B70=1,Modal_Basic_Prem_Yr1,Modal_Basic_Prem_Yr2)*(Prem_Mode="Monthly")+(Prem_Mode="Annual")*IF(B70=1,Modal_Basic_Prem_Yr1,Modal_Basic_Prem_Yr2)*(MOD(C70-1,12)=0))*(B70&lt;=15)</f>
        <v>47840</v>
      </c>
      <c r="F70" s="50">
        <f>SUM($E$6:E70)</f>
        <v>3109600</v>
      </c>
      <c r="G70" s="51">
        <f>MAX(F70*D70-SA/100*(C70-10*12)*(B70&gt;10),0)</f>
        <v>1554800</v>
      </c>
      <c r="H70" s="49">
        <f>VLOOKUP(B70,$L$5:$N$30,3,0)</f>
        <v>0.18</v>
      </c>
      <c r="I70" s="50">
        <f>VLOOKUP(B70,$P$5:$Q$30,2,0)*SA*(B70-1)*H70</f>
        <v>144720</v>
      </c>
      <c r="J70" s="50">
        <f>G70+I70</f>
        <v>1699520</v>
      </c>
      <c r="K70" s="59"/>
      <c r="L70" s="63"/>
    </row>
    <row r="71" spans="2:12">
      <c r="B71" s="42">
        <f>B59+1</f>
        <v>6</v>
      </c>
      <c r="C71" s="43">
        <f>C70+1</f>
        <v>66</v>
      </c>
      <c r="D71" s="44">
        <f t="shared" ref="D71:D134" si="8">VLOOKUP(B71,$L$5:$N$30,2,0)</f>
        <v>0.5</v>
      </c>
      <c r="E71" s="45">
        <f>(IF(B71=1,Modal_Basic_Prem_Yr1,Modal_Basic_Prem_Yr2)*(Prem_Mode="Monthly")+(Prem_Mode="Annual")*IF(B71=1,Modal_Basic_Prem_Yr1,Modal_Basic_Prem_Yr2)*(MOD(C71-1,12)=0))*(B71&lt;=15)</f>
        <v>47840</v>
      </c>
      <c r="F71" s="45">
        <f>SUM($E$6:E71)</f>
        <v>3157440</v>
      </c>
      <c r="G71" s="46">
        <f>MAX(F71*D71-SA/100*(C71-10*12)*(B71&gt;10),0)</f>
        <v>1578720</v>
      </c>
      <c r="H71" s="44">
        <f t="shared" ref="H71:H134" si="9">VLOOKUP(B71,$L$5:$N$30,3,0)</f>
        <v>0.18</v>
      </c>
      <c r="I71" s="45">
        <f>VLOOKUP(B71,$P$5:$Q$30,2,0)*SA*(B71-1)*H71</f>
        <v>144720</v>
      </c>
      <c r="J71" s="45">
        <f t="shared" ref="J71:J134" si="10">G71+I71</f>
        <v>1723440</v>
      </c>
      <c r="K71" s="59"/>
      <c r="L71" s="63"/>
    </row>
    <row r="72" spans="2:12">
      <c r="B72" s="47">
        <f>B60+1</f>
        <v>6</v>
      </c>
      <c r="C72" s="48">
        <f t="shared" ref="C72:C135" si="11">C71+1</f>
        <v>67</v>
      </c>
      <c r="D72" s="49">
        <f>VLOOKUP(B72,$L$5:$N$30,2,0)</f>
        <v>0.5</v>
      </c>
      <c r="E72" s="50">
        <f>(IF(B72=1,Modal_Basic_Prem_Yr1,Modal_Basic_Prem_Yr2)*(Prem_Mode="Monthly")+(Prem_Mode="Annual")*IF(B72=1,Modal_Basic_Prem_Yr1,Modal_Basic_Prem_Yr2)*(MOD(C72-1,12)=0))*(B72&lt;=15)</f>
        <v>47840</v>
      </c>
      <c r="F72" s="50">
        <f>SUM($E$6:E72)</f>
        <v>3205280</v>
      </c>
      <c r="G72" s="51">
        <f>MAX(F72*D72-SA/100*(C72-10*12)*(B72&gt;10),0)</f>
        <v>1602640</v>
      </c>
      <c r="H72" s="49">
        <f>VLOOKUP(B72,$L$5:$N$30,3,0)</f>
        <v>0.18</v>
      </c>
      <c r="I72" s="50">
        <f>VLOOKUP(B72,$P$5:$Q$30,2,0)*SA*(B72-1)*H72</f>
        <v>144720</v>
      </c>
      <c r="J72" s="50">
        <f>G72+I72</f>
        <v>1747360</v>
      </c>
      <c r="K72" s="59"/>
      <c r="L72" s="63"/>
    </row>
    <row r="73" spans="2:12">
      <c r="B73" s="42">
        <f>B61+1</f>
        <v>6</v>
      </c>
      <c r="C73" s="43">
        <f>C72+1</f>
        <v>68</v>
      </c>
      <c r="D73" s="44">
        <f>VLOOKUP(B73,$L$5:$N$30,2,0)</f>
        <v>0.5</v>
      </c>
      <c r="E73" s="45">
        <f>(IF(B73=1,Modal_Basic_Prem_Yr1,Modal_Basic_Prem_Yr2)*(Prem_Mode="Monthly")+(Prem_Mode="Annual")*IF(B73=1,Modal_Basic_Prem_Yr1,Modal_Basic_Prem_Yr2)*(MOD(C73-1,12)=0))*(B73&lt;=15)</f>
        <v>47840</v>
      </c>
      <c r="F73" s="45">
        <f>SUM($E$6:E73)</f>
        <v>3253120</v>
      </c>
      <c r="G73" s="46">
        <f>MAX(F73*D73-SA/100*(C73-10*12)*(B73&gt;10),0)</f>
        <v>1626560</v>
      </c>
      <c r="H73" s="44">
        <f>VLOOKUP(B73,$L$5:$N$30,3,0)</f>
        <v>0.18</v>
      </c>
      <c r="I73" s="45">
        <f>VLOOKUP(B73,$P$5:$Q$30,2,0)*SA*(B73-1)*H73</f>
        <v>144720</v>
      </c>
      <c r="J73" s="45">
        <f>G73+I73</f>
        <v>1771280</v>
      </c>
      <c r="K73" s="59"/>
      <c r="L73" s="63"/>
    </row>
    <row r="74" spans="2:12">
      <c r="B74" s="47">
        <f>B62+1</f>
        <v>6</v>
      </c>
      <c r="C74" s="48">
        <f>C73+1</f>
        <v>69</v>
      </c>
      <c r="D74" s="49">
        <f>VLOOKUP(B74,$L$5:$N$30,2,0)</f>
        <v>0.5</v>
      </c>
      <c r="E74" s="50">
        <f>(IF(B74=1,Modal_Basic_Prem_Yr1,Modal_Basic_Prem_Yr2)*(Prem_Mode="Monthly")+(Prem_Mode="Annual")*IF(B74=1,Modal_Basic_Prem_Yr1,Modal_Basic_Prem_Yr2)*(MOD(C74-1,12)=0))*(B74&lt;=15)</f>
        <v>47840</v>
      </c>
      <c r="F74" s="50">
        <f>SUM($E$6:E74)</f>
        <v>3300960</v>
      </c>
      <c r="G74" s="51">
        <f>MAX(F74*D74-SA/100*(C74-10*12)*(B74&gt;10),0)</f>
        <v>1650480</v>
      </c>
      <c r="H74" s="49">
        <f>VLOOKUP(B74,$L$5:$N$30,3,0)</f>
        <v>0.18</v>
      </c>
      <c r="I74" s="50">
        <f>VLOOKUP(B74,$P$5:$Q$30,2,0)*SA*(B74-1)*H74</f>
        <v>144720</v>
      </c>
      <c r="J74" s="50">
        <f>G74+I74</f>
        <v>1795200</v>
      </c>
      <c r="K74" s="59"/>
      <c r="L74" s="63"/>
    </row>
    <row r="75" spans="2:12">
      <c r="B75" s="42">
        <f>B63+1</f>
        <v>6</v>
      </c>
      <c r="C75" s="43">
        <f>C74+1</f>
        <v>70</v>
      </c>
      <c r="D75" s="44">
        <f>VLOOKUP(B75,$L$5:$N$30,2,0)</f>
        <v>0.5</v>
      </c>
      <c r="E75" s="45">
        <f>(IF(B75=1,Modal_Basic_Prem_Yr1,Modal_Basic_Prem_Yr2)*(Prem_Mode="Monthly")+(Prem_Mode="Annual")*IF(B75=1,Modal_Basic_Prem_Yr1,Modal_Basic_Prem_Yr2)*(MOD(C75-1,12)=0))*(B75&lt;=15)</f>
        <v>47840</v>
      </c>
      <c r="F75" s="45">
        <f>SUM($E$6:E75)</f>
        <v>3348800</v>
      </c>
      <c r="G75" s="46">
        <f>MAX(F75*D75-SA/100*(C75-10*12)*(B75&gt;10),0)</f>
        <v>1674400</v>
      </c>
      <c r="H75" s="44">
        <f>VLOOKUP(B75,$L$5:$N$30,3,0)</f>
        <v>0.18</v>
      </c>
      <c r="I75" s="45">
        <f>VLOOKUP(B75,$P$5:$Q$30,2,0)*SA*(B75-1)*H75</f>
        <v>144720</v>
      </c>
      <c r="J75" s="45">
        <f>G75+I75</f>
        <v>1819120</v>
      </c>
      <c r="K75" s="59"/>
      <c r="L75" s="63"/>
    </row>
    <row r="76" spans="2:12">
      <c r="B76" s="47">
        <f>B64+1</f>
        <v>6</v>
      </c>
      <c r="C76" s="48">
        <f>C75+1</f>
        <v>71</v>
      </c>
      <c r="D76" s="49">
        <f>VLOOKUP(B76,$L$5:$N$30,2,0)</f>
        <v>0.5</v>
      </c>
      <c r="E76" s="50">
        <f>(IF(B76=1,Modal_Basic_Prem_Yr1,Modal_Basic_Prem_Yr2)*(Prem_Mode="Monthly")+(Prem_Mode="Annual")*IF(B76=1,Modal_Basic_Prem_Yr1,Modal_Basic_Prem_Yr2)*(MOD(C76-1,12)=0))*(B76&lt;=15)</f>
        <v>47840</v>
      </c>
      <c r="F76" s="50">
        <f>SUM($E$6:E76)</f>
        <v>3396640</v>
      </c>
      <c r="G76" s="51">
        <f>MAX(F76*D76-SA/100*(C76-10*12)*(B76&gt;10),0)</f>
        <v>1698320</v>
      </c>
      <c r="H76" s="49">
        <f>VLOOKUP(B76,$L$5:$N$30,3,0)</f>
        <v>0.18</v>
      </c>
      <c r="I76" s="50">
        <f>VLOOKUP(B76,$P$5:$Q$30,2,0)*SA*(B76-1)*H76</f>
        <v>144720</v>
      </c>
      <c r="J76" s="50">
        <f>G76+I76</f>
        <v>1843040</v>
      </c>
      <c r="K76" s="59"/>
      <c r="L76" s="63"/>
    </row>
    <row r="77" spans="2:12">
      <c r="B77" s="42">
        <f>B65+1</f>
        <v>6</v>
      </c>
      <c r="C77" s="43">
        <f>C76+1</f>
        <v>72</v>
      </c>
      <c r="D77" s="44">
        <f>VLOOKUP(B77,$L$5:$N$30,2,0)</f>
        <v>0.5</v>
      </c>
      <c r="E77" s="45">
        <f>(IF(B77=1,Modal_Basic_Prem_Yr1,Modal_Basic_Prem_Yr2)*(Prem_Mode="Monthly")+(Prem_Mode="Annual")*IF(B77=1,Modal_Basic_Prem_Yr1,Modal_Basic_Prem_Yr2)*(MOD(C77-1,12)=0))*(B77&lt;=15)</f>
        <v>47840</v>
      </c>
      <c r="F77" s="45">
        <f>SUM($E$6:E77)</f>
        <v>3444480</v>
      </c>
      <c r="G77" s="46">
        <f>MAX(F77*D77-SA/100*(C77-10*12)*(B77&gt;10),0)</f>
        <v>1722240</v>
      </c>
      <c r="H77" s="44">
        <f>VLOOKUP(B77,$L$5:$N$30,3,0)</f>
        <v>0.18</v>
      </c>
      <c r="I77" s="45">
        <f>VLOOKUP(B77,$P$5:$Q$30,2,0)*SA*(B77-1)*H77</f>
        <v>144720</v>
      </c>
      <c r="J77" s="45">
        <f>G77+I77</f>
        <v>1866960</v>
      </c>
      <c r="K77" s="59"/>
      <c r="L77" s="63"/>
    </row>
    <row r="78" spans="2:12">
      <c r="B78" s="47">
        <f>B66+1</f>
        <v>7</v>
      </c>
      <c r="C78" s="48">
        <f>C77+1</f>
        <v>73</v>
      </c>
      <c r="D78" s="49">
        <f>VLOOKUP(B78,$L$5:$N$30,2,0)</f>
        <v>0.5</v>
      </c>
      <c r="E78" s="50">
        <f>(IF(B78=1,Modal_Basic_Prem_Yr1,Modal_Basic_Prem_Yr2)*(Prem_Mode="Monthly")+(Prem_Mode="Annual")*IF(B78=1,Modal_Basic_Prem_Yr1,Modal_Basic_Prem_Yr2)*(MOD(C78-1,12)=0))*(B78&lt;=15)</f>
        <v>47840</v>
      </c>
      <c r="F78" s="50">
        <f>SUM($E$6:E78)</f>
        <v>3492320</v>
      </c>
      <c r="G78" s="51">
        <f>MAX(F78*D78-SA/100*(C78-10*12)*(B78&gt;10),0)</f>
        <v>1746160</v>
      </c>
      <c r="H78" s="49">
        <f>VLOOKUP(B78,$L$5:$N$30,3,0)</f>
        <v>0.19</v>
      </c>
      <c r="I78" s="50">
        <f>VLOOKUP(B78,$P$5:$Q$30,2,0)*SA*(B78-1)*H78</f>
        <v>183312</v>
      </c>
      <c r="J78" s="50">
        <f>G78+I78</f>
        <v>1929472</v>
      </c>
      <c r="K78" s="59"/>
      <c r="L78" s="63"/>
    </row>
    <row r="79" spans="2:12">
      <c r="B79" s="42">
        <f>B67+1</f>
        <v>7</v>
      </c>
      <c r="C79" s="43">
        <f>C78+1</f>
        <v>74</v>
      </c>
      <c r="D79" s="44">
        <f>VLOOKUP(B79,$L$5:$N$30,2,0)</f>
        <v>0.5</v>
      </c>
      <c r="E79" s="45">
        <f>(IF(B79=1,Modal_Basic_Prem_Yr1,Modal_Basic_Prem_Yr2)*(Prem_Mode="Monthly")+(Prem_Mode="Annual")*IF(B79=1,Modal_Basic_Prem_Yr1,Modal_Basic_Prem_Yr2)*(MOD(C79-1,12)=0))*(B79&lt;=15)</f>
        <v>47840</v>
      </c>
      <c r="F79" s="45">
        <f>SUM($E$6:E79)</f>
        <v>3540160</v>
      </c>
      <c r="G79" s="46">
        <f>MAX(F79*D79-SA/100*(C79-10*12)*(B79&gt;10),0)</f>
        <v>1770080</v>
      </c>
      <c r="H79" s="44">
        <f>VLOOKUP(B79,$L$5:$N$30,3,0)</f>
        <v>0.19</v>
      </c>
      <c r="I79" s="45">
        <f>VLOOKUP(B79,$P$5:$Q$30,2,0)*SA*(B79-1)*H79</f>
        <v>183312</v>
      </c>
      <c r="J79" s="45">
        <f>G79+I79</f>
        <v>1953392</v>
      </c>
      <c r="K79" s="59"/>
      <c r="L79" s="63"/>
    </row>
    <row r="80" spans="2:12">
      <c r="B80" s="47">
        <f>B68+1</f>
        <v>7</v>
      </c>
      <c r="C80" s="48">
        <f>C79+1</f>
        <v>75</v>
      </c>
      <c r="D80" s="49">
        <f>VLOOKUP(B80,$L$5:$N$30,2,0)</f>
        <v>0.5</v>
      </c>
      <c r="E80" s="50">
        <f>(IF(B80=1,Modal_Basic_Prem_Yr1,Modal_Basic_Prem_Yr2)*(Prem_Mode="Monthly")+(Prem_Mode="Annual")*IF(B80=1,Modal_Basic_Prem_Yr1,Modal_Basic_Prem_Yr2)*(MOD(C80-1,12)=0))*(B80&lt;=15)</f>
        <v>47840</v>
      </c>
      <c r="F80" s="50">
        <f>SUM($E$6:E80)</f>
        <v>3588000</v>
      </c>
      <c r="G80" s="51">
        <f>MAX(F80*D80-SA/100*(C80-10*12)*(B80&gt;10),0)</f>
        <v>1794000</v>
      </c>
      <c r="H80" s="49">
        <f>VLOOKUP(B80,$L$5:$N$30,3,0)</f>
        <v>0.19</v>
      </c>
      <c r="I80" s="50">
        <f>VLOOKUP(B80,$P$5:$Q$30,2,0)*SA*(B80-1)*H80</f>
        <v>183312</v>
      </c>
      <c r="J80" s="50">
        <f>G80+I80</f>
        <v>1977312</v>
      </c>
      <c r="K80" s="59"/>
      <c r="L80" s="63"/>
    </row>
    <row r="81" spans="2:12">
      <c r="B81" s="42">
        <f>B69+1</f>
        <v>7</v>
      </c>
      <c r="C81" s="43">
        <f>C80+1</f>
        <v>76</v>
      </c>
      <c r="D81" s="44">
        <f>VLOOKUP(B81,$L$5:$N$30,2,0)</f>
        <v>0.5</v>
      </c>
      <c r="E81" s="45">
        <f>(IF(B81=1,Modal_Basic_Prem_Yr1,Modal_Basic_Prem_Yr2)*(Prem_Mode="Monthly")+(Prem_Mode="Annual")*IF(B81=1,Modal_Basic_Prem_Yr1,Modal_Basic_Prem_Yr2)*(MOD(C81-1,12)=0))*(B81&lt;=15)</f>
        <v>47840</v>
      </c>
      <c r="F81" s="45">
        <f>SUM($E$6:E81)</f>
        <v>3635840</v>
      </c>
      <c r="G81" s="46">
        <f>MAX(F81*D81-SA/100*(C81-10*12)*(B81&gt;10),0)</f>
        <v>1817920</v>
      </c>
      <c r="H81" s="44">
        <f>VLOOKUP(B81,$L$5:$N$30,3,0)</f>
        <v>0.19</v>
      </c>
      <c r="I81" s="45">
        <f>VLOOKUP(B81,$P$5:$Q$30,2,0)*SA*(B81-1)*H81</f>
        <v>183312</v>
      </c>
      <c r="J81" s="45">
        <f>G81+I81</f>
        <v>2001232</v>
      </c>
      <c r="K81" s="59"/>
      <c r="L81" s="63"/>
    </row>
    <row r="82" spans="2:12">
      <c r="B82" s="47">
        <f>B70+1</f>
        <v>7</v>
      </c>
      <c r="C82" s="48">
        <f>C81+1</f>
        <v>77</v>
      </c>
      <c r="D82" s="49">
        <f>VLOOKUP(B82,$L$5:$N$30,2,0)</f>
        <v>0.5</v>
      </c>
      <c r="E82" s="50">
        <f>(IF(B82=1,Modal_Basic_Prem_Yr1,Modal_Basic_Prem_Yr2)*(Prem_Mode="Monthly")+(Prem_Mode="Annual")*IF(B82=1,Modal_Basic_Prem_Yr1,Modal_Basic_Prem_Yr2)*(MOD(C82-1,12)=0))*(B82&lt;=15)</f>
        <v>47840</v>
      </c>
      <c r="F82" s="50">
        <f>SUM($E$6:E82)</f>
        <v>3683680</v>
      </c>
      <c r="G82" s="51">
        <f>MAX(F82*D82-SA/100*(C82-10*12)*(B82&gt;10),0)</f>
        <v>1841840</v>
      </c>
      <c r="H82" s="49">
        <f>VLOOKUP(B82,$L$5:$N$30,3,0)</f>
        <v>0.19</v>
      </c>
      <c r="I82" s="50">
        <f>VLOOKUP(B82,$P$5:$Q$30,2,0)*SA*(B82-1)*H82</f>
        <v>183312</v>
      </c>
      <c r="J82" s="50">
        <f>G82+I82</f>
        <v>2025152</v>
      </c>
      <c r="K82" s="59"/>
      <c r="L82" s="63"/>
    </row>
    <row r="83" spans="2:12">
      <c r="B83" s="42">
        <f t="shared" ref="B83:B146" si="12">B71+1</f>
        <v>7</v>
      </c>
      <c r="C83" s="43">
        <f>C82+1</f>
        <v>78</v>
      </c>
      <c r="D83" s="44">
        <f>VLOOKUP(B83,$L$5:$N$30,2,0)</f>
        <v>0.5</v>
      </c>
      <c r="E83" s="45">
        <f>(IF(B83=1,Modal_Basic_Prem_Yr1,Modal_Basic_Prem_Yr2)*(Prem_Mode="Monthly")+(Prem_Mode="Annual")*IF(B83=1,Modal_Basic_Prem_Yr1,Modal_Basic_Prem_Yr2)*(MOD(C83-1,12)=0))*(B83&lt;=15)</f>
        <v>47840</v>
      </c>
      <c r="F83" s="45">
        <f>SUM($E$6:E83)</f>
        <v>3731520</v>
      </c>
      <c r="G83" s="46">
        <f>MAX(F83*D83-SA/100*(C83-10*12)*(B83&gt;10),0)</f>
        <v>1865760</v>
      </c>
      <c r="H83" s="44">
        <f>VLOOKUP(B83,$L$5:$N$30,3,0)</f>
        <v>0.19</v>
      </c>
      <c r="I83" s="45">
        <f>VLOOKUP(B83,$P$5:$Q$30,2,0)*SA*(B83-1)*H83</f>
        <v>183312</v>
      </c>
      <c r="J83" s="45">
        <f>G83+I83</f>
        <v>2049072</v>
      </c>
      <c r="K83" s="59"/>
      <c r="L83" s="63"/>
    </row>
    <row r="84" spans="2:12">
      <c r="B84" s="47">
        <f>B72+1</f>
        <v>7</v>
      </c>
      <c r="C84" s="48">
        <f>C83+1</f>
        <v>79</v>
      </c>
      <c r="D84" s="49">
        <f>VLOOKUP(B84,$L$5:$N$30,2,0)</f>
        <v>0.5</v>
      </c>
      <c r="E84" s="50">
        <f>(IF(B84=1,Modal_Basic_Prem_Yr1,Modal_Basic_Prem_Yr2)*(Prem_Mode="Monthly")+(Prem_Mode="Annual")*IF(B84=1,Modal_Basic_Prem_Yr1,Modal_Basic_Prem_Yr2)*(MOD(C84-1,12)=0))*(B84&lt;=15)</f>
        <v>47840</v>
      </c>
      <c r="F84" s="50">
        <f>SUM($E$6:E84)</f>
        <v>3779360</v>
      </c>
      <c r="G84" s="51">
        <f>MAX(F84*D84-SA/100*(C84-10*12)*(B84&gt;10),0)</f>
        <v>1889680</v>
      </c>
      <c r="H84" s="49">
        <f>VLOOKUP(B84,$L$5:$N$30,3,0)</f>
        <v>0.19</v>
      </c>
      <c r="I84" s="50">
        <f>VLOOKUP(B84,$P$5:$Q$30,2,0)*SA*(B84-1)*H84</f>
        <v>183312</v>
      </c>
      <c r="J84" s="50">
        <f>G84+I84</f>
        <v>2072992</v>
      </c>
      <c r="K84" s="59"/>
      <c r="L84" s="63"/>
    </row>
    <row r="85" spans="2:12">
      <c r="B85" s="42">
        <f>B73+1</f>
        <v>7</v>
      </c>
      <c r="C85" s="43">
        <f>C84+1</f>
        <v>80</v>
      </c>
      <c r="D85" s="44">
        <f>VLOOKUP(B85,$L$5:$N$30,2,0)</f>
        <v>0.5</v>
      </c>
      <c r="E85" s="45">
        <f>(IF(B85=1,Modal_Basic_Prem_Yr1,Modal_Basic_Prem_Yr2)*(Prem_Mode="Monthly")+(Prem_Mode="Annual")*IF(B85=1,Modal_Basic_Prem_Yr1,Modal_Basic_Prem_Yr2)*(MOD(C85-1,12)=0))*(B85&lt;=15)</f>
        <v>47840</v>
      </c>
      <c r="F85" s="45">
        <f>SUM($E$6:E85)</f>
        <v>3827200</v>
      </c>
      <c r="G85" s="46">
        <f>MAX(F85*D85-SA/100*(C85-10*12)*(B85&gt;10),0)</f>
        <v>1913600</v>
      </c>
      <c r="H85" s="44">
        <f>VLOOKUP(B85,$L$5:$N$30,3,0)</f>
        <v>0.19</v>
      </c>
      <c r="I85" s="45">
        <f>VLOOKUP(B85,$P$5:$Q$30,2,0)*SA*(B85-1)*H85</f>
        <v>183312</v>
      </c>
      <c r="J85" s="45">
        <f>G85+I85</f>
        <v>2096912</v>
      </c>
      <c r="K85" s="59"/>
      <c r="L85" s="63"/>
    </row>
    <row r="86" spans="2:12">
      <c r="B86" s="47">
        <f>B74+1</f>
        <v>7</v>
      </c>
      <c r="C86" s="48">
        <f>C85+1</f>
        <v>81</v>
      </c>
      <c r="D86" s="49">
        <f>VLOOKUP(B86,$L$5:$N$30,2,0)</f>
        <v>0.5</v>
      </c>
      <c r="E86" s="50">
        <f>(IF(B86=1,Modal_Basic_Prem_Yr1,Modal_Basic_Prem_Yr2)*(Prem_Mode="Monthly")+(Prem_Mode="Annual")*IF(B86=1,Modal_Basic_Prem_Yr1,Modal_Basic_Prem_Yr2)*(MOD(C86-1,12)=0))*(B86&lt;=15)</f>
        <v>47840</v>
      </c>
      <c r="F86" s="50">
        <f>SUM($E$6:E86)</f>
        <v>3875040</v>
      </c>
      <c r="G86" s="51">
        <f>MAX(F86*D86-SA/100*(C86-10*12)*(B86&gt;10),0)</f>
        <v>1937520</v>
      </c>
      <c r="H86" s="49">
        <f>VLOOKUP(B86,$L$5:$N$30,3,0)</f>
        <v>0.19</v>
      </c>
      <c r="I86" s="50">
        <f>VLOOKUP(B86,$P$5:$Q$30,2,0)*SA*(B86-1)*H86</f>
        <v>183312</v>
      </c>
      <c r="J86" s="50">
        <f>G86+I86</f>
        <v>2120832</v>
      </c>
      <c r="K86" s="59"/>
      <c r="L86" s="63"/>
    </row>
    <row r="87" spans="2:12">
      <c r="B87" s="42">
        <f>B75+1</f>
        <v>7</v>
      </c>
      <c r="C87" s="43">
        <f>C86+1</f>
        <v>82</v>
      </c>
      <c r="D87" s="44">
        <f>VLOOKUP(B87,$L$5:$N$30,2,0)</f>
        <v>0.5</v>
      </c>
      <c r="E87" s="45">
        <f>(IF(B87=1,Modal_Basic_Prem_Yr1,Modal_Basic_Prem_Yr2)*(Prem_Mode="Monthly")+(Prem_Mode="Annual")*IF(B87=1,Modal_Basic_Prem_Yr1,Modal_Basic_Prem_Yr2)*(MOD(C87-1,12)=0))*(B87&lt;=15)</f>
        <v>47840</v>
      </c>
      <c r="F87" s="45">
        <f>SUM($E$6:E87)</f>
        <v>3922880</v>
      </c>
      <c r="G87" s="46">
        <f>MAX(F87*D87-SA/100*(C87-10*12)*(B87&gt;10),0)</f>
        <v>1961440</v>
      </c>
      <c r="H87" s="44">
        <f>VLOOKUP(B87,$L$5:$N$30,3,0)</f>
        <v>0.19</v>
      </c>
      <c r="I87" s="45">
        <f>VLOOKUP(B87,$P$5:$Q$30,2,0)*SA*(B87-1)*H87</f>
        <v>183312</v>
      </c>
      <c r="J87" s="45">
        <f>G87+I87</f>
        <v>2144752</v>
      </c>
      <c r="K87" s="59"/>
      <c r="L87" s="63"/>
    </row>
    <row r="88" spans="2:12">
      <c r="B88" s="47">
        <f>B76+1</f>
        <v>7</v>
      </c>
      <c r="C88" s="48">
        <f>C87+1</f>
        <v>83</v>
      </c>
      <c r="D88" s="49">
        <f>VLOOKUP(B88,$L$5:$N$30,2,0)</f>
        <v>0.5</v>
      </c>
      <c r="E88" s="50">
        <f>(IF(B88=1,Modal_Basic_Prem_Yr1,Modal_Basic_Prem_Yr2)*(Prem_Mode="Monthly")+(Prem_Mode="Annual")*IF(B88=1,Modal_Basic_Prem_Yr1,Modal_Basic_Prem_Yr2)*(MOD(C88-1,12)=0))*(B88&lt;=15)</f>
        <v>47840</v>
      </c>
      <c r="F88" s="50">
        <f>SUM($E$6:E88)</f>
        <v>3970720</v>
      </c>
      <c r="G88" s="51">
        <f>MAX(F88*D88-SA/100*(C88-10*12)*(B88&gt;10),0)</f>
        <v>1985360</v>
      </c>
      <c r="H88" s="49">
        <f>VLOOKUP(B88,$L$5:$N$30,3,0)</f>
        <v>0.19</v>
      </c>
      <c r="I88" s="50">
        <f>VLOOKUP(B88,$P$5:$Q$30,2,0)*SA*(B88-1)*H88</f>
        <v>183312</v>
      </c>
      <c r="J88" s="50">
        <f>G88+I88</f>
        <v>2168672</v>
      </c>
      <c r="K88" s="59"/>
      <c r="L88" s="63"/>
    </row>
    <row r="89" spans="2:12">
      <c r="B89" s="42">
        <f>B77+1</f>
        <v>7</v>
      </c>
      <c r="C89" s="43">
        <f>C88+1</f>
        <v>84</v>
      </c>
      <c r="D89" s="44">
        <f>VLOOKUP(B89,$L$5:$N$30,2,0)</f>
        <v>0.5</v>
      </c>
      <c r="E89" s="45">
        <f>(IF(B89=1,Modal_Basic_Prem_Yr1,Modal_Basic_Prem_Yr2)*(Prem_Mode="Monthly")+(Prem_Mode="Annual")*IF(B89=1,Modal_Basic_Prem_Yr1,Modal_Basic_Prem_Yr2)*(MOD(C89-1,12)=0))*(B89&lt;=15)</f>
        <v>47840</v>
      </c>
      <c r="F89" s="45">
        <f>SUM($E$6:E89)</f>
        <v>4018560</v>
      </c>
      <c r="G89" s="46">
        <f>MAX(F89*D89-SA/100*(C89-10*12)*(B89&gt;10),0)</f>
        <v>2009280</v>
      </c>
      <c r="H89" s="44">
        <f>VLOOKUP(B89,$L$5:$N$30,3,0)</f>
        <v>0.19</v>
      </c>
      <c r="I89" s="45">
        <f>VLOOKUP(B89,$P$5:$Q$30,2,0)*SA*(B89-1)*H89</f>
        <v>183312</v>
      </c>
      <c r="J89" s="45">
        <f>G89+I89</f>
        <v>2192592</v>
      </c>
      <c r="K89" s="59"/>
      <c r="L89" s="63"/>
    </row>
    <row r="90" spans="2:12">
      <c r="B90" s="47">
        <f>B78+1</f>
        <v>8</v>
      </c>
      <c r="C90" s="48">
        <f>C89+1</f>
        <v>85</v>
      </c>
      <c r="D90" s="49">
        <f>VLOOKUP(B90,$L$5:$N$30,2,0)</f>
        <v>0.52</v>
      </c>
      <c r="E90" s="50">
        <f>(IF(B90=1,Modal_Basic_Prem_Yr1,Modal_Basic_Prem_Yr2)*(Prem_Mode="Monthly")+(Prem_Mode="Annual")*IF(B90=1,Modal_Basic_Prem_Yr1,Modal_Basic_Prem_Yr2)*(MOD(C90-1,12)=0))*(B90&lt;=15)</f>
        <v>47840</v>
      </c>
      <c r="F90" s="50">
        <f>SUM($E$6:E90)</f>
        <v>4066400</v>
      </c>
      <c r="G90" s="51">
        <f>MAX(F90*D90-SA/100*(C90-10*12)*(B90&gt;10),0)</f>
        <v>2114528</v>
      </c>
      <c r="H90" s="49">
        <f>VLOOKUP(B90,$L$5:$N$30,3,0)</f>
        <v>0.21</v>
      </c>
      <c r="I90" s="50">
        <f>VLOOKUP(B90,$P$5:$Q$30,2,0)*SA*(B90-1)*H90</f>
        <v>236376</v>
      </c>
      <c r="J90" s="50">
        <f>G90+I90</f>
        <v>2350904</v>
      </c>
      <c r="K90" s="59"/>
      <c r="L90" s="63"/>
    </row>
    <row r="91" spans="2:12">
      <c r="B91" s="42">
        <f>B79+1</f>
        <v>8</v>
      </c>
      <c r="C91" s="43">
        <f>C90+1</f>
        <v>86</v>
      </c>
      <c r="D91" s="44">
        <f>VLOOKUP(B91,$L$5:$N$30,2,0)</f>
        <v>0.52</v>
      </c>
      <c r="E91" s="45">
        <f>(IF(B91=1,Modal_Basic_Prem_Yr1,Modal_Basic_Prem_Yr2)*(Prem_Mode="Monthly")+(Prem_Mode="Annual")*IF(B91=1,Modal_Basic_Prem_Yr1,Modal_Basic_Prem_Yr2)*(MOD(C91-1,12)=0))*(B91&lt;=15)</f>
        <v>47840</v>
      </c>
      <c r="F91" s="45">
        <f>SUM($E$6:E91)</f>
        <v>4114240</v>
      </c>
      <c r="G91" s="46">
        <f>MAX(F91*D91-SA/100*(C91-10*12)*(B91&gt;10),0)</f>
        <v>2139404.8</v>
      </c>
      <c r="H91" s="44">
        <f>VLOOKUP(B91,$L$5:$N$30,3,0)</f>
        <v>0.21</v>
      </c>
      <c r="I91" s="45">
        <f>VLOOKUP(B91,$P$5:$Q$30,2,0)*SA*(B91-1)*H91</f>
        <v>236376</v>
      </c>
      <c r="J91" s="45">
        <f>G91+I91</f>
        <v>2375780.8</v>
      </c>
      <c r="K91" s="59"/>
      <c r="L91" s="63"/>
    </row>
    <row r="92" spans="2:12">
      <c r="B92" s="47">
        <f>B80+1</f>
        <v>8</v>
      </c>
      <c r="C92" s="48">
        <f>C91+1</f>
        <v>87</v>
      </c>
      <c r="D92" s="49">
        <f>VLOOKUP(B92,$L$5:$N$30,2,0)</f>
        <v>0.52</v>
      </c>
      <c r="E92" s="50">
        <f>(IF(B92=1,Modal_Basic_Prem_Yr1,Modal_Basic_Prem_Yr2)*(Prem_Mode="Monthly")+(Prem_Mode="Annual")*IF(B92=1,Modal_Basic_Prem_Yr1,Modal_Basic_Prem_Yr2)*(MOD(C92-1,12)=0))*(B92&lt;=15)</f>
        <v>47840</v>
      </c>
      <c r="F92" s="50">
        <f>SUM($E$6:E92)</f>
        <v>4162080</v>
      </c>
      <c r="G92" s="51">
        <f>MAX(F92*D92-SA/100*(C92-10*12)*(B92&gt;10),0)</f>
        <v>2164281.6</v>
      </c>
      <c r="H92" s="49">
        <f>VLOOKUP(B92,$L$5:$N$30,3,0)</f>
        <v>0.21</v>
      </c>
      <c r="I92" s="50">
        <f>VLOOKUP(B92,$P$5:$Q$30,2,0)*SA*(B92-1)*H92</f>
        <v>236376</v>
      </c>
      <c r="J92" s="50">
        <f>G92+I92</f>
        <v>2400657.6</v>
      </c>
      <c r="K92" s="59"/>
      <c r="L92" s="63"/>
    </row>
    <row r="93" spans="2:12">
      <c r="B93" s="42">
        <f>B81+1</f>
        <v>8</v>
      </c>
      <c r="C93" s="43">
        <f>C92+1</f>
        <v>88</v>
      </c>
      <c r="D93" s="44">
        <f>VLOOKUP(B93,$L$5:$N$30,2,0)</f>
        <v>0.52</v>
      </c>
      <c r="E93" s="45">
        <f>(IF(B93=1,Modal_Basic_Prem_Yr1,Modal_Basic_Prem_Yr2)*(Prem_Mode="Monthly")+(Prem_Mode="Annual")*IF(B93=1,Modal_Basic_Prem_Yr1,Modal_Basic_Prem_Yr2)*(MOD(C93-1,12)=0))*(B93&lt;=15)</f>
        <v>47840</v>
      </c>
      <c r="F93" s="45">
        <f>SUM($E$6:E93)</f>
        <v>4209920</v>
      </c>
      <c r="G93" s="46">
        <f>MAX(F93*D93-SA/100*(C93-10*12)*(B93&gt;10),0)</f>
        <v>2189158.4</v>
      </c>
      <c r="H93" s="44">
        <f>VLOOKUP(B93,$L$5:$N$30,3,0)</f>
        <v>0.21</v>
      </c>
      <c r="I93" s="45">
        <f>VLOOKUP(B93,$P$5:$Q$30,2,0)*SA*(B93-1)*H93</f>
        <v>236376</v>
      </c>
      <c r="J93" s="45">
        <f>G93+I93</f>
        <v>2425534.4</v>
      </c>
      <c r="K93" s="59"/>
      <c r="L93" s="63"/>
    </row>
    <row r="94" spans="2:12">
      <c r="B94" s="47">
        <f>B82+1</f>
        <v>8</v>
      </c>
      <c r="C94" s="48">
        <f>C93+1</f>
        <v>89</v>
      </c>
      <c r="D94" s="49">
        <f>VLOOKUP(B94,$L$5:$N$30,2,0)</f>
        <v>0.52</v>
      </c>
      <c r="E94" s="50">
        <f>(IF(B94=1,Modal_Basic_Prem_Yr1,Modal_Basic_Prem_Yr2)*(Prem_Mode="Monthly")+(Prem_Mode="Annual")*IF(B94=1,Modal_Basic_Prem_Yr1,Modal_Basic_Prem_Yr2)*(MOD(C94-1,12)=0))*(B94&lt;=15)</f>
        <v>47840</v>
      </c>
      <c r="F94" s="50">
        <f>SUM($E$6:E94)</f>
        <v>4257760</v>
      </c>
      <c r="G94" s="51">
        <f>MAX(F94*D94-SA/100*(C94-10*12)*(B94&gt;10),0)</f>
        <v>2214035.2</v>
      </c>
      <c r="H94" s="49">
        <f>VLOOKUP(B94,$L$5:$N$30,3,0)</f>
        <v>0.21</v>
      </c>
      <c r="I94" s="50">
        <f>VLOOKUP(B94,$P$5:$Q$30,2,0)*SA*(B94-1)*H94</f>
        <v>236376</v>
      </c>
      <c r="J94" s="50">
        <f>G94+I94</f>
        <v>2450411.2</v>
      </c>
      <c r="K94" s="59"/>
      <c r="L94" s="63"/>
    </row>
    <row r="95" spans="2:12">
      <c r="B95" s="42">
        <f>B83+1</f>
        <v>8</v>
      </c>
      <c r="C95" s="43">
        <f>C94+1</f>
        <v>90</v>
      </c>
      <c r="D95" s="44">
        <f>VLOOKUP(B95,$L$5:$N$30,2,0)</f>
        <v>0.52</v>
      </c>
      <c r="E95" s="45">
        <f>(IF(B95=1,Modal_Basic_Prem_Yr1,Modal_Basic_Prem_Yr2)*(Prem_Mode="Monthly")+(Prem_Mode="Annual")*IF(B95=1,Modal_Basic_Prem_Yr1,Modal_Basic_Prem_Yr2)*(MOD(C95-1,12)=0))*(B95&lt;=15)</f>
        <v>47840</v>
      </c>
      <c r="F95" s="45">
        <f>SUM($E$6:E95)</f>
        <v>4305600</v>
      </c>
      <c r="G95" s="46">
        <f>MAX(F95*D95-SA/100*(C95-10*12)*(B95&gt;10),0)</f>
        <v>2238912</v>
      </c>
      <c r="H95" s="44">
        <f>VLOOKUP(B95,$L$5:$N$30,3,0)</f>
        <v>0.21</v>
      </c>
      <c r="I95" s="45">
        <f>VLOOKUP(B95,$P$5:$Q$30,2,0)*SA*(B95-1)*H95</f>
        <v>236376</v>
      </c>
      <c r="J95" s="45">
        <f>G95+I95</f>
        <v>2475288</v>
      </c>
      <c r="K95" s="59"/>
      <c r="L95" s="63"/>
    </row>
    <row r="96" spans="2:12">
      <c r="B96" s="47">
        <f>B84+1</f>
        <v>8</v>
      </c>
      <c r="C96" s="48">
        <f>C95+1</f>
        <v>91</v>
      </c>
      <c r="D96" s="49">
        <f>VLOOKUP(B96,$L$5:$N$30,2,0)</f>
        <v>0.52</v>
      </c>
      <c r="E96" s="50">
        <f>(IF(B96=1,Modal_Basic_Prem_Yr1,Modal_Basic_Prem_Yr2)*(Prem_Mode="Monthly")+(Prem_Mode="Annual")*IF(B96=1,Modal_Basic_Prem_Yr1,Modal_Basic_Prem_Yr2)*(MOD(C96-1,12)=0))*(B96&lt;=15)</f>
        <v>47840</v>
      </c>
      <c r="F96" s="50">
        <f>SUM($E$6:E96)</f>
        <v>4353440</v>
      </c>
      <c r="G96" s="51">
        <f>MAX(F96*D96-SA/100*(C96-10*12)*(B96&gt;10),0)</f>
        <v>2263788.8</v>
      </c>
      <c r="H96" s="49">
        <f>VLOOKUP(B96,$L$5:$N$30,3,0)</f>
        <v>0.21</v>
      </c>
      <c r="I96" s="50">
        <f>VLOOKUP(B96,$P$5:$Q$30,2,0)*SA*(B96-1)*H96</f>
        <v>236376</v>
      </c>
      <c r="J96" s="50">
        <f>G96+I96</f>
        <v>2500164.8</v>
      </c>
      <c r="K96" s="59"/>
      <c r="L96" s="63"/>
    </row>
    <row r="97" spans="2:12">
      <c r="B97" s="42">
        <f>B85+1</f>
        <v>8</v>
      </c>
      <c r="C97" s="43">
        <f>C96+1</f>
        <v>92</v>
      </c>
      <c r="D97" s="44">
        <f>VLOOKUP(B97,$L$5:$N$30,2,0)</f>
        <v>0.52</v>
      </c>
      <c r="E97" s="45">
        <f>(IF(B97=1,Modal_Basic_Prem_Yr1,Modal_Basic_Prem_Yr2)*(Prem_Mode="Monthly")+(Prem_Mode="Annual")*IF(B97=1,Modal_Basic_Prem_Yr1,Modal_Basic_Prem_Yr2)*(MOD(C97-1,12)=0))*(B97&lt;=15)</f>
        <v>47840</v>
      </c>
      <c r="F97" s="45">
        <f>SUM($E$6:E97)</f>
        <v>4401280</v>
      </c>
      <c r="G97" s="46">
        <f>MAX(F97*D97-SA/100*(C97-10*12)*(B97&gt;10),0)</f>
        <v>2288665.6</v>
      </c>
      <c r="H97" s="44">
        <f>VLOOKUP(B97,$L$5:$N$30,3,0)</f>
        <v>0.21</v>
      </c>
      <c r="I97" s="45">
        <f>VLOOKUP(B97,$P$5:$Q$30,2,0)*SA*(B97-1)*H97</f>
        <v>236376</v>
      </c>
      <c r="J97" s="45">
        <f>G97+I97</f>
        <v>2525041.6</v>
      </c>
      <c r="K97" s="59"/>
      <c r="L97" s="63"/>
    </row>
    <row r="98" spans="2:12">
      <c r="B98" s="47">
        <f>B86+1</f>
        <v>8</v>
      </c>
      <c r="C98" s="48">
        <f>C97+1</f>
        <v>93</v>
      </c>
      <c r="D98" s="49">
        <f>VLOOKUP(B98,$L$5:$N$30,2,0)</f>
        <v>0.52</v>
      </c>
      <c r="E98" s="50">
        <f>(IF(B98=1,Modal_Basic_Prem_Yr1,Modal_Basic_Prem_Yr2)*(Prem_Mode="Monthly")+(Prem_Mode="Annual")*IF(B98=1,Modal_Basic_Prem_Yr1,Modal_Basic_Prem_Yr2)*(MOD(C98-1,12)=0))*(B98&lt;=15)</f>
        <v>47840</v>
      </c>
      <c r="F98" s="50">
        <f>SUM($E$6:E98)</f>
        <v>4449120</v>
      </c>
      <c r="G98" s="51">
        <f>MAX(F98*D98-SA/100*(C98-10*12)*(B98&gt;10),0)</f>
        <v>2313542.4</v>
      </c>
      <c r="H98" s="49">
        <f>VLOOKUP(B98,$L$5:$N$30,3,0)</f>
        <v>0.21</v>
      </c>
      <c r="I98" s="50">
        <f>VLOOKUP(B98,$P$5:$Q$30,2,0)*SA*(B98-1)*H98</f>
        <v>236376</v>
      </c>
      <c r="J98" s="50">
        <f>G98+I98</f>
        <v>2549918.4</v>
      </c>
      <c r="K98" s="59"/>
      <c r="L98" s="63"/>
    </row>
    <row r="99" spans="2:12">
      <c r="B99" s="42">
        <f>B87+1</f>
        <v>8</v>
      </c>
      <c r="C99" s="43">
        <f>C98+1</f>
        <v>94</v>
      </c>
      <c r="D99" s="44">
        <f>VLOOKUP(B99,$L$5:$N$30,2,0)</f>
        <v>0.52</v>
      </c>
      <c r="E99" s="45">
        <f>(IF(B99=1,Modal_Basic_Prem_Yr1,Modal_Basic_Prem_Yr2)*(Prem_Mode="Monthly")+(Prem_Mode="Annual")*IF(B99=1,Modal_Basic_Prem_Yr1,Modal_Basic_Prem_Yr2)*(MOD(C99-1,12)=0))*(B99&lt;=15)</f>
        <v>47840</v>
      </c>
      <c r="F99" s="45">
        <f>SUM($E$6:E99)</f>
        <v>4496960</v>
      </c>
      <c r="G99" s="46">
        <f>MAX(F99*D99-SA/100*(C99-10*12)*(B99&gt;10),0)</f>
        <v>2338419.2</v>
      </c>
      <c r="H99" s="44">
        <f>VLOOKUP(B99,$L$5:$N$30,3,0)</f>
        <v>0.21</v>
      </c>
      <c r="I99" s="45">
        <f>VLOOKUP(B99,$P$5:$Q$30,2,0)*SA*(B99-1)*H99</f>
        <v>236376</v>
      </c>
      <c r="J99" s="45">
        <f>G99+I99</f>
        <v>2574795.2</v>
      </c>
      <c r="K99" s="59"/>
      <c r="L99" s="63"/>
    </row>
    <row r="100" spans="2:12">
      <c r="B100" s="47">
        <f>B88+1</f>
        <v>8</v>
      </c>
      <c r="C100" s="48">
        <f>C99+1</f>
        <v>95</v>
      </c>
      <c r="D100" s="49">
        <f>VLOOKUP(B100,$L$5:$N$30,2,0)</f>
        <v>0.52</v>
      </c>
      <c r="E100" s="50">
        <f>(IF(B100=1,Modal_Basic_Prem_Yr1,Modal_Basic_Prem_Yr2)*(Prem_Mode="Monthly")+(Prem_Mode="Annual")*IF(B100=1,Modal_Basic_Prem_Yr1,Modal_Basic_Prem_Yr2)*(MOD(C100-1,12)=0))*(B100&lt;=15)</f>
        <v>47840</v>
      </c>
      <c r="F100" s="50">
        <f>SUM($E$6:E100)</f>
        <v>4544800</v>
      </c>
      <c r="G100" s="51">
        <f>MAX(F100*D100-SA/100*(C100-10*12)*(B100&gt;10),0)</f>
        <v>2363296</v>
      </c>
      <c r="H100" s="49">
        <f>VLOOKUP(B100,$L$5:$N$30,3,0)</f>
        <v>0.21</v>
      </c>
      <c r="I100" s="50">
        <f>VLOOKUP(B100,$P$5:$Q$30,2,0)*SA*(B100-1)*H100</f>
        <v>236376</v>
      </c>
      <c r="J100" s="50">
        <f>G100+I100</f>
        <v>2599672</v>
      </c>
      <c r="K100" s="59"/>
      <c r="L100" s="63"/>
    </row>
    <row r="101" spans="2:12">
      <c r="B101" s="42">
        <f>B89+1</f>
        <v>8</v>
      </c>
      <c r="C101" s="43">
        <f>C100+1</f>
        <v>96</v>
      </c>
      <c r="D101" s="44">
        <f>VLOOKUP(B101,$L$5:$N$30,2,0)</f>
        <v>0.52</v>
      </c>
      <c r="E101" s="45">
        <f>(IF(B101=1,Modal_Basic_Prem_Yr1,Modal_Basic_Prem_Yr2)*(Prem_Mode="Monthly")+(Prem_Mode="Annual")*IF(B101=1,Modal_Basic_Prem_Yr1,Modal_Basic_Prem_Yr2)*(MOD(C101-1,12)=0))*(B101&lt;=15)</f>
        <v>47840</v>
      </c>
      <c r="F101" s="45">
        <f>SUM($E$6:E101)</f>
        <v>4592640</v>
      </c>
      <c r="G101" s="46">
        <f>MAX(F101*D101-SA/100*(C101-10*12)*(B101&gt;10),0)</f>
        <v>2388172.8</v>
      </c>
      <c r="H101" s="44">
        <f>VLOOKUP(B101,$L$5:$N$30,3,0)</f>
        <v>0.21</v>
      </c>
      <c r="I101" s="45">
        <f>VLOOKUP(B101,$P$5:$Q$30,2,0)*SA*(B101-1)*H101</f>
        <v>236376</v>
      </c>
      <c r="J101" s="45">
        <f>G101+I101</f>
        <v>2624548.8</v>
      </c>
      <c r="K101" s="59"/>
      <c r="L101" s="63"/>
    </row>
    <row r="102" spans="2:12">
      <c r="B102" s="47">
        <f>B90+1</f>
        <v>9</v>
      </c>
      <c r="C102" s="48">
        <f>C101+1</f>
        <v>97</v>
      </c>
      <c r="D102" s="49">
        <f>VLOOKUP(B102,$L$5:$N$30,2,0)</f>
        <v>0.54</v>
      </c>
      <c r="E102" s="50">
        <f>(IF(B102=1,Modal_Basic_Prem_Yr1,Modal_Basic_Prem_Yr2)*(Prem_Mode="Monthly")+(Prem_Mode="Annual")*IF(B102=1,Modal_Basic_Prem_Yr1,Modal_Basic_Prem_Yr2)*(MOD(C102-1,12)=0))*(B102&lt;=15)</f>
        <v>47840</v>
      </c>
      <c r="F102" s="50">
        <f>SUM($E$6:E102)</f>
        <v>4640480</v>
      </c>
      <c r="G102" s="51">
        <f>MAX(F102*D102-SA/100*(C102-10*12)*(B102&gt;10),0)</f>
        <v>2505859.2</v>
      </c>
      <c r="H102" s="49">
        <f>VLOOKUP(B102,$L$5:$N$30,3,0)</f>
        <v>0.23</v>
      </c>
      <c r="I102" s="50">
        <f>VLOOKUP(B102,$P$5:$Q$30,2,0)*SA*(B102-1)*H102</f>
        <v>295872</v>
      </c>
      <c r="J102" s="50">
        <f>G102+I102</f>
        <v>2801731.2</v>
      </c>
      <c r="K102" s="59"/>
      <c r="L102" s="63"/>
    </row>
    <row r="103" spans="2:12">
      <c r="B103" s="42">
        <f>B91+1</f>
        <v>9</v>
      </c>
      <c r="C103" s="43">
        <f>C102+1</f>
        <v>98</v>
      </c>
      <c r="D103" s="44">
        <f>VLOOKUP(B103,$L$5:$N$30,2,0)</f>
        <v>0.54</v>
      </c>
      <c r="E103" s="45">
        <f>(IF(B103=1,Modal_Basic_Prem_Yr1,Modal_Basic_Prem_Yr2)*(Prem_Mode="Monthly")+(Prem_Mode="Annual")*IF(B103=1,Modal_Basic_Prem_Yr1,Modal_Basic_Prem_Yr2)*(MOD(C103-1,12)=0))*(B103&lt;=15)</f>
        <v>47840</v>
      </c>
      <c r="F103" s="45">
        <f>SUM($E$6:E103)</f>
        <v>4688320</v>
      </c>
      <c r="G103" s="46">
        <f>MAX(F103*D103-SA/100*(C103-10*12)*(B103&gt;10),0)</f>
        <v>2531692.8</v>
      </c>
      <c r="H103" s="44">
        <f>VLOOKUP(B103,$L$5:$N$30,3,0)</f>
        <v>0.23</v>
      </c>
      <c r="I103" s="45">
        <f>VLOOKUP(B103,$P$5:$Q$30,2,0)*SA*(B103-1)*H103</f>
        <v>295872</v>
      </c>
      <c r="J103" s="45">
        <f>G103+I103</f>
        <v>2827564.8</v>
      </c>
      <c r="K103" s="59"/>
      <c r="L103" s="63"/>
    </row>
    <row r="104" spans="2:12">
      <c r="B104" s="47">
        <f>B92+1</f>
        <v>9</v>
      </c>
      <c r="C104" s="48">
        <f>C103+1</f>
        <v>99</v>
      </c>
      <c r="D104" s="49">
        <f>VLOOKUP(B104,$L$5:$N$30,2,0)</f>
        <v>0.54</v>
      </c>
      <c r="E104" s="50">
        <f>(IF(B104=1,Modal_Basic_Prem_Yr1,Modal_Basic_Prem_Yr2)*(Prem_Mode="Monthly")+(Prem_Mode="Annual")*IF(B104=1,Modal_Basic_Prem_Yr1,Modal_Basic_Prem_Yr2)*(MOD(C104-1,12)=0))*(B104&lt;=15)</f>
        <v>47840</v>
      </c>
      <c r="F104" s="50">
        <f>SUM($E$6:E104)</f>
        <v>4736160</v>
      </c>
      <c r="G104" s="51">
        <f>MAX(F104*D104-SA/100*(C104-10*12)*(B104&gt;10),0)</f>
        <v>2557526.4</v>
      </c>
      <c r="H104" s="49">
        <f>VLOOKUP(B104,$L$5:$N$30,3,0)</f>
        <v>0.23</v>
      </c>
      <c r="I104" s="50">
        <f>VLOOKUP(B104,$P$5:$Q$30,2,0)*SA*(B104-1)*H104</f>
        <v>295872</v>
      </c>
      <c r="J104" s="50">
        <f>G104+I104</f>
        <v>2853398.4</v>
      </c>
      <c r="K104" s="59"/>
      <c r="L104" s="63"/>
    </row>
    <row r="105" spans="2:12">
      <c r="B105" s="42">
        <f>B93+1</f>
        <v>9</v>
      </c>
      <c r="C105" s="43">
        <f>C104+1</f>
        <v>100</v>
      </c>
      <c r="D105" s="44">
        <f>VLOOKUP(B105,$L$5:$N$30,2,0)</f>
        <v>0.54</v>
      </c>
      <c r="E105" s="45">
        <f>(IF(B105=1,Modal_Basic_Prem_Yr1,Modal_Basic_Prem_Yr2)*(Prem_Mode="Monthly")+(Prem_Mode="Annual")*IF(B105=1,Modal_Basic_Prem_Yr1,Modal_Basic_Prem_Yr2)*(MOD(C105-1,12)=0))*(B105&lt;=15)</f>
        <v>47840</v>
      </c>
      <c r="F105" s="45">
        <f>SUM($E$6:E105)</f>
        <v>4784000</v>
      </c>
      <c r="G105" s="46">
        <f>MAX(F105*D105-SA/100*(C105-10*12)*(B105&gt;10),0)</f>
        <v>2583360</v>
      </c>
      <c r="H105" s="44">
        <f>VLOOKUP(B105,$L$5:$N$30,3,0)</f>
        <v>0.23</v>
      </c>
      <c r="I105" s="45">
        <f>VLOOKUP(B105,$P$5:$Q$30,2,0)*SA*(B105-1)*H105</f>
        <v>295872</v>
      </c>
      <c r="J105" s="45">
        <f>G105+I105</f>
        <v>2879232</v>
      </c>
      <c r="K105" s="59"/>
      <c r="L105" s="63"/>
    </row>
    <row r="106" spans="2:12">
      <c r="B106" s="47">
        <f>B94+1</f>
        <v>9</v>
      </c>
      <c r="C106" s="48">
        <f>C105+1</f>
        <v>101</v>
      </c>
      <c r="D106" s="49">
        <f>VLOOKUP(B106,$L$5:$N$30,2,0)</f>
        <v>0.54</v>
      </c>
      <c r="E106" s="50">
        <f>(IF(B106=1,Modal_Basic_Prem_Yr1,Modal_Basic_Prem_Yr2)*(Prem_Mode="Monthly")+(Prem_Mode="Annual")*IF(B106=1,Modal_Basic_Prem_Yr1,Modal_Basic_Prem_Yr2)*(MOD(C106-1,12)=0))*(B106&lt;=15)</f>
        <v>47840</v>
      </c>
      <c r="F106" s="50">
        <f>SUM($E$6:E106)</f>
        <v>4831840</v>
      </c>
      <c r="G106" s="51">
        <f>MAX(F106*D106-SA/100*(C106-10*12)*(B106&gt;10),0)</f>
        <v>2609193.6</v>
      </c>
      <c r="H106" s="49">
        <f>VLOOKUP(B106,$L$5:$N$30,3,0)</f>
        <v>0.23</v>
      </c>
      <c r="I106" s="50">
        <f>VLOOKUP(B106,$P$5:$Q$30,2,0)*SA*(B106-1)*H106</f>
        <v>295872</v>
      </c>
      <c r="J106" s="50">
        <f>G106+I106</f>
        <v>2905065.6</v>
      </c>
      <c r="K106" s="59"/>
      <c r="L106" s="63"/>
    </row>
    <row r="107" spans="2:12">
      <c r="B107" s="42">
        <f>B95+1</f>
        <v>9</v>
      </c>
      <c r="C107" s="43">
        <f>C106+1</f>
        <v>102</v>
      </c>
      <c r="D107" s="44">
        <f>VLOOKUP(B107,$L$5:$N$30,2,0)</f>
        <v>0.54</v>
      </c>
      <c r="E107" s="45">
        <f>(IF(B107=1,Modal_Basic_Prem_Yr1,Modal_Basic_Prem_Yr2)*(Prem_Mode="Monthly")+(Prem_Mode="Annual")*IF(B107=1,Modal_Basic_Prem_Yr1,Modal_Basic_Prem_Yr2)*(MOD(C107-1,12)=0))*(B107&lt;=15)</f>
        <v>47840</v>
      </c>
      <c r="F107" s="45">
        <f>SUM($E$6:E107)</f>
        <v>4879680</v>
      </c>
      <c r="G107" s="46">
        <f>MAX(F107*D107-SA/100*(C107-10*12)*(B107&gt;10),0)</f>
        <v>2635027.2</v>
      </c>
      <c r="H107" s="44">
        <f>VLOOKUP(B107,$L$5:$N$30,3,0)</f>
        <v>0.23</v>
      </c>
      <c r="I107" s="45">
        <f>VLOOKUP(B107,$P$5:$Q$30,2,0)*SA*(B107-1)*H107</f>
        <v>295872</v>
      </c>
      <c r="J107" s="45">
        <f>G107+I107</f>
        <v>2930899.2</v>
      </c>
      <c r="K107" s="59"/>
      <c r="L107" s="63"/>
    </row>
    <row r="108" spans="2:12">
      <c r="B108" s="47">
        <f>B96+1</f>
        <v>9</v>
      </c>
      <c r="C108" s="48">
        <f>C107+1</f>
        <v>103</v>
      </c>
      <c r="D108" s="49">
        <f>VLOOKUP(B108,$L$5:$N$30,2,0)</f>
        <v>0.54</v>
      </c>
      <c r="E108" s="50">
        <f>(IF(B108=1,Modal_Basic_Prem_Yr1,Modal_Basic_Prem_Yr2)*(Prem_Mode="Monthly")+(Prem_Mode="Annual")*IF(B108=1,Modal_Basic_Prem_Yr1,Modal_Basic_Prem_Yr2)*(MOD(C108-1,12)=0))*(B108&lt;=15)</f>
        <v>47840</v>
      </c>
      <c r="F108" s="50">
        <f>SUM($E$6:E108)</f>
        <v>4927520</v>
      </c>
      <c r="G108" s="51">
        <f>MAX(F108*D108-SA/100*(C108-10*12)*(B108&gt;10),0)</f>
        <v>2660860.8</v>
      </c>
      <c r="H108" s="49">
        <f>VLOOKUP(B108,$L$5:$N$30,3,0)</f>
        <v>0.23</v>
      </c>
      <c r="I108" s="50">
        <f>VLOOKUP(B108,$P$5:$Q$30,2,0)*SA*(B108-1)*H108</f>
        <v>295872</v>
      </c>
      <c r="J108" s="50">
        <f>G108+I108</f>
        <v>2956732.8</v>
      </c>
      <c r="K108" s="59"/>
      <c r="L108" s="63"/>
    </row>
    <row r="109" spans="2:12">
      <c r="B109" s="42">
        <f>B97+1</f>
        <v>9</v>
      </c>
      <c r="C109" s="43">
        <f>C108+1</f>
        <v>104</v>
      </c>
      <c r="D109" s="44">
        <f>VLOOKUP(B109,$L$5:$N$30,2,0)</f>
        <v>0.54</v>
      </c>
      <c r="E109" s="45">
        <f>(IF(B109=1,Modal_Basic_Prem_Yr1,Modal_Basic_Prem_Yr2)*(Prem_Mode="Monthly")+(Prem_Mode="Annual")*IF(B109=1,Modal_Basic_Prem_Yr1,Modal_Basic_Prem_Yr2)*(MOD(C109-1,12)=0))*(B109&lt;=15)</f>
        <v>47840</v>
      </c>
      <c r="F109" s="45">
        <f>SUM($E$6:E109)</f>
        <v>4975360</v>
      </c>
      <c r="G109" s="46">
        <f>MAX(F109*D109-SA/100*(C109-10*12)*(B109&gt;10),0)</f>
        <v>2686694.4</v>
      </c>
      <c r="H109" s="44">
        <f>VLOOKUP(B109,$L$5:$N$30,3,0)</f>
        <v>0.23</v>
      </c>
      <c r="I109" s="45">
        <f>VLOOKUP(B109,$P$5:$Q$30,2,0)*SA*(B109-1)*H109</f>
        <v>295872</v>
      </c>
      <c r="J109" s="45">
        <f>G109+I109</f>
        <v>2982566.4</v>
      </c>
      <c r="K109" s="59"/>
      <c r="L109" s="63"/>
    </row>
    <row r="110" spans="2:12">
      <c r="B110" s="47">
        <f>B98+1</f>
        <v>9</v>
      </c>
      <c r="C110" s="48">
        <f>C109+1</f>
        <v>105</v>
      </c>
      <c r="D110" s="49">
        <f>VLOOKUP(B110,$L$5:$N$30,2,0)</f>
        <v>0.54</v>
      </c>
      <c r="E110" s="50">
        <f>(IF(B110=1,Modal_Basic_Prem_Yr1,Modal_Basic_Prem_Yr2)*(Prem_Mode="Monthly")+(Prem_Mode="Annual")*IF(B110=1,Modal_Basic_Prem_Yr1,Modal_Basic_Prem_Yr2)*(MOD(C110-1,12)=0))*(B110&lt;=15)</f>
        <v>47840</v>
      </c>
      <c r="F110" s="50">
        <f>SUM($E$6:E110)</f>
        <v>5023200</v>
      </c>
      <c r="G110" s="51">
        <f>MAX(F110*D110-SA/100*(C110-10*12)*(B110&gt;10),0)</f>
        <v>2712528</v>
      </c>
      <c r="H110" s="49">
        <f>VLOOKUP(B110,$L$5:$N$30,3,0)</f>
        <v>0.23</v>
      </c>
      <c r="I110" s="50">
        <f>VLOOKUP(B110,$P$5:$Q$30,2,0)*SA*(B110-1)*H110</f>
        <v>295872</v>
      </c>
      <c r="J110" s="50">
        <f>G110+I110</f>
        <v>3008400</v>
      </c>
      <c r="K110" s="59"/>
      <c r="L110" s="63"/>
    </row>
    <row r="111" spans="2:12">
      <c r="B111" s="42">
        <f>B99+1</f>
        <v>9</v>
      </c>
      <c r="C111" s="43">
        <f>C110+1</f>
        <v>106</v>
      </c>
      <c r="D111" s="44">
        <f>VLOOKUP(B111,$L$5:$N$30,2,0)</f>
        <v>0.54</v>
      </c>
      <c r="E111" s="45">
        <f>(IF(B111=1,Modal_Basic_Prem_Yr1,Modal_Basic_Prem_Yr2)*(Prem_Mode="Monthly")+(Prem_Mode="Annual")*IF(B111=1,Modal_Basic_Prem_Yr1,Modal_Basic_Prem_Yr2)*(MOD(C111-1,12)=0))*(B111&lt;=15)</f>
        <v>47840</v>
      </c>
      <c r="F111" s="45">
        <f>SUM($E$6:E111)</f>
        <v>5071040</v>
      </c>
      <c r="G111" s="46">
        <f>MAX(F111*D111-SA/100*(C111-10*12)*(B111&gt;10),0)</f>
        <v>2738361.6</v>
      </c>
      <c r="H111" s="44">
        <f>VLOOKUP(B111,$L$5:$N$30,3,0)</f>
        <v>0.23</v>
      </c>
      <c r="I111" s="45">
        <f>VLOOKUP(B111,$P$5:$Q$30,2,0)*SA*(B111-1)*H111</f>
        <v>295872</v>
      </c>
      <c r="J111" s="45">
        <f>G111+I111</f>
        <v>3034233.6</v>
      </c>
      <c r="K111" s="59"/>
      <c r="L111" s="63"/>
    </row>
    <row r="112" spans="2:12">
      <c r="B112" s="47">
        <f>B100+1</f>
        <v>9</v>
      </c>
      <c r="C112" s="48">
        <f>C111+1</f>
        <v>107</v>
      </c>
      <c r="D112" s="49">
        <f>VLOOKUP(B112,$L$5:$N$30,2,0)</f>
        <v>0.54</v>
      </c>
      <c r="E112" s="50">
        <f>(IF(B112=1,Modal_Basic_Prem_Yr1,Modal_Basic_Prem_Yr2)*(Prem_Mode="Monthly")+(Prem_Mode="Annual")*IF(B112=1,Modal_Basic_Prem_Yr1,Modal_Basic_Prem_Yr2)*(MOD(C112-1,12)=0))*(B112&lt;=15)</f>
        <v>47840</v>
      </c>
      <c r="F112" s="50">
        <f>SUM($E$6:E112)</f>
        <v>5118880</v>
      </c>
      <c r="G112" s="51">
        <f>MAX(F112*D112-SA/100*(C112-10*12)*(B112&gt;10),0)</f>
        <v>2764195.2</v>
      </c>
      <c r="H112" s="49">
        <f>VLOOKUP(B112,$L$5:$N$30,3,0)</f>
        <v>0.23</v>
      </c>
      <c r="I112" s="50">
        <f>VLOOKUP(B112,$P$5:$Q$30,2,0)*SA*(B112-1)*H112</f>
        <v>295872</v>
      </c>
      <c r="J112" s="50">
        <f>G112+I112</f>
        <v>3060067.2</v>
      </c>
      <c r="K112" s="59"/>
      <c r="L112" s="63"/>
    </row>
    <row r="113" spans="2:12">
      <c r="B113" s="42">
        <f>B101+1</f>
        <v>9</v>
      </c>
      <c r="C113" s="43">
        <f>C112+1</f>
        <v>108</v>
      </c>
      <c r="D113" s="44">
        <f>VLOOKUP(B113,$L$5:$N$30,2,0)</f>
        <v>0.54</v>
      </c>
      <c r="E113" s="45">
        <f>(IF(B113=1,Modal_Basic_Prem_Yr1,Modal_Basic_Prem_Yr2)*(Prem_Mode="Monthly")+(Prem_Mode="Annual")*IF(B113=1,Modal_Basic_Prem_Yr1,Modal_Basic_Prem_Yr2)*(MOD(C113-1,12)=0))*(B113&lt;=15)</f>
        <v>47840</v>
      </c>
      <c r="F113" s="45">
        <f>SUM($E$6:E113)</f>
        <v>5166720</v>
      </c>
      <c r="G113" s="46">
        <f>MAX(F113*D113-SA/100*(C113-10*12)*(B113&gt;10),0)</f>
        <v>2790028.8</v>
      </c>
      <c r="H113" s="44">
        <f>VLOOKUP(B113,$L$5:$N$30,3,0)</f>
        <v>0.23</v>
      </c>
      <c r="I113" s="45">
        <f>VLOOKUP(B113,$P$5:$Q$30,2,0)*SA*(B113-1)*H113</f>
        <v>295872</v>
      </c>
      <c r="J113" s="45">
        <f>G113+I113</f>
        <v>3085900.8</v>
      </c>
      <c r="K113" s="59"/>
      <c r="L113" s="63"/>
    </row>
    <row r="114" spans="2:12">
      <c r="B114" s="47">
        <f>B102+1</f>
        <v>10</v>
      </c>
      <c r="C114" s="48">
        <f>C113+1</f>
        <v>109</v>
      </c>
      <c r="D114" s="49">
        <f>VLOOKUP(B114,$L$5:$N$30,2,0)</f>
        <v>0.56</v>
      </c>
      <c r="E114" s="50">
        <f>(IF(B114=1,Modal_Basic_Prem_Yr1,Modal_Basic_Prem_Yr2)*(Prem_Mode="Monthly")+(Prem_Mode="Annual")*IF(B114=1,Modal_Basic_Prem_Yr1,Modal_Basic_Prem_Yr2)*(MOD(C114-1,12)=0))*(B114&lt;=15)</f>
        <v>47840</v>
      </c>
      <c r="F114" s="50">
        <f>SUM($E$6:E114)</f>
        <v>5214560</v>
      </c>
      <c r="G114" s="51">
        <f>MAX(F114*D114-SA/100*(C114-10*12)*(B114&gt;10),0)</f>
        <v>2920153.6</v>
      </c>
      <c r="H114" s="49">
        <f>VLOOKUP(B114,$L$5:$N$30,3,0)</f>
        <v>0.25</v>
      </c>
      <c r="I114" s="50">
        <f>VLOOKUP(B114,$P$5:$Q$30,2,0)*SA*(B114-1)*H114</f>
        <v>361800</v>
      </c>
      <c r="J114" s="50">
        <f>G114+I114</f>
        <v>3281953.6</v>
      </c>
      <c r="K114" s="59"/>
      <c r="L114" s="63"/>
    </row>
    <row r="115" spans="2:12">
      <c r="B115" s="42">
        <f>B103+1</f>
        <v>10</v>
      </c>
      <c r="C115" s="43">
        <f>C114+1</f>
        <v>110</v>
      </c>
      <c r="D115" s="44">
        <f>VLOOKUP(B115,$L$5:$N$30,2,0)</f>
        <v>0.56</v>
      </c>
      <c r="E115" s="45">
        <f>(IF(B115=1,Modal_Basic_Prem_Yr1,Modal_Basic_Prem_Yr2)*(Prem_Mode="Monthly")+(Prem_Mode="Annual")*IF(B115=1,Modal_Basic_Prem_Yr1,Modal_Basic_Prem_Yr2)*(MOD(C115-1,12)=0))*(B115&lt;=15)</f>
        <v>47840</v>
      </c>
      <c r="F115" s="45">
        <f>SUM($E$6:E115)</f>
        <v>5262400</v>
      </c>
      <c r="G115" s="46">
        <f>MAX(F115*D115-SA/100*(C115-10*12)*(B115&gt;10),0)</f>
        <v>2946944</v>
      </c>
      <c r="H115" s="44">
        <f>VLOOKUP(B115,$L$5:$N$30,3,0)</f>
        <v>0.25</v>
      </c>
      <c r="I115" s="45">
        <f>VLOOKUP(B115,$P$5:$Q$30,2,0)*SA*(B115-1)*H115</f>
        <v>361800</v>
      </c>
      <c r="J115" s="45">
        <f>G115+I115</f>
        <v>3308744</v>
      </c>
      <c r="K115" s="59"/>
      <c r="L115" s="63"/>
    </row>
    <row r="116" spans="2:12">
      <c r="B116" s="47">
        <f>B104+1</f>
        <v>10</v>
      </c>
      <c r="C116" s="48">
        <f>C115+1</f>
        <v>111</v>
      </c>
      <c r="D116" s="49">
        <f>VLOOKUP(B116,$L$5:$N$30,2,0)</f>
        <v>0.56</v>
      </c>
      <c r="E116" s="50">
        <f>(IF(B116=1,Modal_Basic_Prem_Yr1,Modal_Basic_Prem_Yr2)*(Prem_Mode="Monthly")+(Prem_Mode="Annual")*IF(B116=1,Modal_Basic_Prem_Yr1,Modal_Basic_Prem_Yr2)*(MOD(C116-1,12)=0))*(B116&lt;=15)</f>
        <v>47840</v>
      </c>
      <c r="F116" s="50">
        <f>SUM($E$6:E116)</f>
        <v>5310240</v>
      </c>
      <c r="G116" s="51">
        <f>MAX(F116*D116-SA/100*(C116-10*12)*(B116&gt;10),0)</f>
        <v>2973734.4</v>
      </c>
      <c r="H116" s="49">
        <f>VLOOKUP(B116,$L$5:$N$30,3,0)</f>
        <v>0.25</v>
      </c>
      <c r="I116" s="50">
        <f>VLOOKUP(B116,$P$5:$Q$30,2,0)*SA*(B116-1)*H116</f>
        <v>361800</v>
      </c>
      <c r="J116" s="50">
        <f>G116+I116</f>
        <v>3335534.4</v>
      </c>
      <c r="K116" s="59"/>
      <c r="L116" s="63"/>
    </row>
    <row r="117" spans="2:12">
      <c r="B117" s="42">
        <f>B105+1</f>
        <v>10</v>
      </c>
      <c r="C117" s="43">
        <f>C116+1</f>
        <v>112</v>
      </c>
      <c r="D117" s="44">
        <f>VLOOKUP(B117,$L$5:$N$30,2,0)</f>
        <v>0.56</v>
      </c>
      <c r="E117" s="45">
        <f>(IF(B117=1,Modal_Basic_Prem_Yr1,Modal_Basic_Prem_Yr2)*(Prem_Mode="Monthly")+(Prem_Mode="Annual")*IF(B117=1,Modal_Basic_Prem_Yr1,Modal_Basic_Prem_Yr2)*(MOD(C117-1,12)=0))*(B117&lt;=15)</f>
        <v>47840</v>
      </c>
      <c r="F117" s="45">
        <f>SUM($E$6:E117)</f>
        <v>5358080</v>
      </c>
      <c r="G117" s="46">
        <f>MAX(F117*D117-SA/100*(C117-10*12)*(B117&gt;10),0)</f>
        <v>3000524.8</v>
      </c>
      <c r="H117" s="44">
        <f>VLOOKUP(B117,$L$5:$N$30,3,0)</f>
        <v>0.25</v>
      </c>
      <c r="I117" s="45">
        <f>VLOOKUP(B117,$P$5:$Q$30,2,0)*SA*(B117-1)*H117</f>
        <v>361800</v>
      </c>
      <c r="J117" s="45">
        <f>G117+I117</f>
        <v>3362324.8</v>
      </c>
      <c r="K117" s="59"/>
      <c r="L117" s="63"/>
    </row>
    <row r="118" spans="2:12">
      <c r="B118" s="47">
        <f>B106+1</f>
        <v>10</v>
      </c>
      <c r="C118" s="48">
        <f>C117+1</f>
        <v>113</v>
      </c>
      <c r="D118" s="49">
        <f>VLOOKUP(B118,$L$5:$N$30,2,0)</f>
        <v>0.56</v>
      </c>
      <c r="E118" s="50">
        <f>(IF(B118=1,Modal_Basic_Prem_Yr1,Modal_Basic_Prem_Yr2)*(Prem_Mode="Monthly")+(Prem_Mode="Annual")*IF(B118=1,Modal_Basic_Prem_Yr1,Modal_Basic_Prem_Yr2)*(MOD(C118-1,12)=0))*(B118&lt;=15)</f>
        <v>47840</v>
      </c>
      <c r="F118" s="50">
        <f>SUM($E$6:E118)</f>
        <v>5405920</v>
      </c>
      <c r="G118" s="51">
        <f>MAX(F118*D118-SA/100*(C118-10*12)*(B118&gt;10),0)</f>
        <v>3027315.2</v>
      </c>
      <c r="H118" s="49">
        <f>VLOOKUP(B118,$L$5:$N$30,3,0)</f>
        <v>0.25</v>
      </c>
      <c r="I118" s="50">
        <f>VLOOKUP(B118,$P$5:$Q$30,2,0)*SA*(B118-1)*H118</f>
        <v>361800</v>
      </c>
      <c r="J118" s="50">
        <f>G118+I118</f>
        <v>3389115.2</v>
      </c>
      <c r="K118" s="59"/>
      <c r="L118" s="63"/>
    </row>
    <row r="119" spans="2:12">
      <c r="B119" s="42">
        <f>B107+1</f>
        <v>10</v>
      </c>
      <c r="C119" s="43">
        <f>C118+1</f>
        <v>114</v>
      </c>
      <c r="D119" s="44">
        <f>VLOOKUP(B119,$L$5:$N$30,2,0)</f>
        <v>0.56</v>
      </c>
      <c r="E119" s="45">
        <f>(IF(B119=1,Modal_Basic_Prem_Yr1,Modal_Basic_Prem_Yr2)*(Prem_Mode="Monthly")+(Prem_Mode="Annual")*IF(B119=1,Modal_Basic_Prem_Yr1,Modal_Basic_Prem_Yr2)*(MOD(C119-1,12)=0))*(B119&lt;=15)</f>
        <v>47840</v>
      </c>
      <c r="F119" s="45">
        <f>SUM($E$6:E119)</f>
        <v>5453760</v>
      </c>
      <c r="G119" s="46">
        <f>MAX(F119*D119-SA/100*(C119-10*12)*(B119&gt;10),0)</f>
        <v>3054105.6</v>
      </c>
      <c r="H119" s="44">
        <f>VLOOKUP(B119,$L$5:$N$30,3,0)</f>
        <v>0.25</v>
      </c>
      <c r="I119" s="45">
        <f>VLOOKUP(B119,$P$5:$Q$30,2,0)*SA*(B119-1)*H119</f>
        <v>361800</v>
      </c>
      <c r="J119" s="45">
        <f>G119+I119</f>
        <v>3415905.6</v>
      </c>
      <c r="K119" s="59"/>
      <c r="L119" s="63"/>
    </row>
    <row r="120" spans="2:12">
      <c r="B120" s="47">
        <f>B108+1</f>
        <v>10</v>
      </c>
      <c r="C120" s="48">
        <f>C119+1</f>
        <v>115</v>
      </c>
      <c r="D120" s="49">
        <f>VLOOKUP(B120,$L$5:$N$30,2,0)</f>
        <v>0.56</v>
      </c>
      <c r="E120" s="50">
        <f>(IF(B120=1,Modal_Basic_Prem_Yr1,Modal_Basic_Prem_Yr2)*(Prem_Mode="Monthly")+(Prem_Mode="Annual")*IF(B120=1,Modal_Basic_Prem_Yr1,Modal_Basic_Prem_Yr2)*(MOD(C120-1,12)=0))*(B120&lt;=15)</f>
        <v>47840</v>
      </c>
      <c r="F120" s="50">
        <f>SUM($E$6:E120)</f>
        <v>5501600</v>
      </c>
      <c r="G120" s="51">
        <f>MAX(F120*D120-SA/100*(C120-10*12)*(B120&gt;10),0)</f>
        <v>3080896</v>
      </c>
      <c r="H120" s="49">
        <f>VLOOKUP(B120,$L$5:$N$30,3,0)</f>
        <v>0.25</v>
      </c>
      <c r="I120" s="50">
        <f>VLOOKUP(B120,$P$5:$Q$30,2,0)*SA*(B120-1)*H120</f>
        <v>361800</v>
      </c>
      <c r="J120" s="50">
        <f>G120+I120</f>
        <v>3442696</v>
      </c>
      <c r="K120" s="59"/>
      <c r="L120" s="63"/>
    </row>
    <row r="121" spans="2:12">
      <c r="B121" s="42">
        <f>B109+1</f>
        <v>10</v>
      </c>
      <c r="C121" s="43">
        <f>C120+1</f>
        <v>116</v>
      </c>
      <c r="D121" s="44">
        <f>VLOOKUP(B121,$L$5:$N$30,2,0)</f>
        <v>0.56</v>
      </c>
      <c r="E121" s="45">
        <f>(IF(B121=1,Modal_Basic_Prem_Yr1,Modal_Basic_Prem_Yr2)*(Prem_Mode="Monthly")+(Prem_Mode="Annual")*IF(B121=1,Modal_Basic_Prem_Yr1,Modal_Basic_Prem_Yr2)*(MOD(C121-1,12)=0))*(B121&lt;=15)</f>
        <v>47840</v>
      </c>
      <c r="F121" s="45">
        <f>SUM($E$6:E121)</f>
        <v>5549440</v>
      </c>
      <c r="G121" s="46">
        <f>MAX(F121*D121-SA/100*(C121-10*12)*(B121&gt;10),0)</f>
        <v>3107686.4</v>
      </c>
      <c r="H121" s="44">
        <f>VLOOKUP(B121,$L$5:$N$30,3,0)</f>
        <v>0.25</v>
      </c>
      <c r="I121" s="45">
        <f>VLOOKUP(B121,$P$5:$Q$30,2,0)*SA*(B121-1)*H121</f>
        <v>361800</v>
      </c>
      <c r="J121" s="45">
        <f>G121+I121</f>
        <v>3469486.4</v>
      </c>
      <c r="K121" s="59"/>
      <c r="L121" s="63"/>
    </row>
    <row r="122" spans="2:12">
      <c r="B122" s="47">
        <f>B110+1</f>
        <v>10</v>
      </c>
      <c r="C122" s="48">
        <f>C121+1</f>
        <v>117</v>
      </c>
      <c r="D122" s="49">
        <f>VLOOKUP(B122,$L$5:$N$30,2,0)</f>
        <v>0.56</v>
      </c>
      <c r="E122" s="50">
        <f>(IF(B122=1,Modal_Basic_Prem_Yr1,Modal_Basic_Prem_Yr2)*(Prem_Mode="Monthly")+(Prem_Mode="Annual")*IF(B122=1,Modal_Basic_Prem_Yr1,Modal_Basic_Prem_Yr2)*(MOD(C122-1,12)=0))*(B122&lt;=15)</f>
        <v>47840</v>
      </c>
      <c r="F122" s="50">
        <f>SUM($E$6:E122)</f>
        <v>5597280</v>
      </c>
      <c r="G122" s="51">
        <f>MAX(F122*D122-SA/100*(C122-10*12)*(B122&gt;10),0)</f>
        <v>3134476.8</v>
      </c>
      <c r="H122" s="49">
        <f>VLOOKUP(B122,$L$5:$N$30,3,0)</f>
        <v>0.25</v>
      </c>
      <c r="I122" s="50">
        <f>VLOOKUP(B122,$P$5:$Q$30,2,0)*SA*(B122-1)*H122</f>
        <v>361800</v>
      </c>
      <c r="J122" s="50">
        <f>G122+I122</f>
        <v>3496276.8</v>
      </c>
      <c r="K122" s="59"/>
      <c r="L122" s="63"/>
    </row>
    <row r="123" spans="2:12">
      <c r="B123" s="42">
        <f>B111+1</f>
        <v>10</v>
      </c>
      <c r="C123" s="43">
        <f>C122+1</f>
        <v>118</v>
      </c>
      <c r="D123" s="44">
        <f>VLOOKUP(B123,$L$5:$N$30,2,0)</f>
        <v>0.56</v>
      </c>
      <c r="E123" s="45">
        <f>(IF(B123=1,Modal_Basic_Prem_Yr1,Modal_Basic_Prem_Yr2)*(Prem_Mode="Monthly")+(Prem_Mode="Annual")*IF(B123=1,Modal_Basic_Prem_Yr1,Modal_Basic_Prem_Yr2)*(MOD(C123-1,12)=0))*(B123&lt;=15)</f>
        <v>47840</v>
      </c>
      <c r="F123" s="45">
        <f>SUM($E$6:E123)</f>
        <v>5645120</v>
      </c>
      <c r="G123" s="46">
        <f>MAX(F123*D123-SA/100*(C123-10*12)*(B123&gt;10),0)</f>
        <v>3161267.2</v>
      </c>
      <c r="H123" s="44">
        <f>VLOOKUP(B123,$L$5:$N$30,3,0)</f>
        <v>0.25</v>
      </c>
      <c r="I123" s="45">
        <f>VLOOKUP(B123,$P$5:$Q$30,2,0)*SA*(B123-1)*H123</f>
        <v>361800</v>
      </c>
      <c r="J123" s="45">
        <f>G123+I123</f>
        <v>3523067.2</v>
      </c>
      <c r="K123" s="59"/>
      <c r="L123" s="63"/>
    </row>
    <row r="124" spans="2:12">
      <c r="B124" s="47">
        <f>B112+1</f>
        <v>10</v>
      </c>
      <c r="C124" s="48">
        <f>C123+1</f>
        <v>119</v>
      </c>
      <c r="D124" s="49">
        <f>VLOOKUP(B124,$L$5:$N$30,2,0)</f>
        <v>0.56</v>
      </c>
      <c r="E124" s="50">
        <f>(IF(B124=1,Modal_Basic_Prem_Yr1,Modal_Basic_Prem_Yr2)*(Prem_Mode="Monthly")+(Prem_Mode="Annual")*IF(B124=1,Modal_Basic_Prem_Yr1,Modal_Basic_Prem_Yr2)*(MOD(C124-1,12)=0))*(B124&lt;=15)</f>
        <v>47840</v>
      </c>
      <c r="F124" s="50">
        <f>SUM($E$6:E124)</f>
        <v>5692960</v>
      </c>
      <c r="G124" s="51">
        <f>MAX(F124*D124-SA/100*(C124-10*12)*(B124&gt;10),0)</f>
        <v>3188057.6</v>
      </c>
      <c r="H124" s="49">
        <f>VLOOKUP(B124,$L$5:$N$30,3,0)</f>
        <v>0.25</v>
      </c>
      <c r="I124" s="50">
        <f>VLOOKUP(B124,$P$5:$Q$30,2,0)*SA*(B124-1)*H124</f>
        <v>361800</v>
      </c>
      <c r="J124" s="50">
        <f>G124+I124</f>
        <v>3549857.6</v>
      </c>
      <c r="K124" s="59"/>
      <c r="L124" s="63"/>
    </row>
    <row r="125" spans="2:12">
      <c r="B125" s="42">
        <f>B113+1</f>
        <v>10</v>
      </c>
      <c r="C125" s="43">
        <f>C124+1</f>
        <v>120</v>
      </c>
      <c r="D125" s="44">
        <f>VLOOKUP(B125,$L$5:$N$30,2,0)</f>
        <v>0.56</v>
      </c>
      <c r="E125" s="45">
        <f>(IF(B125=1,Modal_Basic_Prem_Yr1,Modal_Basic_Prem_Yr2)*(Prem_Mode="Monthly")+(Prem_Mode="Annual")*IF(B125=1,Modal_Basic_Prem_Yr1,Modal_Basic_Prem_Yr2)*(MOD(C125-1,12)=0))*(B125&lt;=15)</f>
        <v>47840</v>
      </c>
      <c r="F125" s="45">
        <f>SUM($E$6:E125)</f>
        <v>5740800</v>
      </c>
      <c r="G125" s="46">
        <f>MAX(F125*D125-SA/100*(C125-10*12)*(B125&gt;10),0)</f>
        <v>3214848</v>
      </c>
      <c r="H125" s="44">
        <f>VLOOKUP(B125,$L$5:$N$30,3,0)</f>
        <v>0.25</v>
      </c>
      <c r="I125" s="45">
        <f>VLOOKUP(B125,$P$5:$Q$30,2,0)*SA*(B125-1)*H125</f>
        <v>361800</v>
      </c>
      <c r="J125" s="45">
        <f>G125+I125</f>
        <v>3576648</v>
      </c>
      <c r="K125" s="59"/>
      <c r="L125" s="63"/>
    </row>
    <row r="126" spans="2:12">
      <c r="B126" s="47">
        <f>B114+1</f>
        <v>11</v>
      </c>
      <c r="C126" s="48">
        <f>C125+1</f>
        <v>121</v>
      </c>
      <c r="D126" s="49">
        <f>VLOOKUP(B126,$L$5:$N$30,2,0)</f>
        <v>0.58</v>
      </c>
      <c r="E126" s="50">
        <f>(IF(B126=1,Modal_Basic_Prem_Yr1,Modal_Basic_Prem_Yr2)*(Prem_Mode="Monthly")+(Prem_Mode="Annual")*IF(B126=1,Modal_Basic_Prem_Yr1,Modal_Basic_Prem_Yr2)*(MOD(C126-1,12)=0))*(B126&lt;=15)</f>
        <v>47840</v>
      </c>
      <c r="F126" s="50">
        <f>SUM($E$6:E126)</f>
        <v>5788640</v>
      </c>
      <c r="G126" s="51">
        <f>MAX(F126*D126-SA/100*(C126-10*12)*(B126&gt;10),0)</f>
        <v>3303811.2</v>
      </c>
      <c r="H126" s="49">
        <f>VLOOKUP(B126,$L$5:$N$30,3,0)</f>
        <v>0.27</v>
      </c>
      <c r="I126" s="50">
        <f>VLOOKUP(B126,$P$5:$Q$30,2,0)*SA*(B126-1)*H126</f>
        <v>434160</v>
      </c>
      <c r="J126" s="50">
        <f>G126+I126</f>
        <v>3737971.2</v>
      </c>
      <c r="K126" s="59"/>
      <c r="L126" s="63"/>
    </row>
    <row r="127" spans="2:12">
      <c r="B127" s="42">
        <f>B115+1</f>
        <v>11</v>
      </c>
      <c r="C127" s="43">
        <f>C126+1</f>
        <v>122</v>
      </c>
      <c r="D127" s="44">
        <f>VLOOKUP(B127,$L$5:$N$30,2,0)</f>
        <v>0.58</v>
      </c>
      <c r="E127" s="45">
        <f>(IF(B127=1,Modal_Basic_Prem_Yr1,Modal_Basic_Prem_Yr2)*(Prem_Mode="Monthly")+(Prem_Mode="Annual")*IF(B127=1,Modal_Basic_Prem_Yr1,Modal_Basic_Prem_Yr2)*(MOD(C127-1,12)=0))*(B127&lt;=15)</f>
        <v>47840</v>
      </c>
      <c r="F127" s="45">
        <f>SUM($E$6:E127)</f>
        <v>5836480</v>
      </c>
      <c r="G127" s="46">
        <f>MAX(F127*D127-SA/100*(C127-10*12)*(B127&gt;10),0)</f>
        <v>3277958.4</v>
      </c>
      <c r="H127" s="44">
        <f>VLOOKUP(B127,$L$5:$N$30,3,0)</f>
        <v>0.27</v>
      </c>
      <c r="I127" s="45">
        <f>VLOOKUP(B127,$P$5:$Q$30,2,0)*SA*(B127-1)*H127</f>
        <v>434160</v>
      </c>
      <c r="J127" s="45">
        <f>G127+I127</f>
        <v>3712118.4</v>
      </c>
      <c r="K127" s="59"/>
      <c r="L127" s="63"/>
    </row>
    <row r="128" spans="2:12">
      <c r="B128" s="47">
        <f>B116+1</f>
        <v>11</v>
      </c>
      <c r="C128" s="48">
        <f>C127+1</f>
        <v>123</v>
      </c>
      <c r="D128" s="49">
        <f>VLOOKUP(B128,$L$5:$N$30,2,0)</f>
        <v>0.58</v>
      </c>
      <c r="E128" s="50">
        <f>(IF(B128=1,Modal_Basic_Prem_Yr1,Modal_Basic_Prem_Yr2)*(Prem_Mode="Monthly")+(Prem_Mode="Annual")*IF(B128=1,Modal_Basic_Prem_Yr1,Modal_Basic_Prem_Yr2)*(MOD(C128-1,12)=0))*(B128&lt;=15)</f>
        <v>47840</v>
      </c>
      <c r="F128" s="50">
        <f>SUM($E$6:E128)</f>
        <v>5884320</v>
      </c>
      <c r="G128" s="51">
        <f>MAX(F128*D128-SA/100*(C128-10*12)*(B128&gt;10),0)</f>
        <v>3252105.6</v>
      </c>
      <c r="H128" s="49">
        <f>VLOOKUP(B128,$L$5:$N$30,3,0)</f>
        <v>0.27</v>
      </c>
      <c r="I128" s="50">
        <f>VLOOKUP(B128,$P$5:$Q$30,2,0)*SA*(B128-1)*H128</f>
        <v>434160</v>
      </c>
      <c r="J128" s="50">
        <f>G128+I128</f>
        <v>3686265.6</v>
      </c>
      <c r="K128" s="59"/>
      <c r="L128" s="63"/>
    </row>
    <row r="129" spans="2:12">
      <c r="B129" s="42">
        <f>B117+1</f>
        <v>11</v>
      </c>
      <c r="C129" s="43">
        <f>C128+1</f>
        <v>124</v>
      </c>
      <c r="D129" s="44">
        <f>VLOOKUP(B129,$L$5:$N$30,2,0)</f>
        <v>0.58</v>
      </c>
      <c r="E129" s="45">
        <f>(IF(B129=1,Modal_Basic_Prem_Yr1,Modal_Basic_Prem_Yr2)*(Prem_Mode="Monthly")+(Prem_Mode="Annual")*IF(B129=1,Modal_Basic_Prem_Yr1,Modal_Basic_Prem_Yr2)*(MOD(C129-1,12)=0))*(B129&lt;=15)</f>
        <v>47840</v>
      </c>
      <c r="F129" s="45">
        <f>SUM($E$6:E129)</f>
        <v>5932160</v>
      </c>
      <c r="G129" s="46">
        <f>MAX(F129*D129-SA/100*(C129-10*12)*(B129&gt;10),0)</f>
        <v>3226252.8</v>
      </c>
      <c r="H129" s="44">
        <f>VLOOKUP(B129,$L$5:$N$30,3,0)</f>
        <v>0.27</v>
      </c>
      <c r="I129" s="45">
        <f>VLOOKUP(B129,$P$5:$Q$30,2,0)*SA*(B129-1)*H129</f>
        <v>434160</v>
      </c>
      <c r="J129" s="45">
        <f>G129+I129</f>
        <v>3660412.8</v>
      </c>
      <c r="K129" s="59"/>
      <c r="L129" s="63"/>
    </row>
    <row r="130" spans="2:12">
      <c r="B130" s="47">
        <f>B118+1</f>
        <v>11</v>
      </c>
      <c r="C130" s="48">
        <f>C129+1</f>
        <v>125</v>
      </c>
      <c r="D130" s="49">
        <f>VLOOKUP(B130,$L$5:$N$30,2,0)</f>
        <v>0.58</v>
      </c>
      <c r="E130" s="50">
        <f>(IF(B130=1,Modal_Basic_Prem_Yr1,Modal_Basic_Prem_Yr2)*(Prem_Mode="Monthly")+(Prem_Mode="Annual")*IF(B130=1,Modal_Basic_Prem_Yr1,Modal_Basic_Prem_Yr2)*(MOD(C130-1,12)=0))*(B130&lt;=15)</f>
        <v>47840</v>
      </c>
      <c r="F130" s="50">
        <f>SUM($E$6:E130)</f>
        <v>5980000</v>
      </c>
      <c r="G130" s="51">
        <f>MAX(F130*D130-SA/100*(C130-10*12)*(B130&gt;10),0)</f>
        <v>3200400</v>
      </c>
      <c r="H130" s="49">
        <f>VLOOKUP(B130,$L$5:$N$30,3,0)</f>
        <v>0.27</v>
      </c>
      <c r="I130" s="50">
        <f>VLOOKUP(B130,$P$5:$Q$30,2,0)*SA*(B130-1)*H130</f>
        <v>434160</v>
      </c>
      <c r="J130" s="50">
        <f>G130+I130</f>
        <v>3634560</v>
      </c>
      <c r="K130" s="59"/>
      <c r="L130" s="63"/>
    </row>
    <row r="131" spans="2:12">
      <c r="B131" s="42">
        <f>B119+1</f>
        <v>11</v>
      </c>
      <c r="C131" s="43">
        <f>C130+1</f>
        <v>126</v>
      </c>
      <c r="D131" s="44">
        <f>VLOOKUP(B131,$L$5:$N$30,2,0)</f>
        <v>0.58</v>
      </c>
      <c r="E131" s="45">
        <f>(IF(B131=1,Modal_Basic_Prem_Yr1,Modal_Basic_Prem_Yr2)*(Prem_Mode="Monthly")+(Prem_Mode="Annual")*IF(B131=1,Modal_Basic_Prem_Yr1,Modal_Basic_Prem_Yr2)*(MOD(C131-1,12)=0))*(B131&lt;=15)</f>
        <v>47840</v>
      </c>
      <c r="F131" s="45">
        <f>SUM($E$6:E131)</f>
        <v>6027840</v>
      </c>
      <c r="G131" s="46">
        <f>MAX(F131*D131-SA/100*(C131-10*12)*(B131&gt;10),0)</f>
        <v>3174547.2</v>
      </c>
      <c r="H131" s="44">
        <f>VLOOKUP(B131,$L$5:$N$30,3,0)</f>
        <v>0.27</v>
      </c>
      <c r="I131" s="45">
        <f>VLOOKUP(B131,$P$5:$Q$30,2,0)*SA*(B131-1)*H131</f>
        <v>434160</v>
      </c>
      <c r="J131" s="45">
        <f>G131+I131</f>
        <v>3608707.2</v>
      </c>
      <c r="K131" s="59"/>
      <c r="L131" s="63"/>
    </row>
    <row r="132" spans="2:12">
      <c r="B132" s="47">
        <f>B120+1</f>
        <v>11</v>
      </c>
      <c r="C132" s="48">
        <f>C131+1</f>
        <v>127</v>
      </c>
      <c r="D132" s="49">
        <f>VLOOKUP(B132,$L$5:$N$30,2,0)</f>
        <v>0.58</v>
      </c>
      <c r="E132" s="50">
        <f>(IF(B132=1,Modal_Basic_Prem_Yr1,Modal_Basic_Prem_Yr2)*(Prem_Mode="Monthly")+(Prem_Mode="Annual")*IF(B132=1,Modal_Basic_Prem_Yr1,Modal_Basic_Prem_Yr2)*(MOD(C132-1,12)=0))*(B132&lt;=15)</f>
        <v>47840</v>
      </c>
      <c r="F132" s="50">
        <f>SUM($E$6:E132)</f>
        <v>6075680</v>
      </c>
      <c r="G132" s="51">
        <f>MAX(F132*D132-SA/100*(C132-10*12)*(B132&gt;10),0)</f>
        <v>3148694.4</v>
      </c>
      <c r="H132" s="49">
        <f>VLOOKUP(B132,$L$5:$N$30,3,0)</f>
        <v>0.27</v>
      </c>
      <c r="I132" s="50">
        <f>VLOOKUP(B132,$P$5:$Q$30,2,0)*SA*(B132-1)*H132</f>
        <v>434160</v>
      </c>
      <c r="J132" s="50">
        <f>G132+I132</f>
        <v>3582854.4</v>
      </c>
      <c r="K132" s="59"/>
      <c r="L132" s="63"/>
    </row>
    <row r="133" spans="2:12">
      <c r="B133" s="42">
        <f>B121+1</f>
        <v>11</v>
      </c>
      <c r="C133" s="43">
        <f>C132+1</f>
        <v>128</v>
      </c>
      <c r="D133" s="44">
        <f>VLOOKUP(B133,$L$5:$N$30,2,0)</f>
        <v>0.58</v>
      </c>
      <c r="E133" s="45">
        <f>(IF(B133=1,Modal_Basic_Prem_Yr1,Modal_Basic_Prem_Yr2)*(Prem_Mode="Monthly")+(Prem_Mode="Annual")*IF(B133=1,Modal_Basic_Prem_Yr1,Modal_Basic_Prem_Yr2)*(MOD(C133-1,12)=0))*(B133&lt;=15)</f>
        <v>47840</v>
      </c>
      <c r="F133" s="45">
        <f>SUM($E$6:E133)</f>
        <v>6123520</v>
      </c>
      <c r="G133" s="46">
        <f>MAX(F133*D133-SA/100*(C133-10*12)*(B133&gt;10),0)</f>
        <v>3122841.6</v>
      </c>
      <c r="H133" s="44">
        <f>VLOOKUP(B133,$L$5:$N$30,3,0)</f>
        <v>0.27</v>
      </c>
      <c r="I133" s="45">
        <f>VLOOKUP(B133,$P$5:$Q$30,2,0)*SA*(B133-1)*H133</f>
        <v>434160</v>
      </c>
      <c r="J133" s="45">
        <f>G133+I133</f>
        <v>3557001.6</v>
      </c>
      <c r="K133" s="59"/>
      <c r="L133" s="63"/>
    </row>
    <row r="134" spans="2:12">
      <c r="B134" s="47">
        <f>B122+1</f>
        <v>11</v>
      </c>
      <c r="C134" s="48">
        <f>C133+1</f>
        <v>129</v>
      </c>
      <c r="D134" s="49">
        <f>VLOOKUP(B134,$L$5:$N$30,2,0)</f>
        <v>0.58</v>
      </c>
      <c r="E134" s="50">
        <f>(IF(B134=1,Modal_Basic_Prem_Yr1,Modal_Basic_Prem_Yr2)*(Prem_Mode="Monthly")+(Prem_Mode="Annual")*IF(B134=1,Modal_Basic_Prem_Yr1,Modal_Basic_Prem_Yr2)*(MOD(C134-1,12)=0))*(B134&lt;=15)</f>
        <v>47840</v>
      </c>
      <c r="F134" s="50">
        <f>SUM($E$6:E134)</f>
        <v>6171360</v>
      </c>
      <c r="G134" s="51">
        <f>MAX(F134*D134-SA/100*(C134-10*12)*(B134&gt;10),0)</f>
        <v>3096988.8</v>
      </c>
      <c r="H134" s="49">
        <f>VLOOKUP(B134,$L$5:$N$30,3,0)</f>
        <v>0.27</v>
      </c>
      <c r="I134" s="50">
        <f>VLOOKUP(B134,$P$5:$Q$30,2,0)*SA*(B134-1)*H134</f>
        <v>434160</v>
      </c>
      <c r="J134" s="50">
        <f>G134+I134</f>
        <v>3531148.8</v>
      </c>
      <c r="K134" s="59"/>
      <c r="L134" s="63"/>
    </row>
    <row r="135" spans="2:12">
      <c r="B135" s="42">
        <f>B123+1</f>
        <v>11</v>
      </c>
      <c r="C135" s="43">
        <f>C134+1</f>
        <v>130</v>
      </c>
      <c r="D135" s="44">
        <f t="shared" ref="D135:D198" si="13">VLOOKUP(B135,$L$5:$N$30,2,0)</f>
        <v>0.58</v>
      </c>
      <c r="E135" s="45">
        <f>(IF(B135=1,Modal_Basic_Prem_Yr1,Modal_Basic_Prem_Yr2)*(Prem_Mode="Monthly")+(Prem_Mode="Annual")*IF(B135=1,Modal_Basic_Prem_Yr1,Modal_Basic_Prem_Yr2)*(MOD(C135-1,12)=0))*(B135&lt;=15)</f>
        <v>47840</v>
      </c>
      <c r="F135" s="45">
        <f>SUM($E$6:E135)</f>
        <v>6219200</v>
      </c>
      <c r="G135" s="46">
        <f>MAX(F135*D135-SA/100*(C135-10*12)*(B135&gt;10),0)</f>
        <v>3071136</v>
      </c>
      <c r="H135" s="44">
        <f t="shared" ref="H135:H198" si="14">VLOOKUP(B135,$L$5:$N$30,3,0)</f>
        <v>0.27</v>
      </c>
      <c r="I135" s="45">
        <f>VLOOKUP(B135,$P$5:$Q$30,2,0)*SA*(B135-1)*H135</f>
        <v>434160</v>
      </c>
      <c r="J135" s="45">
        <f t="shared" ref="J135:J198" si="15">G135+I135</f>
        <v>3505296</v>
      </c>
      <c r="K135" s="59"/>
      <c r="L135" s="63"/>
    </row>
    <row r="136" spans="2:12">
      <c r="B136" s="47">
        <f>B124+1</f>
        <v>11</v>
      </c>
      <c r="C136" s="48">
        <f t="shared" ref="C136:C199" si="16">C135+1</f>
        <v>131</v>
      </c>
      <c r="D136" s="49">
        <f>VLOOKUP(B136,$L$5:$N$30,2,0)</f>
        <v>0.58</v>
      </c>
      <c r="E136" s="50">
        <f>(IF(B136=1,Modal_Basic_Prem_Yr1,Modal_Basic_Prem_Yr2)*(Prem_Mode="Monthly")+(Prem_Mode="Annual")*IF(B136=1,Modal_Basic_Prem_Yr1,Modal_Basic_Prem_Yr2)*(MOD(C136-1,12)=0))*(B136&lt;=15)</f>
        <v>47840</v>
      </c>
      <c r="F136" s="50">
        <f>SUM($E$6:E136)</f>
        <v>6267040</v>
      </c>
      <c r="G136" s="51">
        <f>MAX(F136*D136-SA/100*(C136-10*12)*(B136&gt;10),0)</f>
        <v>3045283.2</v>
      </c>
      <c r="H136" s="49">
        <f>VLOOKUP(B136,$L$5:$N$30,3,0)</f>
        <v>0.27</v>
      </c>
      <c r="I136" s="50">
        <f>VLOOKUP(B136,$P$5:$Q$30,2,0)*SA*(B136-1)*H136</f>
        <v>434160</v>
      </c>
      <c r="J136" s="50">
        <f>G136+I136</f>
        <v>3479443.2</v>
      </c>
      <c r="K136" s="59"/>
      <c r="L136" s="63"/>
    </row>
    <row r="137" spans="2:12">
      <c r="B137" s="42">
        <f>B125+1</f>
        <v>11</v>
      </c>
      <c r="C137" s="43">
        <f>C136+1</f>
        <v>132</v>
      </c>
      <c r="D137" s="44">
        <f>VLOOKUP(B137,$L$5:$N$30,2,0)</f>
        <v>0.58</v>
      </c>
      <c r="E137" s="45">
        <f>(IF(B137=1,Modal_Basic_Prem_Yr1,Modal_Basic_Prem_Yr2)*(Prem_Mode="Monthly")+(Prem_Mode="Annual")*IF(B137=1,Modal_Basic_Prem_Yr1,Modal_Basic_Prem_Yr2)*(MOD(C137-1,12)=0))*(B137&lt;=15)</f>
        <v>47840</v>
      </c>
      <c r="F137" s="45">
        <f>SUM($E$6:E137)</f>
        <v>6314880</v>
      </c>
      <c r="G137" s="46">
        <f>MAX(F137*D137-SA/100*(C137-10*12)*(B137&gt;10),0)</f>
        <v>3019430.4</v>
      </c>
      <c r="H137" s="44">
        <f>VLOOKUP(B137,$L$5:$N$30,3,0)</f>
        <v>0.27</v>
      </c>
      <c r="I137" s="45">
        <f>VLOOKUP(B137,$P$5:$Q$30,2,0)*SA*(B137-1)*H137</f>
        <v>434160</v>
      </c>
      <c r="J137" s="45">
        <f>G137+I137</f>
        <v>3453590.4</v>
      </c>
      <c r="K137" s="59"/>
      <c r="L137" s="63"/>
    </row>
    <row r="138" spans="2:12">
      <c r="B138" s="47">
        <f>B126+1</f>
        <v>12</v>
      </c>
      <c r="C138" s="48">
        <f>C137+1</f>
        <v>133</v>
      </c>
      <c r="D138" s="49">
        <f>VLOOKUP(B138,$L$5:$N$30,2,0)</f>
        <v>0.6</v>
      </c>
      <c r="E138" s="50">
        <f>(IF(B138=1,Modal_Basic_Prem_Yr1,Modal_Basic_Prem_Yr2)*(Prem_Mode="Monthly")+(Prem_Mode="Annual")*IF(B138=1,Modal_Basic_Prem_Yr1,Modal_Basic_Prem_Yr2)*(MOD(C138-1,12)=0))*(B138&lt;=15)</f>
        <v>47840</v>
      </c>
      <c r="F138" s="50">
        <f>SUM($E$6:E138)</f>
        <v>6362720</v>
      </c>
      <c r="G138" s="51">
        <f>MAX(F138*D138-SA/100*(C138-10*12)*(B138&gt;10),0)</f>
        <v>3120832</v>
      </c>
      <c r="H138" s="49">
        <f>VLOOKUP(B138,$L$5:$N$30,3,0)</f>
        <v>0.3</v>
      </c>
      <c r="I138" s="50">
        <f>VLOOKUP(B138,$P$5:$Q$30,2,0)*SA*(B138-1)*H138</f>
        <v>530640</v>
      </c>
      <c r="J138" s="50">
        <f>G138+I138</f>
        <v>3651472</v>
      </c>
      <c r="K138" s="59"/>
      <c r="L138" s="63"/>
    </row>
    <row r="139" spans="2:12">
      <c r="B139" s="42">
        <f>B127+1</f>
        <v>12</v>
      </c>
      <c r="C139" s="43">
        <f>C138+1</f>
        <v>134</v>
      </c>
      <c r="D139" s="44">
        <f>VLOOKUP(B139,$L$5:$N$30,2,0)</f>
        <v>0.6</v>
      </c>
      <c r="E139" s="45">
        <f>(IF(B139=1,Modal_Basic_Prem_Yr1,Modal_Basic_Prem_Yr2)*(Prem_Mode="Monthly")+(Prem_Mode="Annual")*IF(B139=1,Modal_Basic_Prem_Yr1,Modal_Basic_Prem_Yr2)*(MOD(C139-1,12)=0))*(B139&lt;=15)</f>
        <v>47840</v>
      </c>
      <c r="F139" s="45">
        <f>SUM($E$6:E139)</f>
        <v>6410560</v>
      </c>
      <c r="G139" s="46">
        <f>MAX(F139*D139-SA/100*(C139-10*12)*(B139&gt;10),0)</f>
        <v>3095936</v>
      </c>
      <c r="H139" s="44">
        <f>VLOOKUP(B139,$L$5:$N$30,3,0)</f>
        <v>0.3</v>
      </c>
      <c r="I139" s="45">
        <f>VLOOKUP(B139,$P$5:$Q$30,2,0)*SA*(B139-1)*H139</f>
        <v>530640</v>
      </c>
      <c r="J139" s="45">
        <f>G139+I139</f>
        <v>3626576</v>
      </c>
      <c r="K139" s="59"/>
      <c r="L139" s="63"/>
    </row>
    <row r="140" spans="2:12">
      <c r="B140" s="47">
        <f>B128+1</f>
        <v>12</v>
      </c>
      <c r="C140" s="48">
        <f>C139+1</f>
        <v>135</v>
      </c>
      <c r="D140" s="49">
        <f>VLOOKUP(B140,$L$5:$N$30,2,0)</f>
        <v>0.6</v>
      </c>
      <c r="E140" s="50">
        <f>(IF(B140=1,Modal_Basic_Prem_Yr1,Modal_Basic_Prem_Yr2)*(Prem_Mode="Monthly")+(Prem_Mode="Annual")*IF(B140=1,Modal_Basic_Prem_Yr1,Modal_Basic_Prem_Yr2)*(MOD(C140-1,12)=0))*(B140&lt;=15)</f>
        <v>47840</v>
      </c>
      <c r="F140" s="50">
        <f>SUM($E$6:E140)</f>
        <v>6458400</v>
      </c>
      <c r="G140" s="51">
        <f>MAX(F140*D140-SA/100*(C140-10*12)*(B140&gt;10),0)</f>
        <v>3071040</v>
      </c>
      <c r="H140" s="49">
        <f>VLOOKUP(B140,$L$5:$N$30,3,0)</f>
        <v>0.3</v>
      </c>
      <c r="I140" s="50">
        <f>VLOOKUP(B140,$P$5:$Q$30,2,0)*SA*(B140-1)*H140</f>
        <v>530640</v>
      </c>
      <c r="J140" s="50">
        <f>G140+I140</f>
        <v>3601680</v>
      </c>
      <c r="K140" s="59"/>
      <c r="L140" s="63"/>
    </row>
    <row r="141" spans="2:12">
      <c r="B141" s="42">
        <f>B129+1</f>
        <v>12</v>
      </c>
      <c r="C141" s="43">
        <f>C140+1</f>
        <v>136</v>
      </c>
      <c r="D141" s="44">
        <f>VLOOKUP(B141,$L$5:$N$30,2,0)</f>
        <v>0.6</v>
      </c>
      <c r="E141" s="45">
        <f>(IF(B141=1,Modal_Basic_Prem_Yr1,Modal_Basic_Prem_Yr2)*(Prem_Mode="Monthly")+(Prem_Mode="Annual")*IF(B141=1,Modal_Basic_Prem_Yr1,Modal_Basic_Prem_Yr2)*(MOD(C141-1,12)=0))*(B141&lt;=15)</f>
        <v>47840</v>
      </c>
      <c r="F141" s="45">
        <f>SUM($E$6:E141)</f>
        <v>6506240</v>
      </c>
      <c r="G141" s="46">
        <f>MAX(F141*D141-SA/100*(C141-10*12)*(B141&gt;10),0)</f>
        <v>3046144</v>
      </c>
      <c r="H141" s="44">
        <f>VLOOKUP(B141,$L$5:$N$30,3,0)</f>
        <v>0.3</v>
      </c>
      <c r="I141" s="45">
        <f>VLOOKUP(B141,$P$5:$Q$30,2,0)*SA*(B141-1)*H141</f>
        <v>530640</v>
      </c>
      <c r="J141" s="45">
        <f>G141+I141</f>
        <v>3576784</v>
      </c>
      <c r="K141" s="59"/>
      <c r="L141" s="63"/>
    </row>
    <row r="142" spans="2:12">
      <c r="B142" s="47">
        <f>B130+1</f>
        <v>12</v>
      </c>
      <c r="C142" s="48">
        <f>C141+1</f>
        <v>137</v>
      </c>
      <c r="D142" s="49">
        <f>VLOOKUP(B142,$L$5:$N$30,2,0)</f>
        <v>0.6</v>
      </c>
      <c r="E142" s="50">
        <f>(IF(B142=1,Modal_Basic_Prem_Yr1,Modal_Basic_Prem_Yr2)*(Prem_Mode="Monthly")+(Prem_Mode="Annual")*IF(B142=1,Modal_Basic_Prem_Yr1,Modal_Basic_Prem_Yr2)*(MOD(C142-1,12)=0))*(B142&lt;=15)</f>
        <v>47840</v>
      </c>
      <c r="F142" s="50">
        <f>SUM($E$6:E142)</f>
        <v>6554080</v>
      </c>
      <c r="G142" s="51">
        <f>MAX(F142*D142-SA/100*(C142-10*12)*(B142&gt;10),0)</f>
        <v>3021248</v>
      </c>
      <c r="H142" s="49">
        <f>VLOOKUP(B142,$L$5:$N$30,3,0)</f>
        <v>0.3</v>
      </c>
      <c r="I142" s="50">
        <f>VLOOKUP(B142,$P$5:$Q$30,2,0)*SA*(B142-1)*H142</f>
        <v>530640</v>
      </c>
      <c r="J142" s="50">
        <f>G142+I142</f>
        <v>3551888</v>
      </c>
      <c r="K142" s="59"/>
      <c r="L142" s="63"/>
    </row>
    <row r="143" spans="2:12">
      <c r="B143" s="42">
        <f>B131+1</f>
        <v>12</v>
      </c>
      <c r="C143" s="43">
        <f>C142+1</f>
        <v>138</v>
      </c>
      <c r="D143" s="44">
        <f>VLOOKUP(B143,$L$5:$N$30,2,0)</f>
        <v>0.6</v>
      </c>
      <c r="E143" s="45">
        <f>(IF(B143=1,Modal_Basic_Prem_Yr1,Modal_Basic_Prem_Yr2)*(Prem_Mode="Monthly")+(Prem_Mode="Annual")*IF(B143=1,Modal_Basic_Prem_Yr1,Modal_Basic_Prem_Yr2)*(MOD(C143-1,12)=0))*(B143&lt;=15)</f>
        <v>47840</v>
      </c>
      <c r="F143" s="45">
        <f>SUM($E$6:E143)</f>
        <v>6601920</v>
      </c>
      <c r="G143" s="46">
        <f>MAX(F143*D143-SA/100*(C143-10*12)*(B143&gt;10),0)</f>
        <v>2996352</v>
      </c>
      <c r="H143" s="44">
        <f>VLOOKUP(B143,$L$5:$N$30,3,0)</f>
        <v>0.3</v>
      </c>
      <c r="I143" s="45">
        <f>VLOOKUP(B143,$P$5:$Q$30,2,0)*SA*(B143-1)*H143</f>
        <v>530640</v>
      </c>
      <c r="J143" s="45">
        <f>G143+I143</f>
        <v>3526992</v>
      </c>
      <c r="K143" s="59"/>
      <c r="L143" s="63"/>
    </row>
    <row r="144" spans="2:12">
      <c r="B144" s="47">
        <f>B132+1</f>
        <v>12</v>
      </c>
      <c r="C144" s="48">
        <f>C143+1</f>
        <v>139</v>
      </c>
      <c r="D144" s="49">
        <f>VLOOKUP(B144,$L$5:$N$30,2,0)</f>
        <v>0.6</v>
      </c>
      <c r="E144" s="50">
        <f>(IF(B144=1,Modal_Basic_Prem_Yr1,Modal_Basic_Prem_Yr2)*(Prem_Mode="Monthly")+(Prem_Mode="Annual")*IF(B144=1,Modal_Basic_Prem_Yr1,Modal_Basic_Prem_Yr2)*(MOD(C144-1,12)=0))*(B144&lt;=15)</f>
        <v>47840</v>
      </c>
      <c r="F144" s="50">
        <f>SUM($E$6:E144)</f>
        <v>6649760</v>
      </c>
      <c r="G144" s="51">
        <f>MAX(F144*D144-SA/100*(C144-10*12)*(B144&gt;10),0)</f>
        <v>2971456</v>
      </c>
      <c r="H144" s="49">
        <f>VLOOKUP(B144,$L$5:$N$30,3,0)</f>
        <v>0.3</v>
      </c>
      <c r="I144" s="50">
        <f>VLOOKUP(B144,$P$5:$Q$30,2,0)*SA*(B144-1)*H144</f>
        <v>530640</v>
      </c>
      <c r="J144" s="50">
        <f>G144+I144</f>
        <v>3502096</v>
      </c>
      <c r="K144" s="59"/>
      <c r="L144" s="63"/>
    </row>
    <row r="145" spans="2:12">
      <c r="B145" s="42">
        <f>B133+1</f>
        <v>12</v>
      </c>
      <c r="C145" s="43">
        <f>C144+1</f>
        <v>140</v>
      </c>
      <c r="D145" s="44">
        <f>VLOOKUP(B145,$L$5:$N$30,2,0)</f>
        <v>0.6</v>
      </c>
      <c r="E145" s="45">
        <f>(IF(B145=1,Modal_Basic_Prem_Yr1,Modal_Basic_Prem_Yr2)*(Prem_Mode="Monthly")+(Prem_Mode="Annual")*IF(B145=1,Modal_Basic_Prem_Yr1,Modal_Basic_Prem_Yr2)*(MOD(C145-1,12)=0))*(B145&lt;=15)</f>
        <v>47840</v>
      </c>
      <c r="F145" s="45">
        <f>SUM($E$6:E145)</f>
        <v>6697600</v>
      </c>
      <c r="G145" s="46">
        <f>MAX(F145*D145-SA/100*(C145-10*12)*(B145&gt;10),0)</f>
        <v>2946560</v>
      </c>
      <c r="H145" s="44">
        <f>VLOOKUP(B145,$L$5:$N$30,3,0)</f>
        <v>0.3</v>
      </c>
      <c r="I145" s="45">
        <f>VLOOKUP(B145,$P$5:$Q$30,2,0)*SA*(B145-1)*H145</f>
        <v>530640</v>
      </c>
      <c r="J145" s="45">
        <f>G145+I145</f>
        <v>3477200</v>
      </c>
      <c r="K145" s="59"/>
      <c r="L145" s="63"/>
    </row>
    <row r="146" spans="2:12">
      <c r="B146" s="47">
        <f>B134+1</f>
        <v>12</v>
      </c>
      <c r="C146" s="48">
        <f>C145+1</f>
        <v>141</v>
      </c>
      <c r="D146" s="49">
        <f>VLOOKUP(B146,$L$5:$N$30,2,0)</f>
        <v>0.6</v>
      </c>
      <c r="E146" s="50">
        <f>(IF(B146=1,Modal_Basic_Prem_Yr1,Modal_Basic_Prem_Yr2)*(Prem_Mode="Monthly")+(Prem_Mode="Annual")*IF(B146=1,Modal_Basic_Prem_Yr1,Modal_Basic_Prem_Yr2)*(MOD(C146-1,12)=0))*(B146&lt;=15)</f>
        <v>47840</v>
      </c>
      <c r="F146" s="50">
        <f>SUM($E$6:E146)</f>
        <v>6745440</v>
      </c>
      <c r="G146" s="51">
        <f>MAX(F146*D146-SA/100*(C146-10*12)*(B146&gt;10),0)</f>
        <v>2921664</v>
      </c>
      <c r="H146" s="49">
        <f>VLOOKUP(B146,$L$5:$N$30,3,0)</f>
        <v>0.3</v>
      </c>
      <c r="I146" s="50">
        <f>VLOOKUP(B146,$P$5:$Q$30,2,0)*SA*(B146-1)*H146</f>
        <v>530640</v>
      </c>
      <c r="J146" s="50">
        <f>G146+I146</f>
        <v>3452304</v>
      </c>
      <c r="K146" s="59"/>
      <c r="L146" s="63"/>
    </row>
    <row r="147" spans="2:12">
      <c r="B147" s="42">
        <f t="shared" ref="B147:B210" si="17">B135+1</f>
        <v>12</v>
      </c>
      <c r="C147" s="43">
        <f>C146+1</f>
        <v>142</v>
      </c>
      <c r="D147" s="44">
        <f>VLOOKUP(B147,$L$5:$N$30,2,0)</f>
        <v>0.6</v>
      </c>
      <c r="E147" s="45">
        <f>(IF(B147=1,Modal_Basic_Prem_Yr1,Modal_Basic_Prem_Yr2)*(Prem_Mode="Monthly")+(Prem_Mode="Annual")*IF(B147=1,Modal_Basic_Prem_Yr1,Modal_Basic_Prem_Yr2)*(MOD(C147-1,12)=0))*(B147&lt;=15)</f>
        <v>47840</v>
      </c>
      <c r="F147" s="45">
        <f>SUM($E$6:E147)</f>
        <v>6793280</v>
      </c>
      <c r="G147" s="46">
        <f>MAX(F147*D147-SA/100*(C147-10*12)*(B147&gt;10),0)</f>
        <v>2896768</v>
      </c>
      <c r="H147" s="44">
        <f>VLOOKUP(B147,$L$5:$N$30,3,0)</f>
        <v>0.3</v>
      </c>
      <c r="I147" s="45">
        <f>VLOOKUP(B147,$P$5:$Q$30,2,0)*SA*(B147-1)*H147</f>
        <v>530640</v>
      </c>
      <c r="J147" s="45">
        <f>G147+I147</f>
        <v>3427408</v>
      </c>
      <c r="K147" s="59"/>
      <c r="L147" s="63"/>
    </row>
    <row r="148" spans="2:12">
      <c r="B148" s="47">
        <f>B136+1</f>
        <v>12</v>
      </c>
      <c r="C148" s="48">
        <f>C147+1</f>
        <v>143</v>
      </c>
      <c r="D148" s="49">
        <f>VLOOKUP(B148,$L$5:$N$30,2,0)</f>
        <v>0.6</v>
      </c>
      <c r="E148" s="50">
        <f>(IF(B148=1,Modal_Basic_Prem_Yr1,Modal_Basic_Prem_Yr2)*(Prem_Mode="Monthly")+(Prem_Mode="Annual")*IF(B148=1,Modal_Basic_Prem_Yr1,Modal_Basic_Prem_Yr2)*(MOD(C148-1,12)=0))*(B148&lt;=15)</f>
        <v>47840</v>
      </c>
      <c r="F148" s="50">
        <f>SUM($E$6:E148)</f>
        <v>6841120</v>
      </c>
      <c r="G148" s="51">
        <f>MAX(F148*D148-SA/100*(C148-10*12)*(B148&gt;10),0)</f>
        <v>2871872</v>
      </c>
      <c r="H148" s="49">
        <f>VLOOKUP(B148,$L$5:$N$30,3,0)</f>
        <v>0.3</v>
      </c>
      <c r="I148" s="50">
        <f>VLOOKUP(B148,$P$5:$Q$30,2,0)*SA*(B148-1)*H148</f>
        <v>530640</v>
      </c>
      <c r="J148" s="50">
        <f>G148+I148</f>
        <v>3402512</v>
      </c>
      <c r="K148" s="59"/>
      <c r="L148" s="63"/>
    </row>
    <row r="149" spans="2:12">
      <c r="B149" s="42">
        <f>B137+1</f>
        <v>12</v>
      </c>
      <c r="C149" s="43">
        <f>C148+1</f>
        <v>144</v>
      </c>
      <c r="D149" s="44">
        <f>VLOOKUP(B149,$L$5:$N$30,2,0)</f>
        <v>0.6</v>
      </c>
      <c r="E149" s="45">
        <f>(IF(B149=1,Modal_Basic_Prem_Yr1,Modal_Basic_Prem_Yr2)*(Prem_Mode="Monthly")+(Prem_Mode="Annual")*IF(B149=1,Modal_Basic_Prem_Yr1,Modal_Basic_Prem_Yr2)*(MOD(C149-1,12)=0))*(B149&lt;=15)</f>
        <v>47840</v>
      </c>
      <c r="F149" s="45">
        <f>SUM($E$6:E149)</f>
        <v>6888960</v>
      </c>
      <c r="G149" s="46">
        <f>MAX(F149*D149-SA/100*(C149-10*12)*(B149&gt;10),0)</f>
        <v>2846976</v>
      </c>
      <c r="H149" s="44">
        <f>VLOOKUP(B149,$L$5:$N$30,3,0)</f>
        <v>0.3</v>
      </c>
      <c r="I149" s="45">
        <f>VLOOKUP(B149,$P$5:$Q$30,2,0)*SA*(B149-1)*H149</f>
        <v>530640</v>
      </c>
      <c r="J149" s="45">
        <f>G149+I149</f>
        <v>3377616</v>
      </c>
      <c r="K149" s="59"/>
      <c r="L149" s="63"/>
    </row>
    <row r="150" spans="2:12">
      <c r="B150" s="47">
        <f>B138+1</f>
        <v>13</v>
      </c>
      <c r="C150" s="48">
        <f>C149+1</f>
        <v>145</v>
      </c>
      <c r="D150" s="49">
        <f>VLOOKUP(B150,$L$5:$N$30,2,0)</f>
        <v>0.62</v>
      </c>
      <c r="E150" s="50">
        <f>(IF(B150=1,Modal_Basic_Prem_Yr1,Modal_Basic_Prem_Yr2)*(Prem_Mode="Monthly")+(Prem_Mode="Annual")*IF(B150=1,Modal_Basic_Prem_Yr1,Modal_Basic_Prem_Yr2)*(MOD(C150-1,12)=0))*(B150&lt;=15)</f>
        <v>47840</v>
      </c>
      <c r="F150" s="50">
        <f>SUM($E$6:E150)</f>
        <v>6936800</v>
      </c>
      <c r="G150" s="51">
        <f>MAX(F150*D150-SA/100*(C150-10*12)*(B150&gt;10),0)</f>
        <v>2960816</v>
      </c>
      <c r="H150" s="49">
        <f>VLOOKUP(B150,$L$5:$N$30,3,0)</f>
        <v>0.33</v>
      </c>
      <c r="I150" s="50">
        <f>VLOOKUP(B150,$P$5:$Q$30,2,0)*SA*(B150-1)*H150</f>
        <v>636768</v>
      </c>
      <c r="J150" s="50">
        <f>G150+I150</f>
        <v>3597584</v>
      </c>
      <c r="K150" s="59"/>
      <c r="L150" s="63"/>
    </row>
    <row r="151" spans="2:12">
      <c r="B151" s="42">
        <f>B139+1</f>
        <v>13</v>
      </c>
      <c r="C151" s="43">
        <f>C150+1</f>
        <v>146</v>
      </c>
      <c r="D151" s="44">
        <f>VLOOKUP(B151,$L$5:$N$30,2,0)</f>
        <v>0.62</v>
      </c>
      <c r="E151" s="45">
        <f>(IF(B151=1,Modal_Basic_Prem_Yr1,Modal_Basic_Prem_Yr2)*(Prem_Mode="Monthly")+(Prem_Mode="Annual")*IF(B151=1,Modal_Basic_Prem_Yr1,Modal_Basic_Prem_Yr2)*(MOD(C151-1,12)=0))*(B151&lt;=15)</f>
        <v>47840</v>
      </c>
      <c r="F151" s="45">
        <f>SUM($E$6:E151)</f>
        <v>6984640</v>
      </c>
      <c r="G151" s="46">
        <f>MAX(F151*D151-SA/100*(C151-10*12)*(B151&gt;10),0)</f>
        <v>2936876.8</v>
      </c>
      <c r="H151" s="44">
        <f>VLOOKUP(B151,$L$5:$N$30,3,0)</f>
        <v>0.33</v>
      </c>
      <c r="I151" s="45">
        <f>VLOOKUP(B151,$P$5:$Q$30,2,0)*SA*(B151-1)*H151</f>
        <v>636768</v>
      </c>
      <c r="J151" s="45">
        <f>G151+I151</f>
        <v>3573644.8</v>
      </c>
      <c r="K151" s="59"/>
      <c r="L151" s="63"/>
    </row>
    <row r="152" spans="2:12">
      <c r="B152" s="47">
        <f>B140+1</f>
        <v>13</v>
      </c>
      <c r="C152" s="48">
        <f>C151+1</f>
        <v>147</v>
      </c>
      <c r="D152" s="49">
        <f>VLOOKUP(B152,$L$5:$N$30,2,0)</f>
        <v>0.62</v>
      </c>
      <c r="E152" s="50">
        <f>(IF(B152=1,Modal_Basic_Prem_Yr1,Modal_Basic_Prem_Yr2)*(Prem_Mode="Monthly")+(Prem_Mode="Annual")*IF(B152=1,Modal_Basic_Prem_Yr1,Modal_Basic_Prem_Yr2)*(MOD(C152-1,12)=0))*(B152&lt;=15)</f>
        <v>47840</v>
      </c>
      <c r="F152" s="50">
        <f>SUM($E$6:E152)</f>
        <v>7032480</v>
      </c>
      <c r="G152" s="51">
        <f>MAX(F152*D152-SA/100*(C152-10*12)*(B152&gt;10),0)</f>
        <v>2912937.6</v>
      </c>
      <c r="H152" s="49">
        <f>VLOOKUP(B152,$L$5:$N$30,3,0)</f>
        <v>0.33</v>
      </c>
      <c r="I152" s="50">
        <f>VLOOKUP(B152,$P$5:$Q$30,2,0)*SA*(B152-1)*H152</f>
        <v>636768</v>
      </c>
      <c r="J152" s="50">
        <f>G152+I152</f>
        <v>3549705.6</v>
      </c>
      <c r="K152" s="59"/>
      <c r="L152" s="63"/>
    </row>
    <row r="153" spans="2:12">
      <c r="B153" s="42">
        <f>B141+1</f>
        <v>13</v>
      </c>
      <c r="C153" s="43">
        <f>C152+1</f>
        <v>148</v>
      </c>
      <c r="D153" s="44">
        <f>VLOOKUP(B153,$L$5:$N$30,2,0)</f>
        <v>0.62</v>
      </c>
      <c r="E153" s="45">
        <f>(IF(B153=1,Modal_Basic_Prem_Yr1,Modal_Basic_Prem_Yr2)*(Prem_Mode="Monthly")+(Prem_Mode="Annual")*IF(B153=1,Modal_Basic_Prem_Yr1,Modal_Basic_Prem_Yr2)*(MOD(C153-1,12)=0))*(B153&lt;=15)</f>
        <v>47840</v>
      </c>
      <c r="F153" s="45">
        <f>SUM($E$6:E153)</f>
        <v>7080320</v>
      </c>
      <c r="G153" s="46">
        <f>MAX(F153*D153-SA/100*(C153-10*12)*(B153&gt;10),0)</f>
        <v>2888998.4</v>
      </c>
      <c r="H153" s="44">
        <f>VLOOKUP(B153,$L$5:$N$30,3,0)</f>
        <v>0.33</v>
      </c>
      <c r="I153" s="45">
        <f>VLOOKUP(B153,$P$5:$Q$30,2,0)*SA*(B153-1)*H153</f>
        <v>636768</v>
      </c>
      <c r="J153" s="45">
        <f>G153+I153</f>
        <v>3525766.4</v>
      </c>
      <c r="K153" s="59"/>
      <c r="L153" s="63"/>
    </row>
    <row r="154" spans="2:12">
      <c r="B154" s="47">
        <f>B142+1</f>
        <v>13</v>
      </c>
      <c r="C154" s="48">
        <f>C153+1</f>
        <v>149</v>
      </c>
      <c r="D154" s="49">
        <f>VLOOKUP(B154,$L$5:$N$30,2,0)</f>
        <v>0.62</v>
      </c>
      <c r="E154" s="50">
        <f>(IF(B154=1,Modal_Basic_Prem_Yr1,Modal_Basic_Prem_Yr2)*(Prem_Mode="Monthly")+(Prem_Mode="Annual")*IF(B154=1,Modal_Basic_Prem_Yr1,Modal_Basic_Prem_Yr2)*(MOD(C154-1,12)=0))*(B154&lt;=15)</f>
        <v>47840</v>
      </c>
      <c r="F154" s="50">
        <f>SUM($E$6:E154)</f>
        <v>7128160</v>
      </c>
      <c r="G154" s="51">
        <f>MAX(F154*D154-SA/100*(C154-10*12)*(B154&gt;10),0)</f>
        <v>2865059.2</v>
      </c>
      <c r="H154" s="49">
        <f>VLOOKUP(B154,$L$5:$N$30,3,0)</f>
        <v>0.33</v>
      </c>
      <c r="I154" s="50">
        <f>VLOOKUP(B154,$P$5:$Q$30,2,0)*SA*(B154-1)*H154</f>
        <v>636768</v>
      </c>
      <c r="J154" s="50">
        <f>G154+I154</f>
        <v>3501827.2</v>
      </c>
      <c r="K154" s="59"/>
      <c r="L154" s="63"/>
    </row>
    <row r="155" spans="2:12">
      <c r="B155" s="42">
        <f>B143+1</f>
        <v>13</v>
      </c>
      <c r="C155" s="43">
        <f>C154+1</f>
        <v>150</v>
      </c>
      <c r="D155" s="44">
        <f>VLOOKUP(B155,$L$5:$N$30,2,0)</f>
        <v>0.62</v>
      </c>
      <c r="E155" s="45">
        <f>(IF(B155=1,Modal_Basic_Prem_Yr1,Modal_Basic_Prem_Yr2)*(Prem_Mode="Monthly")+(Prem_Mode="Annual")*IF(B155=1,Modal_Basic_Prem_Yr1,Modal_Basic_Prem_Yr2)*(MOD(C155-1,12)=0))*(B155&lt;=15)</f>
        <v>47840</v>
      </c>
      <c r="F155" s="45">
        <f>SUM($E$6:E155)</f>
        <v>7176000</v>
      </c>
      <c r="G155" s="46">
        <f>MAX(F155*D155-SA/100*(C155-10*12)*(B155&gt;10),0)</f>
        <v>2841120</v>
      </c>
      <c r="H155" s="44">
        <f>VLOOKUP(B155,$L$5:$N$30,3,0)</f>
        <v>0.33</v>
      </c>
      <c r="I155" s="45">
        <f>VLOOKUP(B155,$P$5:$Q$30,2,0)*SA*(B155-1)*H155</f>
        <v>636768</v>
      </c>
      <c r="J155" s="45">
        <f>G155+I155</f>
        <v>3477888</v>
      </c>
      <c r="K155" s="59"/>
      <c r="L155" s="63"/>
    </row>
    <row r="156" spans="2:12">
      <c r="B156" s="47">
        <f>B144+1</f>
        <v>13</v>
      </c>
      <c r="C156" s="48">
        <f>C155+1</f>
        <v>151</v>
      </c>
      <c r="D156" s="49">
        <f>VLOOKUP(B156,$L$5:$N$30,2,0)</f>
        <v>0.62</v>
      </c>
      <c r="E156" s="50">
        <f>(IF(B156=1,Modal_Basic_Prem_Yr1,Modal_Basic_Prem_Yr2)*(Prem_Mode="Monthly")+(Prem_Mode="Annual")*IF(B156=1,Modal_Basic_Prem_Yr1,Modal_Basic_Prem_Yr2)*(MOD(C156-1,12)=0))*(B156&lt;=15)</f>
        <v>47840</v>
      </c>
      <c r="F156" s="50">
        <f>SUM($E$6:E156)</f>
        <v>7223840</v>
      </c>
      <c r="G156" s="51">
        <f>MAX(F156*D156-SA/100*(C156-10*12)*(B156&gt;10),0)</f>
        <v>2817180.8</v>
      </c>
      <c r="H156" s="49">
        <f>VLOOKUP(B156,$L$5:$N$30,3,0)</f>
        <v>0.33</v>
      </c>
      <c r="I156" s="50">
        <f>VLOOKUP(B156,$P$5:$Q$30,2,0)*SA*(B156-1)*H156</f>
        <v>636768</v>
      </c>
      <c r="J156" s="50">
        <f>G156+I156</f>
        <v>3453948.8</v>
      </c>
      <c r="K156" s="59"/>
      <c r="L156" s="63"/>
    </row>
    <row r="157" spans="2:12">
      <c r="B157" s="42">
        <f>B145+1</f>
        <v>13</v>
      </c>
      <c r="C157" s="43">
        <f>C156+1</f>
        <v>152</v>
      </c>
      <c r="D157" s="44">
        <f>VLOOKUP(B157,$L$5:$N$30,2,0)</f>
        <v>0.62</v>
      </c>
      <c r="E157" s="45">
        <f>(IF(B157=1,Modal_Basic_Prem_Yr1,Modal_Basic_Prem_Yr2)*(Prem_Mode="Monthly")+(Prem_Mode="Annual")*IF(B157=1,Modal_Basic_Prem_Yr1,Modal_Basic_Prem_Yr2)*(MOD(C157-1,12)=0))*(B157&lt;=15)</f>
        <v>47840</v>
      </c>
      <c r="F157" s="45">
        <f>SUM($E$6:E157)</f>
        <v>7271680</v>
      </c>
      <c r="G157" s="46">
        <f>MAX(F157*D157-SA/100*(C157-10*12)*(B157&gt;10),0)</f>
        <v>2793241.6</v>
      </c>
      <c r="H157" s="44">
        <f>VLOOKUP(B157,$L$5:$N$30,3,0)</f>
        <v>0.33</v>
      </c>
      <c r="I157" s="45">
        <f>VLOOKUP(B157,$P$5:$Q$30,2,0)*SA*(B157-1)*H157</f>
        <v>636768</v>
      </c>
      <c r="J157" s="45">
        <f>G157+I157</f>
        <v>3430009.6</v>
      </c>
      <c r="K157" s="59"/>
      <c r="L157" s="63"/>
    </row>
    <row r="158" spans="2:12">
      <c r="B158" s="47">
        <f>B146+1</f>
        <v>13</v>
      </c>
      <c r="C158" s="48">
        <f>C157+1</f>
        <v>153</v>
      </c>
      <c r="D158" s="49">
        <f>VLOOKUP(B158,$L$5:$N$30,2,0)</f>
        <v>0.62</v>
      </c>
      <c r="E158" s="50">
        <f>(IF(B158=1,Modal_Basic_Prem_Yr1,Modal_Basic_Prem_Yr2)*(Prem_Mode="Monthly")+(Prem_Mode="Annual")*IF(B158=1,Modal_Basic_Prem_Yr1,Modal_Basic_Prem_Yr2)*(MOD(C158-1,12)=0))*(B158&lt;=15)</f>
        <v>47840</v>
      </c>
      <c r="F158" s="50">
        <f>SUM($E$6:E158)</f>
        <v>7319520</v>
      </c>
      <c r="G158" s="51">
        <f>MAX(F158*D158-SA/100*(C158-10*12)*(B158&gt;10),0)</f>
        <v>2769302.4</v>
      </c>
      <c r="H158" s="49">
        <f>VLOOKUP(B158,$L$5:$N$30,3,0)</f>
        <v>0.33</v>
      </c>
      <c r="I158" s="50">
        <f>VLOOKUP(B158,$P$5:$Q$30,2,0)*SA*(B158-1)*H158</f>
        <v>636768</v>
      </c>
      <c r="J158" s="50">
        <f>G158+I158</f>
        <v>3406070.4</v>
      </c>
      <c r="K158" s="59"/>
      <c r="L158" s="63"/>
    </row>
    <row r="159" spans="2:12">
      <c r="B159" s="42">
        <f>B147+1</f>
        <v>13</v>
      </c>
      <c r="C159" s="43">
        <f>C158+1</f>
        <v>154</v>
      </c>
      <c r="D159" s="44">
        <f>VLOOKUP(B159,$L$5:$N$30,2,0)</f>
        <v>0.62</v>
      </c>
      <c r="E159" s="45">
        <f>(IF(B159=1,Modal_Basic_Prem_Yr1,Modal_Basic_Prem_Yr2)*(Prem_Mode="Monthly")+(Prem_Mode="Annual")*IF(B159=1,Modal_Basic_Prem_Yr1,Modal_Basic_Prem_Yr2)*(MOD(C159-1,12)=0))*(B159&lt;=15)</f>
        <v>47840</v>
      </c>
      <c r="F159" s="45">
        <f>SUM($E$6:E159)</f>
        <v>7367360</v>
      </c>
      <c r="G159" s="46">
        <f>MAX(F159*D159-SA/100*(C159-10*12)*(B159&gt;10),0)</f>
        <v>2745363.2</v>
      </c>
      <c r="H159" s="44">
        <f>VLOOKUP(B159,$L$5:$N$30,3,0)</f>
        <v>0.33</v>
      </c>
      <c r="I159" s="45">
        <f>VLOOKUP(B159,$P$5:$Q$30,2,0)*SA*(B159-1)*H159</f>
        <v>636768</v>
      </c>
      <c r="J159" s="45">
        <f>G159+I159</f>
        <v>3382131.2</v>
      </c>
      <c r="K159" s="59"/>
      <c r="L159" s="63"/>
    </row>
    <row r="160" spans="2:12">
      <c r="B160" s="47">
        <f>B148+1</f>
        <v>13</v>
      </c>
      <c r="C160" s="48">
        <f>C159+1</f>
        <v>155</v>
      </c>
      <c r="D160" s="49">
        <f>VLOOKUP(B160,$L$5:$N$30,2,0)</f>
        <v>0.62</v>
      </c>
      <c r="E160" s="50">
        <f>(IF(B160=1,Modal_Basic_Prem_Yr1,Modal_Basic_Prem_Yr2)*(Prem_Mode="Monthly")+(Prem_Mode="Annual")*IF(B160=1,Modal_Basic_Prem_Yr1,Modal_Basic_Prem_Yr2)*(MOD(C160-1,12)=0))*(B160&lt;=15)</f>
        <v>47840</v>
      </c>
      <c r="F160" s="50">
        <f>SUM($E$6:E160)</f>
        <v>7415200</v>
      </c>
      <c r="G160" s="51">
        <f>MAX(F160*D160-SA/100*(C160-10*12)*(B160&gt;10),0)</f>
        <v>2721424</v>
      </c>
      <c r="H160" s="49">
        <f>VLOOKUP(B160,$L$5:$N$30,3,0)</f>
        <v>0.33</v>
      </c>
      <c r="I160" s="50">
        <f>VLOOKUP(B160,$P$5:$Q$30,2,0)*SA*(B160-1)*H160</f>
        <v>636768</v>
      </c>
      <c r="J160" s="50">
        <f>G160+I160</f>
        <v>3358192</v>
      </c>
      <c r="K160" s="59"/>
      <c r="L160" s="63"/>
    </row>
    <row r="161" spans="2:12">
      <c r="B161" s="42">
        <f>B149+1</f>
        <v>13</v>
      </c>
      <c r="C161" s="43">
        <f>C160+1</f>
        <v>156</v>
      </c>
      <c r="D161" s="44">
        <f>VLOOKUP(B161,$L$5:$N$30,2,0)</f>
        <v>0.62</v>
      </c>
      <c r="E161" s="45">
        <f>(IF(B161=1,Modal_Basic_Prem_Yr1,Modal_Basic_Prem_Yr2)*(Prem_Mode="Monthly")+(Prem_Mode="Annual")*IF(B161=1,Modal_Basic_Prem_Yr1,Modal_Basic_Prem_Yr2)*(MOD(C161-1,12)=0))*(B161&lt;=15)</f>
        <v>47840</v>
      </c>
      <c r="F161" s="45">
        <f>SUM($E$6:E161)</f>
        <v>7463040</v>
      </c>
      <c r="G161" s="46">
        <f>MAX(F161*D161-SA/100*(C161-10*12)*(B161&gt;10),0)</f>
        <v>2697484.8</v>
      </c>
      <c r="H161" s="44">
        <f>VLOOKUP(B161,$L$5:$N$30,3,0)</f>
        <v>0.33</v>
      </c>
      <c r="I161" s="45">
        <f>VLOOKUP(B161,$P$5:$Q$30,2,0)*SA*(B161-1)*H161</f>
        <v>636768</v>
      </c>
      <c r="J161" s="45">
        <f>G161+I161</f>
        <v>3334252.8</v>
      </c>
      <c r="K161" s="59"/>
      <c r="L161" s="63"/>
    </row>
    <row r="162" spans="2:12">
      <c r="B162" s="47">
        <f>B150+1</f>
        <v>14</v>
      </c>
      <c r="C162" s="48">
        <f>C161+1</f>
        <v>157</v>
      </c>
      <c r="D162" s="49">
        <f>VLOOKUP(B162,$L$5:$N$30,2,0)</f>
        <v>0.64</v>
      </c>
      <c r="E162" s="50">
        <f>(IF(B162=1,Modal_Basic_Prem_Yr1,Modal_Basic_Prem_Yr2)*(Prem_Mode="Monthly")+(Prem_Mode="Annual")*IF(B162=1,Modal_Basic_Prem_Yr1,Modal_Basic_Prem_Yr2)*(MOD(C162-1,12)=0))*(B162&lt;=15)</f>
        <v>47840</v>
      </c>
      <c r="F162" s="50">
        <f>SUM($E$6:E162)</f>
        <v>7510880</v>
      </c>
      <c r="G162" s="51">
        <f>MAX(F162*D162-SA/100*(C162-10*12)*(B162&gt;10),0)</f>
        <v>2823763.2</v>
      </c>
      <c r="H162" s="49">
        <f>VLOOKUP(B162,$L$5:$N$30,3,0)</f>
        <v>0.36</v>
      </c>
      <c r="I162" s="50">
        <f>VLOOKUP(B162,$P$5:$Q$30,2,0)*SA*(B162-1)*H162</f>
        <v>752544</v>
      </c>
      <c r="J162" s="50">
        <f>G162+I162</f>
        <v>3576307.2</v>
      </c>
      <c r="K162" s="59"/>
      <c r="L162" s="63"/>
    </row>
    <row r="163" spans="2:12">
      <c r="B163" s="42">
        <f>B151+1</f>
        <v>14</v>
      </c>
      <c r="C163" s="43">
        <f>C162+1</f>
        <v>158</v>
      </c>
      <c r="D163" s="44">
        <f>VLOOKUP(B163,$L$5:$N$30,2,0)</f>
        <v>0.64</v>
      </c>
      <c r="E163" s="45">
        <f>(IF(B163=1,Modal_Basic_Prem_Yr1,Modal_Basic_Prem_Yr2)*(Prem_Mode="Monthly")+(Prem_Mode="Annual")*IF(B163=1,Modal_Basic_Prem_Yr1,Modal_Basic_Prem_Yr2)*(MOD(C163-1,12)=0))*(B163&lt;=15)</f>
        <v>47840</v>
      </c>
      <c r="F163" s="45">
        <f>SUM($E$6:E163)</f>
        <v>7558720</v>
      </c>
      <c r="G163" s="46">
        <f>MAX(F163*D163-SA/100*(C163-10*12)*(B163&gt;10),0)</f>
        <v>2800780.8</v>
      </c>
      <c r="H163" s="44">
        <f>VLOOKUP(B163,$L$5:$N$30,3,0)</f>
        <v>0.36</v>
      </c>
      <c r="I163" s="45">
        <f>VLOOKUP(B163,$P$5:$Q$30,2,0)*SA*(B163-1)*H163</f>
        <v>752544</v>
      </c>
      <c r="J163" s="45">
        <f>G163+I163</f>
        <v>3553324.8</v>
      </c>
      <c r="K163" s="59"/>
      <c r="L163" s="63"/>
    </row>
    <row r="164" spans="2:12">
      <c r="B164" s="47">
        <f>B152+1</f>
        <v>14</v>
      </c>
      <c r="C164" s="48">
        <f>C163+1</f>
        <v>159</v>
      </c>
      <c r="D164" s="49">
        <f>VLOOKUP(B164,$L$5:$N$30,2,0)</f>
        <v>0.64</v>
      </c>
      <c r="E164" s="50">
        <f>(IF(B164=1,Modal_Basic_Prem_Yr1,Modal_Basic_Prem_Yr2)*(Prem_Mode="Monthly")+(Prem_Mode="Annual")*IF(B164=1,Modal_Basic_Prem_Yr1,Modal_Basic_Prem_Yr2)*(MOD(C164-1,12)=0))*(B164&lt;=15)</f>
        <v>47840</v>
      </c>
      <c r="F164" s="50">
        <f>SUM($E$6:E164)</f>
        <v>7606560</v>
      </c>
      <c r="G164" s="51">
        <f>MAX(F164*D164-SA/100*(C164-10*12)*(B164&gt;10),0)</f>
        <v>2777798.4</v>
      </c>
      <c r="H164" s="49">
        <f>VLOOKUP(B164,$L$5:$N$30,3,0)</f>
        <v>0.36</v>
      </c>
      <c r="I164" s="50">
        <f>VLOOKUP(B164,$P$5:$Q$30,2,0)*SA*(B164-1)*H164</f>
        <v>752544</v>
      </c>
      <c r="J164" s="50">
        <f>G164+I164</f>
        <v>3530342.4</v>
      </c>
      <c r="K164" s="59"/>
      <c r="L164" s="63"/>
    </row>
    <row r="165" spans="2:12">
      <c r="B165" s="42">
        <f>B153+1</f>
        <v>14</v>
      </c>
      <c r="C165" s="43">
        <f>C164+1</f>
        <v>160</v>
      </c>
      <c r="D165" s="44">
        <f>VLOOKUP(B165,$L$5:$N$30,2,0)</f>
        <v>0.64</v>
      </c>
      <c r="E165" s="45">
        <f>(IF(B165=1,Modal_Basic_Prem_Yr1,Modal_Basic_Prem_Yr2)*(Prem_Mode="Monthly")+(Prem_Mode="Annual")*IF(B165=1,Modal_Basic_Prem_Yr1,Modal_Basic_Prem_Yr2)*(MOD(C165-1,12)=0))*(B165&lt;=15)</f>
        <v>47840</v>
      </c>
      <c r="F165" s="45">
        <f>SUM($E$6:E165)</f>
        <v>7654400</v>
      </c>
      <c r="G165" s="46">
        <f>MAX(F165*D165-SA/100*(C165-10*12)*(B165&gt;10),0)</f>
        <v>2754816</v>
      </c>
      <c r="H165" s="44">
        <f>VLOOKUP(B165,$L$5:$N$30,3,0)</f>
        <v>0.36</v>
      </c>
      <c r="I165" s="45">
        <f>VLOOKUP(B165,$P$5:$Q$30,2,0)*SA*(B165-1)*H165</f>
        <v>752544</v>
      </c>
      <c r="J165" s="45">
        <f>G165+I165</f>
        <v>3507360</v>
      </c>
      <c r="K165" s="59"/>
      <c r="L165" s="63"/>
    </row>
    <row r="166" spans="2:12">
      <c r="B166" s="47">
        <f>B154+1</f>
        <v>14</v>
      </c>
      <c r="C166" s="48">
        <f>C165+1</f>
        <v>161</v>
      </c>
      <c r="D166" s="49">
        <f>VLOOKUP(B166,$L$5:$N$30,2,0)</f>
        <v>0.64</v>
      </c>
      <c r="E166" s="50">
        <f>(IF(B166=1,Modal_Basic_Prem_Yr1,Modal_Basic_Prem_Yr2)*(Prem_Mode="Monthly")+(Prem_Mode="Annual")*IF(B166=1,Modal_Basic_Prem_Yr1,Modal_Basic_Prem_Yr2)*(MOD(C166-1,12)=0))*(B166&lt;=15)</f>
        <v>47840</v>
      </c>
      <c r="F166" s="50">
        <f>SUM($E$6:E166)</f>
        <v>7702240</v>
      </c>
      <c r="G166" s="51">
        <f>MAX(F166*D166-SA/100*(C166-10*12)*(B166&gt;10),0)</f>
        <v>2731833.6</v>
      </c>
      <c r="H166" s="49">
        <f>VLOOKUP(B166,$L$5:$N$30,3,0)</f>
        <v>0.36</v>
      </c>
      <c r="I166" s="50">
        <f>VLOOKUP(B166,$P$5:$Q$30,2,0)*SA*(B166-1)*H166</f>
        <v>752544</v>
      </c>
      <c r="J166" s="50">
        <f>G166+I166</f>
        <v>3484377.6</v>
      </c>
      <c r="K166" s="59"/>
      <c r="L166" s="63"/>
    </row>
    <row r="167" spans="2:12">
      <c r="B167" s="42">
        <f>B155+1</f>
        <v>14</v>
      </c>
      <c r="C167" s="43">
        <f>C166+1</f>
        <v>162</v>
      </c>
      <c r="D167" s="44">
        <f>VLOOKUP(B167,$L$5:$N$30,2,0)</f>
        <v>0.64</v>
      </c>
      <c r="E167" s="45">
        <f>(IF(B167=1,Modal_Basic_Prem_Yr1,Modal_Basic_Prem_Yr2)*(Prem_Mode="Monthly")+(Prem_Mode="Annual")*IF(B167=1,Modal_Basic_Prem_Yr1,Modal_Basic_Prem_Yr2)*(MOD(C167-1,12)=0))*(B167&lt;=15)</f>
        <v>47840</v>
      </c>
      <c r="F167" s="45">
        <f>SUM($E$6:E167)</f>
        <v>7750080</v>
      </c>
      <c r="G167" s="46">
        <f>MAX(F167*D167-SA/100*(C167-10*12)*(B167&gt;10),0)</f>
        <v>2708851.2</v>
      </c>
      <c r="H167" s="44">
        <f>VLOOKUP(B167,$L$5:$N$30,3,0)</f>
        <v>0.36</v>
      </c>
      <c r="I167" s="45">
        <f>VLOOKUP(B167,$P$5:$Q$30,2,0)*SA*(B167-1)*H167</f>
        <v>752544</v>
      </c>
      <c r="J167" s="45">
        <f>G167+I167</f>
        <v>3461395.2</v>
      </c>
      <c r="K167" s="59"/>
      <c r="L167" s="63"/>
    </row>
    <row r="168" spans="2:12">
      <c r="B168" s="47">
        <f>B156+1</f>
        <v>14</v>
      </c>
      <c r="C168" s="48">
        <f>C167+1</f>
        <v>163</v>
      </c>
      <c r="D168" s="49">
        <f>VLOOKUP(B168,$L$5:$N$30,2,0)</f>
        <v>0.64</v>
      </c>
      <c r="E168" s="50">
        <f>(IF(B168=1,Modal_Basic_Prem_Yr1,Modal_Basic_Prem_Yr2)*(Prem_Mode="Monthly")+(Prem_Mode="Annual")*IF(B168=1,Modal_Basic_Prem_Yr1,Modal_Basic_Prem_Yr2)*(MOD(C168-1,12)=0))*(B168&lt;=15)</f>
        <v>47840</v>
      </c>
      <c r="F168" s="50">
        <f>SUM($E$6:E168)</f>
        <v>7797920</v>
      </c>
      <c r="G168" s="51">
        <f>MAX(F168*D168-SA/100*(C168-10*12)*(B168&gt;10),0)</f>
        <v>2685868.8</v>
      </c>
      <c r="H168" s="49">
        <f>VLOOKUP(B168,$L$5:$N$30,3,0)</f>
        <v>0.36</v>
      </c>
      <c r="I168" s="50">
        <f>VLOOKUP(B168,$P$5:$Q$30,2,0)*SA*(B168-1)*H168</f>
        <v>752544</v>
      </c>
      <c r="J168" s="50">
        <f>G168+I168</f>
        <v>3438412.8</v>
      </c>
      <c r="K168" s="59"/>
      <c r="L168" s="63"/>
    </row>
    <row r="169" spans="2:12">
      <c r="B169" s="42">
        <f>B157+1</f>
        <v>14</v>
      </c>
      <c r="C169" s="43">
        <f>C168+1</f>
        <v>164</v>
      </c>
      <c r="D169" s="44">
        <f>VLOOKUP(B169,$L$5:$N$30,2,0)</f>
        <v>0.64</v>
      </c>
      <c r="E169" s="45">
        <f>(IF(B169=1,Modal_Basic_Prem_Yr1,Modal_Basic_Prem_Yr2)*(Prem_Mode="Monthly")+(Prem_Mode="Annual")*IF(B169=1,Modal_Basic_Prem_Yr1,Modal_Basic_Prem_Yr2)*(MOD(C169-1,12)=0))*(B169&lt;=15)</f>
        <v>47840</v>
      </c>
      <c r="F169" s="45">
        <f>SUM($E$6:E169)</f>
        <v>7845760</v>
      </c>
      <c r="G169" s="46">
        <f>MAX(F169*D169-SA/100*(C169-10*12)*(B169&gt;10),0)</f>
        <v>2662886.4</v>
      </c>
      <c r="H169" s="44">
        <f>VLOOKUP(B169,$L$5:$N$30,3,0)</f>
        <v>0.36</v>
      </c>
      <c r="I169" s="45">
        <f>VLOOKUP(B169,$P$5:$Q$30,2,0)*SA*(B169-1)*H169</f>
        <v>752544</v>
      </c>
      <c r="J169" s="45">
        <f>G169+I169</f>
        <v>3415430.4</v>
      </c>
      <c r="K169" s="59"/>
      <c r="L169" s="63"/>
    </row>
    <row r="170" spans="2:12">
      <c r="B170" s="47">
        <f>B158+1</f>
        <v>14</v>
      </c>
      <c r="C170" s="48">
        <f>C169+1</f>
        <v>165</v>
      </c>
      <c r="D170" s="49">
        <f>VLOOKUP(B170,$L$5:$N$30,2,0)</f>
        <v>0.64</v>
      </c>
      <c r="E170" s="50">
        <f>(IF(B170=1,Modal_Basic_Prem_Yr1,Modal_Basic_Prem_Yr2)*(Prem_Mode="Monthly")+(Prem_Mode="Annual")*IF(B170=1,Modal_Basic_Prem_Yr1,Modal_Basic_Prem_Yr2)*(MOD(C170-1,12)=0))*(B170&lt;=15)</f>
        <v>47840</v>
      </c>
      <c r="F170" s="50">
        <f>SUM($E$6:E170)</f>
        <v>7893600</v>
      </c>
      <c r="G170" s="51">
        <f>MAX(F170*D170-SA/100*(C170-10*12)*(B170&gt;10),0)</f>
        <v>2639904</v>
      </c>
      <c r="H170" s="49">
        <f>VLOOKUP(B170,$L$5:$N$30,3,0)</f>
        <v>0.36</v>
      </c>
      <c r="I170" s="50">
        <f>VLOOKUP(B170,$P$5:$Q$30,2,0)*SA*(B170-1)*H170</f>
        <v>752544</v>
      </c>
      <c r="J170" s="50">
        <f>G170+I170</f>
        <v>3392448</v>
      </c>
      <c r="K170" s="59"/>
      <c r="L170" s="63"/>
    </row>
    <row r="171" spans="2:12">
      <c r="B171" s="42">
        <f>B159+1</f>
        <v>14</v>
      </c>
      <c r="C171" s="43">
        <f>C170+1</f>
        <v>166</v>
      </c>
      <c r="D171" s="44">
        <f>VLOOKUP(B171,$L$5:$N$30,2,0)</f>
        <v>0.64</v>
      </c>
      <c r="E171" s="45">
        <f>(IF(B171=1,Modal_Basic_Prem_Yr1,Modal_Basic_Prem_Yr2)*(Prem_Mode="Monthly")+(Prem_Mode="Annual")*IF(B171=1,Modal_Basic_Prem_Yr1,Modal_Basic_Prem_Yr2)*(MOD(C171-1,12)=0))*(B171&lt;=15)</f>
        <v>47840</v>
      </c>
      <c r="F171" s="45">
        <f>SUM($E$6:E171)</f>
        <v>7941440</v>
      </c>
      <c r="G171" s="46">
        <f>MAX(F171*D171-SA/100*(C171-10*12)*(B171&gt;10),0)</f>
        <v>2616921.6</v>
      </c>
      <c r="H171" s="44">
        <f>VLOOKUP(B171,$L$5:$N$30,3,0)</f>
        <v>0.36</v>
      </c>
      <c r="I171" s="45">
        <f>VLOOKUP(B171,$P$5:$Q$30,2,0)*SA*(B171-1)*H171</f>
        <v>752544</v>
      </c>
      <c r="J171" s="45">
        <f>G171+I171</f>
        <v>3369465.6</v>
      </c>
      <c r="K171" s="59"/>
      <c r="L171" s="63"/>
    </row>
    <row r="172" spans="2:12">
      <c r="B172" s="47">
        <f>B160+1</f>
        <v>14</v>
      </c>
      <c r="C172" s="48">
        <f>C171+1</f>
        <v>167</v>
      </c>
      <c r="D172" s="49">
        <f>VLOOKUP(B172,$L$5:$N$30,2,0)</f>
        <v>0.64</v>
      </c>
      <c r="E172" s="50">
        <f>(IF(B172=1,Modal_Basic_Prem_Yr1,Modal_Basic_Prem_Yr2)*(Prem_Mode="Monthly")+(Prem_Mode="Annual")*IF(B172=1,Modal_Basic_Prem_Yr1,Modal_Basic_Prem_Yr2)*(MOD(C172-1,12)=0))*(B172&lt;=15)</f>
        <v>47840</v>
      </c>
      <c r="F172" s="50">
        <f>SUM($E$6:E172)</f>
        <v>7989280</v>
      </c>
      <c r="G172" s="51">
        <f>MAX(F172*D172-SA/100*(C172-10*12)*(B172&gt;10),0)</f>
        <v>2593939.2</v>
      </c>
      <c r="H172" s="49">
        <f>VLOOKUP(B172,$L$5:$N$30,3,0)</f>
        <v>0.36</v>
      </c>
      <c r="I172" s="50">
        <f>VLOOKUP(B172,$P$5:$Q$30,2,0)*SA*(B172-1)*H172</f>
        <v>752544</v>
      </c>
      <c r="J172" s="50">
        <f>G172+I172</f>
        <v>3346483.2</v>
      </c>
      <c r="K172" s="59"/>
      <c r="L172" s="63"/>
    </row>
    <row r="173" spans="2:12">
      <c r="B173" s="42">
        <f>B161+1</f>
        <v>14</v>
      </c>
      <c r="C173" s="43">
        <f>C172+1</f>
        <v>168</v>
      </c>
      <c r="D173" s="44">
        <f>VLOOKUP(B173,$L$5:$N$30,2,0)</f>
        <v>0.64</v>
      </c>
      <c r="E173" s="45">
        <f>(IF(B173=1,Modal_Basic_Prem_Yr1,Modal_Basic_Prem_Yr2)*(Prem_Mode="Monthly")+(Prem_Mode="Annual")*IF(B173=1,Modal_Basic_Prem_Yr1,Modal_Basic_Prem_Yr2)*(MOD(C173-1,12)=0))*(B173&lt;=15)</f>
        <v>47840</v>
      </c>
      <c r="F173" s="45">
        <f>SUM($E$6:E173)</f>
        <v>8037120</v>
      </c>
      <c r="G173" s="46">
        <f>MAX(F173*D173-SA/100*(C173-10*12)*(B173&gt;10),0)</f>
        <v>2570956.8</v>
      </c>
      <c r="H173" s="44">
        <f>VLOOKUP(B173,$L$5:$N$30,3,0)</f>
        <v>0.36</v>
      </c>
      <c r="I173" s="45">
        <f>VLOOKUP(B173,$P$5:$Q$30,2,0)*SA*(B173-1)*H173</f>
        <v>752544</v>
      </c>
      <c r="J173" s="45">
        <f>G173+I173</f>
        <v>3323500.8</v>
      </c>
      <c r="K173" s="59"/>
      <c r="L173" s="63"/>
    </row>
    <row r="174" spans="2:12">
      <c r="B174" s="47">
        <f>B162+1</f>
        <v>15</v>
      </c>
      <c r="C174" s="48">
        <f>C173+1</f>
        <v>169</v>
      </c>
      <c r="D174" s="49">
        <f>VLOOKUP(B174,$L$5:$N$30,2,0)</f>
        <v>0.66</v>
      </c>
      <c r="E174" s="50">
        <f>(IF(B174=1,Modal_Basic_Prem_Yr1,Modal_Basic_Prem_Yr2)*(Prem_Mode="Monthly")+(Prem_Mode="Annual")*IF(B174=1,Modal_Basic_Prem_Yr1,Modal_Basic_Prem_Yr2)*(MOD(C174-1,12)=0))*(B174&lt;=15)</f>
        <v>47840</v>
      </c>
      <c r="F174" s="50">
        <f>SUM($E$6:E174)</f>
        <v>8084960</v>
      </c>
      <c r="G174" s="51">
        <f>MAX(F174*D174-SA/100*(C174-10*12)*(B174&gt;10),0)</f>
        <v>2709673.6</v>
      </c>
      <c r="H174" s="49">
        <f>VLOOKUP(B174,$L$5:$N$30,3,0)</f>
        <v>0.39</v>
      </c>
      <c r="I174" s="50">
        <f>VLOOKUP(B174,$P$5:$Q$30,2,0)*SA*(B174-1)*H174</f>
        <v>877968</v>
      </c>
      <c r="J174" s="50">
        <f>G174+I174</f>
        <v>3587641.6</v>
      </c>
      <c r="K174" s="59"/>
      <c r="L174" s="63"/>
    </row>
    <row r="175" spans="2:12">
      <c r="B175" s="42">
        <f>B163+1</f>
        <v>15</v>
      </c>
      <c r="C175" s="43">
        <f>C174+1</f>
        <v>170</v>
      </c>
      <c r="D175" s="44">
        <f>VLOOKUP(B175,$L$5:$N$30,2,0)</f>
        <v>0.66</v>
      </c>
      <c r="E175" s="45">
        <f>(IF(B175=1,Modal_Basic_Prem_Yr1,Modal_Basic_Prem_Yr2)*(Prem_Mode="Monthly")+(Prem_Mode="Annual")*IF(B175=1,Modal_Basic_Prem_Yr1,Modal_Basic_Prem_Yr2)*(MOD(C175-1,12)=0))*(B175&lt;=15)</f>
        <v>47840</v>
      </c>
      <c r="F175" s="45">
        <f>SUM($E$6:E175)</f>
        <v>8132800</v>
      </c>
      <c r="G175" s="46">
        <f>MAX(F175*D175-SA/100*(C175-10*12)*(B175&gt;10),0)</f>
        <v>2687648</v>
      </c>
      <c r="H175" s="44">
        <f>VLOOKUP(B175,$L$5:$N$30,3,0)</f>
        <v>0.39</v>
      </c>
      <c r="I175" s="45">
        <f>VLOOKUP(B175,$P$5:$Q$30,2,0)*SA*(B175-1)*H175</f>
        <v>877968</v>
      </c>
      <c r="J175" s="45">
        <f>G175+I175</f>
        <v>3565616</v>
      </c>
      <c r="K175" s="59"/>
      <c r="L175" s="63"/>
    </row>
    <row r="176" spans="2:12">
      <c r="B176" s="47">
        <f>B164+1</f>
        <v>15</v>
      </c>
      <c r="C176" s="48">
        <f>C175+1</f>
        <v>171</v>
      </c>
      <c r="D176" s="49">
        <f>VLOOKUP(B176,$L$5:$N$30,2,0)</f>
        <v>0.66</v>
      </c>
      <c r="E176" s="50">
        <f>(IF(B176=1,Modal_Basic_Prem_Yr1,Modal_Basic_Prem_Yr2)*(Prem_Mode="Monthly")+(Prem_Mode="Annual")*IF(B176=1,Modal_Basic_Prem_Yr1,Modal_Basic_Prem_Yr2)*(MOD(C176-1,12)=0))*(B176&lt;=15)</f>
        <v>47840</v>
      </c>
      <c r="F176" s="50">
        <f>SUM($E$6:E176)</f>
        <v>8180640</v>
      </c>
      <c r="G176" s="51">
        <f>MAX(F176*D176-SA/100*(C176-10*12)*(B176&gt;10),0)</f>
        <v>2665622.4</v>
      </c>
      <c r="H176" s="49">
        <f>VLOOKUP(B176,$L$5:$N$30,3,0)</f>
        <v>0.39</v>
      </c>
      <c r="I176" s="50">
        <f>VLOOKUP(B176,$P$5:$Q$30,2,0)*SA*(B176-1)*H176</f>
        <v>877968</v>
      </c>
      <c r="J176" s="50">
        <f>G176+I176</f>
        <v>3543590.4</v>
      </c>
      <c r="K176" s="59"/>
      <c r="L176" s="63"/>
    </row>
    <row r="177" spans="2:12">
      <c r="B177" s="42">
        <f>B165+1</f>
        <v>15</v>
      </c>
      <c r="C177" s="43">
        <f>C176+1</f>
        <v>172</v>
      </c>
      <c r="D177" s="44">
        <f>VLOOKUP(B177,$L$5:$N$30,2,0)</f>
        <v>0.66</v>
      </c>
      <c r="E177" s="45">
        <f>(IF(B177=1,Modal_Basic_Prem_Yr1,Modal_Basic_Prem_Yr2)*(Prem_Mode="Monthly")+(Prem_Mode="Annual")*IF(B177=1,Modal_Basic_Prem_Yr1,Modal_Basic_Prem_Yr2)*(MOD(C177-1,12)=0))*(B177&lt;=15)</f>
        <v>47840</v>
      </c>
      <c r="F177" s="45">
        <f>SUM($E$6:E177)</f>
        <v>8228480</v>
      </c>
      <c r="G177" s="46">
        <f>MAX(F177*D177-SA/100*(C177-10*12)*(B177&gt;10),0)</f>
        <v>2643596.8</v>
      </c>
      <c r="H177" s="44">
        <f>VLOOKUP(B177,$L$5:$N$30,3,0)</f>
        <v>0.39</v>
      </c>
      <c r="I177" s="45">
        <f>VLOOKUP(B177,$P$5:$Q$30,2,0)*SA*(B177-1)*H177</f>
        <v>877968</v>
      </c>
      <c r="J177" s="45">
        <f>G177+I177</f>
        <v>3521564.8</v>
      </c>
      <c r="K177" s="59"/>
      <c r="L177" s="63"/>
    </row>
    <row r="178" spans="2:12">
      <c r="B178" s="47">
        <f>B166+1</f>
        <v>15</v>
      </c>
      <c r="C178" s="48">
        <f>C177+1</f>
        <v>173</v>
      </c>
      <c r="D178" s="49">
        <f>VLOOKUP(B178,$L$5:$N$30,2,0)</f>
        <v>0.66</v>
      </c>
      <c r="E178" s="50">
        <f>(IF(B178=1,Modal_Basic_Prem_Yr1,Modal_Basic_Prem_Yr2)*(Prem_Mode="Monthly")+(Prem_Mode="Annual")*IF(B178=1,Modal_Basic_Prem_Yr1,Modal_Basic_Prem_Yr2)*(MOD(C178-1,12)=0))*(B178&lt;=15)</f>
        <v>47840</v>
      </c>
      <c r="F178" s="50">
        <f>SUM($E$6:E178)</f>
        <v>8276320</v>
      </c>
      <c r="G178" s="51">
        <f>MAX(F178*D178-SA/100*(C178-10*12)*(B178&gt;10),0)</f>
        <v>2621571.2</v>
      </c>
      <c r="H178" s="49">
        <f>VLOOKUP(B178,$L$5:$N$30,3,0)</f>
        <v>0.39</v>
      </c>
      <c r="I178" s="50">
        <f>VLOOKUP(B178,$P$5:$Q$30,2,0)*SA*(B178-1)*H178</f>
        <v>877968</v>
      </c>
      <c r="J178" s="50">
        <f>G178+I178</f>
        <v>3499539.2</v>
      </c>
      <c r="K178" s="59"/>
      <c r="L178" s="63"/>
    </row>
    <row r="179" spans="2:12">
      <c r="B179" s="42">
        <f>B167+1</f>
        <v>15</v>
      </c>
      <c r="C179" s="43">
        <f>C178+1</f>
        <v>174</v>
      </c>
      <c r="D179" s="44">
        <f>VLOOKUP(B179,$L$5:$N$30,2,0)</f>
        <v>0.66</v>
      </c>
      <c r="E179" s="45">
        <f>(IF(B179=1,Modal_Basic_Prem_Yr1,Modal_Basic_Prem_Yr2)*(Prem_Mode="Monthly")+(Prem_Mode="Annual")*IF(B179=1,Modal_Basic_Prem_Yr1,Modal_Basic_Prem_Yr2)*(MOD(C179-1,12)=0))*(B179&lt;=15)</f>
        <v>47840</v>
      </c>
      <c r="F179" s="45">
        <f>SUM($E$6:E179)</f>
        <v>8324160</v>
      </c>
      <c r="G179" s="46">
        <f>MAX(F179*D179-SA/100*(C179-10*12)*(B179&gt;10),0)</f>
        <v>2599545.6</v>
      </c>
      <c r="H179" s="44">
        <f>VLOOKUP(B179,$L$5:$N$30,3,0)</f>
        <v>0.39</v>
      </c>
      <c r="I179" s="45">
        <f>VLOOKUP(B179,$P$5:$Q$30,2,0)*SA*(B179-1)*H179</f>
        <v>877968</v>
      </c>
      <c r="J179" s="45">
        <f>G179+I179</f>
        <v>3477513.6</v>
      </c>
      <c r="K179" s="59"/>
      <c r="L179" s="63"/>
    </row>
    <row r="180" spans="2:12">
      <c r="B180" s="47">
        <f>B168+1</f>
        <v>15</v>
      </c>
      <c r="C180" s="48">
        <f>C179+1</f>
        <v>175</v>
      </c>
      <c r="D180" s="49">
        <f>VLOOKUP(B180,$L$5:$N$30,2,0)</f>
        <v>0.66</v>
      </c>
      <c r="E180" s="50">
        <f>(IF(B180=1,Modal_Basic_Prem_Yr1,Modal_Basic_Prem_Yr2)*(Prem_Mode="Monthly")+(Prem_Mode="Annual")*IF(B180=1,Modal_Basic_Prem_Yr1,Modal_Basic_Prem_Yr2)*(MOD(C180-1,12)=0))*(B180&lt;=15)</f>
        <v>47840</v>
      </c>
      <c r="F180" s="50">
        <f>SUM($E$6:E180)</f>
        <v>8372000</v>
      </c>
      <c r="G180" s="51">
        <f>MAX(F180*D180-SA/100*(C180-10*12)*(B180&gt;10),0)</f>
        <v>2577520</v>
      </c>
      <c r="H180" s="49">
        <f>VLOOKUP(B180,$L$5:$N$30,3,0)</f>
        <v>0.39</v>
      </c>
      <c r="I180" s="50">
        <f>VLOOKUP(B180,$P$5:$Q$30,2,0)*SA*(B180-1)*H180</f>
        <v>877968</v>
      </c>
      <c r="J180" s="50">
        <f>G180+I180</f>
        <v>3455488</v>
      </c>
      <c r="K180" s="59"/>
      <c r="L180" s="63"/>
    </row>
    <row r="181" spans="2:12">
      <c r="B181" s="42">
        <f>B169+1</f>
        <v>15</v>
      </c>
      <c r="C181" s="43">
        <f>C180+1</f>
        <v>176</v>
      </c>
      <c r="D181" s="44">
        <f>VLOOKUP(B181,$L$5:$N$30,2,0)</f>
        <v>0.66</v>
      </c>
      <c r="E181" s="45">
        <f>(IF(B181=1,Modal_Basic_Prem_Yr1,Modal_Basic_Prem_Yr2)*(Prem_Mode="Monthly")+(Prem_Mode="Annual")*IF(B181=1,Modal_Basic_Prem_Yr1,Modal_Basic_Prem_Yr2)*(MOD(C181-1,12)=0))*(B181&lt;=15)</f>
        <v>47840</v>
      </c>
      <c r="F181" s="45">
        <f>SUM($E$6:E181)</f>
        <v>8419840</v>
      </c>
      <c r="G181" s="46">
        <f>MAX(F181*D181-SA/100*(C181-10*12)*(B181&gt;10),0)</f>
        <v>2555494.4</v>
      </c>
      <c r="H181" s="44">
        <f>VLOOKUP(B181,$L$5:$N$30,3,0)</f>
        <v>0.39</v>
      </c>
      <c r="I181" s="45">
        <f>VLOOKUP(B181,$P$5:$Q$30,2,0)*SA*(B181-1)*H181</f>
        <v>877968</v>
      </c>
      <c r="J181" s="45">
        <f>G181+I181</f>
        <v>3433462.4</v>
      </c>
      <c r="K181" s="59"/>
      <c r="L181" s="63"/>
    </row>
    <row r="182" spans="2:12">
      <c r="B182" s="47">
        <f>B170+1</f>
        <v>15</v>
      </c>
      <c r="C182" s="48">
        <f>C181+1</f>
        <v>177</v>
      </c>
      <c r="D182" s="49">
        <f>VLOOKUP(B182,$L$5:$N$30,2,0)</f>
        <v>0.66</v>
      </c>
      <c r="E182" s="50">
        <f>(IF(B182=1,Modal_Basic_Prem_Yr1,Modal_Basic_Prem_Yr2)*(Prem_Mode="Monthly")+(Prem_Mode="Annual")*IF(B182=1,Modal_Basic_Prem_Yr1,Modal_Basic_Prem_Yr2)*(MOD(C182-1,12)=0))*(B182&lt;=15)</f>
        <v>47840</v>
      </c>
      <c r="F182" s="50">
        <f>SUM($E$6:E182)</f>
        <v>8467680</v>
      </c>
      <c r="G182" s="51">
        <f>MAX(F182*D182-SA/100*(C182-10*12)*(B182&gt;10),0)</f>
        <v>2533468.8</v>
      </c>
      <c r="H182" s="49">
        <f>VLOOKUP(B182,$L$5:$N$30,3,0)</f>
        <v>0.39</v>
      </c>
      <c r="I182" s="50">
        <f>VLOOKUP(B182,$P$5:$Q$30,2,0)*SA*(B182-1)*H182</f>
        <v>877968</v>
      </c>
      <c r="J182" s="50">
        <f>G182+I182</f>
        <v>3411436.8</v>
      </c>
      <c r="K182" s="59"/>
      <c r="L182" s="63"/>
    </row>
    <row r="183" spans="2:12">
      <c r="B183" s="42">
        <f>B171+1</f>
        <v>15</v>
      </c>
      <c r="C183" s="43">
        <f>C182+1</f>
        <v>178</v>
      </c>
      <c r="D183" s="44">
        <f>VLOOKUP(B183,$L$5:$N$30,2,0)</f>
        <v>0.66</v>
      </c>
      <c r="E183" s="45">
        <f>(IF(B183=1,Modal_Basic_Prem_Yr1,Modal_Basic_Prem_Yr2)*(Prem_Mode="Monthly")+(Prem_Mode="Annual")*IF(B183=1,Modal_Basic_Prem_Yr1,Modal_Basic_Prem_Yr2)*(MOD(C183-1,12)=0))*(B183&lt;=15)</f>
        <v>47840</v>
      </c>
      <c r="F183" s="45">
        <f>SUM($E$6:E183)</f>
        <v>8515520</v>
      </c>
      <c r="G183" s="46">
        <f>MAX(F183*D183-SA/100*(C183-10*12)*(B183&gt;10),0)</f>
        <v>2511443.2</v>
      </c>
      <c r="H183" s="44">
        <f>VLOOKUP(B183,$L$5:$N$30,3,0)</f>
        <v>0.39</v>
      </c>
      <c r="I183" s="45">
        <f>VLOOKUP(B183,$P$5:$Q$30,2,0)*SA*(B183-1)*H183</f>
        <v>877968</v>
      </c>
      <c r="J183" s="45">
        <f>G183+I183</f>
        <v>3389411.2</v>
      </c>
      <c r="K183" s="59"/>
      <c r="L183" s="63"/>
    </row>
    <row r="184" spans="2:12">
      <c r="B184" s="47">
        <f>B172+1</f>
        <v>15</v>
      </c>
      <c r="C184" s="48">
        <f>C183+1</f>
        <v>179</v>
      </c>
      <c r="D184" s="49">
        <f>VLOOKUP(B184,$L$5:$N$30,2,0)</f>
        <v>0.66</v>
      </c>
      <c r="E184" s="50">
        <f>(IF(B184=1,Modal_Basic_Prem_Yr1,Modal_Basic_Prem_Yr2)*(Prem_Mode="Monthly")+(Prem_Mode="Annual")*IF(B184=1,Modal_Basic_Prem_Yr1,Modal_Basic_Prem_Yr2)*(MOD(C184-1,12)=0))*(B184&lt;=15)</f>
        <v>47840</v>
      </c>
      <c r="F184" s="50">
        <f>SUM($E$6:E184)</f>
        <v>8563360</v>
      </c>
      <c r="G184" s="51">
        <f>MAX(F184*D184-SA/100*(C184-10*12)*(B184&gt;10),0)</f>
        <v>2489417.6</v>
      </c>
      <c r="H184" s="49">
        <f>VLOOKUP(B184,$L$5:$N$30,3,0)</f>
        <v>0.39</v>
      </c>
      <c r="I184" s="50">
        <f>VLOOKUP(B184,$P$5:$Q$30,2,0)*SA*(B184-1)*H184</f>
        <v>877968</v>
      </c>
      <c r="J184" s="50">
        <f>G184+I184</f>
        <v>3367385.6</v>
      </c>
      <c r="K184" s="59"/>
      <c r="L184" s="63"/>
    </row>
    <row r="185" spans="2:12">
      <c r="B185" s="42">
        <f>B173+1</f>
        <v>15</v>
      </c>
      <c r="C185" s="43">
        <f>C184+1</f>
        <v>180</v>
      </c>
      <c r="D185" s="44">
        <f>VLOOKUP(B185,$L$5:$N$30,2,0)</f>
        <v>0.66</v>
      </c>
      <c r="E185" s="45">
        <f>(IF(B185=1,Modal_Basic_Prem_Yr1,Modal_Basic_Prem_Yr2)*(Prem_Mode="Monthly")+(Prem_Mode="Annual")*IF(B185=1,Modal_Basic_Prem_Yr1,Modal_Basic_Prem_Yr2)*(MOD(C185-1,12)=0))*(B185&lt;=15)</f>
        <v>47840</v>
      </c>
      <c r="F185" s="45">
        <f>SUM($E$6:E185)</f>
        <v>8611200</v>
      </c>
      <c r="G185" s="46">
        <f>MAX(F185*D185-SA/100*(C185-10*12)*(B185&gt;10),0)</f>
        <v>2467392</v>
      </c>
      <c r="H185" s="44">
        <f>VLOOKUP(B185,$L$5:$N$30,3,0)</f>
        <v>0.39</v>
      </c>
      <c r="I185" s="45">
        <f>VLOOKUP(B185,$P$5:$Q$30,2,0)*SA*(B185-1)*H185</f>
        <v>877968</v>
      </c>
      <c r="J185" s="45">
        <f>G185+I185</f>
        <v>3345360</v>
      </c>
      <c r="K185" s="59"/>
      <c r="L185" s="63"/>
    </row>
    <row r="186" spans="2:12">
      <c r="B186" s="47">
        <f>B174+1</f>
        <v>16</v>
      </c>
      <c r="C186" s="48">
        <f>C185+1</f>
        <v>181</v>
      </c>
      <c r="D186" s="49">
        <f>VLOOKUP(B186,$L$5:$N$30,2,0)</f>
        <v>0.68</v>
      </c>
      <c r="E186" s="50">
        <f>(IF(B186=1,Modal_Basic_Prem_Yr1,Modal_Basic_Prem_Yr2)*(Prem_Mode="Monthly")+(Prem_Mode="Annual")*IF(B186=1,Modal_Basic_Prem_Yr1,Modal_Basic_Prem_Yr2)*(MOD(C186-1,12)=0))*(B186&lt;=15)</f>
        <v>0</v>
      </c>
      <c r="F186" s="50">
        <f>SUM($E$6:E186)</f>
        <v>8611200</v>
      </c>
      <c r="G186" s="51">
        <f>MAX(F186*D186-SA/100*(C186-10*12)*(B186&gt;10),0)</f>
        <v>2586016</v>
      </c>
      <c r="H186" s="49">
        <f>VLOOKUP(B186,$L$5:$N$30,3,0)</f>
        <v>0.42</v>
      </c>
      <c r="I186" s="50">
        <f>VLOOKUP(B186,$P$5:$Q$30,2,0)*SA*(B186-1)*H186</f>
        <v>1013040</v>
      </c>
      <c r="J186" s="50">
        <f>G186+I186</f>
        <v>3599056</v>
      </c>
      <c r="K186" s="59"/>
      <c r="L186" s="63"/>
    </row>
    <row r="187" spans="2:12">
      <c r="B187" s="42">
        <f>B175+1</f>
        <v>16</v>
      </c>
      <c r="C187" s="43">
        <f>C186+1</f>
        <v>182</v>
      </c>
      <c r="D187" s="44">
        <f>VLOOKUP(B187,$L$5:$N$30,2,0)</f>
        <v>0.68</v>
      </c>
      <c r="E187" s="45">
        <f>(IF(B187=1,Modal_Basic_Prem_Yr1,Modal_Basic_Prem_Yr2)*(Prem_Mode="Monthly")+(Prem_Mode="Annual")*IF(B187=1,Modal_Basic_Prem_Yr1,Modal_Basic_Prem_Yr2)*(MOD(C187-1,12)=0))*(B187&lt;=15)</f>
        <v>0</v>
      </c>
      <c r="F187" s="45">
        <f>SUM($E$6:E187)</f>
        <v>8611200</v>
      </c>
      <c r="G187" s="46">
        <f>MAX(F187*D187-SA/100*(C187-10*12)*(B187&gt;10),0)</f>
        <v>2532416</v>
      </c>
      <c r="H187" s="44">
        <f>VLOOKUP(B187,$L$5:$N$30,3,0)</f>
        <v>0.42</v>
      </c>
      <c r="I187" s="45">
        <f>VLOOKUP(B187,$P$5:$Q$30,2,0)*SA*(B187-1)*H187</f>
        <v>1013040</v>
      </c>
      <c r="J187" s="45">
        <f>G187+I187</f>
        <v>3545456</v>
      </c>
      <c r="K187" s="59"/>
      <c r="L187" s="63"/>
    </row>
    <row r="188" spans="2:12">
      <c r="B188" s="47">
        <f>B176+1</f>
        <v>16</v>
      </c>
      <c r="C188" s="48">
        <f>C187+1</f>
        <v>183</v>
      </c>
      <c r="D188" s="49">
        <f>VLOOKUP(B188,$L$5:$N$30,2,0)</f>
        <v>0.68</v>
      </c>
      <c r="E188" s="50">
        <f>(IF(B188=1,Modal_Basic_Prem_Yr1,Modal_Basic_Prem_Yr2)*(Prem_Mode="Monthly")+(Prem_Mode="Annual")*IF(B188=1,Modal_Basic_Prem_Yr1,Modal_Basic_Prem_Yr2)*(MOD(C188-1,12)=0))*(B188&lt;=15)</f>
        <v>0</v>
      </c>
      <c r="F188" s="50">
        <f>SUM($E$6:E188)</f>
        <v>8611200</v>
      </c>
      <c r="G188" s="51">
        <f>MAX(F188*D188-SA/100*(C188-10*12)*(B188&gt;10),0)</f>
        <v>2478816</v>
      </c>
      <c r="H188" s="49">
        <f>VLOOKUP(B188,$L$5:$N$30,3,0)</f>
        <v>0.42</v>
      </c>
      <c r="I188" s="50">
        <f>VLOOKUP(B188,$P$5:$Q$30,2,0)*SA*(B188-1)*H188</f>
        <v>1013040</v>
      </c>
      <c r="J188" s="50">
        <f>G188+I188</f>
        <v>3491856</v>
      </c>
      <c r="K188" s="59"/>
      <c r="L188" s="63"/>
    </row>
    <row r="189" spans="2:12">
      <c r="B189" s="42">
        <f>B177+1</f>
        <v>16</v>
      </c>
      <c r="C189" s="43">
        <f>C188+1</f>
        <v>184</v>
      </c>
      <c r="D189" s="44">
        <f>VLOOKUP(B189,$L$5:$N$30,2,0)</f>
        <v>0.68</v>
      </c>
      <c r="E189" s="45">
        <f>(IF(B189=1,Modal_Basic_Prem_Yr1,Modal_Basic_Prem_Yr2)*(Prem_Mode="Monthly")+(Prem_Mode="Annual")*IF(B189=1,Modal_Basic_Prem_Yr1,Modal_Basic_Prem_Yr2)*(MOD(C189-1,12)=0))*(B189&lt;=15)</f>
        <v>0</v>
      </c>
      <c r="F189" s="45">
        <f>SUM($E$6:E189)</f>
        <v>8611200</v>
      </c>
      <c r="G189" s="46">
        <f>MAX(F189*D189-SA/100*(C189-10*12)*(B189&gt;10),0)</f>
        <v>2425216</v>
      </c>
      <c r="H189" s="44">
        <f>VLOOKUP(B189,$L$5:$N$30,3,0)</f>
        <v>0.42</v>
      </c>
      <c r="I189" s="45">
        <f>VLOOKUP(B189,$P$5:$Q$30,2,0)*SA*(B189-1)*H189</f>
        <v>1013040</v>
      </c>
      <c r="J189" s="45">
        <f>G189+I189</f>
        <v>3438256</v>
      </c>
      <c r="K189" s="59"/>
      <c r="L189" s="63"/>
    </row>
    <row r="190" spans="2:12">
      <c r="B190" s="47">
        <f>B178+1</f>
        <v>16</v>
      </c>
      <c r="C190" s="48">
        <f>C189+1</f>
        <v>185</v>
      </c>
      <c r="D190" s="49">
        <f>VLOOKUP(B190,$L$5:$N$30,2,0)</f>
        <v>0.68</v>
      </c>
      <c r="E190" s="50">
        <f>(IF(B190=1,Modal_Basic_Prem_Yr1,Modal_Basic_Prem_Yr2)*(Prem_Mode="Monthly")+(Prem_Mode="Annual")*IF(B190=1,Modal_Basic_Prem_Yr1,Modal_Basic_Prem_Yr2)*(MOD(C190-1,12)=0))*(B190&lt;=15)</f>
        <v>0</v>
      </c>
      <c r="F190" s="50">
        <f>SUM($E$6:E190)</f>
        <v>8611200</v>
      </c>
      <c r="G190" s="51">
        <f>MAX(F190*D190-SA/100*(C190-10*12)*(B190&gt;10),0)</f>
        <v>2371616</v>
      </c>
      <c r="H190" s="49">
        <f>VLOOKUP(B190,$L$5:$N$30,3,0)</f>
        <v>0.42</v>
      </c>
      <c r="I190" s="50">
        <f>VLOOKUP(B190,$P$5:$Q$30,2,0)*SA*(B190-1)*H190</f>
        <v>1013040</v>
      </c>
      <c r="J190" s="50">
        <f>G190+I190</f>
        <v>3384656</v>
      </c>
      <c r="K190" s="59"/>
      <c r="L190" s="63"/>
    </row>
    <row r="191" spans="2:12">
      <c r="B191" s="42">
        <f>B179+1</f>
        <v>16</v>
      </c>
      <c r="C191" s="43">
        <f>C190+1</f>
        <v>186</v>
      </c>
      <c r="D191" s="44">
        <f>VLOOKUP(B191,$L$5:$N$30,2,0)</f>
        <v>0.68</v>
      </c>
      <c r="E191" s="45">
        <f>(IF(B191=1,Modal_Basic_Prem_Yr1,Modal_Basic_Prem_Yr2)*(Prem_Mode="Monthly")+(Prem_Mode="Annual")*IF(B191=1,Modal_Basic_Prem_Yr1,Modal_Basic_Prem_Yr2)*(MOD(C191-1,12)=0))*(B191&lt;=15)</f>
        <v>0</v>
      </c>
      <c r="F191" s="45">
        <f>SUM($E$6:E191)</f>
        <v>8611200</v>
      </c>
      <c r="G191" s="46">
        <f>MAX(F191*D191-SA/100*(C191-10*12)*(B191&gt;10),0)</f>
        <v>2318016</v>
      </c>
      <c r="H191" s="44">
        <f>VLOOKUP(B191,$L$5:$N$30,3,0)</f>
        <v>0.42</v>
      </c>
      <c r="I191" s="45">
        <f>VLOOKUP(B191,$P$5:$Q$30,2,0)*SA*(B191-1)*H191</f>
        <v>1013040</v>
      </c>
      <c r="J191" s="45">
        <f>G191+I191</f>
        <v>3331056</v>
      </c>
      <c r="K191" s="59"/>
      <c r="L191" s="63"/>
    </row>
    <row r="192" spans="2:12">
      <c r="B192" s="47">
        <f>B180+1</f>
        <v>16</v>
      </c>
      <c r="C192" s="48">
        <f>C191+1</f>
        <v>187</v>
      </c>
      <c r="D192" s="49">
        <f>VLOOKUP(B192,$L$5:$N$30,2,0)</f>
        <v>0.68</v>
      </c>
      <c r="E192" s="50">
        <f>(IF(B192=1,Modal_Basic_Prem_Yr1,Modal_Basic_Prem_Yr2)*(Prem_Mode="Monthly")+(Prem_Mode="Annual")*IF(B192=1,Modal_Basic_Prem_Yr1,Modal_Basic_Prem_Yr2)*(MOD(C192-1,12)=0))*(B192&lt;=15)</f>
        <v>0</v>
      </c>
      <c r="F192" s="50">
        <f>SUM($E$6:E192)</f>
        <v>8611200</v>
      </c>
      <c r="G192" s="51">
        <f>MAX(F192*D192-SA/100*(C192-10*12)*(B192&gt;10),0)</f>
        <v>2264416</v>
      </c>
      <c r="H192" s="49">
        <f>VLOOKUP(B192,$L$5:$N$30,3,0)</f>
        <v>0.42</v>
      </c>
      <c r="I192" s="50">
        <f>VLOOKUP(B192,$P$5:$Q$30,2,0)*SA*(B192-1)*H192</f>
        <v>1013040</v>
      </c>
      <c r="J192" s="50">
        <f>G192+I192</f>
        <v>3277456</v>
      </c>
      <c r="K192" s="59"/>
      <c r="L192" s="63"/>
    </row>
    <row r="193" spans="2:12">
      <c r="B193" s="42">
        <f>B181+1</f>
        <v>16</v>
      </c>
      <c r="C193" s="43">
        <f>C192+1</f>
        <v>188</v>
      </c>
      <c r="D193" s="44">
        <f>VLOOKUP(B193,$L$5:$N$30,2,0)</f>
        <v>0.68</v>
      </c>
      <c r="E193" s="45">
        <f>(IF(B193=1,Modal_Basic_Prem_Yr1,Modal_Basic_Prem_Yr2)*(Prem_Mode="Monthly")+(Prem_Mode="Annual")*IF(B193=1,Modal_Basic_Prem_Yr1,Modal_Basic_Prem_Yr2)*(MOD(C193-1,12)=0))*(B193&lt;=15)</f>
        <v>0</v>
      </c>
      <c r="F193" s="45">
        <f>SUM($E$6:E193)</f>
        <v>8611200</v>
      </c>
      <c r="G193" s="46">
        <f>MAX(F193*D193-SA/100*(C193-10*12)*(B193&gt;10),0)</f>
        <v>2210816</v>
      </c>
      <c r="H193" s="44">
        <f>VLOOKUP(B193,$L$5:$N$30,3,0)</f>
        <v>0.42</v>
      </c>
      <c r="I193" s="45">
        <f>VLOOKUP(B193,$P$5:$Q$30,2,0)*SA*(B193-1)*H193</f>
        <v>1013040</v>
      </c>
      <c r="J193" s="45">
        <f>G193+I193</f>
        <v>3223856</v>
      </c>
      <c r="K193" s="59"/>
      <c r="L193" s="63"/>
    </row>
    <row r="194" spans="2:12">
      <c r="B194" s="47">
        <f>B182+1</f>
        <v>16</v>
      </c>
      <c r="C194" s="48">
        <f>C193+1</f>
        <v>189</v>
      </c>
      <c r="D194" s="49">
        <f>VLOOKUP(B194,$L$5:$N$30,2,0)</f>
        <v>0.68</v>
      </c>
      <c r="E194" s="50">
        <f>(IF(B194=1,Modal_Basic_Prem_Yr1,Modal_Basic_Prem_Yr2)*(Prem_Mode="Monthly")+(Prem_Mode="Annual")*IF(B194=1,Modal_Basic_Prem_Yr1,Modal_Basic_Prem_Yr2)*(MOD(C194-1,12)=0))*(B194&lt;=15)</f>
        <v>0</v>
      </c>
      <c r="F194" s="50">
        <f>SUM($E$6:E194)</f>
        <v>8611200</v>
      </c>
      <c r="G194" s="51">
        <f>MAX(F194*D194-SA/100*(C194-10*12)*(B194&gt;10),0)</f>
        <v>2157216</v>
      </c>
      <c r="H194" s="49">
        <f>VLOOKUP(B194,$L$5:$N$30,3,0)</f>
        <v>0.42</v>
      </c>
      <c r="I194" s="50">
        <f>VLOOKUP(B194,$P$5:$Q$30,2,0)*SA*(B194-1)*H194</f>
        <v>1013040</v>
      </c>
      <c r="J194" s="50">
        <f>G194+I194</f>
        <v>3170256</v>
      </c>
      <c r="K194" s="59"/>
      <c r="L194" s="63"/>
    </row>
    <row r="195" spans="2:12">
      <c r="B195" s="42">
        <f>B183+1</f>
        <v>16</v>
      </c>
      <c r="C195" s="43">
        <f>C194+1</f>
        <v>190</v>
      </c>
      <c r="D195" s="44">
        <f>VLOOKUP(B195,$L$5:$N$30,2,0)</f>
        <v>0.68</v>
      </c>
      <c r="E195" s="45">
        <f>(IF(B195=1,Modal_Basic_Prem_Yr1,Modal_Basic_Prem_Yr2)*(Prem_Mode="Monthly")+(Prem_Mode="Annual")*IF(B195=1,Modal_Basic_Prem_Yr1,Modal_Basic_Prem_Yr2)*(MOD(C195-1,12)=0))*(B195&lt;=15)</f>
        <v>0</v>
      </c>
      <c r="F195" s="45">
        <f>SUM($E$6:E195)</f>
        <v>8611200</v>
      </c>
      <c r="G195" s="46">
        <f>MAX(F195*D195-SA/100*(C195-10*12)*(B195&gt;10),0)</f>
        <v>2103616</v>
      </c>
      <c r="H195" s="44">
        <f>VLOOKUP(B195,$L$5:$N$30,3,0)</f>
        <v>0.42</v>
      </c>
      <c r="I195" s="45">
        <f>VLOOKUP(B195,$P$5:$Q$30,2,0)*SA*(B195-1)*H195</f>
        <v>1013040</v>
      </c>
      <c r="J195" s="45">
        <f>G195+I195</f>
        <v>3116656</v>
      </c>
      <c r="K195" s="59"/>
      <c r="L195" s="63"/>
    </row>
    <row r="196" spans="2:12">
      <c r="B196" s="47">
        <f>B184+1</f>
        <v>16</v>
      </c>
      <c r="C196" s="48">
        <f>C195+1</f>
        <v>191</v>
      </c>
      <c r="D196" s="49">
        <f>VLOOKUP(B196,$L$5:$N$30,2,0)</f>
        <v>0.68</v>
      </c>
      <c r="E196" s="50">
        <f>(IF(B196=1,Modal_Basic_Prem_Yr1,Modal_Basic_Prem_Yr2)*(Prem_Mode="Monthly")+(Prem_Mode="Annual")*IF(B196=1,Modal_Basic_Prem_Yr1,Modal_Basic_Prem_Yr2)*(MOD(C196-1,12)=0))*(B196&lt;=15)</f>
        <v>0</v>
      </c>
      <c r="F196" s="50">
        <f>SUM($E$6:E196)</f>
        <v>8611200</v>
      </c>
      <c r="G196" s="51">
        <f>MAX(F196*D196-SA/100*(C196-10*12)*(B196&gt;10),0)</f>
        <v>2050016</v>
      </c>
      <c r="H196" s="49">
        <f>VLOOKUP(B196,$L$5:$N$30,3,0)</f>
        <v>0.42</v>
      </c>
      <c r="I196" s="50">
        <f>VLOOKUP(B196,$P$5:$Q$30,2,0)*SA*(B196-1)*H196</f>
        <v>1013040</v>
      </c>
      <c r="J196" s="50">
        <f>G196+I196</f>
        <v>3063056</v>
      </c>
      <c r="K196" s="59"/>
      <c r="L196" s="63"/>
    </row>
    <row r="197" spans="2:12">
      <c r="B197" s="42">
        <f>B185+1</f>
        <v>16</v>
      </c>
      <c r="C197" s="43">
        <f>C196+1</f>
        <v>192</v>
      </c>
      <c r="D197" s="44">
        <f>VLOOKUP(B197,$L$5:$N$30,2,0)</f>
        <v>0.68</v>
      </c>
      <c r="E197" s="45">
        <f>(IF(B197=1,Modal_Basic_Prem_Yr1,Modal_Basic_Prem_Yr2)*(Prem_Mode="Monthly")+(Prem_Mode="Annual")*IF(B197=1,Modal_Basic_Prem_Yr1,Modal_Basic_Prem_Yr2)*(MOD(C197-1,12)=0))*(B197&lt;=15)</f>
        <v>0</v>
      </c>
      <c r="F197" s="45">
        <f>SUM($E$6:E197)</f>
        <v>8611200</v>
      </c>
      <c r="G197" s="46">
        <f>MAX(F197*D197-SA/100*(C197-10*12)*(B197&gt;10),0)</f>
        <v>1996416</v>
      </c>
      <c r="H197" s="44">
        <f>VLOOKUP(B197,$L$5:$N$30,3,0)</f>
        <v>0.42</v>
      </c>
      <c r="I197" s="45">
        <f>VLOOKUP(B197,$P$5:$Q$30,2,0)*SA*(B197-1)*H197</f>
        <v>1013040</v>
      </c>
      <c r="J197" s="45">
        <f>G197+I197</f>
        <v>3009456</v>
      </c>
      <c r="K197" s="59"/>
      <c r="L197" s="63"/>
    </row>
    <row r="198" spans="2:12">
      <c r="B198" s="47">
        <f>B186+1</f>
        <v>17</v>
      </c>
      <c r="C198" s="48">
        <f>C197+1</f>
        <v>193</v>
      </c>
      <c r="D198" s="49">
        <f>VLOOKUP(B198,$L$5:$N$30,2,0)</f>
        <v>0.7</v>
      </c>
      <c r="E198" s="50">
        <f>(IF(B198=1,Modal_Basic_Prem_Yr1,Modal_Basic_Prem_Yr2)*(Prem_Mode="Monthly")+(Prem_Mode="Annual")*IF(B198=1,Modal_Basic_Prem_Yr1,Modal_Basic_Prem_Yr2)*(MOD(C198-1,12)=0))*(B198&lt;=15)</f>
        <v>0</v>
      </c>
      <c r="F198" s="50">
        <f>SUM($E$6:E198)</f>
        <v>8611200</v>
      </c>
      <c r="G198" s="51">
        <f>MAX(F198*D198-SA/100*(C198-10*12)*(B198&gt;10),0)</f>
        <v>2115040</v>
      </c>
      <c r="H198" s="49">
        <f>VLOOKUP(B198,$L$5:$N$30,3,0)</f>
        <v>0.46</v>
      </c>
      <c r="I198" s="50">
        <f>VLOOKUP(B198,$P$5:$Q$30,2,0)*SA*(B198-1)*H198</f>
        <v>1183488</v>
      </c>
      <c r="J198" s="50">
        <f>G198+I198</f>
        <v>3298528</v>
      </c>
      <c r="K198" s="59"/>
      <c r="L198" s="63"/>
    </row>
    <row r="199" spans="2:12">
      <c r="B199" s="42">
        <f>B187+1</f>
        <v>17</v>
      </c>
      <c r="C199" s="43">
        <f>C198+1</f>
        <v>194</v>
      </c>
      <c r="D199" s="44">
        <f t="shared" ref="D199:D262" si="18">VLOOKUP(B199,$L$5:$N$30,2,0)</f>
        <v>0.7</v>
      </c>
      <c r="E199" s="45">
        <f>(IF(B199=1,Modal_Basic_Prem_Yr1,Modal_Basic_Prem_Yr2)*(Prem_Mode="Monthly")+(Prem_Mode="Annual")*IF(B199=1,Modal_Basic_Prem_Yr1,Modal_Basic_Prem_Yr2)*(MOD(C199-1,12)=0))*(B199&lt;=15)</f>
        <v>0</v>
      </c>
      <c r="F199" s="45">
        <f>SUM($E$6:E199)</f>
        <v>8611200</v>
      </c>
      <c r="G199" s="46">
        <f>MAX(F199*D199-SA/100*(C199-10*12)*(B199&gt;10),0)</f>
        <v>2061440</v>
      </c>
      <c r="H199" s="44">
        <f t="shared" ref="H199:H262" si="19">VLOOKUP(B199,$L$5:$N$30,3,0)</f>
        <v>0.46</v>
      </c>
      <c r="I199" s="45">
        <f>VLOOKUP(B199,$P$5:$Q$30,2,0)*SA*(B199-1)*H199</f>
        <v>1183488</v>
      </c>
      <c r="J199" s="45">
        <f t="shared" ref="J199:J262" si="20">G199+I199</f>
        <v>3244928</v>
      </c>
      <c r="K199" s="59"/>
      <c r="L199" s="63"/>
    </row>
    <row r="200" spans="2:12">
      <c r="B200" s="47">
        <f>B188+1</f>
        <v>17</v>
      </c>
      <c r="C200" s="48">
        <f t="shared" ref="C200:C263" si="21">C199+1</f>
        <v>195</v>
      </c>
      <c r="D200" s="49">
        <f>VLOOKUP(B200,$L$5:$N$30,2,0)</f>
        <v>0.7</v>
      </c>
      <c r="E200" s="50">
        <f>(IF(B200=1,Modal_Basic_Prem_Yr1,Modal_Basic_Prem_Yr2)*(Prem_Mode="Monthly")+(Prem_Mode="Annual")*IF(B200=1,Modal_Basic_Prem_Yr1,Modal_Basic_Prem_Yr2)*(MOD(C200-1,12)=0))*(B200&lt;=15)</f>
        <v>0</v>
      </c>
      <c r="F200" s="50">
        <f>SUM($E$6:E200)</f>
        <v>8611200</v>
      </c>
      <c r="G200" s="51">
        <f>MAX(F200*D200-SA/100*(C200-10*12)*(B200&gt;10),0)</f>
        <v>2007840</v>
      </c>
      <c r="H200" s="49">
        <f>VLOOKUP(B200,$L$5:$N$30,3,0)</f>
        <v>0.46</v>
      </c>
      <c r="I200" s="50">
        <f>VLOOKUP(B200,$P$5:$Q$30,2,0)*SA*(B200-1)*H200</f>
        <v>1183488</v>
      </c>
      <c r="J200" s="50">
        <f>G200+I200</f>
        <v>3191328</v>
      </c>
      <c r="K200" s="59"/>
      <c r="L200" s="63"/>
    </row>
    <row r="201" spans="2:12">
      <c r="B201" s="42">
        <f>B189+1</f>
        <v>17</v>
      </c>
      <c r="C201" s="43">
        <f>C200+1</f>
        <v>196</v>
      </c>
      <c r="D201" s="44">
        <f>VLOOKUP(B201,$L$5:$N$30,2,0)</f>
        <v>0.7</v>
      </c>
      <c r="E201" s="45">
        <f>(IF(B201=1,Modal_Basic_Prem_Yr1,Modal_Basic_Prem_Yr2)*(Prem_Mode="Monthly")+(Prem_Mode="Annual")*IF(B201=1,Modal_Basic_Prem_Yr1,Modal_Basic_Prem_Yr2)*(MOD(C201-1,12)=0))*(B201&lt;=15)</f>
        <v>0</v>
      </c>
      <c r="F201" s="45">
        <f>SUM($E$6:E201)</f>
        <v>8611200</v>
      </c>
      <c r="G201" s="46">
        <f>MAX(F201*D201-SA/100*(C201-10*12)*(B201&gt;10),0)</f>
        <v>1954240</v>
      </c>
      <c r="H201" s="44">
        <f>VLOOKUP(B201,$L$5:$N$30,3,0)</f>
        <v>0.46</v>
      </c>
      <c r="I201" s="45">
        <f>VLOOKUP(B201,$P$5:$Q$30,2,0)*SA*(B201-1)*H201</f>
        <v>1183488</v>
      </c>
      <c r="J201" s="45">
        <f>G201+I201</f>
        <v>3137728</v>
      </c>
      <c r="K201" s="59"/>
      <c r="L201" s="63"/>
    </row>
    <row r="202" spans="2:12">
      <c r="B202" s="47">
        <f>B190+1</f>
        <v>17</v>
      </c>
      <c r="C202" s="48">
        <f>C201+1</f>
        <v>197</v>
      </c>
      <c r="D202" s="49">
        <f>VLOOKUP(B202,$L$5:$N$30,2,0)</f>
        <v>0.7</v>
      </c>
      <c r="E202" s="50">
        <f>(IF(B202=1,Modal_Basic_Prem_Yr1,Modal_Basic_Prem_Yr2)*(Prem_Mode="Monthly")+(Prem_Mode="Annual")*IF(B202=1,Modal_Basic_Prem_Yr1,Modal_Basic_Prem_Yr2)*(MOD(C202-1,12)=0))*(B202&lt;=15)</f>
        <v>0</v>
      </c>
      <c r="F202" s="50">
        <f>SUM($E$6:E202)</f>
        <v>8611200</v>
      </c>
      <c r="G202" s="51">
        <f>MAX(F202*D202-SA/100*(C202-10*12)*(B202&gt;10),0)</f>
        <v>1900640</v>
      </c>
      <c r="H202" s="49">
        <f>VLOOKUP(B202,$L$5:$N$30,3,0)</f>
        <v>0.46</v>
      </c>
      <c r="I202" s="50">
        <f>VLOOKUP(B202,$P$5:$Q$30,2,0)*SA*(B202-1)*H202</f>
        <v>1183488</v>
      </c>
      <c r="J202" s="50">
        <f>G202+I202</f>
        <v>3084128</v>
      </c>
      <c r="K202" s="59"/>
      <c r="L202" s="63"/>
    </row>
    <row r="203" spans="2:12">
      <c r="B203" s="42">
        <f>B191+1</f>
        <v>17</v>
      </c>
      <c r="C203" s="43">
        <f>C202+1</f>
        <v>198</v>
      </c>
      <c r="D203" s="44">
        <f>VLOOKUP(B203,$L$5:$N$30,2,0)</f>
        <v>0.7</v>
      </c>
      <c r="E203" s="45">
        <f>(IF(B203=1,Modal_Basic_Prem_Yr1,Modal_Basic_Prem_Yr2)*(Prem_Mode="Monthly")+(Prem_Mode="Annual")*IF(B203=1,Modal_Basic_Prem_Yr1,Modal_Basic_Prem_Yr2)*(MOD(C203-1,12)=0))*(B203&lt;=15)</f>
        <v>0</v>
      </c>
      <c r="F203" s="45">
        <f>SUM($E$6:E203)</f>
        <v>8611200</v>
      </c>
      <c r="G203" s="46">
        <f>MAX(F203*D203-SA/100*(C203-10*12)*(B203&gt;10),0)</f>
        <v>1847040</v>
      </c>
      <c r="H203" s="44">
        <f>VLOOKUP(B203,$L$5:$N$30,3,0)</f>
        <v>0.46</v>
      </c>
      <c r="I203" s="45">
        <f>VLOOKUP(B203,$P$5:$Q$30,2,0)*SA*(B203-1)*H203</f>
        <v>1183488</v>
      </c>
      <c r="J203" s="45">
        <f>G203+I203</f>
        <v>3030528</v>
      </c>
      <c r="K203" s="59"/>
      <c r="L203" s="63"/>
    </row>
    <row r="204" spans="2:12">
      <c r="B204" s="47">
        <f>B192+1</f>
        <v>17</v>
      </c>
      <c r="C204" s="48">
        <f>C203+1</f>
        <v>199</v>
      </c>
      <c r="D204" s="49">
        <f>VLOOKUP(B204,$L$5:$N$30,2,0)</f>
        <v>0.7</v>
      </c>
      <c r="E204" s="50">
        <f>(IF(B204=1,Modal_Basic_Prem_Yr1,Modal_Basic_Prem_Yr2)*(Prem_Mode="Monthly")+(Prem_Mode="Annual")*IF(B204=1,Modal_Basic_Prem_Yr1,Modal_Basic_Prem_Yr2)*(MOD(C204-1,12)=0))*(B204&lt;=15)</f>
        <v>0</v>
      </c>
      <c r="F204" s="50">
        <f>SUM($E$6:E204)</f>
        <v>8611200</v>
      </c>
      <c r="G204" s="51">
        <f>MAX(F204*D204-SA/100*(C204-10*12)*(B204&gt;10),0)</f>
        <v>1793440</v>
      </c>
      <c r="H204" s="49">
        <f>VLOOKUP(B204,$L$5:$N$30,3,0)</f>
        <v>0.46</v>
      </c>
      <c r="I204" s="50">
        <f>VLOOKUP(B204,$P$5:$Q$30,2,0)*SA*(B204-1)*H204</f>
        <v>1183488</v>
      </c>
      <c r="J204" s="50">
        <f>G204+I204</f>
        <v>2976928</v>
      </c>
      <c r="K204" s="59"/>
      <c r="L204" s="63"/>
    </row>
    <row r="205" spans="2:12">
      <c r="B205" s="42">
        <f>B193+1</f>
        <v>17</v>
      </c>
      <c r="C205" s="43">
        <f>C204+1</f>
        <v>200</v>
      </c>
      <c r="D205" s="44">
        <f>VLOOKUP(B205,$L$5:$N$30,2,0)</f>
        <v>0.7</v>
      </c>
      <c r="E205" s="45">
        <f>(IF(B205=1,Modal_Basic_Prem_Yr1,Modal_Basic_Prem_Yr2)*(Prem_Mode="Monthly")+(Prem_Mode="Annual")*IF(B205=1,Modal_Basic_Prem_Yr1,Modal_Basic_Prem_Yr2)*(MOD(C205-1,12)=0))*(B205&lt;=15)</f>
        <v>0</v>
      </c>
      <c r="F205" s="45">
        <f>SUM($E$6:E205)</f>
        <v>8611200</v>
      </c>
      <c r="G205" s="46">
        <f>MAX(F205*D205-SA/100*(C205-10*12)*(B205&gt;10),0)</f>
        <v>1739840</v>
      </c>
      <c r="H205" s="44">
        <f>VLOOKUP(B205,$L$5:$N$30,3,0)</f>
        <v>0.46</v>
      </c>
      <c r="I205" s="45">
        <f>VLOOKUP(B205,$P$5:$Q$30,2,0)*SA*(B205-1)*H205</f>
        <v>1183488</v>
      </c>
      <c r="J205" s="45">
        <f>G205+I205</f>
        <v>2923328</v>
      </c>
      <c r="K205" s="59"/>
      <c r="L205" s="63"/>
    </row>
    <row r="206" spans="2:12">
      <c r="B206" s="47">
        <f>B194+1</f>
        <v>17</v>
      </c>
      <c r="C206" s="48">
        <f>C205+1</f>
        <v>201</v>
      </c>
      <c r="D206" s="49">
        <f>VLOOKUP(B206,$L$5:$N$30,2,0)</f>
        <v>0.7</v>
      </c>
      <c r="E206" s="50">
        <f>(IF(B206=1,Modal_Basic_Prem_Yr1,Modal_Basic_Prem_Yr2)*(Prem_Mode="Monthly")+(Prem_Mode="Annual")*IF(B206=1,Modal_Basic_Prem_Yr1,Modal_Basic_Prem_Yr2)*(MOD(C206-1,12)=0))*(B206&lt;=15)</f>
        <v>0</v>
      </c>
      <c r="F206" s="50">
        <f>SUM($E$6:E206)</f>
        <v>8611200</v>
      </c>
      <c r="G206" s="51">
        <f>MAX(F206*D206-SA/100*(C206-10*12)*(B206&gt;10),0)</f>
        <v>1686240</v>
      </c>
      <c r="H206" s="49">
        <f>VLOOKUP(B206,$L$5:$N$30,3,0)</f>
        <v>0.46</v>
      </c>
      <c r="I206" s="50">
        <f>VLOOKUP(B206,$P$5:$Q$30,2,0)*SA*(B206-1)*H206</f>
        <v>1183488</v>
      </c>
      <c r="J206" s="50">
        <f>G206+I206</f>
        <v>2869728</v>
      </c>
      <c r="K206" s="59"/>
      <c r="L206" s="63"/>
    </row>
    <row r="207" spans="2:12">
      <c r="B207" s="42">
        <f>B195+1</f>
        <v>17</v>
      </c>
      <c r="C207" s="43">
        <f>C206+1</f>
        <v>202</v>
      </c>
      <c r="D207" s="44">
        <f>VLOOKUP(B207,$L$5:$N$30,2,0)</f>
        <v>0.7</v>
      </c>
      <c r="E207" s="45">
        <f>(IF(B207=1,Modal_Basic_Prem_Yr1,Modal_Basic_Prem_Yr2)*(Prem_Mode="Monthly")+(Prem_Mode="Annual")*IF(B207=1,Modal_Basic_Prem_Yr1,Modal_Basic_Prem_Yr2)*(MOD(C207-1,12)=0))*(B207&lt;=15)</f>
        <v>0</v>
      </c>
      <c r="F207" s="45">
        <f>SUM($E$6:E207)</f>
        <v>8611200</v>
      </c>
      <c r="G207" s="46">
        <f>MAX(F207*D207-SA/100*(C207-10*12)*(B207&gt;10),0)</f>
        <v>1632640</v>
      </c>
      <c r="H207" s="44">
        <f>VLOOKUP(B207,$L$5:$N$30,3,0)</f>
        <v>0.46</v>
      </c>
      <c r="I207" s="45">
        <f>VLOOKUP(B207,$P$5:$Q$30,2,0)*SA*(B207-1)*H207</f>
        <v>1183488</v>
      </c>
      <c r="J207" s="45">
        <f>G207+I207</f>
        <v>2816128</v>
      </c>
      <c r="K207" s="59"/>
      <c r="L207" s="63"/>
    </row>
    <row r="208" spans="2:12">
      <c r="B208" s="47">
        <f>B196+1</f>
        <v>17</v>
      </c>
      <c r="C208" s="48">
        <f>C207+1</f>
        <v>203</v>
      </c>
      <c r="D208" s="49">
        <f>VLOOKUP(B208,$L$5:$N$30,2,0)</f>
        <v>0.7</v>
      </c>
      <c r="E208" s="50">
        <f>(IF(B208=1,Modal_Basic_Prem_Yr1,Modal_Basic_Prem_Yr2)*(Prem_Mode="Monthly")+(Prem_Mode="Annual")*IF(B208=1,Modal_Basic_Prem_Yr1,Modal_Basic_Prem_Yr2)*(MOD(C208-1,12)=0))*(B208&lt;=15)</f>
        <v>0</v>
      </c>
      <c r="F208" s="50">
        <f>SUM($E$6:E208)</f>
        <v>8611200</v>
      </c>
      <c r="G208" s="51">
        <f>MAX(F208*D208-SA/100*(C208-10*12)*(B208&gt;10),0)</f>
        <v>1579040</v>
      </c>
      <c r="H208" s="49">
        <f>VLOOKUP(B208,$L$5:$N$30,3,0)</f>
        <v>0.46</v>
      </c>
      <c r="I208" s="50">
        <f>VLOOKUP(B208,$P$5:$Q$30,2,0)*SA*(B208-1)*H208</f>
        <v>1183488</v>
      </c>
      <c r="J208" s="50">
        <f>G208+I208</f>
        <v>2762528</v>
      </c>
      <c r="K208" s="59"/>
      <c r="L208" s="63"/>
    </row>
    <row r="209" spans="2:12">
      <c r="B209" s="42">
        <f>B197+1</f>
        <v>17</v>
      </c>
      <c r="C209" s="43">
        <f>C208+1</f>
        <v>204</v>
      </c>
      <c r="D209" s="44">
        <f>VLOOKUP(B209,$L$5:$N$30,2,0)</f>
        <v>0.7</v>
      </c>
      <c r="E209" s="45">
        <f>(IF(B209=1,Modal_Basic_Prem_Yr1,Modal_Basic_Prem_Yr2)*(Prem_Mode="Monthly")+(Prem_Mode="Annual")*IF(B209=1,Modal_Basic_Prem_Yr1,Modal_Basic_Prem_Yr2)*(MOD(C209-1,12)=0))*(B209&lt;=15)</f>
        <v>0</v>
      </c>
      <c r="F209" s="45">
        <f>SUM($E$6:E209)</f>
        <v>8611200</v>
      </c>
      <c r="G209" s="46">
        <f>MAX(F209*D209-SA/100*(C209-10*12)*(B209&gt;10),0)</f>
        <v>1525440</v>
      </c>
      <c r="H209" s="44">
        <f>VLOOKUP(B209,$L$5:$N$30,3,0)</f>
        <v>0.46</v>
      </c>
      <c r="I209" s="45">
        <f>VLOOKUP(B209,$P$5:$Q$30,2,0)*SA*(B209-1)*H209</f>
        <v>1183488</v>
      </c>
      <c r="J209" s="45">
        <f>G209+I209</f>
        <v>2708928</v>
      </c>
      <c r="K209" s="59"/>
      <c r="L209" s="63"/>
    </row>
    <row r="210" spans="2:12">
      <c r="B210" s="47">
        <f>B198+1</f>
        <v>18</v>
      </c>
      <c r="C210" s="48">
        <f>C209+1</f>
        <v>205</v>
      </c>
      <c r="D210" s="49">
        <f>VLOOKUP(B210,$L$5:$N$30,2,0)</f>
        <v>0.72</v>
      </c>
      <c r="E210" s="50">
        <f>(IF(B210=1,Modal_Basic_Prem_Yr1,Modal_Basic_Prem_Yr2)*(Prem_Mode="Monthly")+(Prem_Mode="Annual")*IF(B210=1,Modal_Basic_Prem_Yr1,Modal_Basic_Prem_Yr2)*(MOD(C210-1,12)=0))*(B210&lt;=15)</f>
        <v>0</v>
      </c>
      <c r="F210" s="50">
        <f>SUM($E$6:E210)</f>
        <v>8611200</v>
      </c>
      <c r="G210" s="51">
        <f>MAX(F210*D210-SA/100*(C210-10*12)*(B210&gt;10),0)</f>
        <v>1644064</v>
      </c>
      <c r="H210" s="49">
        <f>VLOOKUP(B210,$L$5:$N$30,3,0)</f>
        <v>0.5</v>
      </c>
      <c r="I210" s="50">
        <f>VLOOKUP(B210,$P$5:$Q$30,2,0)*SA*(B210-1)*H210</f>
        <v>1366800</v>
      </c>
      <c r="J210" s="50">
        <f>G210+I210</f>
        <v>3010864</v>
      </c>
      <c r="K210" s="59"/>
      <c r="L210" s="63"/>
    </row>
    <row r="211" spans="2:12">
      <c r="B211" s="42">
        <f t="shared" ref="B211:B274" si="22">B199+1</f>
        <v>18</v>
      </c>
      <c r="C211" s="43">
        <f>C210+1</f>
        <v>206</v>
      </c>
      <c r="D211" s="44">
        <f>VLOOKUP(B211,$L$5:$N$30,2,0)</f>
        <v>0.72</v>
      </c>
      <c r="E211" s="45">
        <f>(IF(B211=1,Modal_Basic_Prem_Yr1,Modal_Basic_Prem_Yr2)*(Prem_Mode="Monthly")+(Prem_Mode="Annual")*IF(B211=1,Modal_Basic_Prem_Yr1,Modal_Basic_Prem_Yr2)*(MOD(C211-1,12)=0))*(B211&lt;=15)</f>
        <v>0</v>
      </c>
      <c r="F211" s="45">
        <f>SUM($E$6:E211)</f>
        <v>8611200</v>
      </c>
      <c r="G211" s="46">
        <f>MAX(F211*D211-SA/100*(C211-10*12)*(B211&gt;10),0)</f>
        <v>1590464</v>
      </c>
      <c r="H211" s="44">
        <f>VLOOKUP(B211,$L$5:$N$30,3,0)</f>
        <v>0.5</v>
      </c>
      <c r="I211" s="45">
        <f>VLOOKUP(B211,$P$5:$Q$30,2,0)*SA*(B211-1)*H211</f>
        <v>1366800</v>
      </c>
      <c r="J211" s="45">
        <f>G211+I211</f>
        <v>2957264</v>
      </c>
      <c r="K211" s="59"/>
      <c r="L211" s="63"/>
    </row>
    <row r="212" spans="2:12">
      <c r="B212" s="47">
        <f>B200+1</f>
        <v>18</v>
      </c>
      <c r="C212" s="48">
        <f>C211+1</f>
        <v>207</v>
      </c>
      <c r="D212" s="49">
        <f>VLOOKUP(B212,$L$5:$N$30,2,0)</f>
        <v>0.72</v>
      </c>
      <c r="E212" s="50">
        <f>(IF(B212=1,Modal_Basic_Prem_Yr1,Modal_Basic_Prem_Yr2)*(Prem_Mode="Monthly")+(Prem_Mode="Annual")*IF(B212=1,Modal_Basic_Prem_Yr1,Modal_Basic_Prem_Yr2)*(MOD(C212-1,12)=0))*(B212&lt;=15)</f>
        <v>0</v>
      </c>
      <c r="F212" s="50">
        <f>SUM($E$6:E212)</f>
        <v>8611200</v>
      </c>
      <c r="G212" s="51">
        <f>MAX(F212*D212-SA/100*(C212-10*12)*(B212&gt;10),0)</f>
        <v>1536864</v>
      </c>
      <c r="H212" s="49">
        <f>VLOOKUP(B212,$L$5:$N$30,3,0)</f>
        <v>0.5</v>
      </c>
      <c r="I212" s="50">
        <f>VLOOKUP(B212,$P$5:$Q$30,2,0)*SA*(B212-1)*H212</f>
        <v>1366800</v>
      </c>
      <c r="J212" s="50">
        <f>G212+I212</f>
        <v>2903664</v>
      </c>
      <c r="K212" s="59"/>
      <c r="L212" s="63"/>
    </row>
    <row r="213" spans="2:12">
      <c r="B213" s="42">
        <f>B201+1</f>
        <v>18</v>
      </c>
      <c r="C213" s="43">
        <f>C212+1</f>
        <v>208</v>
      </c>
      <c r="D213" s="44">
        <f>VLOOKUP(B213,$L$5:$N$30,2,0)</f>
        <v>0.72</v>
      </c>
      <c r="E213" s="45">
        <f>(IF(B213=1,Modal_Basic_Prem_Yr1,Modal_Basic_Prem_Yr2)*(Prem_Mode="Monthly")+(Prem_Mode="Annual")*IF(B213=1,Modal_Basic_Prem_Yr1,Modal_Basic_Prem_Yr2)*(MOD(C213-1,12)=0))*(B213&lt;=15)</f>
        <v>0</v>
      </c>
      <c r="F213" s="45">
        <f>SUM($E$6:E213)</f>
        <v>8611200</v>
      </c>
      <c r="G213" s="46">
        <f>MAX(F213*D213-SA/100*(C213-10*12)*(B213&gt;10),0)</f>
        <v>1483264</v>
      </c>
      <c r="H213" s="44">
        <f>VLOOKUP(B213,$L$5:$N$30,3,0)</f>
        <v>0.5</v>
      </c>
      <c r="I213" s="45">
        <f>VLOOKUP(B213,$P$5:$Q$30,2,0)*SA*(B213-1)*H213</f>
        <v>1366800</v>
      </c>
      <c r="J213" s="45">
        <f>G213+I213</f>
        <v>2850064</v>
      </c>
      <c r="K213" s="59"/>
      <c r="L213" s="63"/>
    </row>
    <row r="214" spans="2:12">
      <c r="B214" s="47">
        <f>B202+1</f>
        <v>18</v>
      </c>
      <c r="C214" s="48">
        <f>C213+1</f>
        <v>209</v>
      </c>
      <c r="D214" s="49">
        <f>VLOOKUP(B214,$L$5:$N$30,2,0)</f>
        <v>0.72</v>
      </c>
      <c r="E214" s="50">
        <f>(IF(B214=1,Modal_Basic_Prem_Yr1,Modal_Basic_Prem_Yr2)*(Prem_Mode="Monthly")+(Prem_Mode="Annual")*IF(B214=1,Modal_Basic_Prem_Yr1,Modal_Basic_Prem_Yr2)*(MOD(C214-1,12)=0))*(B214&lt;=15)</f>
        <v>0</v>
      </c>
      <c r="F214" s="50">
        <f>SUM($E$6:E214)</f>
        <v>8611200</v>
      </c>
      <c r="G214" s="51">
        <f>MAX(F214*D214-SA/100*(C214-10*12)*(B214&gt;10),0)</f>
        <v>1429664</v>
      </c>
      <c r="H214" s="49">
        <f>VLOOKUP(B214,$L$5:$N$30,3,0)</f>
        <v>0.5</v>
      </c>
      <c r="I214" s="50">
        <f>VLOOKUP(B214,$P$5:$Q$30,2,0)*SA*(B214-1)*H214</f>
        <v>1366800</v>
      </c>
      <c r="J214" s="50">
        <f>G214+I214</f>
        <v>2796464</v>
      </c>
      <c r="K214" s="59"/>
      <c r="L214" s="63"/>
    </row>
    <row r="215" spans="2:12">
      <c r="B215" s="42">
        <f>B203+1</f>
        <v>18</v>
      </c>
      <c r="C215" s="43">
        <f>C214+1</f>
        <v>210</v>
      </c>
      <c r="D215" s="44">
        <f>VLOOKUP(B215,$L$5:$N$30,2,0)</f>
        <v>0.72</v>
      </c>
      <c r="E215" s="45">
        <f>(IF(B215=1,Modal_Basic_Prem_Yr1,Modal_Basic_Prem_Yr2)*(Prem_Mode="Monthly")+(Prem_Mode="Annual")*IF(B215=1,Modal_Basic_Prem_Yr1,Modal_Basic_Prem_Yr2)*(MOD(C215-1,12)=0))*(B215&lt;=15)</f>
        <v>0</v>
      </c>
      <c r="F215" s="45">
        <f>SUM($E$6:E215)</f>
        <v>8611200</v>
      </c>
      <c r="G215" s="46">
        <f>MAX(F215*D215-SA/100*(C215-10*12)*(B215&gt;10),0)</f>
        <v>1376064</v>
      </c>
      <c r="H215" s="44">
        <f>VLOOKUP(B215,$L$5:$N$30,3,0)</f>
        <v>0.5</v>
      </c>
      <c r="I215" s="45">
        <f>VLOOKUP(B215,$P$5:$Q$30,2,0)*SA*(B215-1)*H215</f>
        <v>1366800</v>
      </c>
      <c r="J215" s="45">
        <f>G215+I215</f>
        <v>2742864</v>
      </c>
      <c r="K215" s="59"/>
      <c r="L215" s="63"/>
    </row>
    <row r="216" spans="2:12">
      <c r="B216" s="47">
        <f>B204+1</f>
        <v>18</v>
      </c>
      <c r="C216" s="48">
        <f>C215+1</f>
        <v>211</v>
      </c>
      <c r="D216" s="49">
        <f>VLOOKUP(B216,$L$5:$N$30,2,0)</f>
        <v>0.72</v>
      </c>
      <c r="E216" s="50">
        <f>(IF(B216=1,Modal_Basic_Prem_Yr1,Modal_Basic_Prem_Yr2)*(Prem_Mode="Monthly")+(Prem_Mode="Annual")*IF(B216=1,Modal_Basic_Prem_Yr1,Modal_Basic_Prem_Yr2)*(MOD(C216-1,12)=0))*(B216&lt;=15)</f>
        <v>0</v>
      </c>
      <c r="F216" s="50">
        <f>SUM($E$6:E216)</f>
        <v>8611200</v>
      </c>
      <c r="G216" s="51">
        <f>MAX(F216*D216-SA/100*(C216-10*12)*(B216&gt;10),0)</f>
        <v>1322464</v>
      </c>
      <c r="H216" s="49">
        <f>VLOOKUP(B216,$L$5:$N$30,3,0)</f>
        <v>0.5</v>
      </c>
      <c r="I216" s="50">
        <f>VLOOKUP(B216,$P$5:$Q$30,2,0)*SA*(B216-1)*H216</f>
        <v>1366800</v>
      </c>
      <c r="J216" s="50">
        <f>G216+I216</f>
        <v>2689264</v>
      </c>
      <c r="K216" s="59"/>
      <c r="L216" s="63"/>
    </row>
    <row r="217" spans="2:12">
      <c r="B217" s="42">
        <f>B205+1</f>
        <v>18</v>
      </c>
      <c r="C217" s="43">
        <f>C216+1</f>
        <v>212</v>
      </c>
      <c r="D217" s="44">
        <f>VLOOKUP(B217,$L$5:$N$30,2,0)</f>
        <v>0.72</v>
      </c>
      <c r="E217" s="45">
        <f>(IF(B217=1,Modal_Basic_Prem_Yr1,Modal_Basic_Prem_Yr2)*(Prem_Mode="Monthly")+(Prem_Mode="Annual")*IF(B217=1,Modal_Basic_Prem_Yr1,Modal_Basic_Prem_Yr2)*(MOD(C217-1,12)=0))*(B217&lt;=15)</f>
        <v>0</v>
      </c>
      <c r="F217" s="45">
        <f>SUM($E$6:E217)</f>
        <v>8611200</v>
      </c>
      <c r="G217" s="46">
        <f>MAX(F217*D217-SA/100*(C217-10*12)*(B217&gt;10),0)</f>
        <v>1268864</v>
      </c>
      <c r="H217" s="44">
        <f>VLOOKUP(B217,$L$5:$N$30,3,0)</f>
        <v>0.5</v>
      </c>
      <c r="I217" s="45">
        <f>VLOOKUP(B217,$P$5:$Q$30,2,0)*SA*(B217-1)*H217</f>
        <v>1366800</v>
      </c>
      <c r="J217" s="45">
        <f>G217+I217</f>
        <v>2635664</v>
      </c>
      <c r="K217" s="59"/>
      <c r="L217" s="63"/>
    </row>
    <row r="218" spans="2:12">
      <c r="B218" s="47">
        <f>B206+1</f>
        <v>18</v>
      </c>
      <c r="C218" s="48">
        <f>C217+1</f>
        <v>213</v>
      </c>
      <c r="D218" s="49">
        <f>VLOOKUP(B218,$L$5:$N$30,2,0)</f>
        <v>0.72</v>
      </c>
      <c r="E218" s="50">
        <f>(IF(B218=1,Modal_Basic_Prem_Yr1,Modal_Basic_Prem_Yr2)*(Prem_Mode="Monthly")+(Prem_Mode="Annual")*IF(B218=1,Modal_Basic_Prem_Yr1,Modal_Basic_Prem_Yr2)*(MOD(C218-1,12)=0))*(B218&lt;=15)</f>
        <v>0</v>
      </c>
      <c r="F218" s="50">
        <f>SUM($E$6:E218)</f>
        <v>8611200</v>
      </c>
      <c r="G218" s="51">
        <f>MAX(F218*D218-SA/100*(C218-10*12)*(B218&gt;10),0)</f>
        <v>1215264</v>
      </c>
      <c r="H218" s="49">
        <f>VLOOKUP(B218,$L$5:$N$30,3,0)</f>
        <v>0.5</v>
      </c>
      <c r="I218" s="50">
        <f>VLOOKUP(B218,$P$5:$Q$30,2,0)*SA*(B218-1)*H218</f>
        <v>1366800</v>
      </c>
      <c r="J218" s="50">
        <f>G218+I218</f>
        <v>2582064</v>
      </c>
      <c r="K218" s="59"/>
      <c r="L218" s="63"/>
    </row>
    <row r="219" spans="2:12">
      <c r="B219" s="42">
        <f>B207+1</f>
        <v>18</v>
      </c>
      <c r="C219" s="43">
        <f>C218+1</f>
        <v>214</v>
      </c>
      <c r="D219" s="44">
        <f>VLOOKUP(B219,$L$5:$N$30,2,0)</f>
        <v>0.72</v>
      </c>
      <c r="E219" s="45">
        <f>(IF(B219=1,Modal_Basic_Prem_Yr1,Modal_Basic_Prem_Yr2)*(Prem_Mode="Monthly")+(Prem_Mode="Annual")*IF(B219=1,Modal_Basic_Prem_Yr1,Modal_Basic_Prem_Yr2)*(MOD(C219-1,12)=0))*(B219&lt;=15)</f>
        <v>0</v>
      </c>
      <c r="F219" s="45">
        <f>SUM($E$6:E219)</f>
        <v>8611200</v>
      </c>
      <c r="G219" s="46">
        <f>MAX(F219*D219-SA/100*(C219-10*12)*(B219&gt;10),0)</f>
        <v>1161664</v>
      </c>
      <c r="H219" s="44">
        <f>VLOOKUP(B219,$L$5:$N$30,3,0)</f>
        <v>0.5</v>
      </c>
      <c r="I219" s="45">
        <f>VLOOKUP(B219,$P$5:$Q$30,2,0)*SA*(B219-1)*H219</f>
        <v>1366800</v>
      </c>
      <c r="J219" s="45">
        <f>G219+I219</f>
        <v>2528464</v>
      </c>
      <c r="K219" s="59"/>
      <c r="L219" s="63"/>
    </row>
    <row r="220" spans="2:12">
      <c r="B220" s="47">
        <f>B208+1</f>
        <v>18</v>
      </c>
      <c r="C220" s="48">
        <f>C219+1</f>
        <v>215</v>
      </c>
      <c r="D220" s="49">
        <f>VLOOKUP(B220,$L$5:$N$30,2,0)</f>
        <v>0.72</v>
      </c>
      <c r="E220" s="50">
        <f>(IF(B220=1,Modal_Basic_Prem_Yr1,Modal_Basic_Prem_Yr2)*(Prem_Mode="Monthly")+(Prem_Mode="Annual")*IF(B220=1,Modal_Basic_Prem_Yr1,Modal_Basic_Prem_Yr2)*(MOD(C220-1,12)=0))*(B220&lt;=15)</f>
        <v>0</v>
      </c>
      <c r="F220" s="50">
        <f>SUM($E$6:E220)</f>
        <v>8611200</v>
      </c>
      <c r="G220" s="51">
        <f>MAX(F220*D220-SA/100*(C220-10*12)*(B220&gt;10),0)</f>
        <v>1108064</v>
      </c>
      <c r="H220" s="49">
        <f>VLOOKUP(B220,$L$5:$N$30,3,0)</f>
        <v>0.5</v>
      </c>
      <c r="I220" s="50">
        <f>VLOOKUP(B220,$P$5:$Q$30,2,0)*SA*(B220-1)*H220</f>
        <v>1366800</v>
      </c>
      <c r="J220" s="50">
        <f>G220+I220</f>
        <v>2474864</v>
      </c>
      <c r="K220" s="59"/>
      <c r="L220" s="63"/>
    </row>
    <row r="221" spans="2:12">
      <c r="B221" s="42">
        <f>B209+1</f>
        <v>18</v>
      </c>
      <c r="C221" s="43">
        <f>C220+1</f>
        <v>216</v>
      </c>
      <c r="D221" s="44">
        <f>VLOOKUP(B221,$L$5:$N$30,2,0)</f>
        <v>0.72</v>
      </c>
      <c r="E221" s="45">
        <f>(IF(B221=1,Modal_Basic_Prem_Yr1,Modal_Basic_Prem_Yr2)*(Prem_Mode="Monthly")+(Prem_Mode="Annual")*IF(B221=1,Modal_Basic_Prem_Yr1,Modal_Basic_Prem_Yr2)*(MOD(C221-1,12)=0))*(B221&lt;=15)</f>
        <v>0</v>
      </c>
      <c r="F221" s="45">
        <f>SUM($E$6:E221)</f>
        <v>8611200</v>
      </c>
      <c r="G221" s="46">
        <f>MAX(F221*D221-SA/100*(C221-10*12)*(B221&gt;10),0)</f>
        <v>1054464</v>
      </c>
      <c r="H221" s="44">
        <f>VLOOKUP(B221,$L$5:$N$30,3,0)</f>
        <v>0.5</v>
      </c>
      <c r="I221" s="45">
        <f>VLOOKUP(B221,$P$5:$Q$30,2,0)*SA*(B221-1)*H221</f>
        <v>1366800</v>
      </c>
      <c r="J221" s="45">
        <f>G221+I221</f>
        <v>2421264</v>
      </c>
      <c r="K221" s="59"/>
      <c r="L221" s="63"/>
    </row>
    <row r="222" spans="2:12">
      <c r="B222" s="47">
        <f>B210+1</f>
        <v>19</v>
      </c>
      <c r="C222" s="48">
        <f>C221+1</f>
        <v>217</v>
      </c>
      <c r="D222" s="49">
        <f>VLOOKUP(B222,$L$5:$N$30,2,0)</f>
        <v>0.74</v>
      </c>
      <c r="E222" s="50">
        <f>(IF(B222=1,Modal_Basic_Prem_Yr1,Modal_Basic_Prem_Yr2)*(Prem_Mode="Monthly")+(Prem_Mode="Annual")*IF(B222=1,Modal_Basic_Prem_Yr1,Modal_Basic_Prem_Yr2)*(MOD(C222-1,12)=0))*(B222&lt;=15)</f>
        <v>0</v>
      </c>
      <c r="F222" s="50">
        <f>SUM($E$6:E222)</f>
        <v>8611200</v>
      </c>
      <c r="G222" s="51">
        <f>MAX(F222*D222-SA/100*(C222-10*12)*(B222&gt;10),0)</f>
        <v>1173088</v>
      </c>
      <c r="H222" s="49">
        <f>VLOOKUP(B222,$L$5:$N$30,3,0)</f>
        <v>0.55</v>
      </c>
      <c r="I222" s="50">
        <f>VLOOKUP(B222,$P$5:$Q$30,2,0)*SA*(B222-1)*H222</f>
        <v>1591920</v>
      </c>
      <c r="J222" s="50">
        <f>G222+I222</f>
        <v>2765008</v>
      </c>
      <c r="K222" s="59"/>
      <c r="L222" s="63"/>
    </row>
    <row r="223" spans="2:12">
      <c r="B223" s="42">
        <f>B211+1</f>
        <v>19</v>
      </c>
      <c r="C223" s="43">
        <f>C222+1</f>
        <v>218</v>
      </c>
      <c r="D223" s="44">
        <f>VLOOKUP(B223,$L$5:$N$30,2,0)</f>
        <v>0.74</v>
      </c>
      <c r="E223" s="45">
        <f>(IF(B223=1,Modal_Basic_Prem_Yr1,Modal_Basic_Prem_Yr2)*(Prem_Mode="Monthly")+(Prem_Mode="Annual")*IF(B223=1,Modal_Basic_Prem_Yr1,Modal_Basic_Prem_Yr2)*(MOD(C223-1,12)=0))*(B223&lt;=15)</f>
        <v>0</v>
      </c>
      <c r="F223" s="45">
        <f>SUM($E$6:E223)</f>
        <v>8611200</v>
      </c>
      <c r="G223" s="46">
        <f>MAX(F223*D223-SA/100*(C223-10*12)*(B223&gt;10),0)</f>
        <v>1119488</v>
      </c>
      <c r="H223" s="44">
        <f>VLOOKUP(B223,$L$5:$N$30,3,0)</f>
        <v>0.55</v>
      </c>
      <c r="I223" s="45">
        <f>VLOOKUP(B223,$P$5:$Q$30,2,0)*SA*(B223-1)*H223</f>
        <v>1591920</v>
      </c>
      <c r="J223" s="45">
        <f>G223+I223</f>
        <v>2711408</v>
      </c>
      <c r="K223" s="59"/>
      <c r="L223" s="63"/>
    </row>
    <row r="224" spans="2:12">
      <c r="B224" s="47">
        <f>B212+1</f>
        <v>19</v>
      </c>
      <c r="C224" s="48">
        <f>C223+1</f>
        <v>219</v>
      </c>
      <c r="D224" s="49">
        <f>VLOOKUP(B224,$L$5:$N$30,2,0)</f>
        <v>0.74</v>
      </c>
      <c r="E224" s="50">
        <f>(IF(B224=1,Modal_Basic_Prem_Yr1,Modal_Basic_Prem_Yr2)*(Prem_Mode="Monthly")+(Prem_Mode="Annual")*IF(B224=1,Modal_Basic_Prem_Yr1,Modal_Basic_Prem_Yr2)*(MOD(C224-1,12)=0))*(B224&lt;=15)</f>
        <v>0</v>
      </c>
      <c r="F224" s="50">
        <f>SUM($E$6:E224)</f>
        <v>8611200</v>
      </c>
      <c r="G224" s="51">
        <f>MAX(F224*D224-SA/100*(C224-10*12)*(B224&gt;10),0)</f>
        <v>1065888</v>
      </c>
      <c r="H224" s="49">
        <f>VLOOKUP(B224,$L$5:$N$30,3,0)</f>
        <v>0.55</v>
      </c>
      <c r="I224" s="50">
        <f>VLOOKUP(B224,$P$5:$Q$30,2,0)*SA*(B224-1)*H224</f>
        <v>1591920</v>
      </c>
      <c r="J224" s="50">
        <f>G224+I224</f>
        <v>2657808</v>
      </c>
      <c r="K224" s="59"/>
      <c r="L224" s="63"/>
    </row>
    <row r="225" spans="2:12">
      <c r="B225" s="42">
        <f>B213+1</f>
        <v>19</v>
      </c>
      <c r="C225" s="43">
        <f>C224+1</f>
        <v>220</v>
      </c>
      <c r="D225" s="44">
        <f>VLOOKUP(B225,$L$5:$N$30,2,0)</f>
        <v>0.74</v>
      </c>
      <c r="E225" s="45">
        <f>(IF(B225=1,Modal_Basic_Prem_Yr1,Modal_Basic_Prem_Yr2)*(Prem_Mode="Monthly")+(Prem_Mode="Annual")*IF(B225=1,Modal_Basic_Prem_Yr1,Modal_Basic_Prem_Yr2)*(MOD(C225-1,12)=0))*(B225&lt;=15)</f>
        <v>0</v>
      </c>
      <c r="F225" s="45">
        <f>SUM($E$6:E225)</f>
        <v>8611200</v>
      </c>
      <c r="G225" s="46">
        <f>MAX(F225*D225-SA/100*(C225-10*12)*(B225&gt;10),0)</f>
        <v>1012288</v>
      </c>
      <c r="H225" s="44">
        <f>VLOOKUP(B225,$L$5:$N$30,3,0)</f>
        <v>0.55</v>
      </c>
      <c r="I225" s="45">
        <f>VLOOKUP(B225,$P$5:$Q$30,2,0)*SA*(B225-1)*H225</f>
        <v>1591920</v>
      </c>
      <c r="J225" s="45">
        <f>G225+I225</f>
        <v>2604208</v>
      </c>
      <c r="K225" s="59"/>
      <c r="L225" s="63"/>
    </row>
    <row r="226" spans="2:12">
      <c r="B226" s="47">
        <f>B214+1</f>
        <v>19</v>
      </c>
      <c r="C226" s="48">
        <f>C225+1</f>
        <v>221</v>
      </c>
      <c r="D226" s="49">
        <f>VLOOKUP(B226,$L$5:$N$30,2,0)</f>
        <v>0.74</v>
      </c>
      <c r="E226" s="50">
        <f>(IF(B226=1,Modal_Basic_Prem_Yr1,Modal_Basic_Prem_Yr2)*(Prem_Mode="Monthly")+(Prem_Mode="Annual")*IF(B226=1,Modal_Basic_Prem_Yr1,Modal_Basic_Prem_Yr2)*(MOD(C226-1,12)=0))*(B226&lt;=15)</f>
        <v>0</v>
      </c>
      <c r="F226" s="50">
        <f>SUM($E$6:E226)</f>
        <v>8611200</v>
      </c>
      <c r="G226" s="51">
        <f>MAX(F226*D226-SA/100*(C226-10*12)*(B226&gt;10),0)</f>
        <v>958688</v>
      </c>
      <c r="H226" s="49">
        <f>VLOOKUP(B226,$L$5:$N$30,3,0)</f>
        <v>0.55</v>
      </c>
      <c r="I226" s="50">
        <f>VLOOKUP(B226,$P$5:$Q$30,2,0)*SA*(B226-1)*H226</f>
        <v>1591920</v>
      </c>
      <c r="J226" s="50">
        <f>G226+I226</f>
        <v>2550608</v>
      </c>
      <c r="K226" s="59"/>
      <c r="L226" s="63"/>
    </row>
    <row r="227" spans="2:12">
      <c r="B227" s="42">
        <f>B215+1</f>
        <v>19</v>
      </c>
      <c r="C227" s="43">
        <f>C226+1</f>
        <v>222</v>
      </c>
      <c r="D227" s="44">
        <f>VLOOKUP(B227,$L$5:$N$30,2,0)</f>
        <v>0.74</v>
      </c>
      <c r="E227" s="45">
        <f>(IF(B227=1,Modal_Basic_Prem_Yr1,Modal_Basic_Prem_Yr2)*(Prem_Mode="Monthly")+(Prem_Mode="Annual")*IF(B227=1,Modal_Basic_Prem_Yr1,Modal_Basic_Prem_Yr2)*(MOD(C227-1,12)=0))*(B227&lt;=15)</f>
        <v>0</v>
      </c>
      <c r="F227" s="45">
        <f>SUM($E$6:E227)</f>
        <v>8611200</v>
      </c>
      <c r="G227" s="46">
        <f>MAX(F227*D227-SA/100*(C227-10*12)*(B227&gt;10),0)</f>
        <v>905088</v>
      </c>
      <c r="H227" s="44">
        <f>VLOOKUP(B227,$L$5:$N$30,3,0)</f>
        <v>0.55</v>
      </c>
      <c r="I227" s="45">
        <f>VLOOKUP(B227,$P$5:$Q$30,2,0)*SA*(B227-1)*H227</f>
        <v>1591920</v>
      </c>
      <c r="J227" s="45">
        <f>G227+I227</f>
        <v>2497008</v>
      </c>
      <c r="K227" s="59"/>
      <c r="L227" s="63"/>
    </row>
    <row r="228" spans="2:12">
      <c r="B228" s="47">
        <f>B216+1</f>
        <v>19</v>
      </c>
      <c r="C228" s="48">
        <f>C227+1</f>
        <v>223</v>
      </c>
      <c r="D228" s="49">
        <f>VLOOKUP(B228,$L$5:$N$30,2,0)</f>
        <v>0.74</v>
      </c>
      <c r="E228" s="50">
        <f>(IF(B228=1,Modal_Basic_Prem_Yr1,Modal_Basic_Prem_Yr2)*(Prem_Mode="Monthly")+(Prem_Mode="Annual")*IF(B228=1,Modal_Basic_Prem_Yr1,Modal_Basic_Prem_Yr2)*(MOD(C228-1,12)=0))*(B228&lt;=15)</f>
        <v>0</v>
      </c>
      <c r="F228" s="50">
        <f>SUM($E$6:E228)</f>
        <v>8611200</v>
      </c>
      <c r="G228" s="51">
        <f>MAX(F228*D228-SA/100*(C228-10*12)*(B228&gt;10),0)</f>
        <v>851488</v>
      </c>
      <c r="H228" s="49">
        <f>VLOOKUP(B228,$L$5:$N$30,3,0)</f>
        <v>0.55</v>
      </c>
      <c r="I228" s="50">
        <f>VLOOKUP(B228,$P$5:$Q$30,2,0)*SA*(B228-1)*H228</f>
        <v>1591920</v>
      </c>
      <c r="J228" s="50">
        <f>G228+I228</f>
        <v>2443408</v>
      </c>
      <c r="K228" s="59"/>
      <c r="L228" s="63"/>
    </row>
    <row r="229" spans="2:12">
      <c r="B229" s="42">
        <f>B217+1</f>
        <v>19</v>
      </c>
      <c r="C229" s="43">
        <f>C228+1</f>
        <v>224</v>
      </c>
      <c r="D229" s="44">
        <f>VLOOKUP(B229,$L$5:$N$30,2,0)</f>
        <v>0.74</v>
      </c>
      <c r="E229" s="45">
        <f>(IF(B229=1,Modal_Basic_Prem_Yr1,Modal_Basic_Prem_Yr2)*(Prem_Mode="Monthly")+(Prem_Mode="Annual")*IF(B229=1,Modal_Basic_Prem_Yr1,Modal_Basic_Prem_Yr2)*(MOD(C229-1,12)=0))*(B229&lt;=15)</f>
        <v>0</v>
      </c>
      <c r="F229" s="45">
        <f>SUM($E$6:E229)</f>
        <v>8611200</v>
      </c>
      <c r="G229" s="46">
        <f>MAX(F229*D229-SA/100*(C229-10*12)*(B229&gt;10),0)</f>
        <v>797888</v>
      </c>
      <c r="H229" s="44">
        <f>VLOOKUP(B229,$L$5:$N$30,3,0)</f>
        <v>0.55</v>
      </c>
      <c r="I229" s="45">
        <f>VLOOKUP(B229,$P$5:$Q$30,2,0)*SA*(B229-1)*H229</f>
        <v>1591920</v>
      </c>
      <c r="J229" s="45">
        <f>G229+I229</f>
        <v>2389808</v>
      </c>
      <c r="K229" s="59"/>
      <c r="L229" s="63"/>
    </row>
    <row r="230" spans="2:12">
      <c r="B230" s="47">
        <f>B218+1</f>
        <v>19</v>
      </c>
      <c r="C230" s="48">
        <f>C229+1</f>
        <v>225</v>
      </c>
      <c r="D230" s="49">
        <f>VLOOKUP(B230,$L$5:$N$30,2,0)</f>
        <v>0.74</v>
      </c>
      <c r="E230" s="50">
        <f>(IF(B230=1,Modal_Basic_Prem_Yr1,Modal_Basic_Prem_Yr2)*(Prem_Mode="Monthly")+(Prem_Mode="Annual")*IF(B230=1,Modal_Basic_Prem_Yr1,Modal_Basic_Prem_Yr2)*(MOD(C230-1,12)=0))*(B230&lt;=15)</f>
        <v>0</v>
      </c>
      <c r="F230" s="50">
        <f>SUM($E$6:E230)</f>
        <v>8611200</v>
      </c>
      <c r="G230" s="51">
        <f>MAX(F230*D230-SA/100*(C230-10*12)*(B230&gt;10),0)</f>
        <v>744288</v>
      </c>
      <c r="H230" s="49">
        <f>VLOOKUP(B230,$L$5:$N$30,3,0)</f>
        <v>0.55</v>
      </c>
      <c r="I230" s="50">
        <f>VLOOKUP(B230,$P$5:$Q$30,2,0)*SA*(B230-1)*H230</f>
        <v>1591920</v>
      </c>
      <c r="J230" s="50">
        <f>G230+I230</f>
        <v>2336208</v>
      </c>
      <c r="K230" s="59"/>
      <c r="L230" s="63"/>
    </row>
    <row r="231" spans="2:12">
      <c r="B231" s="42">
        <f>B219+1</f>
        <v>19</v>
      </c>
      <c r="C231" s="43">
        <f>C230+1</f>
        <v>226</v>
      </c>
      <c r="D231" s="44">
        <f>VLOOKUP(B231,$L$5:$N$30,2,0)</f>
        <v>0.74</v>
      </c>
      <c r="E231" s="45">
        <f>(IF(B231=1,Modal_Basic_Prem_Yr1,Modal_Basic_Prem_Yr2)*(Prem_Mode="Monthly")+(Prem_Mode="Annual")*IF(B231=1,Modal_Basic_Prem_Yr1,Modal_Basic_Prem_Yr2)*(MOD(C231-1,12)=0))*(B231&lt;=15)</f>
        <v>0</v>
      </c>
      <c r="F231" s="45">
        <f>SUM($E$6:E231)</f>
        <v>8611200</v>
      </c>
      <c r="G231" s="46">
        <f>MAX(F231*D231-SA/100*(C231-10*12)*(B231&gt;10),0)</f>
        <v>690688</v>
      </c>
      <c r="H231" s="44">
        <f>VLOOKUP(B231,$L$5:$N$30,3,0)</f>
        <v>0.55</v>
      </c>
      <c r="I231" s="45">
        <f>VLOOKUP(B231,$P$5:$Q$30,2,0)*SA*(B231-1)*H231</f>
        <v>1591920</v>
      </c>
      <c r="J231" s="45">
        <f>G231+I231</f>
        <v>2282608</v>
      </c>
      <c r="K231" s="59"/>
      <c r="L231" s="63"/>
    </row>
    <row r="232" spans="2:12">
      <c r="B232" s="47">
        <f>B220+1</f>
        <v>19</v>
      </c>
      <c r="C232" s="48">
        <f>C231+1</f>
        <v>227</v>
      </c>
      <c r="D232" s="49">
        <f>VLOOKUP(B232,$L$5:$N$30,2,0)</f>
        <v>0.74</v>
      </c>
      <c r="E232" s="50">
        <f>(IF(B232=1,Modal_Basic_Prem_Yr1,Modal_Basic_Prem_Yr2)*(Prem_Mode="Monthly")+(Prem_Mode="Annual")*IF(B232=1,Modal_Basic_Prem_Yr1,Modal_Basic_Prem_Yr2)*(MOD(C232-1,12)=0))*(B232&lt;=15)</f>
        <v>0</v>
      </c>
      <c r="F232" s="50">
        <f>SUM($E$6:E232)</f>
        <v>8611200</v>
      </c>
      <c r="G232" s="51">
        <f>MAX(F232*D232-SA/100*(C232-10*12)*(B232&gt;10),0)</f>
        <v>637088</v>
      </c>
      <c r="H232" s="49">
        <f>VLOOKUP(B232,$L$5:$N$30,3,0)</f>
        <v>0.55</v>
      </c>
      <c r="I232" s="50">
        <f>VLOOKUP(B232,$P$5:$Q$30,2,0)*SA*(B232-1)*H232</f>
        <v>1591920</v>
      </c>
      <c r="J232" s="50">
        <f>G232+I232</f>
        <v>2229008</v>
      </c>
      <c r="K232" s="59"/>
      <c r="L232" s="63"/>
    </row>
    <row r="233" spans="2:12">
      <c r="B233" s="42">
        <f>B221+1</f>
        <v>19</v>
      </c>
      <c r="C233" s="43">
        <f>C232+1</f>
        <v>228</v>
      </c>
      <c r="D233" s="44">
        <f>VLOOKUP(B233,$L$5:$N$30,2,0)</f>
        <v>0.74</v>
      </c>
      <c r="E233" s="45">
        <f>(IF(B233=1,Modal_Basic_Prem_Yr1,Modal_Basic_Prem_Yr2)*(Prem_Mode="Monthly")+(Prem_Mode="Annual")*IF(B233=1,Modal_Basic_Prem_Yr1,Modal_Basic_Prem_Yr2)*(MOD(C233-1,12)=0))*(B233&lt;=15)</f>
        <v>0</v>
      </c>
      <c r="F233" s="45">
        <f>SUM($E$6:E233)</f>
        <v>8611200</v>
      </c>
      <c r="G233" s="46">
        <f>MAX(F233*D233-SA/100*(C233-10*12)*(B233&gt;10),0)</f>
        <v>583488</v>
      </c>
      <c r="H233" s="44">
        <f>VLOOKUP(B233,$L$5:$N$30,3,0)</f>
        <v>0.55</v>
      </c>
      <c r="I233" s="45">
        <f>VLOOKUP(B233,$P$5:$Q$30,2,0)*SA*(B233-1)*H233</f>
        <v>1591920</v>
      </c>
      <c r="J233" s="45">
        <f>G233+I233</f>
        <v>2175408</v>
      </c>
      <c r="K233" s="59"/>
      <c r="L233" s="63"/>
    </row>
    <row r="234" spans="2:12">
      <c r="B234" s="47">
        <f>B222+1</f>
        <v>20</v>
      </c>
      <c r="C234" s="48">
        <f>C233+1</f>
        <v>229</v>
      </c>
      <c r="D234" s="49">
        <f>VLOOKUP(B234,$L$5:$N$30,2,0)</f>
        <v>0.76</v>
      </c>
      <c r="E234" s="50">
        <f>(IF(B234=1,Modal_Basic_Prem_Yr1,Modal_Basic_Prem_Yr2)*(Prem_Mode="Monthly")+(Prem_Mode="Annual")*IF(B234=1,Modal_Basic_Prem_Yr1,Modal_Basic_Prem_Yr2)*(MOD(C234-1,12)=0))*(B234&lt;=15)</f>
        <v>0</v>
      </c>
      <c r="F234" s="50">
        <f>SUM($E$6:E234)</f>
        <v>8611200</v>
      </c>
      <c r="G234" s="51">
        <f>MAX(F234*D234-SA/100*(C234-10*12)*(B234&gt;10),0)</f>
        <v>702112</v>
      </c>
      <c r="H234" s="49">
        <f>VLOOKUP(B234,$L$5:$N$30,3,0)</f>
        <v>0.6</v>
      </c>
      <c r="I234" s="50">
        <f>VLOOKUP(B234,$P$5:$Q$30,2,0)*SA*(B234-1)*H234</f>
        <v>1833120</v>
      </c>
      <c r="J234" s="50">
        <f>G234+I234</f>
        <v>2535232</v>
      </c>
      <c r="K234" s="59"/>
      <c r="L234" s="63"/>
    </row>
    <row r="235" spans="2:12">
      <c r="B235" s="42">
        <f>B223+1</f>
        <v>20</v>
      </c>
      <c r="C235" s="43">
        <f>C234+1</f>
        <v>230</v>
      </c>
      <c r="D235" s="44">
        <f>VLOOKUP(B235,$L$5:$N$30,2,0)</f>
        <v>0.76</v>
      </c>
      <c r="E235" s="45">
        <f>(IF(B235=1,Modal_Basic_Prem_Yr1,Modal_Basic_Prem_Yr2)*(Prem_Mode="Monthly")+(Prem_Mode="Annual")*IF(B235=1,Modal_Basic_Prem_Yr1,Modal_Basic_Prem_Yr2)*(MOD(C235-1,12)=0))*(B235&lt;=15)</f>
        <v>0</v>
      </c>
      <c r="F235" s="45">
        <f>SUM($E$6:E235)</f>
        <v>8611200</v>
      </c>
      <c r="G235" s="46">
        <f>MAX(F235*D235-SA/100*(C235-10*12)*(B235&gt;10),0)</f>
        <v>648512</v>
      </c>
      <c r="H235" s="44">
        <f>VLOOKUP(B235,$L$5:$N$30,3,0)</f>
        <v>0.6</v>
      </c>
      <c r="I235" s="45">
        <f>VLOOKUP(B235,$P$5:$Q$30,2,0)*SA*(B235-1)*H235</f>
        <v>1833120</v>
      </c>
      <c r="J235" s="45">
        <f>G235+I235</f>
        <v>2481632</v>
      </c>
      <c r="K235" s="59"/>
      <c r="L235" s="63"/>
    </row>
    <row r="236" spans="2:12">
      <c r="B236" s="47">
        <f>B224+1</f>
        <v>20</v>
      </c>
      <c r="C236" s="48">
        <f>C235+1</f>
        <v>231</v>
      </c>
      <c r="D236" s="49">
        <f>VLOOKUP(B236,$L$5:$N$30,2,0)</f>
        <v>0.76</v>
      </c>
      <c r="E236" s="50">
        <f>(IF(B236=1,Modal_Basic_Prem_Yr1,Modal_Basic_Prem_Yr2)*(Prem_Mode="Monthly")+(Prem_Mode="Annual")*IF(B236=1,Modal_Basic_Prem_Yr1,Modal_Basic_Prem_Yr2)*(MOD(C236-1,12)=0))*(B236&lt;=15)</f>
        <v>0</v>
      </c>
      <c r="F236" s="50">
        <f>SUM($E$6:E236)</f>
        <v>8611200</v>
      </c>
      <c r="G236" s="51">
        <f>MAX(F236*D236-SA/100*(C236-10*12)*(B236&gt;10),0)</f>
        <v>594912</v>
      </c>
      <c r="H236" s="49">
        <f>VLOOKUP(B236,$L$5:$N$30,3,0)</f>
        <v>0.6</v>
      </c>
      <c r="I236" s="50">
        <f>VLOOKUP(B236,$P$5:$Q$30,2,0)*SA*(B236-1)*H236</f>
        <v>1833120</v>
      </c>
      <c r="J236" s="50">
        <f>G236+I236</f>
        <v>2428032</v>
      </c>
      <c r="K236" s="59"/>
      <c r="L236" s="63"/>
    </row>
    <row r="237" spans="2:12">
      <c r="B237" s="42">
        <f>B225+1</f>
        <v>20</v>
      </c>
      <c r="C237" s="43">
        <f>C236+1</f>
        <v>232</v>
      </c>
      <c r="D237" s="44">
        <f>VLOOKUP(B237,$L$5:$N$30,2,0)</f>
        <v>0.76</v>
      </c>
      <c r="E237" s="45">
        <f>(IF(B237=1,Modal_Basic_Prem_Yr1,Modal_Basic_Prem_Yr2)*(Prem_Mode="Monthly")+(Prem_Mode="Annual")*IF(B237=1,Modal_Basic_Prem_Yr1,Modal_Basic_Prem_Yr2)*(MOD(C237-1,12)=0))*(B237&lt;=15)</f>
        <v>0</v>
      </c>
      <c r="F237" s="45">
        <f>SUM($E$6:E237)</f>
        <v>8611200</v>
      </c>
      <c r="G237" s="46">
        <f>MAX(F237*D237-SA/100*(C237-10*12)*(B237&gt;10),0)</f>
        <v>541312</v>
      </c>
      <c r="H237" s="44">
        <f>VLOOKUP(B237,$L$5:$N$30,3,0)</f>
        <v>0.6</v>
      </c>
      <c r="I237" s="45">
        <f>VLOOKUP(B237,$P$5:$Q$30,2,0)*SA*(B237-1)*H237</f>
        <v>1833120</v>
      </c>
      <c r="J237" s="45">
        <f>G237+I237</f>
        <v>2374432</v>
      </c>
      <c r="K237" s="59"/>
      <c r="L237" s="63"/>
    </row>
    <row r="238" spans="2:12">
      <c r="B238" s="47">
        <f>B226+1</f>
        <v>20</v>
      </c>
      <c r="C238" s="48">
        <f>C237+1</f>
        <v>233</v>
      </c>
      <c r="D238" s="49">
        <f>VLOOKUP(B238,$L$5:$N$30,2,0)</f>
        <v>0.76</v>
      </c>
      <c r="E238" s="50">
        <f>(IF(B238=1,Modal_Basic_Prem_Yr1,Modal_Basic_Prem_Yr2)*(Prem_Mode="Monthly")+(Prem_Mode="Annual")*IF(B238=1,Modal_Basic_Prem_Yr1,Modal_Basic_Prem_Yr2)*(MOD(C238-1,12)=0))*(B238&lt;=15)</f>
        <v>0</v>
      </c>
      <c r="F238" s="50">
        <f>SUM($E$6:E238)</f>
        <v>8611200</v>
      </c>
      <c r="G238" s="51">
        <f>MAX(F238*D238-SA/100*(C238-10*12)*(B238&gt;10),0)</f>
        <v>487712</v>
      </c>
      <c r="H238" s="49">
        <f>VLOOKUP(B238,$L$5:$N$30,3,0)</f>
        <v>0.6</v>
      </c>
      <c r="I238" s="50">
        <f>VLOOKUP(B238,$P$5:$Q$30,2,0)*SA*(B238-1)*H238</f>
        <v>1833120</v>
      </c>
      <c r="J238" s="50">
        <f>G238+I238</f>
        <v>2320832</v>
      </c>
      <c r="K238" s="59"/>
      <c r="L238" s="63"/>
    </row>
    <row r="239" spans="2:12">
      <c r="B239" s="42">
        <f>B227+1</f>
        <v>20</v>
      </c>
      <c r="C239" s="43">
        <f>C238+1</f>
        <v>234</v>
      </c>
      <c r="D239" s="44">
        <f>VLOOKUP(B239,$L$5:$N$30,2,0)</f>
        <v>0.76</v>
      </c>
      <c r="E239" s="45">
        <f>(IF(B239=1,Modal_Basic_Prem_Yr1,Modal_Basic_Prem_Yr2)*(Prem_Mode="Monthly")+(Prem_Mode="Annual")*IF(B239=1,Modal_Basic_Prem_Yr1,Modal_Basic_Prem_Yr2)*(MOD(C239-1,12)=0))*(B239&lt;=15)</f>
        <v>0</v>
      </c>
      <c r="F239" s="45">
        <f>SUM($E$6:E239)</f>
        <v>8611200</v>
      </c>
      <c r="G239" s="46">
        <f>MAX(F239*D239-SA/100*(C239-10*12)*(B239&gt;10),0)</f>
        <v>434112</v>
      </c>
      <c r="H239" s="44">
        <f>VLOOKUP(B239,$L$5:$N$30,3,0)</f>
        <v>0.6</v>
      </c>
      <c r="I239" s="45">
        <f>VLOOKUP(B239,$P$5:$Q$30,2,0)*SA*(B239-1)*H239</f>
        <v>1833120</v>
      </c>
      <c r="J239" s="45">
        <f>G239+I239</f>
        <v>2267232</v>
      </c>
      <c r="K239" s="59"/>
      <c r="L239" s="63"/>
    </row>
    <row r="240" spans="2:12">
      <c r="B240" s="47">
        <f>B228+1</f>
        <v>20</v>
      </c>
      <c r="C240" s="48">
        <f>C239+1</f>
        <v>235</v>
      </c>
      <c r="D240" s="49">
        <f>VLOOKUP(B240,$L$5:$N$30,2,0)</f>
        <v>0.76</v>
      </c>
      <c r="E240" s="50">
        <f>(IF(B240=1,Modal_Basic_Prem_Yr1,Modal_Basic_Prem_Yr2)*(Prem_Mode="Monthly")+(Prem_Mode="Annual")*IF(B240=1,Modal_Basic_Prem_Yr1,Modal_Basic_Prem_Yr2)*(MOD(C240-1,12)=0))*(B240&lt;=15)</f>
        <v>0</v>
      </c>
      <c r="F240" s="50">
        <f>SUM($E$6:E240)</f>
        <v>8611200</v>
      </c>
      <c r="G240" s="51">
        <f>MAX(F240*D240-SA/100*(C240-10*12)*(B240&gt;10),0)</f>
        <v>380512</v>
      </c>
      <c r="H240" s="49">
        <f>VLOOKUP(B240,$L$5:$N$30,3,0)</f>
        <v>0.6</v>
      </c>
      <c r="I240" s="50">
        <f>VLOOKUP(B240,$P$5:$Q$30,2,0)*SA*(B240-1)*H240</f>
        <v>1833120</v>
      </c>
      <c r="J240" s="50">
        <f>G240+I240</f>
        <v>2213632</v>
      </c>
      <c r="K240" s="59"/>
      <c r="L240" s="63"/>
    </row>
    <row r="241" spans="2:12">
      <c r="B241" s="42">
        <f>B229+1</f>
        <v>20</v>
      </c>
      <c r="C241" s="43">
        <f>C240+1</f>
        <v>236</v>
      </c>
      <c r="D241" s="44">
        <f>VLOOKUP(B241,$L$5:$N$30,2,0)</f>
        <v>0.76</v>
      </c>
      <c r="E241" s="45">
        <f>(IF(B241=1,Modal_Basic_Prem_Yr1,Modal_Basic_Prem_Yr2)*(Prem_Mode="Monthly")+(Prem_Mode="Annual")*IF(B241=1,Modal_Basic_Prem_Yr1,Modal_Basic_Prem_Yr2)*(MOD(C241-1,12)=0))*(B241&lt;=15)</f>
        <v>0</v>
      </c>
      <c r="F241" s="45">
        <f>SUM($E$6:E241)</f>
        <v>8611200</v>
      </c>
      <c r="G241" s="46">
        <f>MAX(F241*D241-SA/100*(C241-10*12)*(B241&gt;10),0)</f>
        <v>326912</v>
      </c>
      <c r="H241" s="44">
        <f>VLOOKUP(B241,$L$5:$N$30,3,0)</f>
        <v>0.6</v>
      </c>
      <c r="I241" s="45">
        <f>VLOOKUP(B241,$P$5:$Q$30,2,0)*SA*(B241-1)*H241</f>
        <v>1833120</v>
      </c>
      <c r="J241" s="45">
        <f>G241+I241</f>
        <v>2160032</v>
      </c>
      <c r="K241" s="59"/>
      <c r="L241" s="63"/>
    </row>
    <row r="242" spans="2:12">
      <c r="B242" s="47">
        <f>B230+1</f>
        <v>20</v>
      </c>
      <c r="C242" s="48">
        <f>C241+1</f>
        <v>237</v>
      </c>
      <c r="D242" s="49">
        <f>VLOOKUP(B242,$L$5:$N$30,2,0)</f>
        <v>0.76</v>
      </c>
      <c r="E242" s="50">
        <f>(IF(B242=1,Modal_Basic_Prem_Yr1,Modal_Basic_Prem_Yr2)*(Prem_Mode="Monthly")+(Prem_Mode="Annual")*IF(B242=1,Modal_Basic_Prem_Yr1,Modal_Basic_Prem_Yr2)*(MOD(C242-1,12)=0))*(B242&lt;=15)</f>
        <v>0</v>
      </c>
      <c r="F242" s="50">
        <f>SUM($E$6:E242)</f>
        <v>8611200</v>
      </c>
      <c r="G242" s="51">
        <f>MAX(F242*D242-SA/100*(C242-10*12)*(B242&gt;10),0)</f>
        <v>273312</v>
      </c>
      <c r="H242" s="49">
        <f>VLOOKUP(B242,$L$5:$N$30,3,0)</f>
        <v>0.6</v>
      </c>
      <c r="I242" s="50">
        <f>VLOOKUP(B242,$P$5:$Q$30,2,0)*SA*(B242-1)*H242</f>
        <v>1833120</v>
      </c>
      <c r="J242" s="50">
        <f>G242+I242</f>
        <v>2106432</v>
      </c>
      <c r="K242" s="59"/>
      <c r="L242" s="63"/>
    </row>
    <row r="243" spans="2:12">
      <c r="B243" s="42">
        <f>B231+1</f>
        <v>20</v>
      </c>
      <c r="C243" s="43">
        <f>C242+1</f>
        <v>238</v>
      </c>
      <c r="D243" s="44">
        <f>VLOOKUP(B243,$L$5:$N$30,2,0)</f>
        <v>0.76</v>
      </c>
      <c r="E243" s="45">
        <f>(IF(B243=1,Modal_Basic_Prem_Yr1,Modal_Basic_Prem_Yr2)*(Prem_Mode="Monthly")+(Prem_Mode="Annual")*IF(B243=1,Modal_Basic_Prem_Yr1,Modal_Basic_Prem_Yr2)*(MOD(C243-1,12)=0))*(B243&lt;=15)</f>
        <v>0</v>
      </c>
      <c r="F243" s="45">
        <f>SUM($E$6:E243)</f>
        <v>8611200</v>
      </c>
      <c r="G243" s="46">
        <f>MAX(F243*D243-SA/100*(C243-10*12)*(B243&gt;10),0)</f>
        <v>219712</v>
      </c>
      <c r="H243" s="44">
        <f>VLOOKUP(B243,$L$5:$N$30,3,0)</f>
        <v>0.6</v>
      </c>
      <c r="I243" s="45">
        <f>VLOOKUP(B243,$P$5:$Q$30,2,0)*SA*(B243-1)*H243</f>
        <v>1833120</v>
      </c>
      <c r="J243" s="45">
        <f>G243+I243</f>
        <v>2052832</v>
      </c>
      <c r="K243" s="59"/>
      <c r="L243" s="63"/>
    </row>
    <row r="244" spans="2:12">
      <c r="B244" s="47">
        <f>B232+1</f>
        <v>20</v>
      </c>
      <c r="C244" s="48">
        <f>C243+1</f>
        <v>239</v>
      </c>
      <c r="D244" s="49">
        <f>VLOOKUP(B244,$L$5:$N$30,2,0)</f>
        <v>0.76</v>
      </c>
      <c r="E244" s="50">
        <f>(IF(B244=1,Modal_Basic_Prem_Yr1,Modal_Basic_Prem_Yr2)*(Prem_Mode="Monthly")+(Prem_Mode="Annual")*IF(B244=1,Modal_Basic_Prem_Yr1,Modal_Basic_Prem_Yr2)*(MOD(C244-1,12)=0))*(B244&lt;=15)</f>
        <v>0</v>
      </c>
      <c r="F244" s="50">
        <f>SUM($E$6:E244)</f>
        <v>8611200</v>
      </c>
      <c r="G244" s="51">
        <f>MAX(F244*D244-SA/100*(C244-10*12)*(B244&gt;10),0)</f>
        <v>166112</v>
      </c>
      <c r="H244" s="49">
        <f>VLOOKUP(B244,$L$5:$N$30,3,0)</f>
        <v>0.6</v>
      </c>
      <c r="I244" s="50">
        <f>VLOOKUP(B244,$P$5:$Q$30,2,0)*SA*(B244-1)*H244</f>
        <v>1833120</v>
      </c>
      <c r="J244" s="50">
        <f>G244+I244</f>
        <v>1999232</v>
      </c>
      <c r="K244" s="59"/>
      <c r="L244" s="63"/>
    </row>
    <row r="245" spans="2:12">
      <c r="B245" s="42">
        <f>B233+1</f>
        <v>20</v>
      </c>
      <c r="C245" s="43">
        <f>C244+1</f>
        <v>240</v>
      </c>
      <c r="D245" s="44">
        <f>VLOOKUP(B245,$L$5:$N$30,2,0)</f>
        <v>0.76</v>
      </c>
      <c r="E245" s="45">
        <f>(IF(B245=1,Modal_Basic_Prem_Yr1,Modal_Basic_Prem_Yr2)*(Prem_Mode="Monthly")+(Prem_Mode="Annual")*IF(B245=1,Modal_Basic_Prem_Yr1,Modal_Basic_Prem_Yr2)*(MOD(C245-1,12)=0))*(B245&lt;=15)</f>
        <v>0</v>
      </c>
      <c r="F245" s="45">
        <f>SUM($E$6:E245)</f>
        <v>8611200</v>
      </c>
      <c r="G245" s="46">
        <f>MAX(F245*D245-SA/100*(C245-10*12)*(B245&gt;10),0)</f>
        <v>112512</v>
      </c>
      <c r="H245" s="44">
        <f>VLOOKUP(B245,$L$5:$N$30,3,0)</f>
        <v>0.6</v>
      </c>
      <c r="I245" s="45">
        <f>VLOOKUP(B245,$P$5:$Q$30,2,0)*SA*(B245-1)*H245</f>
        <v>1833120</v>
      </c>
      <c r="J245" s="45">
        <f>G245+I245</f>
        <v>1945632</v>
      </c>
      <c r="K245" s="59"/>
      <c r="L245" s="63"/>
    </row>
    <row r="246" spans="2:12">
      <c r="B246" s="47">
        <f>B234+1</f>
        <v>21</v>
      </c>
      <c r="C246" s="48">
        <f>C245+1</f>
        <v>241</v>
      </c>
      <c r="D246" s="49">
        <f>VLOOKUP(B246,$L$5:$N$30,2,0)</f>
        <v>0.78</v>
      </c>
      <c r="E246" s="50">
        <f>(IF(B246=1,Modal_Basic_Prem_Yr1,Modal_Basic_Prem_Yr2)*(Prem_Mode="Monthly")+(Prem_Mode="Annual")*IF(B246=1,Modal_Basic_Prem_Yr1,Modal_Basic_Prem_Yr2)*(MOD(C246-1,12)=0))*(B246&lt;=15)</f>
        <v>0</v>
      </c>
      <c r="F246" s="50">
        <f>SUM($E$6:E246)</f>
        <v>8611200</v>
      </c>
      <c r="G246" s="51">
        <f>MAX(F246*D246-SA/100*(C246-10*12)*(B246&gt;10),0)</f>
        <v>231136</v>
      </c>
      <c r="H246" s="49">
        <f>VLOOKUP(B246,$L$5:$N$30,3,0)</f>
        <v>0.65</v>
      </c>
      <c r="I246" s="50">
        <f>VLOOKUP(B246,$P$5:$Q$30,2,0)*SA*(B246-1)*H246</f>
        <v>2090400</v>
      </c>
      <c r="J246" s="50">
        <f>G246+I246</f>
        <v>2321536</v>
      </c>
      <c r="K246" s="59"/>
      <c r="L246" s="63"/>
    </row>
    <row r="247" spans="2:12">
      <c r="B247" s="42">
        <f>B235+1</f>
        <v>21</v>
      </c>
      <c r="C247" s="43">
        <f>C246+1</f>
        <v>242</v>
      </c>
      <c r="D247" s="44">
        <f>VLOOKUP(B247,$L$5:$N$30,2,0)</f>
        <v>0.78</v>
      </c>
      <c r="E247" s="45">
        <f>(IF(B247=1,Modal_Basic_Prem_Yr1,Modal_Basic_Prem_Yr2)*(Prem_Mode="Monthly")+(Prem_Mode="Annual")*IF(B247=1,Modal_Basic_Prem_Yr1,Modal_Basic_Prem_Yr2)*(MOD(C247-1,12)=0))*(B247&lt;=15)</f>
        <v>0</v>
      </c>
      <c r="F247" s="45">
        <f>SUM($E$6:E247)</f>
        <v>8611200</v>
      </c>
      <c r="G247" s="46">
        <f>MAX(F247*D247-SA/100*(C247-10*12)*(B247&gt;10),0)</f>
        <v>177536</v>
      </c>
      <c r="H247" s="44">
        <f>VLOOKUP(B247,$L$5:$N$30,3,0)</f>
        <v>0.65</v>
      </c>
      <c r="I247" s="45">
        <f>VLOOKUP(B247,$P$5:$Q$30,2,0)*SA*(B247-1)*H247</f>
        <v>2090400</v>
      </c>
      <c r="J247" s="45">
        <f>G247+I247</f>
        <v>2267936</v>
      </c>
      <c r="K247" s="59"/>
      <c r="L247" s="63"/>
    </row>
    <row r="248" spans="2:12">
      <c r="B248" s="47">
        <f>B236+1</f>
        <v>21</v>
      </c>
      <c r="C248" s="48">
        <f>C247+1</f>
        <v>243</v>
      </c>
      <c r="D248" s="49">
        <f>VLOOKUP(B248,$L$5:$N$30,2,0)</f>
        <v>0.78</v>
      </c>
      <c r="E248" s="50">
        <f>(IF(B248=1,Modal_Basic_Prem_Yr1,Modal_Basic_Prem_Yr2)*(Prem_Mode="Monthly")+(Prem_Mode="Annual")*IF(B248=1,Modal_Basic_Prem_Yr1,Modal_Basic_Prem_Yr2)*(MOD(C248-1,12)=0))*(B248&lt;=15)</f>
        <v>0</v>
      </c>
      <c r="F248" s="50">
        <f>SUM($E$6:E248)</f>
        <v>8611200</v>
      </c>
      <c r="G248" s="51">
        <f>MAX(F248*D248-SA/100*(C248-10*12)*(B248&gt;10),0)</f>
        <v>123936</v>
      </c>
      <c r="H248" s="49">
        <f>VLOOKUP(B248,$L$5:$N$30,3,0)</f>
        <v>0.65</v>
      </c>
      <c r="I248" s="50">
        <f>VLOOKUP(B248,$P$5:$Q$30,2,0)*SA*(B248-1)*H248</f>
        <v>2090400</v>
      </c>
      <c r="J248" s="50">
        <f>G248+I248</f>
        <v>2214336</v>
      </c>
      <c r="K248" s="59"/>
      <c r="L248" s="63"/>
    </row>
    <row r="249" spans="2:12">
      <c r="B249" s="42">
        <f>B237+1</f>
        <v>21</v>
      </c>
      <c r="C249" s="43">
        <f>C248+1</f>
        <v>244</v>
      </c>
      <c r="D249" s="44">
        <f>VLOOKUP(B249,$L$5:$N$30,2,0)</f>
        <v>0.78</v>
      </c>
      <c r="E249" s="45">
        <f>(IF(B249=1,Modal_Basic_Prem_Yr1,Modal_Basic_Prem_Yr2)*(Prem_Mode="Monthly")+(Prem_Mode="Annual")*IF(B249=1,Modal_Basic_Prem_Yr1,Modal_Basic_Prem_Yr2)*(MOD(C249-1,12)=0))*(B249&lt;=15)</f>
        <v>0</v>
      </c>
      <c r="F249" s="45">
        <f>SUM($E$6:E249)</f>
        <v>8611200</v>
      </c>
      <c r="G249" s="46">
        <f>MAX(F249*D249-SA/100*(C249-10*12)*(B249&gt;10),0)</f>
        <v>70336</v>
      </c>
      <c r="H249" s="44">
        <f>VLOOKUP(B249,$L$5:$N$30,3,0)</f>
        <v>0.65</v>
      </c>
      <c r="I249" s="45">
        <f>VLOOKUP(B249,$P$5:$Q$30,2,0)*SA*(B249-1)*H249</f>
        <v>2090400</v>
      </c>
      <c r="J249" s="45">
        <f>G249+I249</f>
        <v>2160736</v>
      </c>
      <c r="K249" s="59"/>
      <c r="L249" s="63"/>
    </row>
    <row r="250" spans="2:12">
      <c r="B250" s="47">
        <f>B238+1</f>
        <v>21</v>
      </c>
      <c r="C250" s="48">
        <f>C249+1</f>
        <v>245</v>
      </c>
      <c r="D250" s="49">
        <f>VLOOKUP(B250,$L$5:$N$30,2,0)</f>
        <v>0.78</v>
      </c>
      <c r="E250" s="50">
        <f>(IF(B250=1,Modal_Basic_Prem_Yr1,Modal_Basic_Prem_Yr2)*(Prem_Mode="Monthly")+(Prem_Mode="Annual")*IF(B250=1,Modal_Basic_Prem_Yr1,Modal_Basic_Prem_Yr2)*(MOD(C250-1,12)=0))*(B250&lt;=15)</f>
        <v>0</v>
      </c>
      <c r="F250" s="50">
        <f>SUM($E$6:E250)</f>
        <v>8611200</v>
      </c>
      <c r="G250" s="51">
        <f>MAX(F250*D250-SA/100*(C250-10*12)*(B250&gt;10),0)</f>
        <v>16736</v>
      </c>
      <c r="H250" s="49">
        <f>VLOOKUP(B250,$L$5:$N$30,3,0)</f>
        <v>0.65</v>
      </c>
      <c r="I250" s="50">
        <f>VLOOKUP(B250,$P$5:$Q$30,2,0)*SA*(B250-1)*H250</f>
        <v>2090400</v>
      </c>
      <c r="J250" s="50">
        <f>G250+I250</f>
        <v>2107136</v>
      </c>
      <c r="K250" s="59"/>
      <c r="L250" s="63"/>
    </row>
    <row r="251" spans="2:12">
      <c r="B251" s="42">
        <f>B239+1</f>
        <v>21</v>
      </c>
      <c r="C251" s="43">
        <f>C250+1</f>
        <v>246</v>
      </c>
      <c r="D251" s="44">
        <f>VLOOKUP(B251,$L$5:$N$30,2,0)</f>
        <v>0.78</v>
      </c>
      <c r="E251" s="45">
        <f>(IF(B251=1,Modal_Basic_Prem_Yr1,Modal_Basic_Prem_Yr2)*(Prem_Mode="Monthly")+(Prem_Mode="Annual")*IF(B251=1,Modal_Basic_Prem_Yr1,Modal_Basic_Prem_Yr2)*(MOD(C251-1,12)=0))*(B251&lt;=15)</f>
        <v>0</v>
      </c>
      <c r="F251" s="45">
        <f>SUM($E$6:E251)</f>
        <v>8611200</v>
      </c>
      <c r="G251" s="46">
        <f>MAX(F251*D251-SA/100*(C251-10*12)*(B251&gt;10),0)</f>
        <v>0</v>
      </c>
      <c r="H251" s="44">
        <f>VLOOKUP(B251,$L$5:$N$30,3,0)</f>
        <v>0.65</v>
      </c>
      <c r="I251" s="45">
        <f>VLOOKUP(B251,$P$5:$Q$30,2,0)*SA*(B251-1)*H251</f>
        <v>2090400</v>
      </c>
      <c r="J251" s="45">
        <f>G251+I251</f>
        <v>2090400</v>
      </c>
      <c r="K251" s="59"/>
      <c r="L251" s="63"/>
    </row>
    <row r="252" spans="2:12">
      <c r="B252" s="47">
        <f>B240+1</f>
        <v>21</v>
      </c>
      <c r="C252" s="48">
        <f>C251+1</f>
        <v>247</v>
      </c>
      <c r="D252" s="49">
        <f>VLOOKUP(B252,$L$5:$N$30,2,0)</f>
        <v>0.78</v>
      </c>
      <c r="E252" s="50">
        <f>(IF(B252=1,Modal_Basic_Prem_Yr1,Modal_Basic_Prem_Yr2)*(Prem_Mode="Monthly")+(Prem_Mode="Annual")*IF(B252=1,Modal_Basic_Prem_Yr1,Modal_Basic_Prem_Yr2)*(MOD(C252-1,12)=0))*(B252&lt;=15)</f>
        <v>0</v>
      </c>
      <c r="F252" s="50">
        <f>SUM($E$6:E252)</f>
        <v>8611200</v>
      </c>
      <c r="G252" s="51">
        <f>MAX(F252*D252-SA/100*(C252-10*12)*(B252&gt;10),0)</f>
        <v>0</v>
      </c>
      <c r="H252" s="49">
        <f>VLOOKUP(B252,$L$5:$N$30,3,0)</f>
        <v>0.65</v>
      </c>
      <c r="I252" s="50">
        <f>VLOOKUP(B252,$P$5:$Q$30,2,0)*SA*(B252-1)*H252</f>
        <v>2090400</v>
      </c>
      <c r="J252" s="50">
        <f>G252+I252</f>
        <v>2090400</v>
      </c>
      <c r="K252" s="59"/>
      <c r="L252" s="63"/>
    </row>
    <row r="253" spans="2:12">
      <c r="B253" s="42">
        <f>B241+1</f>
        <v>21</v>
      </c>
      <c r="C253" s="43">
        <f>C252+1</f>
        <v>248</v>
      </c>
      <c r="D253" s="44">
        <f>VLOOKUP(B253,$L$5:$N$30,2,0)</f>
        <v>0.78</v>
      </c>
      <c r="E253" s="45">
        <f>(IF(B253=1,Modal_Basic_Prem_Yr1,Modal_Basic_Prem_Yr2)*(Prem_Mode="Monthly")+(Prem_Mode="Annual")*IF(B253=1,Modal_Basic_Prem_Yr1,Modal_Basic_Prem_Yr2)*(MOD(C253-1,12)=0))*(B253&lt;=15)</f>
        <v>0</v>
      </c>
      <c r="F253" s="45">
        <f>SUM($E$6:E253)</f>
        <v>8611200</v>
      </c>
      <c r="G253" s="46">
        <f>MAX(F253*D253-SA/100*(C253-10*12)*(B253&gt;10),0)</f>
        <v>0</v>
      </c>
      <c r="H253" s="44">
        <f>VLOOKUP(B253,$L$5:$N$30,3,0)</f>
        <v>0.65</v>
      </c>
      <c r="I253" s="45">
        <f>VLOOKUP(B253,$P$5:$Q$30,2,0)*SA*(B253-1)*H253</f>
        <v>2090400</v>
      </c>
      <c r="J253" s="45">
        <f>G253+I253</f>
        <v>2090400</v>
      </c>
      <c r="K253" s="59"/>
      <c r="L253" s="63"/>
    </row>
    <row r="254" spans="2:12">
      <c r="B254" s="47">
        <f>B242+1</f>
        <v>21</v>
      </c>
      <c r="C254" s="48">
        <f>C253+1</f>
        <v>249</v>
      </c>
      <c r="D254" s="49">
        <f>VLOOKUP(B254,$L$5:$N$30,2,0)</f>
        <v>0.78</v>
      </c>
      <c r="E254" s="50">
        <f>(IF(B254=1,Modal_Basic_Prem_Yr1,Modal_Basic_Prem_Yr2)*(Prem_Mode="Monthly")+(Prem_Mode="Annual")*IF(B254=1,Modal_Basic_Prem_Yr1,Modal_Basic_Prem_Yr2)*(MOD(C254-1,12)=0))*(B254&lt;=15)</f>
        <v>0</v>
      </c>
      <c r="F254" s="50">
        <f>SUM($E$6:E254)</f>
        <v>8611200</v>
      </c>
      <c r="G254" s="51">
        <f>MAX(F254*D254-SA/100*(C254-10*12)*(B254&gt;10),0)</f>
        <v>0</v>
      </c>
      <c r="H254" s="49">
        <f>VLOOKUP(B254,$L$5:$N$30,3,0)</f>
        <v>0.65</v>
      </c>
      <c r="I254" s="50">
        <f>VLOOKUP(B254,$P$5:$Q$30,2,0)*SA*(B254-1)*H254</f>
        <v>2090400</v>
      </c>
      <c r="J254" s="50">
        <f>G254+I254</f>
        <v>2090400</v>
      </c>
      <c r="K254" s="59"/>
      <c r="L254" s="63"/>
    </row>
    <row r="255" spans="2:12">
      <c r="B255" s="42">
        <f>B243+1</f>
        <v>21</v>
      </c>
      <c r="C255" s="43">
        <f>C254+1</f>
        <v>250</v>
      </c>
      <c r="D255" s="44">
        <f>VLOOKUP(B255,$L$5:$N$30,2,0)</f>
        <v>0.78</v>
      </c>
      <c r="E255" s="45">
        <f>(IF(B255=1,Modal_Basic_Prem_Yr1,Modal_Basic_Prem_Yr2)*(Prem_Mode="Monthly")+(Prem_Mode="Annual")*IF(B255=1,Modal_Basic_Prem_Yr1,Modal_Basic_Prem_Yr2)*(MOD(C255-1,12)=0))*(B255&lt;=15)</f>
        <v>0</v>
      </c>
      <c r="F255" s="45">
        <f>SUM($E$6:E255)</f>
        <v>8611200</v>
      </c>
      <c r="G255" s="46">
        <f>MAX(F255*D255-SA/100*(C255-10*12)*(B255&gt;10),0)</f>
        <v>0</v>
      </c>
      <c r="H255" s="44">
        <f>VLOOKUP(B255,$L$5:$N$30,3,0)</f>
        <v>0.65</v>
      </c>
      <c r="I255" s="45">
        <f>VLOOKUP(B255,$P$5:$Q$30,2,0)*SA*(B255-1)*H255</f>
        <v>2090400</v>
      </c>
      <c r="J255" s="45">
        <f>G255+I255</f>
        <v>2090400</v>
      </c>
      <c r="K255" s="59"/>
      <c r="L255" s="63"/>
    </row>
    <row r="256" spans="2:12">
      <c r="B256" s="47">
        <f>B244+1</f>
        <v>21</v>
      </c>
      <c r="C256" s="48">
        <f>C255+1</f>
        <v>251</v>
      </c>
      <c r="D256" s="49">
        <f>VLOOKUP(B256,$L$5:$N$30,2,0)</f>
        <v>0.78</v>
      </c>
      <c r="E256" s="50">
        <f>(IF(B256=1,Modal_Basic_Prem_Yr1,Modal_Basic_Prem_Yr2)*(Prem_Mode="Monthly")+(Prem_Mode="Annual")*IF(B256=1,Modal_Basic_Prem_Yr1,Modal_Basic_Prem_Yr2)*(MOD(C256-1,12)=0))*(B256&lt;=15)</f>
        <v>0</v>
      </c>
      <c r="F256" s="50">
        <f>SUM($E$6:E256)</f>
        <v>8611200</v>
      </c>
      <c r="G256" s="51">
        <f>MAX(F256*D256-SA/100*(C256-10*12)*(B256&gt;10),0)</f>
        <v>0</v>
      </c>
      <c r="H256" s="49">
        <f>VLOOKUP(B256,$L$5:$N$30,3,0)</f>
        <v>0.65</v>
      </c>
      <c r="I256" s="50">
        <f>VLOOKUP(B256,$P$5:$Q$30,2,0)*SA*(B256-1)*H256</f>
        <v>2090400</v>
      </c>
      <c r="J256" s="50">
        <f>G256+I256</f>
        <v>2090400</v>
      </c>
      <c r="K256" s="59"/>
      <c r="L256" s="63"/>
    </row>
    <row r="257" spans="2:12">
      <c r="B257" s="42">
        <f>B245+1</f>
        <v>21</v>
      </c>
      <c r="C257" s="43">
        <f>C256+1</f>
        <v>252</v>
      </c>
      <c r="D257" s="44">
        <f>VLOOKUP(B257,$L$5:$N$30,2,0)</f>
        <v>0.78</v>
      </c>
      <c r="E257" s="45">
        <f>(IF(B257=1,Modal_Basic_Prem_Yr1,Modal_Basic_Prem_Yr2)*(Prem_Mode="Monthly")+(Prem_Mode="Annual")*IF(B257=1,Modal_Basic_Prem_Yr1,Modal_Basic_Prem_Yr2)*(MOD(C257-1,12)=0))*(B257&lt;=15)</f>
        <v>0</v>
      </c>
      <c r="F257" s="45">
        <f>SUM($E$6:E257)</f>
        <v>8611200</v>
      </c>
      <c r="G257" s="46">
        <f>MAX(F257*D257-SA/100*(C257-10*12)*(B257&gt;10),0)</f>
        <v>0</v>
      </c>
      <c r="H257" s="44">
        <f>VLOOKUP(B257,$L$5:$N$30,3,0)</f>
        <v>0.65</v>
      </c>
      <c r="I257" s="45">
        <f>VLOOKUP(B257,$P$5:$Q$30,2,0)*SA*(B257-1)*H257</f>
        <v>2090400</v>
      </c>
      <c r="J257" s="45">
        <f>G257+I257</f>
        <v>2090400</v>
      </c>
      <c r="K257" s="59"/>
      <c r="L257" s="63"/>
    </row>
    <row r="258" spans="2:12">
      <c r="B258" s="47">
        <f>B246+1</f>
        <v>22</v>
      </c>
      <c r="C258" s="48">
        <f>C257+1</f>
        <v>253</v>
      </c>
      <c r="D258" s="49">
        <f>VLOOKUP(B258,$L$5:$N$30,2,0)</f>
        <v>0.8</v>
      </c>
      <c r="E258" s="50">
        <f>(IF(B258=1,Modal_Basic_Prem_Yr1,Modal_Basic_Prem_Yr2)*(Prem_Mode="Monthly")+(Prem_Mode="Annual")*IF(B258=1,Modal_Basic_Prem_Yr1,Modal_Basic_Prem_Yr2)*(MOD(C258-1,12)=0))*(B258&lt;=15)</f>
        <v>0</v>
      </c>
      <c r="F258" s="50">
        <f>SUM($E$6:E258)</f>
        <v>8611200</v>
      </c>
      <c r="G258" s="51">
        <f>MAX(F258*D258-SA/100*(C258-10*12)*(B258&gt;10),0)</f>
        <v>0</v>
      </c>
      <c r="H258" s="49">
        <f>VLOOKUP(B258,$L$5:$N$30,3,0)</f>
        <v>0.71</v>
      </c>
      <c r="I258" s="50">
        <f>VLOOKUP(B258,$P$5:$Q$30,2,0)*SA*(B258-1)*H258</f>
        <v>2397528</v>
      </c>
      <c r="J258" s="50">
        <f>G258+I258</f>
        <v>2397528</v>
      </c>
      <c r="K258" s="59"/>
      <c r="L258" s="63"/>
    </row>
    <row r="259" spans="2:12">
      <c r="B259" s="42">
        <f>B247+1</f>
        <v>22</v>
      </c>
      <c r="C259" s="43">
        <f>C258+1</f>
        <v>254</v>
      </c>
      <c r="D259" s="44">
        <f>VLOOKUP(B259,$L$5:$N$30,2,0)</f>
        <v>0.8</v>
      </c>
      <c r="E259" s="45">
        <f>(IF(B259=1,Modal_Basic_Prem_Yr1,Modal_Basic_Prem_Yr2)*(Prem_Mode="Monthly")+(Prem_Mode="Annual")*IF(B259=1,Modal_Basic_Prem_Yr1,Modal_Basic_Prem_Yr2)*(MOD(C259-1,12)=0))*(B259&lt;=15)</f>
        <v>0</v>
      </c>
      <c r="F259" s="45">
        <f>SUM($E$6:E259)</f>
        <v>8611200</v>
      </c>
      <c r="G259" s="46">
        <f>MAX(F259*D259-SA/100*(C259-10*12)*(B259&gt;10),0)</f>
        <v>0</v>
      </c>
      <c r="H259" s="44">
        <f>VLOOKUP(B259,$L$5:$N$30,3,0)</f>
        <v>0.71</v>
      </c>
      <c r="I259" s="45">
        <f>VLOOKUP(B259,$P$5:$Q$30,2,0)*SA*(B259-1)*H259</f>
        <v>2397528</v>
      </c>
      <c r="J259" s="45">
        <f>G259+I259</f>
        <v>2397528</v>
      </c>
      <c r="K259" s="59"/>
      <c r="L259" s="63"/>
    </row>
    <row r="260" spans="2:12">
      <c r="B260" s="47">
        <f>B248+1</f>
        <v>22</v>
      </c>
      <c r="C260" s="48">
        <f>C259+1</f>
        <v>255</v>
      </c>
      <c r="D260" s="49">
        <f>VLOOKUP(B260,$L$5:$N$30,2,0)</f>
        <v>0.8</v>
      </c>
      <c r="E260" s="50">
        <f>(IF(B260=1,Modal_Basic_Prem_Yr1,Modal_Basic_Prem_Yr2)*(Prem_Mode="Monthly")+(Prem_Mode="Annual")*IF(B260=1,Modal_Basic_Prem_Yr1,Modal_Basic_Prem_Yr2)*(MOD(C260-1,12)=0))*(B260&lt;=15)</f>
        <v>0</v>
      </c>
      <c r="F260" s="50">
        <f>SUM($E$6:E260)</f>
        <v>8611200</v>
      </c>
      <c r="G260" s="51">
        <f>MAX(F260*D260-SA/100*(C260-10*12)*(B260&gt;10),0)</f>
        <v>0</v>
      </c>
      <c r="H260" s="49">
        <f>VLOOKUP(B260,$L$5:$N$30,3,0)</f>
        <v>0.71</v>
      </c>
      <c r="I260" s="50">
        <f>VLOOKUP(B260,$P$5:$Q$30,2,0)*SA*(B260-1)*H260</f>
        <v>2397528</v>
      </c>
      <c r="J260" s="50">
        <f>G260+I260</f>
        <v>2397528</v>
      </c>
      <c r="K260" s="59"/>
      <c r="L260" s="63"/>
    </row>
    <row r="261" spans="2:12">
      <c r="B261" s="42">
        <f>B249+1</f>
        <v>22</v>
      </c>
      <c r="C261" s="43">
        <f>C260+1</f>
        <v>256</v>
      </c>
      <c r="D261" s="44">
        <f>VLOOKUP(B261,$L$5:$N$30,2,0)</f>
        <v>0.8</v>
      </c>
      <c r="E261" s="45">
        <f>(IF(B261=1,Modal_Basic_Prem_Yr1,Modal_Basic_Prem_Yr2)*(Prem_Mode="Monthly")+(Prem_Mode="Annual")*IF(B261=1,Modal_Basic_Prem_Yr1,Modal_Basic_Prem_Yr2)*(MOD(C261-1,12)=0))*(B261&lt;=15)</f>
        <v>0</v>
      </c>
      <c r="F261" s="45">
        <f>SUM($E$6:E261)</f>
        <v>8611200</v>
      </c>
      <c r="G261" s="46">
        <f>MAX(F261*D261-SA/100*(C261-10*12)*(B261&gt;10),0)</f>
        <v>0</v>
      </c>
      <c r="H261" s="44">
        <f>VLOOKUP(B261,$L$5:$N$30,3,0)</f>
        <v>0.71</v>
      </c>
      <c r="I261" s="45">
        <f>VLOOKUP(B261,$P$5:$Q$30,2,0)*SA*(B261-1)*H261</f>
        <v>2397528</v>
      </c>
      <c r="J261" s="45">
        <f>G261+I261</f>
        <v>2397528</v>
      </c>
      <c r="K261" s="59"/>
      <c r="L261" s="63"/>
    </row>
    <row r="262" spans="2:12">
      <c r="B262" s="47">
        <f>B250+1</f>
        <v>22</v>
      </c>
      <c r="C262" s="48">
        <f>C261+1</f>
        <v>257</v>
      </c>
      <c r="D262" s="49">
        <f>VLOOKUP(B262,$L$5:$N$30,2,0)</f>
        <v>0.8</v>
      </c>
      <c r="E262" s="50">
        <f>(IF(B262=1,Modal_Basic_Prem_Yr1,Modal_Basic_Prem_Yr2)*(Prem_Mode="Monthly")+(Prem_Mode="Annual")*IF(B262=1,Modal_Basic_Prem_Yr1,Modal_Basic_Prem_Yr2)*(MOD(C262-1,12)=0))*(B262&lt;=15)</f>
        <v>0</v>
      </c>
      <c r="F262" s="50">
        <f>SUM($E$6:E262)</f>
        <v>8611200</v>
      </c>
      <c r="G262" s="51">
        <f>MAX(F262*D262-SA/100*(C262-10*12)*(B262&gt;10),0)</f>
        <v>0</v>
      </c>
      <c r="H262" s="49">
        <f>VLOOKUP(B262,$L$5:$N$30,3,0)</f>
        <v>0.71</v>
      </c>
      <c r="I262" s="50">
        <f>VLOOKUP(B262,$P$5:$Q$30,2,0)*SA*(B262-1)*H262</f>
        <v>2397528</v>
      </c>
      <c r="J262" s="50">
        <f>G262+I262</f>
        <v>2397528</v>
      </c>
      <c r="K262" s="59"/>
      <c r="L262" s="63"/>
    </row>
    <row r="263" spans="2:12">
      <c r="B263" s="42">
        <f>B251+1</f>
        <v>22</v>
      </c>
      <c r="C263" s="43">
        <f>C262+1</f>
        <v>258</v>
      </c>
      <c r="D263" s="44">
        <f t="shared" ref="D263:D305" si="23">VLOOKUP(B263,$L$5:$N$30,2,0)</f>
        <v>0.8</v>
      </c>
      <c r="E263" s="45">
        <f>(IF(B263=1,Modal_Basic_Prem_Yr1,Modal_Basic_Prem_Yr2)*(Prem_Mode="Monthly")+(Prem_Mode="Annual")*IF(B263=1,Modal_Basic_Prem_Yr1,Modal_Basic_Prem_Yr2)*(MOD(C263-1,12)=0))*(B263&lt;=15)</f>
        <v>0</v>
      </c>
      <c r="F263" s="45">
        <f>SUM($E$6:E263)</f>
        <v>8611200</v>
      </c>
      <c r="G263" s="46">
        <f>MAX(F263*D263-SA/100*(C263-10*12)*(B263&gt;10),0)</f>
        <v>0</v>
      </c>
      <c r="H263" s="44">
        <f t="shared" ref="H263:H305" si="24">VLOOKUP(B263,$L$5:$N$30,3,0)</f>
        <v>0.71</v>
      </c>
      <c r="I263" s="45">
        <f>VLOOKUP(B263,$P$5:$Q$30,2,0)*SA*(B263-1)*H263</f>
        <v>2397528</v>
      </c>
      <c r="J263" s="45">
        <f t="shared" ref="J263:J305" si="25">G263+I263</f>
        <v>2397528</v>
      </c>
      <c r="K263" s="59"/>
      <c r="L263" s="63"/>
    </row>
    <row r="264" spans="2:12">
      <c r="B264" s="47">
        <f>B252+1</f>
        <v>22</v>
      </c>
      <c r="C264" s="48">
        <f t="shared" ref="C264:C305" si="26">C263+1</f>
        <v>259</v>
      </c>
      <c r="D264" s="49">
        <f>VLOOKUP(B264,$L$5:$N$30,2,0)</f>
        <v>0.8</v>
      </c>
      <c r="E264" s="50">
        <f>(IF(B264=1,Modal_Basic_Prem_Yr1,Modal_Basic_Prem_Yr2)*(Prem_Mode="Monthly")+(Prem_Mode="Annual")*IF(B264=1,Modal_Basic_Prem_Yr1,Modal_Basic_Prem_Yr2)*(MOD(C264-1,12)=0))*(B264&lt;=15)</f>
        <v>0</v>
      </c>
      <c r="F264" s="50">
        <f>SUM($E$6:E264)</f>
        <v>8611200</v>
      </c>
      <c r="G264" s="51">
        <f>MAX(F264*D264-SA/100*(C264-10*12)*(B264&gt;10),0)</f>
        <v>0</v>
      </c>
      <c r="H264" s="49">
        <f>VLOOKUP(B264,$L$5:$N$30,3,0)</f>
        <v>0.71</v>
      </c>
      <c r="I264" s="50">
        <f>VLOOKUP(B264,$P$5:$Q$30,2,0)*SA*(B264-1)*H264</f>
        <v>2397528</v>
      </c>
      <c r="J264" s="50">
        <f>G264+I264</f>
        <v>2397528</v>
      </c>
      <c r="K264" s="59"/>
      <c r="L264" s="63"/>
    </row>
    <row r="265" spans="2:12">
      <c r="B265" s="42">
        <f>B253+1</f>
        <v>22</v>
      </c>
      <c r="C265" s="43">
        <f>C264+1</f>
        <v>260</v>
      </c>
      <c r="D265" s="44">
        <f>VLOOKUP(B265,$L$5:$N$30,2,0)</f>
        <v>0.8</v>
      </c>
      <c r="E265" s="45">
        <f>(IF(B265=1,Modal_Basic_Prem_Yr1,Modal_Basic_Prem_Yr2)*(Prem_Mode="Monthly")+(Prem_Mode="Annual")*IF(B265=1,Modal_Basic_Prem_Yr1,Modal_Basic_Prem_Yr2)*(MOD(C265-1,12)=0))*(B265&lt;=15)</f>
        <v>0</v>
      </c>
      <c r="F265" s="45">
        <f>SUM($E$6:E265)</f>
        <v>8611200</v>
      </c>
      <c r="G265" s="46">
        <f>MAX(F265*D265-SA/100*(C265-10*12)*(B265&gt;10),0)</f>
        <v>0</v>
      </c>
      <c r="H265" s="44">
        <f>VLOOKUP(B265,$L$5:$N$30,3,0)</f>
        <v>0.71</v>
      </c>
      <c r="I265" s="45">
        <f>VLOOKUP(B265,$P$5:$Q$30,2,0)*SA*(B265-1)*H265</f>
        <v>2397528</v>
      </c>
      <c r="J265" s="45">
        <f>G265+I265</f>
        <v>2397528</v>
      </c>
      <c r="K265" s="59"/>
      <c r="L265" s="63"/>
    </row>
    <row r="266" spans="2:12">
      <c r="B266" s="47">
        <f>B254+1</f>
        <v>22</v>
      </c>
      <c r="C266" s="48">
        <f>C265+1</f>
        <v>261</v>
      </c>
      <c r="D266" s="49">
        <f>VLOOKUP(B266,$L$5:$N$30,2,0)</f>
        <v>0.8</v>
      </c>
      <c r="E266" s="50">
        <f>(IF(B266=1,Modal_Basic_Prem_Yr1,Modal_Basic_Prem_Yr2)*(Prem_Mode="Monthly")+(Prem_Mode="Annual")*IF(B266=1,Modal_Basic_Prem_Yr1,Modal_Basic_Prem_Yr2)*(MOD(C266-1,12)=0))*(B266&lt;=15)</f>
        <v>0</v>
      </c>
      <c r="F266" s="50">
        <f>SUM($E$6:E266)</f>
        <v>8611200</v>
      </c>
      <c r="G266" s="51">
        <f>MAX(F266*D266-SA/100*(C266-10*12)*(B266&gt;10),0)</f>
        <v>0</v>
      </c>
      <c r="H266" s="49">
        <f>VLOOKUP(B266,$L$5:$N$30,3,0)</f>
        <v>0.71</v>
      </c>
      <c r="I266" s="50">
        <f>VLOOKUP(B266,$P$5:$Q$30,2,0)*SA*(B266-1)*H266</f>
        <v>2397528</v>
      </c>
      <c r="J266" s="50">
        <f>G266+I266</f>
        <v>2397528</v>
      </c>
      <c r="K266" s="59"/>
      <c r="L266" s="63"/>
    </row>
    <row r="267" spans="2:12">
      <c r="B267" s="42">
        <f>B255+1</f>
        <v>22</v>
      </c>
      <c r="C267" s="43">
        <f>C266+1</f>
        <v>262</v>
      </c>
      <c r="D267" s="44">
        <f>VLOOKUP(B267,$L$5:$N$30,2,0)</f>
        <v>0.8</v>
      </c>
      <c r="E267" s="45">
        <f>(IF(B267=1,Modal_Basic_Prem_Yr1,Modal_Basic_Prem_Yr2)*(Prem_Mode="Monthly")+(Prem_Mode="Annual")*IF(B267=1,Modal_Basic_Prem_Yr1,Modal_Basic_Prem_Yr2)*(MOD(C267-1,12)=0))*(B267&lt;=15)</f>
        <v>0</v>
      </c>
      <c r="F267" s="45">
        <f>SUM($E$6:E267)</f>
        <v>8611200</v>
      </c>
      <c r="G267" s="46">
        <f>MAX(F267*D267-SA/100*(C267-10*12)*(B267&gt;10),0)</f>
        <v>0</v>
      </c>
      <c r="H267" s="44">
        <f>VLOOKUP(B267,$L$5:$N$30,3,0)</f>
        <v>0.71</v>
      </c>
      <c r="I267" s="45">
        <f>VLOOKUP(B267,$P$5:$Q$30,2,0)*SA*(B267-1)*H267</f>
        <v>2397528</v>
      </c>
      <c r="J267" s="45">
        <f>G267+I267</f>
        <v>2397528</v>
      </c>
      <c r="K267" s="59"/>
      <c r="L267" s="63"/>
    </row>
    <row r="268" spans="2:12">
      <c r="B268" s="47">
        <f>B256+1</f>
        <v>22</v>
      </c>
      <c r="C268" s="48">
        <f>C267+1</f>
        <v>263</v>
      </c>
      <c r="D268" s="49">
        <f>VLOOKUP(B268,$L$5:$N$30,2,0)</f>
        <v>0.8</v>
      </c>
      <c r="E268" s="50">
        <f>(IF(B268=1,Modal_Basic_Prem_Yr1,Modal_Basic_Prem_Yr2)*(Prem_Mode="Monthly")+(Prem_Mode="Annual")*IF(B268=1,Modal_Basic_Prem_Yr1,Modal_Basic_Prem_Yr2)*(MOD(C268-1,12)=0))*(B268&lt;=15)</f>
        <v>0</v>
      </c>
      <c r="F268" s="50">
        <f>SUM($E$6:E268)</f>
        <v>8611200</v>
      </c>
      <c r="G268" s="51">
        <f>MAX(F268*D268-SA/100*(C268-10*12)*(B268&gt;10),0)</f>
        <v>0</v>
      </c>
      <c r="H268" s="49">
        <f>VLOOKUP(B268,$L$5:$N$30,3,0)</f>
        <v>0.71</v>
      </c>
      <c r="I268" s="50">
        <f>VLOOKUP(B268,$P$5:$Q$30,2,0)*SA*(B268-1)*H268</f>
        <v>2397528</v>
      </c>
      <c r="J268" s="50">
        <f>G268+I268</f>
        <v>2397528</v>
      </c>
      <c r="K268" s="59"/>
      <c r="L268" s="63"/>
    </row>
    <row r="269" spans="2:12">
      <c r="B269" s="42">
        <f>B257+1</f>
        <v>22</v>
      </c>
      <c r="C269" s="43">
        <f>C268+1</f>
        <v>264</v>
      </c>
      <c r="D269" s="44">
        <f>VLOOKUP(B269,$L$5:$N$30,2,0)</f>
        <v>0.8</v>
      </c>
      <c r="E269" s="45">
        <f>(IF(B269=1,Modal_Basic_Prem_Yr1,Modal_Basic_Prem_Yr2)*(Prem_Mode="Monthly")+(Prem_Mode="Annual")*IF(B269=1,Modal_Basic_Prem_Yr1,Modal_Basic_Prem_Yr2)*(MOD(C269-1,12)=0))*(B269&lt;=15)</f>
        <v>0</v>
      </c>
      <c r="F269" s="45">
        <f>SUM($E$6:E269)</f>
        <v>8611200</v>
      </c>
      <c r="G269" s="46">
        <f>MAX(F269*D269-SA/100*(C269-10*12)*(B269&gt;10),0)</f>
        <v>0</v>
      </c>
      <c r="H269" s="44">
        <f>VLOOKUP(B269,$L$5:$N$30,3,0)</f>
        <v>0.71</v>
      </c>
      <c r="I269" s="45">
        <f>VLOOKUP(B269,$P$5:$Q$30,2,0)*SA*(B269-1)*H269</f>
        <v>2397528</v>
      </c>
      <c r="J269" s="45">
        <f>G269+I269</f>
        <v>2397528</v>
      </c>
      <c r="K269" s="59"/>
      <c r="L269" s="63"/>
    </row>
    <row r="270" spans="2:12">
      <c r="B270" s="47">
        <f>B258+1</f>
        <v>23</v>
      </c>
      <c r="C270" s="48">
        <f>C269+1</f>
        <v>265</v>
      </c>
      <c r="D270" s="49">
        <f>VLOOKUP(B270,$L$5:$N$30,2,0)</f>
        <v>0.82</v>
      </c>
      <c r="E270" s="50">
        <f>(IF(B270=1,Modal_Basic_Prem_Yr1,Modal_Basic_Prem_Yr2)*(Prem_Mode="Monthly")+(Prem_Mode="Annual")*IF(B270=1,Modal_Basic_Prem_Yr1,Modal_Basic_Prem_Yr2)*(MOD(C270-1,12)=0))*(B270&lt;=15)</f>
        <v>0</v>
      </c>
      <c r="F270" s="50">
        <f>SUM($E$6:E270)</f>
        <v>8611200</v>
      </c>
      <c r="G270" s="51">
        <f>MAX(F270*D270-SA/100*(C270-10*12)*(B270&gt;10),0)</f>
        <v>0</v>
      </c>
      <c r="H270" s="49">
        <f>VLOOKUP(B270,$L$5:$N$30,3,0)</f>
        <v>0.77</v>
      </c>
      <c r="I270" s="50">
        <f>VLOOKUP(B270,$P$5:$Q$30,2,0)*SA*(B270-1)*H270</f>
        <v>2723952</v>
      </c>
      <c r="J270" s="50">
        <f>G270+I270</f>
        <v>2723952</v>
      </c>
      <c r="K270" s="59"/>
      <c r="L270" s="63"/>
    </row>
    <row r="271" spans="2:12">
      <c r="B271" s="42">
        <f>B259+1</f>
        <v>23</v>
      </c>
      <c r="C271" s="43">
        <f>C270+1</f>
        <v>266</v>
      </c>
      <c r="D271" s="44">
        <f>VLOOKUP(B271,$L$5:$N$30,2,0)</f>
        <v>0.82</v>
      </c>
      <c r="E271" s="45">
        <f>(IF(B271=1,Modal_Basic_Prem_Yr1,Modal_Basic_Prem_Yr2)*(Prem_Mode="Monthly")+(Prem_Mode="Annual")*IF(B271=1,Modal_Basic_Prem_Yr1,Modal_Basic_Prem_Yr2)*(MOD(C271-1,12)=0))*(B271&lt;=15)</f>
        <v>0</v>
      </c>
      <c r="F271" s="45">
        <f>SUM($E$6:E271)</f>
        <v>8611200</v>
      </c>
      <c r="G271" s="46">
        <f>MAX(F271*D271-SA/100*(C271-10*12)*(B271&gt;10),0)</f>
        <v>0</v>
      </c>
      <c r="H271" s="44">
        <f>VLOOKUP(B271,$L$5:$N$30,3,0)</f>
        <v>0.77</v>
      </c>
      <c r="I271" s="45">
        <f>VLOOKUP(B271,$P$5:$Q$30,2,0)*SA*(B271-1)*H271</f>
        <v>2723952</v>
      </c>
      <c r="J271" s="45">
        <f>G271+I271</f>
        <v>2723952</v>
      </c>
      <c r="K271" s="59"/>
      <c r="L271" s="63"/>
    </row>
    <row r="272" spans="2:12">
      <c r="B272" s="47">
        <f>B260+1</f>
        <v>23</v>
      </c>
      <c r="C272" s="48">
        <f>C271+1</f>
        <v>267</v>
      </c>
      <c r="D272" s="49">
        <f>VLOOKUP(B272,$L$5:$N$30,2,0)</f>
        <v>0.82</v>
      </c>
      <c r="E272" s="50">
        <f>(IF(B272=1,Modal_Basic_Prem_Yr1,Modal_Basic_Prem_Yr2)*(Prem_Mode="Monthly")+(Prem_Mode="Annual")*IF(B272=1,Modal_Basic_Prem_Yr1,Modal_Basic_Prem_Yr2)*(MOD(C272-1,12)=0))*(B272&lt;=15)</f>
        <v>0</v>
      </c>
      <c r="F272" s="50">
        <f>SUM($E$6:E272)</f>
        <v>8611200</v>
      </c>
      <c r="G272" s="51">
        <f>MAX(F272*D272-SA/100*(C272-10*12)*(B272&gt;10),0)</f>
        <v>0</v>
      </c>
      <c r="H272" s="49">
        <f>VLOOKUP(B272,$L$5:$N$30,3,0)</f>
        <v>0.77</v>
      </c>
      <c r="I272" s="50">
        <f>VLOOKUP(B272,$P$5:$Q$30,2,0)*SA*(B272-1)*H272</f>
        <v>2723952</v>
      </c>
      <c r="J272" s="50">
        <f>G272+I272</f>
        <v>2723952</v>
      </c>
      <c r="K272" s="59"/>
      <c r="L272" s="63"/>
    </row>
    <row r="273" spans="2:12">
      <c r="B273" s="42">
        <f>B261+1</f>
        <v>23</v>
      </c>
      <c r="C273" s="43">
        <f>C272+1</f>
        <v>268</v>
      </c>
      <c r="D273" s="44">
        <f>VLOOKUP(B273,$L$5:$N$30,2,0)</f>
        <v>0.82</v>
      </c>
      <c r="E273" s="45">
        <f>(IF(B273=1,Modal_Basic_Prem_Yr1,Modal_Basic_Prem_Yr2)*(Prem_Mode="Monthly")+(Prem_Mode="Annual")*IF(B273=1,Modal_Basic_Prem_Yr1,Modal_Basic_Prem_Yr2)*(MOD(C273-1,12)=0))*(B273&lt;=15)</f>
        <v>0</v>
      </c>
      <c r="F273" s="45">
        <f>SUM($E$6:E273)</f>
        <v>8611200</v>
      </c>
      <c r="G273" s="46">
        <f>MAX(F273*D273-SA/100*(C273-10*12)*(B273&gt;10),0)</f>
        <v>0</v>
      </c>
      <c r="H273" s="44">
        <f>VLOOKUP(B273,$L$5:$N$30,3,0)</f>
        <v>0.77</v>
      </c>
      <c r="I273" s="45">
        <f>VLOOKUP(B273,$P$5:$Q$30,2,0)*SA*(B273-1)*H273</f>
        <v>2723952</v>
      </c>
      <c r="J273" s="45">
        <f>G273+I273</f>
        <v>2723952</v>
      </c>
      <c r="K273" s="59"/>
      <c r="L273" s="63"/>
    </row>
    <row r="274" spans="2:12">
      <c r="B274" s="47">
        <f>B262+1</f>
        <v>23</v>
      </c>
      <c r="C274" s="48">
        <f>C273+1</f>
        <v>269</v>
      </c>
      <c r="D274" s="49">
        <f>VLOOKUP(B274,$L$5:$N$30,2,0)</f>
        <v>0.82</v>
      </c>
      <c r="E274" s="50">
        <f>(IF(B274=1,Modal_Basic_Prem_Yr1,Modal_Basic_Prem_Yr2)*(Prem_Mode="Monthly")+(Prem_Mode="Annual")*IF(B274=1,Modal_Basic_Prem_Yr1,Modal_Basic_Prem_Yr2)*(MOD(C274-1,12)=0))*(B274&lt;=15)</f>
        <v>0</v>
      </c>
      <c r="F274" s="50">
        <f>SUM($E$6:E274)</f>
        <v>8611200</v>
      </c>
      <c r="G274" s="51">
        <f>MAX(F274*D274-SA/100*(C274-10*12)*(B274&gt;10),0)</f>
        <v>0</v>
      </c>
      <c r="H274" s="49">
        <f>VLOOKUP(B274,$L$5:$N$30,3,0)</f>
        <v>0.77</v>
      </c>
      <c r="I274" s="50">
        <f>VLOOKUP(B274,$P$5:$Q$30,2,0)*SA*(B274-1)*H274</f>
        <v>2723952</v>
      </c>
      <c r="J274" s="50">
        <f>G274+I274</f>
        <v>2723952</v>
      </c>
      <c r="K274" s="59"/>
      <c r="L274" s="63"/>
    </row>
    <row r="275" spans="2:12">
      <c r="B275" s="42">
        <f t="shared" ref="B275:B305" si="27">B263+1</f>
        <v>23</v>
      </c>
      <c r="C275" s="43">
        <f>C274+1</f>
        <v>270</v>
      </c>
      <c r="D275" s="44">
        <f>VLOOKUP(B275,$L$5:$N$30,2,0)</f>
        <v>0.82</v>
      </c>
      <c r="E275" s="45">
        <f>(IF(B275=1,Modal_Basic_Prem_Yr1,Modal_Basic_Prem_Yr2)*(Prem_Mode="Monthly")+(Prem_Mode="Annual")*IF(B275=1,Modal_Basic_Prem_Yr1,Modal_Basic_Prem_Yr2)*(MOD(C275-1,12)=0))*(B275&lt;=15)</f>
        <v>0</v>
      </c>
      <c r="F275" s="45">
        <f>SUM($E$6:E275)</f>
        <v>8611200</v>
      </c>
      <c r="G275" s="46">
        <f>MAX(F275*D275-SA/100*(C275-10*12)*(B275&gt;10),0)</f>
        <v>0</v>
      </c>
      <c r="H275" s="44">
        <f>VLOOKUP(B275,$L$5:$N$30,3,0)</f>
        <v>0.77</v>
      </c>
      <c r="I275" s="45">
        <f>VLOOKUP(B275,$P$5:$Q$30,2,0)*SA*(B275-1)*H275</f>
        <v>2723952</v>
      </c>
      <c r="J275" s="45">
        <f>G275+I275</f>
        <v>2723952</v>
      </c>
      <c r="K275" s="59"/>
      <c r="L275" s="63"/>
    </row>
    <row r="276" spans="2:12">
      <c r="B276" s="47">
        <f>B264+1</f>
        <v>23</v>
      </c>
      <c r="C276" s="48">
        <f>C275+1</f>
        <v>271</v>
      </c>
      <c r="D276" s="49">
        <f>VLOOKUP(B276,$L$5:$N$30,2,0)</f>
        <v>0.82</v>
      </c>
      <c r="E276" s="50">
        <f>(IF(B276=1,Modal_Basic_Prem_Yr1,Modal_Basic_Prem_Yr2)*(Prem_Mode="Monthly")+(Prem_Mode="Annual")*IF(B276=1,Modal_Basic_Prem_Yr1,Modal_Basic_Prem_Yr2)*(MOD(C276-1,12)=0))*(B276&lt;=15)</f>
        <v>0</v>
      </c>
      <c r="F276" s="50">
        <f>SUM($E$6:E276)</f>
        <v>8611200</v>
      </c>
      <c r="G276" s="51">
        <f>MAX(F276*D276-SA/100*(C276-10*12)*(B276&gt;10),0)</f>
        <v>0</v>
      </c>
      <c r="H276" s="49">
        <f>VLOOKUP(B276,$L$5:$N$30,3,0)</f>
        <v>0.77</v>
      </c>
      <c r="I276" s="50">
        <f>VLOOKUP(B276,$P$5:$Q$30,2,0)*SA*(B276-1)*H276</f>
        <v>2723952</v>
      </c>
      <c r="J276" s="50">
        <f>G276+I276</f>
        <v>2723952</v>
      </c>
      <c r="K276" s="59"/>
      <c r="L276" s="63"/>
    </row>
    <row r="277" spans="2:12">
      <c r="B277" s="42">
        <f>B265+1</f>
        <v>23</v>
      </c>
      <c r="C277" s="43">
        <f>C276+1</f>
        <v>272</v>
      </c>
      <c r="D277" s="44">
        <f>VLOOKUP(B277,$L$5:$N$30,2,0)</f>
        <v>0.82</v>
      </c>
      <c r="E277" s="45">
        <f>(IF(B277=1,Modal_Basic_Prem_Yr1,Modal_Basic_Prem_Yr2)*(Prem_Mode="Monthly")+(Prem_Mode="Annual")*IF(B277=1,Modal_Basic_Prem_Yr1,Modal_Basic_Prem_Yr2)*(MOD(C277-1,12)=0))*(B277&lt;=15)</f>
        <v>0</v>
      </c>
      <c r="F277" s="45">
        <f>SUM($E$6:E277)</f>
        <v>8611200</v>
      </c>
      <c r="G277" s="46">
        <f>MAX(F277*D277-SA/100*(C277-10*12)*(B277&gt;10),0)</f>
        <v>0</v>
      </c>
      <c r="H277" s="44">
        <f>VLOOKUP(B277,$L$5:$N$30,3,0)</f>
        <v>0.77</v>
      </c>
      <c r="I277" s="45">
        <f>VLOOKUP(B277,$P$5:$Q$30,2,0)*SA*(B277-1)*H277</f>
        <v>2723952</v>
      </c>
      <c r="J277" s="45">
        <f>G277+I277</f>
        <v>2723952</v>
      </c>
      <c r="K277" s="59"/>
      <c r="L277" s="63"/>
    </row>
    <row r="278" spans="2:12">
      <c r="B278" s="47">
        <f>B266+1</f>
        <v>23</v>
      </c>
      <c r="C278" s="48">
        <f>C277+1</f>
        <v>273</v>
      </c>
      <c r="D278" s="49">
        <f>VLOOKUP(B278,$L$5:$N$30,2,0)</f>
        <v>0.82</v>
      </c>
      <c r="E278" s="50">
        <f>(IF(B278=1,Modal_Basic_Prem_Yr1,Modal_Basic_Prem_Yr2)*(Prem_Mode="Monthly")+(Prem_Mode="Annual")*IF(B278=1,Modal_Basic_Prem_Yr1,Modal_Basic_Prem_Yr2)*(MOD(C278-1,12)=0))*(B278&lt;=15)</f>
        <v>0</v>
      </c>
      <c r="F278" s="50">
        <f>SUM($E$6:E278)</f>
        <v>8611200</v>
      </c>
      <c r="G278" s="51">
        <f>MAX(F278*D278-SA/100*(C278-10*12)*(B278&gt;10),0)</f>
        <v>0</v>
      </c>
      <c r="H278" s="49">
        <f>VLOOKUP(B278,$L$5:$N$30,3,0)</f>
        <v>0.77</v>
      </c>
      <c r="I278" s="50">
        <f>VLOOKUP(B278,$P$5:$Q$30,2,0)*SA*(B278-1)*H278</f>
        <v>2723952</v>
      </c>
      <c r="J278" s="50">
        <f>G278+I278</f>
        <v>2723952</v>
      </c>
      <c r="K278" s="59"/>
      <c r="L278" s="63"/>
    </row>
    <row r="279" spans="2:12">
      <c r="B279" s="42">
        <f>B267+1</f>
        <v>23</v>
      </c>
      <c r="C279" s="43">
        <f>C278+1</f>
        <v>274</v>
      </c>
      <c r="D279" s="44">
        <f>VLOOKUP(B279,$L$5:$N$30,2,0)</f>
        <v>0.82</v>
      </c>
      <c r="E279" s="45">
        <f>(IF(B279=1,Modal_Basic_Prem_Yr1,Modal_Basic_Prem_Yr2)*(Prem_Mode="Monthly")+(Prem_Mode="Annual")*IF(B279=1,Modal_Basic_Prem_Yr1,Modal_Basic_Prem_Yr2)*(MOD(C279-1,12)=0))*(B279&lt;=15)</f>
        <v>0</v>
      </c>
      <c r="F279" s="45">
        <f>SUM($E$6:E279)</f>
        <v>8611200</v>
      </c>
      <c r="G279" s="46">
        <f>MAX(F279*D279-SA/100*(C279-10*12)*(B279&gt;10),0)</f>
        <v>0</v>
      </c>
      <c r="H279" s="44">
        <f>VLOOKUP(B279,$L$5:$N$30,3,0)</f>
        <v>0.77</v>
      </c>
      <c r="I279" s="45">
        <f>VLOOKUP(B279,$P$5:$Q$30,2,0)*SA*(B279-1)*H279</f>
        <v>2723952</v>
      </c>
      <c r="J279" s="45">
        <f>G279+I279</f>
        <v>2723952</v>
      </c>
      <c r="K279" s="59"/>
      <c r="L279" s="63"/>
    </row>
    <row r="280" spans="2:12">
      <c r="B280" s="47">
        <f>B268+1</f>
        <v>23</v>
      </c>
      <c r="C280" s="48">
        <f>C279+1</f>
        <v>275</v>
      </c>
      <c r="D280" s="49">
        <f>VLOOKUP(B280,$L$5:$N$30,2,0)</f>
        <v>0.82</v>
      </c>
      <c r="E280" s="50">
        <f>(IF(B280=1,Modal_Basic_Prem_Yr1,Modal_Basic_Prem_Yr2)*(Prem_Mode="Monthly")+(Prem_Mode="Annual")*IF(B280=1,Modal_Basic_Prem_Yr1,Modal_Basic_Prem_Yr2)*(MOD(C280-1,12)=0))*(B280&lt;=15)</f>
        <v>0</v>
      </c>
      <c r="F280" s="50">
        <f>SUM($E$6:E280)</f>
        <v>8611200</v>
      </c>
      <c r="G280" s="51">
        <f>MAX(F280*D280-SA/100*(C280-10*12)*(B280&gt;10),0)</f>
        <v>0</v>
      </c>
      <c r="H280" s="49">
        <f>VLOOKUP(B280,$L$5:$N$30,3,0)</f>
        <v>0.77</v>
      </c>
      <c r="I280" s="50">
        <f>VLOOKUP(B280,$P$5:$Q$30,2,0)*SA*(B280-1)*H280</f>
        <v>2723952</v>
      </c>
      <c r="J280" s="50">
        <f>G280+I280</f>
        <v>2723952</v>
      </c>
      <c r="K280" s="59"/>
      <c r="L280" s="63"/>
    </row>
    <row r="281" spans="2:12">
      <c r="B281" s="42">
        <f>B269+1</f>
        <v>23</v>
      </c>
      <c r="C281" s="43">
        <f>C280+1</f>
        <v>276</v>
      </c>
      <c r="D281" s="44">
        <f>VLOOKUP(B281,$L$5:$N$30,2,0)</f>
        <v>0.82</v>
      </c>
      <c r="E281" s="45">
        <f>(IF(B281=1,Modal_Basic_Prem_Yr1,Modal_Basic_Prem_Yr2)*(Prem_Mode="Monthly")+(Prem_Mode="Annual")*IF(B281=1,Modal_Basic_Prem_Yr1,Modal_Basic_Prem_Yr2)*(MOD(C281-1,12)=0))*(B281&lt;=15)</f>
        <v>0</v>
      </c>
      <c r="F281" s="45">
        <f>SUM($E$6:E281)</f>
        <v>8611200</v>
      </c>
      <c r="G281" s="46">
        <f>MAX(F281*D281-SA/100*(C281-10*12)*(B281&gt;10),0)</f>
        <v>0</v>
      </c>
      <c r="H281" s="44">
        <f>VLOOKUP(B281,$L$5:$N$30,3,0)</f>
        <v>0.77</v>
      </c>
      <c r="I281" s="45">
        <f>VLOOKUP(B281,$P$5:$Q$30,2,0)*SA*(B281-1)*H281</f>
        <v>2723952</v>
      </c>
      <c r="J281" s="45">
        <f>G281+I281</f>
        <v>2723952</v>
      </c>
      <c r="K281" s="59"/>
      <c r="L281" s="63"/>
    </row>
    <row r="282" spans="2:12">
      <c r="B282" s="47">
        <f>B270+1</f>
        <v>24</v>
      </c>
      <c r="C282" s="48">
        <f>C281+1</f>
        <v>277</v>
      </c>
      <c r="D282" s="49">
        <f>VLOOKUP(B282,$L$5:$N$30,2,0)</f>
        <v>0.84</v>
      </c>
      <c r="E282" s="50">
        <f>(IF(B282=1,Modal_Basic_Prem_Yr1,Modal_Basic_Prem_Yr2)*(Prem_Mode="Monthly")+(Prem_Mode="Annual")*IF(B282=1,Modal_Basic_Prem_Yr1,Modal_Basic_Prem_Yr2)*(MOD(C282-1,12)=0))*(B282&lt;=15)</f>
        <v>0</v>
      </c>
      <c r="F282" s="50">
        <f>SUM($E$6:E282)</f>
        <v>8611200</v>
      </c>
      <c r="G282" s="51">
        <f>MAX(F282*D282-SA/100*(C282-10*12)*(B282&gt;10),0)</f>
        <v>0</v>
      </c>
      <c r="H282" s="49">
        <f>VLOOKUP(B282,$L$5:$N$30,3,0)</f>
        <v>0.84</v>
      </c>
      <c r="I282" s="50">
        <f>VLOOKUP(B282,$P$5:$Q$30,2,0)*SA*(B282-1)*H282</f>
        <v>3106656</v>
      </c>
      <c r="J282" s="50">
        <f>G282+I282</f>
        <v>3106656</v>
      </c>
      <c r="K282" s="59"/>
      <c r="L282" s="63"/>
    </row>
    <row r="283" spans="2:12">
      <c r="B283" s="42">
        <f>B271+1</f>
        <v>24</v>
      </c>
      <c r="C283" s="43">
        <f>C282+1</f>
        <v>278</v>
      </c>
      <c r="D283" s="44">
        <f>VLOOKUP(B283,$L$5:$N$30,2,0)</f>
        <v>0.84</v>
      </c>
      <c r="E283" s="45">
        <f>(IF(B283=1,Modal_Basic_Prem_Yr1,Modal_Basic_Prem_Yr2)*(Prem_Mode="Monthly")+(Prem_Mode="Annual")*IF(B283=1,Modal_Basic_Prem_Yr1,Modal_Basic_Prem_Yr2)*(MOD(C283-1,12)=0))*(B283&lt;=15)</f>
        <v>0</v>
      </c>
      <c r="F283" s="45">
        <f>SUM($E$6:E283)</f>
        <v>8611200</v>
      </c>
      <c r="G283" s="46">
        <f>MAX(F283*D283-SA/100*(C283-10*12)*(B283&gt;10),0)</f>
        <v>0</v>
      </c>
      <c r="H283" s="44">
        <f>VLOOKUP(B283,$L$5:$N$30,3,0)</f>
        <v>0.84</v>
      </c>
      <c r="I283" s="45">
        <f>VLOOKUP(B283,$P$5:$Q$30,2,0)*SA*(B283-1)*H283</f>
        <v>3106656</v>
      </c>
      <c r="J283" s="45">
        <f>G283+I283</f>
        <v>3106656</v>
      </c>
      <c r="K283" s="59"/>
      <c r="L283" s="63"/>
    </row>
    <row r="284" spans="2:12">
      <c r="B284" s="47">
        <f>B272+1</f>
        <v>24</v>
      </c>
      <c r="C284" s="48">
        <f>C283+1</f>
        <v>279</v>
      </c>
      <c r="D284" s="49">
        <f>VLOOKUP(B284,$L$5:$N$30,2,0)</f>
        <v>0.84</v>
      </c>
      <c r="E284" s="50">
        <f>(IF(B284=1,Modal_Basic_Prem_Yr1,Modal_Basic_Prem_Yr2)*(Prem_Mode="Monthly")+(Prem_Mode="Annual")*IF(B284=1,Modal_Basic_Prem_Yr1,Modal_Basic_Prem_Yr2)*(MOD(C284-1,12)=0))*(B284&lt;=15)</f>
        <v>0</v>
      </c>
      <c r="F284" s="50">
        <f>SUM($E$6:E284)</f>
        <v>8611200</v>
      </c>
      <c r="G284" s="51">
        <f>MAX(F284*D284-SA/100*(C284-10*12)*(B284&gt;10),0)</f>
        <v>0</v>
      </c>
      <c r="H284" s="49">
        <f>VLOOKUP(B284,$L$5:$N$30,3,0)</f>
        <v>0.84</v>
      </c>
      <c r="I284" s="50">
        <f>VLOOKUP(B284,$P$5:$Q$30,2,0)*SA*(B284-1)*H284</f>
        <v>3106656</v>
      </c>
      <c r="J284" s="50">
        <f>G284+I284</f>
        <v>3106656</v>
      </c>
      <c r="K284" s="59"/>
      <c r="L284" s="63"/>
    </row>
    <row r="285" spans="2:12">
      <c r="B285" s="42">
        <f>B273+1</f>
        <v>24</v>
      </c>
      <c r="C285" s="43">
        <f>C284+1</f>
        <v>280</v>
      </c>
      <c r="D285" s="44">
        <f>VLOOKUP(B285,$L$5:$N$30,2,0)</f>
        <v>0.84</v>
      </c>
      <c r="E285" s="45">
        <f>(IF(B285=1,Modal_Basic_Prem_Yr1,Modal_Basic_Prem_Yr2)*(Prem_Mode="Monthly")+(Prem_Mode="Annual")*IF(B285=1,Modal_Basic_Prem_Yr1,Modal_Basic_Prem_Yr2)*(MOD(C285-1,12)=0))*(B285&lt;=15)</f>
        <v>0</v>
      </c>
      <c r="F285" s="45">
        <f>SUM($E$6:E285)</f>
        <v>8611200</v>
      </c>
      <c r="G285" s="46">
        <f>MAX(F285*D285-SA/100*(C285-10*12)*(B285&gt;10),0)</f>
        <v>0</v>
      </c>
      <c r="H285" s="44">
        <f>VLOOKUP(B285,$L$5:$N$30,3,0)</f>
        <v>0.84</v>
      </c>
      <c r="I285" s="45">
        <f>VLOOKUP(B285,$P$5:$Q$30,2,0)*SA*(B285-1)*H285</f>
        <v>3106656</v>
      </c>
      <c r="J285" s="45">
        <f>G285+I285</f>
        <v>3106656</v>
      </c>
      <c r="K285" s="59"/>
      <c r="L285" s="63"/>
    </row>
    <row r="286" spans="2:12">
      <c r="B286" s="47">
        <f>B274+1</f>
        <v>24</v>
      </c>
      <c r="C286" s="48">
        <f>C285+1</f>
        <v>281</v>
      </c>
      <c r="D286" s="49">
        <f>VLOOKUP(B286,$L$5:$N$30,2,0)</f>
        <v>0.84</v>
      </c>
      <c r="E286" s="50">
        <f>(IF(B286=1,Modal_Basic_Prem_Yr1,Modal_Basic_Prem_Yr2)*(Prem_Mode="Monthly")+(Prem_Mode="Annual")*IF(B286=1,Modal_Basic_Prem_Yr1,Modal_Basic_Prem_Yr2)*(MOD(C286-1,12)=0))*(B286&lt;=15)</f>
        <v>0</v>
      </c>
      <c r="F286" s="50">
        <f>SUM($E$6:E286)</f>
        <v>8611200</v>
      </c>
      <c r="G286" s="51">
        <f>MAX(F286*D286-SA/100*(C286-10*12)*(B286&gt;10),0)</f>
        <v>0</v>
      </c>
      <c r="H286" s="49">
        <f>VLOOKUP(B286,$L$5:$N$30,3,0)</f>
        <v>0.84</v>
      </c>
      <c r="I286" s="50">
        <f>VLOOKUP(B286,$P$5:$Q$30,2,0)*SA*(B286-1)*H286</f>
        <v>3106656</v>
      </c>
      <c r="J286" s="50">
        <f>G286+I286</f>
        <v>3106656</v>
      </c>
      <c r="K286" s="59"/>
      <c r="L286" s="63"/>
    </row>
    <row r="287" spans="2:12">
      <c r="B287" s="42">
        <f>B275+1</f>
        <v>24</v>
      </c>
      <c r="C287" s="43">
        <f>C286+1</f>
        <v>282</v>
      </c>
      <c r="D287" s="44">
        <f>VLOOKUP(B287,$L$5:$N$30,2,0)</f>
        <v>0.84</v>
      </c>
      <c r="E287" s="45">
        <f>(IF(B287=1,Modal_Basic_Prem_Yr1,Modal_Basic_Prem_Yr2)*(Prem_Mode="Monthly")+(Prem_Mode="Annual")*IF(B287=1,Modal_Basic_Prem_Yr1,Modal_Basic_Prem_Yr2)*(MOD(C287-1,12)=0))*(B287&lt;=15)</f>
        <v>0</v>
      </c>
      <c r="F287" s="45">
        <f>SUM($E$6:E287)</f>
        <v>8611200</v>
      </c>
      <c r="G287" s="46">
        <f>MAX(F287*D287-SA/100*(C287-10*12)*(B287&gt;10),0)</f>
        <v>0</v>
      </c>
      <c r="H287" s="44">
        <f>VLOOKUP(B287,$L$5:$N$30,3,0)</f>
        <v>0.84</v>
      </c>
      <c r="I287" s="45">
        <f>VLOOKUP(B287,$P$5:$Q$30,2,0)*SA*(B287-1)*H287</f>
        <v>3106656</v>
      </c>
      <c r="J287" s="45">
        <f>G287+I287</f>
        <v>3106656</v>
      </c>
      <c r="K287" s="59"/>
      <c r="L287" s="63"/>
    </row>
    <row r="288" spans="2:12">
      <c r="B288" s="47">
        <f>B276+1</f>
        <v>24</v>
      </c>
      <c r="C288" s="48">
        <f>C287+1</f>
        <v>283</v>
      </c>
      <c r="D288" s="49">
        <f>VLOOKUP(B288,$L$5:$N$30,2,0)</f>
        <v>0.84</v>
      </c>
      <c r="E288" s="50">
        <f>(IF(B288=1,Modal_Basic_Prem_Yr1,Modal_Basic_Prem_Yr2)*(Prem_Mode="Monthly")+(Prem_Mode="Annual")*IF(B288=1,Modal_Basic_Prem_Yr1,Modal_Basic_Prem_Yr2)*(MOD(C288-1,12)=0))*(B288&lt;=15)</f>
        <v>0</v>
      </c>
      <c r="F288" s="50">
        <f>SUM($E$6:E288)</f>
        <v>8611200</v>
      </c>
      <c r="G288" s="51">
        <f>MAX(F288*D288-SA/100*(C288-10*12)*(B288&gt;10),0)</f>
        <v>0</v>
      </c>
      <c r="H288" s="49">
        <f>VLOOKUP(B288,$L$5:$N$30,3,0)</f>
        <v>0.84</v>
      </c>
      <c r="I288" s="50">
        <f>VLOOKUP(B288,$P$5:$Q$30,2,0)*SA*(B288-1)*H288</f>
        <v>3106656</v>
      </c>
      <c r="J288" s="50">
        <f>G288+I288</f>
        <v>3106656</v>
      </c>
      <c r="K288" s="59"/>
      <c r="L288" s="63"/>
    </row>
    <row r="289" spans="2:12">
      <c r="B289" s="42">
        <f>B277+1</f>
        <v>24</v>
      </c>
      <c r="C289" s="43">
        <f>C288+1</f>
        <v>284</v>
      </c>
      <c r="D289" s="44">
        <f>VLOOKUP(B289,$L$5:$N$30,2,0)</f>
        <v>0.84</v>
      </c>
      <c r="E289" s="45">
        <f>(IF(B289=1,Modal_Basic_Prem_Yr1,Modal_Basic_Prem_Yr2)*(Prem_Mode="Monthly")+(Prem_Mode="Annual")*IF(B289=1,Modal_Basic_Prem_Yr1,Modal_Basic_Prem_Yr2)*(MOD(C289-1,12)=0))*(B289&lt;=15)</f>
        <v>0</v>
      </c>
      <c r="F289" s="45">
        <f>SUM($E$6:E289)</f>
        <v>8611200</v>
      </c>
      <c r="G289" s="46">
        <f>MAX(F289*D289-SA/100*(C289-10*12)*(B289&gt;10),0)</f>
        <v>0</v>
      </c>
      <c r="H289" s="44">
        <f>VLOOKUP(B289,$L$5:$N$30,3,0)</f>
        <v>0.84</v>
      </c>
      <c r="I289" s="45">
        <f>VLOOKUP(B289,$P$5:$Q$30,2,0)*SA*(B289-1)*H289</f>
        <v>3106656</v>
      </c>
      <c r="J289" s="45">
        <f>G289+I289</f>
        <v>3106656</v>
      </c>
      <c r="K289" s="59"/>
      <c r="L289" s="63"/>
    </row>
    <row r="290" spans="2:12">
      <c r="B290" s="47">
        <f>B278+1</f>
        <v>24</v>
      </c>
      <c r="C290" s="48">
        <f>C289+1</f>
        <v>285</v>
      </c>
      <c r="D290" s="49">
        <f>VLOOKUP(B290,$L$5:$N$30,2,0)</f>
        <v>0.84</v>
      </c>
      <c r="E290" s="50">
        <f>(IF(B290=1,Modal_Basic_Prem_Yr1,Modal_Basic_Prem_Yr2)*(Prem_Mode="Monthly")+(Prem_Mode="Annual")*IF(B290=1,Modal_Basic_Prem_Yr1,Modal_Basic_Prem_Yr2)*(MOD(C290-1,12)=0))*(B290&lt;=15)</f>
        <v>0</v>
      </c>
      <c r="F290" s="50">
        <f>SUM($E$6:E290)</f>
        <v>8611200</v>
      </c>
      <c r="G290" s="51">
        <f>MAX(F290*D290-SA/100*(C290-10*12)*(B290&gt;10),0)</f>
        <v>0</v>
      </c>
      <c r="H290" s="49">
        <f>VLOOKUP(B290,$L$5:$N$30,3,0)</f>
        <v>0.84</v>
      </c>
      <c r="I290" s="50">
        <f>VLOOKUP(B290,$P$5:$Q$30,2,0)*SA*(B290-1)*H290</f>
        <v>3106656</v>
      </c>
      <c r="J290" s="50">
        <f>G290+I290</f>
        <v>3106656</v>
      </c>
      <c r="K290" s="59"/>
      <c r="L290" s="63"/>
    </row>
    <row r="291" spans="2:12">
      <c r="B291" s="42">
        <f>B279+1</f>
        <v>24</v>
      </c>
      <c r="C291" s="43">
        <f>C290+1</f>
        <v>286</v>
      </c>
      <c r="D291" s="44">
        <f>VLOOKUP(B291,$L$5:$N$30,2,0)</f>
        <v>0.84</v>
      </c>
      <c r="E291" s="45">
        <f>(IF(B291=1,Modal_Basic_Prem_Yr1,Modal_Basic_Prem_Yr2)*(Prem_Mode="Monthly")+(Prem_Mode="Annual")*IF(B291=1,Modal_Basic_Prem_Yr1,Modal_Basic_Prem_Yr2)*(MOD(C291-1,12)=0))*(B291&lt;=15)</f>
        <v>0</v>
      </c>
      <c r="F291" s="45">
        <f>SUM($E$6:E291)</f>
        <v>8611200</v>
      </c>
      <c r="G291" s="46">
        <f>MAX(F291*D291-SA/100*(C291-10*12)*(B291&gt;10),0)</f>
        <v>0</v>
      </c>
      <c r="H291" s="44">
        <f>VLOOKUP(B291,$L$5:$N$30,3,0)</f>
        <v>0.84</v>
      </c>
      <c r="I291" s="45">
        <f>VLOOKUP(B291,$P$5:$Q$30,2,0)*SA*(B291-1)*H291</f>
        <v>3106656</v>
      </c>
      <c r="J291" s="45">
        <f>G291+I291</f>
        <v>3106656</v>
      </c>
      <c r="K291" s="59"/>
      <c r="L291" s="63"/>
    </row>
    <row r="292" spans="2:12">
      <c r="B292" s="47">
        <f>B280+1</f>
        <v>24</v>
      </c>
      <c r="C292" s="48">
        <f>C291+1</f>
        <v>287</v>
      </c>
      <c r="D292" s="49">
        <f>VLOOKUP(B292,$L$5:$N$30,2,0)</f>
        <v>0.84</v>
      </c>
      <c r="E292" s="50">
        <f>(IF(B292=1,Modal_Basic_Prem_Yr1,Modal_Basic_Prem_Yr2)*(Prem_Mode="Monthly")+(Prem_Mode="Annual")*IF(B292=1,Modal_Basic_Prem_Yr1,Modal_Basic_Prem_Yr2)*(MOD(C292-1,12)=0))*(B292&lt;=15)</f>
        <v>0</v>
      </c>
      <c r="F292" s="50">
        <f>SUM($E$6:E292)</f>
        <v>8611200</v>
      </c>
      <c r="G292" s="51">
        <f>MAX(F292*D292-SA/100*(C292-10*12)*(B292&gt;10),0)</f>
        <v>0</v>
      </c>
      <c r="H292" s="49">
        <f>VLOOKUP(B292,$L$5:$N$30,3,0)</f>
        <v>0.84</v>
      </c>
      <c r="I292" s="50">
        <f>VLOOKUP(B292,$P$5:$Q$30,2,0)*SA*(B292-1)*H292</f>
        <v>3106656</v>
      </c>
      <c r="J292" s="50">
        <f>G292+I292</f>
        <v>3106656</v>
      </c>
      <c r="K292" s="59"/>
      <c r="L292" s="63"/>
    </row>
    <row r="293" spans="2:12">
      <c r="B293" s="42">
        <f>B281+1</f>
        <v>24</v>
      </c>
      <c r="C293" s="43">
        <f>C292+1</f>
        <v>288</v>
      </c>
      <c r="D293" s="44">
        <f>VLOOKUP(B293,$L$5:$N$30,2,0)</f>
        <v>0.84</v>
      </c>
      <c r="E293" s="45">
        <f>(IF(B293=1,Modal_Basic_Prem_Yr1,Modal_Basic_Prem_Yr2)*(Prem_Mode="Monthly")+(Prem_Mode="Annual")*IF(B293=1,Modal_Basic_Prem_Yr1,Modal_Basic_Prem_Yr2)*(MOD(C293-1,12)=0))*(B293&lt;=15)</f>
        <v>0</v>
      </c>
      <c r="F293" s="45">
        <f>SUM($E$6:E293)</f>
        <v>8611200</v>
      </c>
      <c r="G293" s="46">
        <f>MAX(F293*D293-SA/100*(C293-10*12)*(B293&gt;10),0)</f>
        <v>0</v>
      </c>
      <c r="H293" s="44">
        <f>VLOOKUP(B293,$L$5:$N$30,3,0)</f>
        <v>0.84</v>
      </c>
      <c r="I293" s="45">
        <f>VLOOKUP(B293,$P$5:$Q$30,2,0)*SA*(B293-1)*H293</f>
        <v>3106656</v>
      </c>
      <c r="J293" s="45">
        <f>G293+I293</f>
        <v>3106656</v>
      </c>
      <c r="K293" s="59"/>
      <c r="L293" s="63"/>
    </row>
    <row r="294" spans="2:12">
      <c r="B294" s="47">
        <f>B282+1</f>
        <v>25</v>
      </c>
      <c r="C294" s="48">
        <f>C293+1</f>
        <v>289</v>
      </c>
      <c r="D294" s="49">
        <f>VLOOKUP(B294,$L$5:$N$30,2,0)</f>
        <v>0.86</v>
      </c>
      <c r="E294" s="50">
        <f>(IF(B294=1,Modal_Basic_Prem_Yr1,Modal_Basic_Prem_Yr2)*(Prem_Mode="Monthly")+(Prem_Mode="Annual")*IF(B294=1,Modal_Basic_Prem_Yr1,Modal_Basic_Prem_Yr2)*(MOD(C294-1,12)=0))*(B294&lt;=15)</f>
        <v>0</v>
      </c>
      <c r="F294" s="50">
        <f>SUM($E$6:E294)</f>
        <v>8611200</v>
      </c>
      <c r="G294" s="51">
        <f>MAX(F294*D294-SA/100*(C294-10*12)*(B294&gt;10),0)</f>
        <v>0</v>
      </c>
      <c r="H294" s="49">
        <f>VLOOKUP(B294,$L$5:$N$30,3,0)</f>
        <v>0.92</v>
      </c>
      <c r="I294" s="50">
        <f>VLOOKUP(B294,$P$5:$Q$30,2,0)*SA*(B294-1)*H294</f>
        <v>3550464</v>
      </c>
      <c r="J294" s="50">
        <f>G294+I294</f>
        <v>3550464</v>
      </c>
      <c r="K294" s="59"/>
      <c r="L294" s="63"/>
    </row>
    <row r="295" spans="2:12">
      <c r="B295" s="42">
        <f>B283+1</f>
        <v>25</v>
      </c>
      <c r="C295" s="43">
        <f>C294+1</f>
        <v>290</v>
      </c>
      <c r="D295" s="44">
        <f>VLOOKUP(B295,$L$5:$N$30,2,0)</f>
        <v>0.86</v>
      </c>
      <c r="E295" s="45">
        <f>(IF(B295=1,Modal_Basic_Prem_Yr1,Modal_Basic_Prem_Yr2)*(Prem_Mode="Monthly")+(Prem_Mode="Annual")*IF(B295=1,Modal_Basic_Prem_Yr1,Modal_Basic_Prem_Yr2)*(MOD(C295-1,12)=0))*(B295&lt;=15)</f>
        <v>0</v>
      </c>
      <c r="F295" s="45">
        <f>SUM($E$6:E295)</f>
        <v>8611200</v>
      </c>
      <c r="G295" s="46">
        <f>MAX(F295*D295-SA/100*(C295-10*12)*(B295&gt;10),0)</f>
        <v>0</v>
      </c>
      <c r="H295" s="44">
        <f>VLOOKUP(B295,$L$5:$N$30,3,0)</f>
        <v>0.92</v>
      </c>
      <c r="I295" s="45">
        <f>VLOOKUP(B295,$P$5:$Q$30,2,0)*SA*(B295-1)*H295</f>
        <v>3550464</v>
      </c>
      <c r="J295" s="45">
        <f>G295+I295</f>
        <v>3550464</v>
      </c>
      <c r="K295" s="59"/>
      <c r="L295" s="63"/>
    </row>
    <row r="296" spans="2:12">
      <c r="B296" s="47">
        <f>B284+1</f>
        <v>25</v>
      </c>
      <c r="C296" s="48">
        <f>C295+1</f>
        <v>291</v>
      </c>
      <c r="D296" s="49">
        <f>VLOOKUP(B296,$L$5:$N$30,2,0)</f>
        <v>0.86</v>
      </c>
      <c r="E296" s="50">
        <f>(IF(B296=1,Modal_Basic_Prem_Yr1,Modal_Basic_Prem_Yr2)*(Prem_Mode="Monthly")+(Prem_Mode="Annual")*IF(B296=1,Modal_Basic_Prem_Yr1,Modal_Basic_Prem_Yr2)*(MOD(C296-1,12)=0))*(B296&lt;=15)</f>
        <v>0</v>
      </c>
      <c r="F296" s="50">
        <f>SUM($E$6:E296)</f>
        <v>8611200</v>
      </c>
      <c r="G296" s="51">
        <f>MAX(F296*D296-SA/100*(C296-10*12)*(B296&gt;10),0)</f>
        <v>0</v>
      </c>
      <c r="H296" s="49">
        <f>VLOOKUP(B296,$L$5:$N$30,3,0)</f>
        <v>0.92</v>
      </c>
      <c r="I296" s="50">
        <f>VLOOKUP(B296,$P$5:$Q$30,2,0)*SA*(B296-1)*H296</f>
        <v>3550464</v>
      </c>
      <c r="J296" s="50">
        <f>G296+I296</f>
        <v>3550464</v>
      </c>
      <c r="K296" s="59"/>
      <c r="L296" s="63"/>
    </row>
    <row r="297" spans="2:12">
      <c r="B297" s="42">
        <f>B285+1</f>
        <v>25</v>
      </c>
      <c r="C297" s="43">
        <f>C296+1</f>
        <v>292</v>
      </c>
      <c r="D297" s="44">
        <f>VLOOKUP(B297,$L$5:$N$30,2,0)</f>
        <v>0.86</v>
      </c>
      <c r="E297" s="45">
        <f>(IF(B297=1,Modal_Basic_Prem_Yr1,Modal_Basic_Prem_Yr2)*(Prem_Mode="Monthly")+(Prem_Mode="Annual")*IF(B297=1,Modal_Basic_Prem_Yr1,Modal_Basic_Prem_Yr2)*(MOD(C297-1,12)=0))*(B297&lt;=15)</f>
        <v>0</v>
      </c>
      <c r="F297" s="45">
        <f>SUM($E$6:E297)</f>
        <v>8611200</v>
      </c>
      <c r="G297" s="46">
        <f>MAX(F297*D297-SA/100*(C297-10*12)*(B297&gt;10),0)</f>
        <v>0</v>
      </c>
      <c r="H297" s="44">
        <f>VLOOKUP(B297,$L$5:$N$30,3,0)</f>
        <v>0.92</v>
      </c>
      <c r="I297" s="45">
        <f>VLOOKUP(B297,$P$5:$Q$30,2,0)*SA*(B297-1)*H297</f>
        <v>3550464</v>
      </c>
      <c r="J297" s="45">
        <f>G297+I297</f>
        <v>3550464</v>
      </c>
      <c r="K297" s="59"/>
      <c r="L297" s="63"/>
    </row>
    <row r="298" spans="2:12">
      <c r="B298" s="47">
        <f>B286+1</f>
        <v>25</v>
      </c>
      <c r="C298" s="48">
        <f>C297+1</f>
        <v>293</v>
      </c>
      <c r="D298" s="49">
        <f>VLOOKUP(B298,$L$5:$N$30,2,0)</f>
        <v>0.86</v>
      </c>
      <c r="E298" s="50">
        <f>(IF(B298=1,Modal_Basic_Prem_Yr1,Modal_Basic_Prem_Yr2)*(Prem_Mode="Monthly")+(Prem_Mode="Annual")*IF(B298=1,Modal_Basic_Prem_Yr1,Modal_Basic_Prem_Yr2)*(MOD(C298-1,12)=0))*(B298&lt;=15)</f>
        <v>0</v>
      </c>
      <c r="F298" s="50">
        <f>SUM($E$6:E298)</f>
        <v>8611200</v>
      </c>
      <c r="G298" s="51">
        <f>MAX(F298*D298-SA/100*(C298-10*12)*(B298&gt;10),0)</f>
        <v>0</v>
      </c>
      <c r="H298" s="49">
        <f>VLOOKUP(B298,$L$5:$N$30,3,0)</f>
        <v>0.92</v>
      </c>
      <c r="I298" s="50">
        <f>VLOOKUP(B298,$P$5:$Q$30,2,0)*SA*(B298-1)*H298</f>
        <v>3550464</v>
      </c>
      <c r="J298" s="50">
        <f>G298+I298</f>
        <v>3550464</v>
      </c>
      <c r="K298" s="59"/>
      <c r="L298" s="63"/>
    </row>
    <row r="299" spans="2:12">
      <c r="B299" s="42">
        <f>B287+1</f>
        <v>25</v>
      </c>
      <c r="C299" s="43">
        <f>C298+1</f>
        <v>294</v>
      </c>
      <c r="D299" s="44">
        <f>VLOOKUP(B299,$L$5:$N$30,2,0)</f>
        <v>0.86</v>
      </c>
      <c r="E299" s="45">
        <f>(IF(B299=1,Modal_Basic_Prem_Yr1,Modal_Basic_Prem_Yr2)*(Prem_Mode="Monthly")+(Prem_Mode="Annual")*IF(B299=1,Modal_Basic_Prem_Yr1,Modal_Basic_Prem_Yr2)*(MOD(C299-1,12)=0))*(B299&lt;=15)</f>
        <v>0</v>
      </c>
      <c r="F299" s="45">
        <f>SUM($E$6:E299)</f>
        <v>8611200</v>
      </c>
      <c r="G299" s="46">
        <f>MAX(F299*D299-SA/100*(C299-10*12)*(B299&gt;10),0)</f>
        <v>0</v>
      </c>
      <c r="H299" s="44">
        <f>VLOOKUP(B299,$L$5:$N$30,3,0)</f>
        <v>0.92</v>
      </c>
      <c r="I299" s="45">
        <f>VLOOKUP(B299,$P$5:$Q$30,2,0)*SA*(B299-1)*H299</f>
        <v>3550464</v>
      </c>
      <c r="J299" s="45">
        <f>G299+I299</f>
        <v>3550464</v>
      </c>
      <c r="K299" s="59"/>
      <c r="L299" s="63"/>
    </row>
    <row r="300" spans="2:12">
      <c r="B300" s="47">
        <f>B288+1</f>
        <v>25</v>
      </c>
      <c r="C300" s="48">
        <f>C299+1</f>
        <v>295</v>
      </c>
      <c r="D300" s="49">
        <f>VLOOKUP(B300,$L$5:$N$30,2,0)</f>
        <v>0.86</v>
      </c>
      <c r="E300" s="50">
        <f>(IF(B300=1,Modal_Basic_Prem_Yr1,Modal_Basic_Prem_Yr2)*(Prem_Mode="Monthly")+(Prem_Mode="Annual")*IF(B300=1,Modal_Basic_Prem_Yr1,Modal_Basic_Prem_Yr2)*(MOD(C300-1,12)=0))*(B300&lt;=15)</f>
        <v>0</v>
      </c>
      <c r="F300" s="50">
        <f>SUM($E$6:E300)</f>
        <v>8611200</v>
      </c>
      <c r="G300" s="51">
        <f>MAX(F300*D300-SA/100*(C300-10*12)*(B300&gt;10),0)</f>
        <v>0</v>
      </c>
      <c r="H300" s="49">
        <f>VLOOKUP(B300,$L$5:$N$30,3,0)</f>
        <v>0.92</v>
      </c>
      <c r="I300" s="50">
        <f>VLOOKUP(B300,$P$5:$Q$30,2,0)*SA*(B300-1)*H300</f>
        <v>3550464</v>
      </c>
      <c r="J300" s="50">
        <f>G300+I300</f>
        <v>3550464</v>
      </c>
      <c r="K300" s="59"/>
      <c r="L300" s="63"/>
    </row>
    <row r="301" spans="2:12">
      <c r="B301" s="42">
        <f>B289+1</f>
        <v>25</v>
      </c>
      <c r="C301" s="43">
        <f>C300+1</f>
        <v>296</v>
      </c>
      <c r="D301" s="44">
        <f>VLOOKUP(B301,$L$5:$N$30,2,0)</f>
        <v>0.86</v>
      </c>
      <c r="E301" s="45">
        <f>(IF(B301=1,Modal_Basic_Prem_Yr1,Modal_Basic_Prem_Yr2)*(Prem_Mode="Monthly")+(Prem_Mode="Annual")*IF(B301=1,Modal_Basic_Prem_Yr1,Modal_Basic_Prem_Yr2)*(MOD(C301-1,12)=0))*(B301&lt;=15)</f>
        <v>0</v>
      </c>
      <c r="F301" s="45">
        <f>SUM($E$6:E301)</f>
        <v>8611200</v>
      </c>
      <c r="G301" s="46">
        <f>MAX(F301*D301-SA/100*(C301-10*12)*(B301&gt;10),0)</f>
        <v>0</v>
      </c>
      <c r="H301" s="44">
        <f>VLOOKUP(B301,$L$5:$N$30,3,0)</f>
        <v>0.92</v>
      </c>
      <c r="I301" s="45">
        <f>VLOOKUP(B301,$P$5:$Q$30,2,0)*SA*(B301-1)*H301</f>
        <v>3550464</v>
      </c>
      <c r="J301" s="45">
        <f>G301+I301</f>
        <v>3550464</v>
      </c>
      <c r="K301" s="59"/>
      <c r="L301" s="63"/>
    </row>
    <row r="302" spans="2:12">
      <c r="B302" s="47">
        <f>B290+1</f>
        <v>25</v>
      </c>
      <c r="C302" s="48">
        <f>C301+1</f>
        <v>297</v>
      </c>
      <c r="D302" s="49">
        <f>VLOOKUP(B302,$L$5:$N$30,2,0)</f>
        <v>0.86</v>
      </c>
      <c r="E302" s="50">
        <f>(IF(B302=1,Modal_Basic_Prem_Yr1,Modal_Basic_Prem_Yr2)*(Prem_Mode="Monthly")+(Prem_Mode="Annual")*IF(B302=1,Modal_Basic_Prem_Yr1,Modal_Basic_Prem_Yr2)*(MOD(C302-1,12)=0))*(B302&lt;=15)</f>
        <v>0</v>
      </c>
      <c r="F302" s="50">
        <f>SUM($E$6:E302)</f>
        <v>8611200</v>
      </c>
      <c r="G302" s="51">
        <f>MAX(F302*D302-SA/100*(C302-10*12)*(B302&gt;10),0)</f>
        <v>0</v>
      </c>
      <c r="H302" s="49">
        <f>VLOOKUP(B302,$L$5:$N$30,3,0)</f>
        <v>0.92</v>
      </c>
      <c r="I302" s="50">
        <f>VLOOKUP(B302,$P$5:$Q$30,2,0)*SA*(B302-1)*H302</f>
        <v>3550464</v>
      </c>
      <c r="J302" s="50">
        <f>G302+I302</f>
        <v>3550464</v>
      </c>
      <c r="K302" s="59"/>
      <c r="L302" s="63"/>
    </row>
    <row r="303" spans="2:12">
      <c r="B303" s="42">
        <f>B291+1</f>
        <v>25</v>
      </c>
      <c r="C303" s="43">
        <f>C302+1</f>
        <v>298</v>
      </c>
      <c r="D303" s="44">
        <f>VLOOKUP(B303,$L$5:$N$30,2,0)</f>
        <v>0.86</v>
      </c>
      <c r="E303" s="45">
        <f>(IF(B303=1,Modal_Basic_Prem_Yr1,Modal_Basic_Prem_Yr2)*(Prem_Mode="Monthly")+(Prem_Mode="Annual")*IF(B303=1,Modal_Basic_Prem_Yr1,Modal_Basic_Prem_Yr2)*(MOD(C303-1,12)=0))*(B303&lt;=15)</f>
        <v>0</v>
      </c>
      <c r="F303" s="45">
        <f>SUM($E$6:E303)</f>
        <v>8611200</v>
      </c>
      <c r="G303" s="46">
        <f>MAX(F303*D303-SA/100*(C303-10*12)*(B303&gt;10),0)</f>
        <v>0</v>
      </c>
      <c r="H303" s="44">
        <f>VLOOKUP(B303,$L$5:$N$30,3,0)</f>
        <v>0.92</v>
      </c>
      <c r="I303" s="45">
        <f>VLOOKUP(B303,$P$5:$Q$30,2,0)*SA*(B303-1)*H303</f>
        <v>3550464</v>
      </c>
      <c r="J303" s="45">
        <f>G303+I303</f>
        <v>3550464</v>
      </c>
      <c r="K303" s="59"/>
      <c r="L303" s="63"/>
    </row>
    <row r="304" spans="2:12">
      <c r="B304" s="47">
        <f>B292+1</f>
        <v>25</v>
      </c>
      <c r="C304" s="48">
        <f>C303+1</f>
        <v>299</v>
      </c>
      <c r="D304" s="49">
        <f>VLOOKUP(B304,$L$5:$N$30,2,0)</f>
        <v>0.86</v>
      </c>
      <c r="E304" s="50">
        <f>(IF(B304=1,Modal_Basic_Prem_Yr1,Modal_Basic_Prem_Yr2)*(Prem_Mode="Monthly")+(Prem_Mode="Annual")*IF(B304=1,Modal_Basic_Prem_Yr1,Modal_Basic_Prem_Yr2)*(MOD(C304-1,12)=0))*(B304&lt;=15)</f>
        <v>0</v>
      </c>
      <c r="F304" s="50">
        <f>SUM($E$6:E304)</f>
        <v>8611200</v>
      </c>
      <c r="G304" s="51">
        <f>MAX(F304*D304-SA/100*(C304-10*12)*(B304&gt;10),0)</f>
        <v>0</v>
      </c>
      <c r="H304" s="49">
        <f>VLOOKUP(B304,$L$5:$N$30,3,0)</f>
        <v>0.92</v>
      </c>
      <c r="I304" s="50">
        <f>VLOOKUP(B304,$P$5:$Q$30,2,0)*SA*(B304-1)*H304</f>
        <v>3550464</v>
      </c>
      <c r="J304" s="50">
        <f>G304+I304</f>
        <v>3550464</v>
      </c>
      <c r="K304" s="59"/>
      <c r="L304" s="63"/>
    </row>
    <row r="305" spans="2:12">
      <c r="B305" s="69">
        <f>B293+1</f>
        <v>25</v>
      </c>
      <c r="C305" s="70">
        <f>C304+1</f>
        <v>300</v>
      </c>
      <c r="D305" s="71">
        <f>VLOOKUP(B305,$L$5:$N$30,2,0)</f>
        <v>0.86</v>
      </c>
      <c r="E305" s="72">
        <f>(IF(B305=1,Modal_Basic_Prem_Yr1,Modal_Basic_Prem_Yr2)*(Prem_Mode="Monthly")+(Prem_Mode="Annual")*IF(B305=1,Modal_Basic_Prem_Yr1,Modal_Basic_Prem_Yr2)*(MOD(C305-1,12)=0))*(B305&lt;=15)</f>
        <v>0</v>
      </c>
      <c r="F305" s="72">
        <f>SUM($E$6:E305)</f>
        <v>8611200</v>
      </c>
      <c r="G305" s="73">
        <f>MAX(F305*D305-SA/100*(C305-10*12)*(B305&gt;10),0)</f>
        <v>0</v>
      </c>
      <c r="H305" s="71">
        <f>VLOOKUP(B305,$L$5:$N$30,3,0)</f>
        <v>0.92</v>
      </c>
      <c r="I305" s="72">
        <f>VLOOKUP(B305,$P$5:$Q$30,2,0)*SA*(B305-1)*H305</f>
        <v>3550464</v>
      </c>
      <c r="J305" s="72">
        <f>G305+I305</f>
        <v>3550464</v>
      </c>
      <c r="K305" s="59"/>
      <c r="L305" s="63"/>
    </row>
  </sheetData>
  <mergeCells count="3">
    <mergeCell ref="L4:N4"/>
    <mergeCell ref="P4:Q4"/>
    <mergeCell ref="S4:T4"/>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4"/>
  <sheetViews>
    <sheetView workbookViewId="0">
      <selection activeCell="E9" sqref="E9"/>
    </sheetView>
  </sheetViews>
  <sheetFormatPr defaultColWidth="9" defaultRowHeight="14.25"/>
  <cols>
    <col min="1" max="16384" width="22.375" style="8" customWidth="1"/>
  </cols>
  <sheetData>
    <row r="1" customHeight="1" spans="2:5">
      <c r="B1" s="9" t="s">
        <v>177</v>
      </c>
      <c r="C1" s="9"/>
      <c r="D1" s="9"/>
      <c r="E1" s="9"/>
    </row>
    <row r="3" ht="15" spans="1:5">
      <c r="A3" s="10"/>
      <c r="B3" s="11" t="s">
        <v>178</v>
      </c>
      <c r="C3" s="11" t="s">
        <v>179</v>
      </c>
      <c r="D3" s="11" t="s">
        <v>180</v>
      </c>
      <c r="E3" s="11" t="s">
        <v>181</v>
      </c>
    </row>
    <row r="4" ht="30" spans="1:5">
      <c r="A4" s="12" t="s">
        <v>3</v>
      </c>
      <c r="B4" s="10">
        <v>350000</v>
      </c>
      <c r="C4" s="10">
        <v>650000</v>
      </c>
      <c r="D4" s="10">
        <v>100000</v>
      </c>
      <c r="E4" s="10">
        <v>50000</v>
      </c>
    </row>
    <row r="5" ht="30" spans="1:5">
      <c r="A5" s="13" t="s">
        <v>15</v>
      </c>
      <c r="B5" s="10">
        <v>50</v>
      </c>
      <c r="C5" s="10">
        <v>30</v>
      </c>
      <c r="D5" s="10">
        <v>18</v>
      </c>
      <c r="E5" s="10">
        <v>38</v>
      </c>
    </row>
    <row r="6" ht="15" spans="1:5">
      <c r="A6" s="13" t="s">
        <v>4</v>
      </c>
      <c r="B6" s="14" t="s">
        <v>17</v>
      </c>
      <c r="C6" s="14" t="s">
        <v>11</v>
      </c>
      <c r="D6" s="14" t="s">
        <v>11</v>
      </c>
      <c r="E6" s="10" t="s">
        <v>17</v>
      </c>
    </row>
    <row r="7" ht="15" spans="1:5">
      <c r="A7" s="13" t="s">
        <v>5</v>
      </c>
      <c r="B7" s="14" t="s">
        <v>18</v>
      </c>
      <c r="C7" s="14" t="s">
        <v>12</v>
      </c>
      <c r="D7" s="14" t="s">
        <v>12</v>
      </c>
      <c r="E7" s="10" t="s">
        <v>18</v>
      </c>
    </row>
    <row r="8" ht="45" spans="1:5">
      <c r="A8" s="13" t="s">
        <v>26</v>
      </c>
      <c r="B8" s="14" t="s">
        <v>27</v>
      </c>
      <c r="C8" s="14" t="s">
        <v>182</v>
      </c>
      <c r="D8" s="14" t="s">
        <v>27</v>
      </c>
      <c r="E8" s="10" t="s">
        <v>183</v>
      </c>
    </row>
    <row r="9" ht="15" spans="1:5">
      <c r="A9" s="12" t="s">
        <v>184</v>
      </c>
      <c r="B9" s="15">
        <v>1.25</v>
      </c>
      <c r="C9" s="15">
        <v>0</v>
      </c>
      <c r="D9" s="15">
        <v>0.5</v>
      </c>
      <c r="E9" s="10">
        <v>5</v>
      </c>
    </row>
    <row r="10" ht="15" spans="1:5">
      <c r="A10" s="16" t="s">
        <v>33</v>
      </c>
      <c r="B10" s="10">
        <v>0</v>
      </c>
      <c r="C10" s="10">
        <v>0</v>
      </c>
      <c r="D10" s="10">
        <v>0.5</v>
      </c>
      <c r="E10" s="10">
        <v>0</v>
      </c>
    </row>
    <row r="11" ht="15" spans="1:5">
      <c r="A11" s="17"/>
      <c r="B11" s="18" t="s">
        <v>185</v>
      </c>
      <c r="C11" s="18"/>
      <c r="D11" s="18"/>
      <c r="E11" s="18"/>
    </row>
    <row r="12" ht="25.5" spans="1:5">
      <c r="A12" s="19" t="s">
        <v>30</v>
      </c>
      <c r="B12" s="20">
        <v>349972</v>
      </c>
      <c r="C12" s="21">
        <v>649399</v>
      </c>
      <c r="D12" s="21">
        <v>99411</v>
      </c>
      <c r="E12" s="22">
        <v>49982</v>
      </c>
    </row>
    <row r="13" ht="25.5" spans="1:5">
      <c r="A13" s="19" t="s">
        <v>23</v>
      </c>
      <c r="B13" s="20">
        <v>32822585</v>
      </c>
      <c r="C13" s="20">
        <v>6746237</v>
      </c>
      <c r="D13" s="20">
        <v>1005926</v>
      </c>
      <c r="E13" s="23">
        <v>5602052</v>
      </c>
    </row>
    <row r="14" ht="30" spans="1:5">
      <c r="A14" s="24" t="s">
        <v>28</v>
      </c>
      <c r="B14" s="21">
        <v>32820000</v>
      </c>
      <c r="C14" s="21">
        <v>6740000</v>
      </c>
      <c r="D14" s="21">
        <v>1000000</v>
      </c>
      <c r="E14" s="22">
        <v>5600000</v>
      </c>
    </row>
    <row r="15" ht="30" spans="1:13">
      <c r="A15" s="25"/>
      <c r="B15" s="26" t="s">
        <v>153</v>
      </c>
      <c r="C15" s="26"/>
      <c r="D15" s="26"/>
      <c r="E15" s="26"/>
      <c r="F15" s="27"/>
      <c r="G15" s="27"/>
      <c r="H15" s="27"/>
      <c r="I15" s="27"/>
      <c r="J15" s="27"/>
      <c r="K15" s="27"/>
      <c r="L15" s="27"/>
      <c r="M15" s="27"/>
    </row>
    <row r="16" ht="22.5" spans="1:5">
      <c r="A16" s="28" t="s">
        <v>154</v>
      </c>
      <c r="B16" s="29">
        <v>334901.84</v>
      </c>
      <c r="C16" s="29">
        <v>649399</v>
      </c>
      <c r="D16" s="29">
        <v>95130</v>
      </c>
      <c r="E16" s="30">
        <v>49981.68</v>
      </c>
    </row>
    <row r="17" ht="22.5" spans="1:5">
      <c r="A17" s="28" t="s">
        <v>38</v>
      </c>
      <c r="B17" s="29">
        <v>15070.58</v>
      </c>
      <c r="C17" s="29">
        <v>29222.96</v>
      </c>
      <c r="D17" s="29">
        <v>4280.85</v>
      </c>
      <c r="E17" s="30">
        <v>2249.18</v>
      </c>
    </row>
    <row r="18" spans="1:5">
      <c r="A18" s="28" t="s">
        <v>155</v>
      </c>
      <c r="B18" s="29">
        <v>349972.42</v>
      </c>
      <c r="C18" s="29">
        <v>678621.96</v>
      </c>
      <c r="D18" s="29">
        <v>99410.85</v>
      </c>
      <c r="E18" s="30">
        <v>52230.86</v>
      </c>
    </row>
    <row r="19" spans="1:5">
      <c r="A19" s="28" t="s">
        <v>156</v>
      </c>
      <c r="B19" s="29">
        <v>4018822.08</v>
      </c>
      <c r="C19" s="31">
        <v>649399</v>
      </c>
      <c r="D19" s="29">
        <v>95130</v>
      </c>
      <c r="E19" s="30">
        <v>599780.16</v>
      </c>
    </row>
    <row r="20" ht="30" spans="1:13">
      <c r="A20" s="32"/>
      <c r="B20" s="26" t="s">
        <v>44</v>
      </c>
      <c r="C20" s="26"/>
      <c r="D20" s="26"/>
      <c r="E20" s="26"/>
      <c r="F20" s="27"/>
      <c r="G20" s="27"/>
      <c r="H20" s="27"/>
      <c r="I20" s="27"/>
      <c r="J20" s="27"/>
      <c r="K20" s="27"/>
      <c r="L20" s="27"/>
      <c r="M20" s="27"/>
    </row>
    <row r="21" ht="22.5" spans="1:5">
      <c r="A21" s="28" t="s">
        <v>154</v>
      </c>
      <c r="B21" s="29">
        <v>334901.84</v>
      </c>
      <c r="C21" s="29">
        <v>649399</v>
      </c>
      <c r="D21" s="29">
        <v>95130</v>
      </c>
      <c r="E21" s="30">
        <v>49981.68</v>
      </c>
    </row>
    <row r="22" ht="22.5" spans="1:5">
      <c r="A22" s="28" t="s">
        <v>38</v>
      </c>
      <c r="B22" s="29">
        <v>7535.29</v>
      </c>
      <c r="C22" s="31">
        <v>14611.48</v>
      </c>
      <c r="D22" s="29">
        <v>2140.42</v>
      </c>
      <c r="E22" s="30">
        <v>1124.59</v>
      </c>
    </row>
    <row r="23" spans="1:5">
      <c r="A23" s="28" t="s">
        <v>155</v>
      </c>
      <c r="B23" s="29">
        <v>342437.13</v>
      </c>
      <c r="C23" s="31">
        <v>664010.48</v>
      </c>
      <c r="D23" s="29">
        <v>97270.42</v>
      </c>
      <c r="E23" s="30">
        <v>51106.27</v>
      </c>
    </row>
    <row r="24" spans="1:5">
      <c r="A24" s="28" t="s">
        <v>156</v>
      </c>
      <c r="B24" s="29">
        <v>4018822.08</v>
      </c>
      <c r="C24" s="29">
        <v>649399</v>
      </c>
      <c r="D24" s="29">
        <v>95130</v>
      </c>
      <c r="E24" s="30">
        <v>599780.16</v>
      </c>
    </row>
  </sheetData>
  <mergeCells count="4">
    <mergeCell ref="B1:E1"/>
    <mergeCell ref="B11:E11"/>
    <mergeCell ref="B15:E15"/>
    <mergeCell ref="B20:E20"/>
  </mergeCells>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F5"/>
  <sheetViews>
    <sheetView workbookViewId="0">
      <selection activeCell="C4" sqref="C4"/>
    </sheetView>
  </sheetViews>
  <sheetFormatPr defaultColWidth="9" defaultRowHeight="14.25" outlineLevelRow="4" outlineLevelCol="5"/>
  <cols>
    <col min="1" max="2" width="9" style="1"/>
    <col min="3" max="3" width="30.375" style="1" customWidth="1"/>
    <col min="4" max="4" width="26" style="1" customWidth="1"/>
    <col min="5" max="16384" width="9" style="1"/>
  </cols>
  <sheetData>
    <row r="3" ht="15.75" spans="2:6">
      <c r="B3" s="2" t="s">
        <v>186</v>
      </c>
      <c r="C3" s="3" t="s">
        <v>187</v>
      </c>
      <c r="D3" s="3" t="s">
        <v>188</v>
      </c>
      <c r="E3" s="4"/>
      <c r="F3" s="4"/>
    </row>
    <row r="4" ht="45" spans="2:6">
      <c r="B4" s="5" t="s">
        <v>189</v>
      </c>
      <c r="C4" s="6" t="s">
        <v>190</v>
      </c>
      <c r="D4" s="6" t="s">
        <v>191</v>
      </c>
      <c r="E4" s="4"/>
      <c r="F4" s="4"/>
    </row>
    <row r="5" ht="31.5" spans="2:6">
      <c r="B5" s="7"/>
      <c r="C5" s="6" t="s">
        <v>192</v>
      </c>
      <c r="D5" s="6" t="s">
        <v>193</v>
      </c>
      <c r="E5" s="4"/>
      <c r="F5" s="4"/>
    </row>
  </sheetData>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Premium Calculation</vt:lpstr>
      <vt:lpstr>SMIP-BI</vt:lpstr>
      <vt:lpstr>Product Data n Calcs</vt:lpstr>
      <vt:lpstr>GSV for SSV Cal</vt:lpstr>
      <vt:lpstr>Godb Test Case</vt:lpstr>
      <vt:lpstr>GoDB changes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99002607</dc:creator>
  <cp:lastModifiedBy>Shilpa Saxena</cp:lastModifiedBy>
  <dcterms:created xsi:type="dcterms:W3CDTF">2017-06-28T10:38:06Z</dcterms:created>
  <dcterms:modified xsi:type="dcterms:W3CDTF">2017-06-28T12:55:52Z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1033-9.1.0.4514</vt:lpwstr>
  </property>
</Properties>
</file>