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620" windowHeight="12260" tabRatio="631"/>
  </bookViews>
  <sheets>
    <sheet name="Input" sheetId="1" r:id="rId1"/>
    <sheet name="Assumptions" sheetId="2" r:id="rId2"/>
    <sheet name="MB-BI" sheetId="3" r:id="rId3"/>
    <sheet name="GoDB test cases" sheetId="4" r:id="rId4"/>
  </sheets>
  <definedNames>
    <definedName name="_xlnm.Print_Area" localSheetId="2">'MB-BI'!$B$1:L98</definedName>
    <definedName name="AB_SC1">Assumptions!$C$23</definedName>
    <definedName name="AB_SC2">Assumptions!$C$24</definedName>
    <definedName name="AGE">Input!$C$6</definedName>
    <definedName name="AP_YR1_EXCL_ST">Assumptions!$AE$21</definedName>
    <definedName name="AP_YR2_EXCL_ST">Assumptions!$AE$24</definedName>
    <definedName name="DB_SA">Assumptions!$AE$28</definedName>
    <definedName name="EMR">Input!$D$14</definedName>
    <definedName name="EMR_IND">Input!$C$14</definedName>
    <definedName name="EMR_TAB">Assumptions!$N$2:$Y$51</definedName>
    <definedName name="EXT_YR1_EXCL_ST">Assumptions!$AE$22</definedName>
    <definedName name="EXT_YR2_EXCL_ST">Assumptions!$AE$25</definedName>
    <definedName name="FB_SC1">Assumptions!$D$23</definedName>
    <definedName name="FB_SC2">Assumptions!$D$24</definedName>
    <definedName name="FLAT_Extra">Input!$D$13</definedName>
    <definedName name="FLAT_EXTRA_IND">Input!$C$13</definedName>
    <definedName name="FREQUENCY">Input!$C$11</definedName>
    <definedName name="GSV_TAB">Assumptions!$F$4:$I$17</definedName>
    <definedName name="HIGH_SA_REBATE">Assumptions!$B$4:$D$9</definedName>
    <definedName name="INSTL_YR1">Assumptions!$AE$23</definedName>
    <definedName name="INSTL_YR2">Assumptions!$AE$26</definedName>
    <definedName name="MB_SA1">Assumptions!$C$18</definedName>
    <definedName name="MB_SA2">Assumptions!$C$19</definedName>
    <definedName name="MB_SA3">Assumptions!$C$20</definedName>
    <definedName name="MB_TIME1">Assumptions!$B$18</definedName>
    <definedName name="MB_TIME2">Assumptions!$B$19</definedName>
    <definedName name="MB_TIME3">Assumptions!$B$20</definedName>
    <definedName name="MMR_EXTRA">Input!$D$12</definedName>
    <definedName name="MMR_IND">Input!$C$12</definedName>
    <definedName name="MODAL_FAC">Assumptions!$B$13:$C$14</definedName>
    <definedName name="NASP_EXTRA">Input!$D$16</definedName>
    <definedName name="NASP_IND">Input!$C$16</definedName>
    <definedName name="PPT">Input!$C$9</definedName>
    <definedName name="PREM_TAB">Assumptions!$K$4:$L$51</definedName>
    <definedName name="PT">Input!$C$8</definedName>
    <definedName name="RATES">Input!$B$5:$K$31</definedName>
    <definedName name="RATES_HEADINGS">Input!$F$5:$K$5</definedName>
    <definedName name="SA">Input!$C$10</definedName>
    <definedName name="ST_Indicator">Input!$C$18</definedName>
    <definedName name="STAFF_DISCOUNT">Input!$D$15</definedName>
    <definedName name="STAFF_IND">Input!$C$15</definedName>
    <definedName name="WORK_DISCOUNT">Input!$D$17</definedName>
    <definedName name="WORKSITE_IND">Input!$C$17</definedName>
    <definedName name="Z_62820361_09A2_4017_BBE8_24D19F84BCDB_.wvu.PrintArea" localSheetId="2" hidden="1">'MB-BI'!$B$1:$L$98</definedName>
  </definedNames>
  <calcPr calcId="144525"/>
</workbook>
</file>

<file path=xl/sharedStrings.xml><?xml version="1.0" encoding="utf-8"?>
<sst xmlns="http://schemas.openxmlformats.org/spreadsheetml/2006/main" count="174">
  <si>
    <t>Enter the details in Cells coloured Green</t>
  </si>
  <si>
    <t>Output is in cells coloured Pink</t>
  </si>
  <si>
    <t>Inputs in Green Cell</t>
  </si>
  <si>
    <t>Premium Input for Reverse Calculator</t>
  </si>
  <si>
    <t xml:space="preserve">Date of Illustration: </t>
  </si>
  <si>
    <t>Age Last Birthday as on Date of Commencement</t>
  </si>
  <si>
    <t xml:space="preserve">Gender: </t>
  </si>
  <si>
    <t>FEMALE</t>
  </si>
  <si>
    <t>Output of reverse calculator</t>
  </si>
  <si>
    <t>Policy Term</t>
  </si>
  <si>
    <t>SA Out put for Reverse Calculator</t>
  </si>
  <si>
    <t>Premium Term</t>
  </si>
  <si>
    <t>Sum Assured</t>
  </si>
  <si>
    <t>Premium Frequency</t>
  </si>
  <si>
    <t>MMR</t>
  </si>
  <si>
    <t>No</t>
  </si>
  <si>
    <t>As per our understanding from underwriting team, MMR is no longer used and hence should always assume the value 0 here.</t>
  </si>
  <si>
    <t>Flat Extra</t>
  </si>
  <si>
    <t>EMR</t>
  </si>
  <si>
    <t>Staff</t>
  </si>
  <si>
    <t>NSAP Extra</t>
  </si>
  <si>
    <t>Worksite Group / Online Discount</t>
  </si>
  <si>
    <t>Orig. Installment Premium "Including" Service Tax ( Cell F4)</t>
  </si>
  <si>
    <t>Yes</t>
  </si>
  <si>
    <t>Note:</t>
  </si>
  <si>
    <t>Reverse Calculator will not work for Staff Cases</t>
  </si>
  <si>
    <t>If the Service Tax depicted here is different from the actual, get the Reverse Calculator updated from Actuarial Team.</t>
  </si>
  <si>
    <t>Check for Premium basis Premium Calculator</t>
  </si>
  <si>
    <t xml:space="preserve">Year </t>
  </si>
  <si>
    <t>Service Tax and applicable Cess</t>
  </si>
  <si>
    <t>Year 1</t>
  </si>
  <si>
    <t>Other Years</t>
  </si>
  <si>
    <t>If Cell D33 is greater than 1 wrt rounding of values, please connect with the Pricing Team</t>
  </si>
  <si>
    <t>Premium Per 1000 SA</t>
  </si>
  <si>
    <t xml:space="preserve">EMRs </t>
  </si>
  <si>
    <t>Reverse Calculator</t>
  </si>
  <si>
    <t>Sum Assured Band</t>
  </si>
  <si>
    <t>GSV Factor Table</t>
  </si>
  <si>
    <t>Age</t>
  </si>
  <si>
    <t>Rate</t>
  </si>
  <si>
    <t>AGE</t>
  </si>
  <si>
    <t>Lower</t>
  </si>
  <si>
    <t>Upper</t>
  </si>
  <si>
    <t>Rebate Per 1000 SA</t>
  </si>
  <si>
    <t>Lower Yr</t>
  </si>
  <si>
    <t>Upper Yr</t>
  </si>
  <si>
    <t xml:space="preserve">% of Tot Prem </t>
  </si>
  <si>
    <t>% of Accrued Bonus</t>
  </si>
  <si>
    <t>Modal Factor Table</t>
  </si>
  <si>
    <t>Frequency</t>
  </si>
  <si>
    <t>Factor</t>
  </si>
  <si>
    <t>Money Back Schedule</t>
  </si>
  <si>
    <t>Time</t>
  </si>
  <si>
    <t>%age of SA</t>
  </si>
  <si>
    <t>Premium Calculation</t>
  </si>
  <si>
    <t>Description</t>
  </si>
  <si>
    <t>Year 2</t>
  </si>
  <si>
    <t>Base Premium</t>
  </si>
  <si>
    <t>ST</t>
  </si>
  <si>
    <t>Final Premium</t>
  </si>
  <si>
    <t xml:space="preserve"> Premium Amount</t>
  </si>
  <si>
    <t>Base Premium Rate</t>
  </si>
  <si>
    <t>Base Annual Premium Yr1</t>
  </si>
  <si>
    <t>Annualized Base Premium in Year 1 (excl ST)</t>
  </si>
  <si>
    <t>Premium Rate after Worksite Discount</t>
  </si>
  <si>
    <t>Extra Annual Premium  Yr 1</t>
  </si>
  <si>
    <t xml:space="preserve">Orig. Installment Premium (Rs.) </t>
  </si>
  <si>
    <t>Interest Rate</t>
  </si>
  <si>
    <t>Annual Bonus</t>
  </si>
  <si>
    <t>Final Bonus</t>
  </si>
  <si>
    <t>Extra Annualized Premium in Yr1 (excl.ST)</t>
  </si>
  <si>
    <t>Applicable High SA Rebate</t>
  </si>
  <si>
    <t>Total Annual Premium in Yr 1</t>
  </si>
  <si>
    <t xml:space="preserve">INCLUDING Service Tax </t>
  </si>
  <si>
    <t>Installment Premium (incl UW Extra) in Year 1 incl. of ST</t>
  </si>
  <si>
    <t>Premium Rate after High SA Rebate</t>
  </si>
  <si>
    <t>Installment Premium in Yr 1</t>
  </si>
  <si>
    <t xml:space="preserve">EXCLUDING Service Tax </t>
  </si>
  <si>
    <t>Annualized Base Premium in Year 2 (excl ST)</t>
  </si>
  <si>
    <t>Premium Rate after Staff Discount</t>
  </si>
  <si>
    <t xml:space="preserve">for Year 1: </t>
  </si>
  <si>
    <t>Extra Annualized Premium in Yr2 excl.ST</t>
  </si>
  <si>
    <t>EMR Extra</t>
  </si>
  <si>
    <t>Installment Premium (incl UW Extra) in Year 2 incl. of ST</t>
  </si>
  <si>
    <t>Modal Base Premium Yr2</t>
  </si>
  <si>
    <t>Extra Annual Premium  Yr 2</t>
  </si>
  <si>
    <t>Death Benefit Sum Assured:</t>
  </si>
  <si>
    <t>MMR Extra</t>
  </si>
  <si>
    <t>Total Annual Premium in Yr 2</t>
  </si>
  <si>
    <t>Maturity Benefit @4% :</t>
  </si>
  <si>
    <t>Total Base Premium Rate (applicable)</t>
  </si>
  <si>
    <t>Installment Premium in Yr 2</t>
  </si>
  <si>
    <t>Maturity Benefit  @8% :</t>
  </si>
  <si>
    <t>Extra Premium Rate (applicable)</t>
  </si>
  <si>
    <t>Benefit Illustration - Smart Stage Money back plan</t>
  </si>
  <si>
    <t>Thank you for interest in our Canara HSBC Oriental Bank of Commerce Life Insurance Smart Stage Money Back Plan. Based on the details provided by you, and as reproduced below, the illustration customised to your</t>
  </si>
  <si>
    <t>requirements is appended. Please note that this illustration is indicative and the actual values may vary depending on performance of the Participating Fund managed by the Company.</t>
  </si>
  <si>
    <t>Personal details of life to be assured</t>
  </si>
  <si>
    <t>Plan Details</t>
  </si>
  <si>
    <t>Date of Birth:</t>
  </si>
  <si>
    <t xml:space="preserve">Proposal Number: </t>
  </si>
  <si>
    <t>NA</t>
  </si>
  <si>
    <t xml:space="preserve"> UIN: XXXXXXXX</t>
  </si>
  <si>
    <t xml:space="preserve">Age: </t>
  </si>
  <si>
    <t xml:space="preserve">Name of the plan: </t>
  </si>
  <si>
    <t>Canara HSBC Oriental Bank of  
Commerce Life Insurance Smart Stage Money Back Plan</t>
  </si>
  <si>
    <t>Designation</t>
  </si>
  <si>
    <t>&lt;&lt;Designation&gt;&gt;</t>
  </si>
  <si>
    <t xml:space="preserve">Policy Term: </t>
  </si>
  <si>
    <t>Years</t>
  </si>
  <si>
    <t xml:space="preserve">Base Sum Assured (In. Rs.): </t>
  </si>
  <si>
    <t xml:space="preserve">Premium Payment Term: </t>
  </si>
  <si>
    <t>Death Benefit Sum Assured(In. Rs.):</t>
  </si>
  <si>
    <t>Premium Payment Frequency:</t>
  </si>
  <si>
    <t xml:space="preserve">Annualised Premium: </t>
  </si>
  <si>
    <t xml:space="preserve">Instalment Premium : </t>
  </si>
  <si>
    <t>Illustration with Standard Mortality rates</t>
  </si>
  <si>
    <t>Guaranteed Benefits</t>
  </si>
  <si>
    <t>Non Guaranteed Benefits</t>
  </si>
  <si>
    <t>Year</t>
  </si>
  <si>
    <t>Age at the beginning of the Year</t>
  </si>
  <si>
    <r>
      <rPr>
        <b/>
        <sz val="11"/>
        <color indexed="62"/>
        <rFont val="Arial"/>
        <family val="2"/>
        <charset val="134"/>
      </rPr>
      <t>Annualized Premium (</t>
    </r>
    <r>
      <rPr>
        <b/>
        <sz val="11"/>
        <color indexed="56"/>
        <rFont val="Rupee Foradian"/>
        <family val="2"/>
        <charset val="134"/>
      </rPr>
      <t>`</t>
    </r>
    <r>
      <rPr>
        <b/>
        <sz val="11"/>
        <color indexed="56"/>
        <rFont val="Arial"/>
        <family val="2"/>
        <charset val="134"/>
      </rPr>
      <t>)</t>
    </r>
  </si>
  <si>
    <r>
      <rPr>
        <b/>
        <sz val="11"/>
        <color indexed="62"/>
        <rFont val="Arial"/>
        <family val="2"/>
        <charset val="134"/>
      </rPr>
      <t>Service Tax and applicable cess (</t>
    </r>
    <r>
      <rPr>
        <b/>
        <sz val="11"/>
        <color indexed="56"/>
        <rFont val="Rupee Foradian"/>
        <family val="2"/>
        <charset val="134"/>
      </rPr>
      <t>`</t>
    </r>
    <r>
      <rPr>
        <b/>
        <sz val="11"/>
        <color indexed="56"/>
        <rFont val="Arial"/>
        <family val="2"/>
        <charset val="134"/>
      </rPr>
      <t>)</t>
    </r>
  </si>
  <si>
    <r>
      <rPr>
        <b/>
        <sz val="11"/>
        <color indexed="62"/>
        <rFont val="Arial"/>
        <family val="2"/>
        <charset val="134"/>
      </rPr>
      <t>Total Premium (</t>
    </r>
    <r>
      <rPr>
        <b/>
        <sz val="11"/>
        <color indexed="56"/>
        <rFont val="Rupee Foradian"/>
        <family val="2"/>
        <charset val="134"/>
      </rPr>
      <t>`</t>
    </r>
    <r>
      <rPr>
        <b/>
        <sz val="11"/>
        <color indexed="56"/>
        <rFont val="Arial"/>
        <family val="2"/>
        <charset val="134"/>
      </rPr>
      <t>)</t>
    </r>
  </si>
  <si>
    <r>
      <rPr>
        <b/>
        <sz val="11"/>
        <color indexed="62"/>
        <rFont val="Arial"/>
        <family val="2"/>
        <charset val="134"/>
      </rPr>
      <t>Death Benefit (</t>
    </r>
    <r>
      <rPr>
        <b/>
        <sz val="11"/>
        <color indexed="56"/>
        <rFont val="Rupee Foradian"/>
        <family val="2"/>
        <charset val="134"/>
      </rPr>
      <t>`</t>
    </r>
    <r>
      <rPr>
        <b/>
        <sz val="11"/>
        <color indexed="56"/>
        <rFont val="Arial"/>
        <family val="2"/>
        <charset val="134"/>
      </rPr>
      <t>)</t>
    </r>
  </si>
  <si>
    <r>
      <rPr>
        <b/>
        <sz val="11"/>
        <color indexed="62"/>
        <rFont val="Arial"/>
        <family val="2"/>
        <charset val="134"/>
      </rPr>
      <t>Survival/Maturity benefits (</t>
    </r>
    <r>
      <rPr>
        <b/>
        <sz val="11"/>
        <color indexed="56"/>
        <rFont val="Rupee Foradian"/>
        <family val="2"/>
        <charset val="134"/>
      </rPr>
      <t>`</t>
    </r>
    <r>
      <rPr>
        <b/>
        <sz val="11"/>
        <color indexed="56"/>
        <rFont val="Arial"/>
        <family val="2"/>
        <charset val="134"/>
      </rPr>
      <t>)</t>
    </r>
  </si>
  <si>
    <r>
      <rPr>
        <b/>
        <sz val="11"/>
        <color indexed="62"/>
        <rFont val="Arial"/>
        <family val="2"/>
        <charset val="134"/>
      </rPr>
      <t>Surrender Value(</t>
    </r>
    <r>
      <rPr>
        <b/>
        <sz val="11"/>
        <color indexed="56"/>
        <rFont val="Rupee Foradian"/>
        <family val="2"/>
        <charset val="134"/>
      </rPr>
      <t>`</t>
    </r>
    <r>
      <rPr>
        <b/>
        <sz val="11"/>
        <color indexed="56"/>
        <rFont val="Arial"/>
        <family val="2"/>
        <charset val="134"/>
      </rPr>
      <t>)</t>
    </r>
  </si>
  <si>
    <r>
      <rPr>
        <b/>
        <sz val="11"/>
        <color indexed="56"/>
        <rFont val="Arial"/>
        <family val="2"/>
        <charset val="134"/>
      </rPr>
      <t>Accumulated Annual Bonus at an assumed investment return of 4% (</t>
    </r>
    <r>
      <rPr>
        <b/>
        <sz val="11"/>
        <color indexed="18"/>
        <rFont val="Rupee Foradian"/>
        <family val="2"/>
        <charset val="134"/>
      </rPr>
      <t>`</t>
    </r>
    <r>
      <rPr>
        <b/>
        <sz val="11"/>
        <color indexed="18"/>
        <rFont val="Arial"/>
        <family val="2"/>
        <charset val="134"/>
      </rPr>
      <t>)</t>
    </r>
  </si>
  <si>
    <r>
      <rPr>
        <b/>
        <sz val="11"/>
        <color indexed="56"/>
        <rFont val="Arial"/>
        <family val="2"/>
        <charset val="134"/>
      </rPr>
      <t>Accumulated Annual Bonus at an assumed investment return of 8% (</t>
    </r>
    <r>
      <rPr>
        <b/>
        <sz val="11"/>
        <color indexed="18"/>
        <rFont val="Rupee Foradian"/>
        <family val="2"/>
        <charset val="134"/>
      </rPr>
      <t>`</t>
    </r>
    <r>
      <rPr>
        <b/>
        <sz val="11"/>
        <color indexed="18"/>
        <rFont val="Arial"/>
        <family val="2"/>
        <charset val="134"/>
      </rPr>
      <t>)</t>
    </r>
  </si>
  <si>
    <t>Final Bonus at Maturity</t>
  </si>
  <si>
    <t>Total Bonus</t>
  </si>
  <si>
    <t>(1)  The Company shall ensure that the total maturity benefit (including the money back benefits and bonus) is higher than the sum total of all due premiums payable (excluding service tax and extra premum, if any) by the policyholder. The Company has also illustrated above, returns projected at gross interest rates of 4% and 8%</t>
  </si>
  <si>
    <t>(2) The Death Benefit payable on death of Life Assured is:
 "Higher of (Sum Assured chosen or 10 times of Annualised Premium) + Annual Bonuses added till date of death + Interim Bonus (if any) along with Final Bonus (if any at date of death)
Please note that the death benefit will be at least 105% of (all premiums paid less extra premiums paid, if any)".</t>
  </si>
  <si>
    <t>On payment of death benefit ,the policy stands will stand terminated.</t>
  </si>
  <si>
    <t>Notes:</t>
  </si>
  <si>
    <t>1. Some benefits are guaranteed and some benefits are variable with returns based on the future performance of your Insurer carrying on life insurance business. If your policy  
    offers guaranteed returns then these will be clearly marked “guaranteed” in the illustration table. If your policy offers variable returns then the illustrations on this 
    page will show two different rates of assumed future investment returns. These assumed rates of return are not guaranteed and they are not the upper or lower limits of what you 
    might get back, as the value of your policy is dependent on a number of factors including future investment performance.</t>
  </si>
  <si>
    <t xml:space="preserve">2. Annual bonuses and final bonus (if any) are shown at an assumed investment rate of 4% or 8% every year in this illustration. There is no guarantee on the amount of  bonuses and these </t>
  </si>
  <si>
    <t xml:space="preserve">    will be declared at the sole discretion of the company.</t>
  </si>
  <si>
    <r>
      <rPr>
        <b/>
        <sz val="11"/>
        <color indexed="8"/>
        <rFont val="Arial"/>
        <family val="2"/>
        <charset val="134"/>
      </rPr>
      <t xml:space="preserve">3. This is a traditional plan intended for </t>
    </r>
    <r>
      <rPr>
        <b/>
        <sz val="11"/>
        <rFont val="Arial"/>
        <family val="2"/>
        <charset val="134"/>
      </rPr>
      <t>long term savings and benefits.</t>
    </r>
    <r>
      <rPr>
        <b/>
        <sz val="11"/>
        <color indexed="8"/>
        <rFont val="Arial"/>
        <family val="2"/>
        <charset val="134"/>
      </rPr>
      <t xml:space="preserve"> It is strongly advised that the policy should be continued throughout the defined policy </t>
    </r>
  </si>
  <si>
    <t xml:space="preserve">    term to realise the full benefits. Early exit should not be opted for unless there is no other alternative available, as it will impact the policy value. If premiums are discontinued</t>
  </si>
  <si>
    <r>
      <rPr>
        <b/>
        <sz val="11"/>
        <color indexed="8"/>
        <rFont val="Arial"/>
        <family val="2"/>
        <charset val="134"/>
      </rPr>
      <t xml:space="preserve">    after paying at least three years </t>
    </r>
    <r>
      <rPr>
        <b/>
        <sz val="11"/>
        <color indexed="8"/>
        <rFont val="Arial"/>
        <family val="2"/>
        <charset val="134"/>
      </rPr>
      <t xml:space="preserve">premiums, the policy will acquire a Paid-up value </t>
    </r>
    <r>
      <rPr>
        <b/>
        <sz val="11"/>
        <rFont val="Arial"/>
        <family val="2"/>
        <charset val="134"/>
      </rPr>
      <t xml:space="preserve">that </t>
    </r>
    <r>
      <rPr>
        <b/>
        <sz val="11"/>
        <color indexed="8"/>
        <rFont val="Arial"/>
        <family val="2"/>
        <charset val="134"/>
      </rPr>
      <t xml:space="preserve">you will receive on death or on maturity, </t>
    </r>
    <r>
      <rPr>
        <b/>
        <sz val="11"/>
        <rFont val="Arial"/>
        <family val="2"/>
        <charset val="134"/>
      </rPr>
      <t>whichever is earlier provided you have not</t>
    </r>
  </si>
  <si>
    <t xml:space="preserve">    surrendered the policy.</t>
  </si>
  <si>
    <r>
      <rPr>
        <sz val="11"/>
        <color indexed="8"/>
        <rFont val="Arial"/>
        <family val="2"/>
        <charset val="134"/>
      </rPr>
      <t xml:space="preserve">4. Your policy will acquire a guaranteed surrender value (GSV) after payment of at least three </t>
    </r>
    <r>
      <rPr>
        <sz val="11"/>
        <color indexed="8"/>
        <rFont val="Arial"/>
        <family val="2"/>
        <charset val="134"/>
      </rPr>
      <t>years premium. However, the company may offer a special surrender value (SSV),</t>
    </r>
  </si>
  <si>
    <t xml:space="preserve">    and higher of GSV and SSV will be paid on surrender. The illustration above only shows the guaranteed surrender value payable.</t>
  </si>
  <si>
    <t xml:space="preserve">5.  Premiums payable and benefits receivable under this plan are eligible for tax benefits as per the prevailing tax laws subject to amendments from time to time. </t>
  </si>
  <si>
    <t xml:space="preserve">6.  The above premium is for a healthy individual. Your application will be assessed as per board approved underwriting guidelines of the company. Basis underwriting, it may result in an extra premium to be paid, which shall be </t>
  </si>
  <si>
    <t xml:space="preserve">      borne by you.</t>
  </si>
  <si>
    <t>7. The above illustration takes into account currently applicable service tax &amp; cess. However, the applicable taxes may change from time to time and premium payable will change accordingly.</t>
  </si>
  <si>
    <t>8. The above illustration does not take into account rider charges (if any).</t>
  </si>
  <si>
    <t>Disclosures</t>
  </si>
  <si>
    <r>
      <rPr>
        <sz val="11"/>
        <color indexed="8"/>
        <rFont val="Arial"/>
        <family val="2"/>
        <charset val="134"/>
      </rPr>
      <t>1. &lt;&lt;</t>
    </r>
    <r>
      <rPr>
        <u/>
        <sz val="11"/>
        <color indexed="8"/>
        <rFont val="Arial"/>
        <family val="2"/>
        <charset val="134"/>
      </rPr>
      <t xml:space="preserve">Non Staff policies only&gt;&gt;: </t>
    </r>
    <r>
      <rPr>
        <sz val="11"/>
        <color indexed="8"/>
        <rFont val="Arial"/>
        <family val="2"/>
        <charset val="134"/>
      </rPr>
      <t xml:space="preserve">Corporate Agent will receive 23.5% commission on first year premium and 1% commission on renewal premiums during year 2nd to 4th from the Company for this transaction. For policies </t>
    </r>
  </si>
  <si>
    <t xml:space="preserve">    sold directly, no commision is payable.IRDA regulations do not permit Corporate Agent or its employees to pay such commission, whether in part or whole, as an inducement to any person to take out or renew or continue</t>
  </si>
  <si>
    <t xml:space="preserve">     an insurance policy of any kind. (Sec 41 of the Insurance Act, 1938)</t>
  </si>
  <si>
    <r>
      <rPr>
        <sz val="11"/>
        <color indexed="8"/>
        <rFont val="Arial"/>
        <family val="2"/>
        <charset val="134"/>
      </rPr>
      <t xml:space="preserve">   &lt;&lt;</t>
    </r>
    <r>
      <rPr>
        <u/>
        <sz val="11"/>
        <color indexed="8"/>
        <rFont val="Arial"/>
        <family val="2"/>
        <charset val="134"/>
      </rPr>
      <t xml:space="preserve">Staff policies only&gt;&gt;: </t>
    </r>
    <r>
      <rPr>
        <sz val="11"/>
        <color indexed="8"/>
        <rFont val="Arial"/>
        <family val="2"/>
        <charset val="134"/>
      </rPr>
      <t xml:space="preserve">Corporate Agent will receive 11.75% commission on first year premium and 1% commission on renewal premiums during year 2nd to 4th from the Company for this transaction.
</t>
    </r>
  </si>
  <si>
    <t xml:space="preserve">    IRDA regulations do not permit Corporate Agent or its employees to pay such commission, whether in part or whole, as an inducement to any person to take out or renew or continue an insurance policy of</t>
  </si>
  <si>
    <t xml:space="preserve">    any kind. (Sec 41 of the Insurance Act, 1938)</t>
  </si>
  <si>
    <t>2. Insurance is the subject matter of the solicitation</t>
  </si>
  <si>
    <t>Risk Factors</t>
  </si>
  <si>
    <t>There is no guarantee on the amount of bonuses and these will be declared at the sole discretion of the company. Hence, the bonuses in this plan may vary from time to time.</t>
  </si>
  <si>
    <t>Declaration</t>
  </si>
  <si>
    <t>I……………..………..……………..(Name), have explained the information with respect to the above, to the proposer before entering into the contract.</t>
  </si>
  <si>
    <t xml:space="preserve">Marketing officials' Signature: </t>
  </si>
  <si>
    <t>Place:</t>
  </si>
  <si>
    <t>Date:</t>
  </si>
  <si>
    <t>I .............................................. (Name),having received the information with respect to the above,have understood the above statement before entering into the contract.</t>
  </si>
  <si>
    <t xml:space="preserve">Proposer's Signature: </t>
  </si>
  <si>
    <t>INPUT</t>
  </si>
  <si>
    <t>TEST1</t>
  </si>
  <si>
    <t>TEST2</t>
  </si>
  <si>
    <t>TEST3</t>
  </si>
  <si>
    <t>Orig. Installment Premium "Including" Service Tax</t>
  </si>
  <si>
    <t>F</t>
  </si>
  <si>
    <t>M</t>
  </si>
  <si>
    <t>OUTPUT</t>
  </si>
</sst>
</file>

<file path=xl/styles.xml><?xml version="1.0" encoding="utf-8"?>
<styleSheet xmlns="http://schemas.openxmlformats.org/spreadsheetml/2006/main">
  <numFmts count="14">
    <numFmt numFmtId="176" formatCode="_ * #,##0_ ;_ * \-#,##0_ ;_ * &quot;-&quot;_ ;_ @_ "/>
    <numFmt numFmtId="44" formatCode="_(&quot;$&quot;* #,##0.00_);_(&quot;$&quot;* \(#,##0.00\);_(&quot;$&quot;* &quot;-&quot;??_);_(@_)"/>
    <numFmt numFmtId="43" formatCode="_(* #,##0.00_);_(* \(#,##0.00\);_(* &quot;-&quot;??_);_(@_)"/>
    <numFmt numFmtId="177" formatCode="_(* #,##0_);_(* \(#,##0\);_(* &quot;-&quot;??_);_(@_)"/>
    <numFmt numFmtId="42" formatCode="_(&quot;$&quot;* #,##0_);_(&quot;$&quot;* \(#,##0\);_(&quot;$&quot;* &quot;-&quot;_);_(@_)"/>
    <numFmt numFmtId="178" formatCode="0.0%"/>
    <numFmt numFmtId="179" formatCode="d\-mmm\-yy"/>
    <numFmt numFmtId="180" formatCode="_ * #,##0_ ;_ * \-#,##0_ ;_ * &quot;-&quot;??_ ;_ @_ "/>
    <numFmt numFmtId="181" formatCode="[$-409]d\-mmm\-yy;@"/>
    <numFmt numFmtId="182" formatCode="0.000%"/>
    <numFmt numFmtId="183" formatCode="_(* #,##0.0000_);_(* \(#,##0.0000\);_(* &quot;-&quot;??_);_(@_)"/>
    <numFmt numFmtId="184" formatCode="0.0000"/>
    <numFmt numFmtId="185" formatCode="_(* #,##0.000_);_(* \(#,##0.000\);_(* &quot;-&quot;??_);_(@_)"/>
    <numFmt numFmtId="186" formatCode="_(* #,##0.00000_);_(* \(#,##0.00000\);_(* &quot;-&quot;??_);_(@_)"/>
  </numFmts>
  <fonts count="29">
    <font>
      <sz val="11"/>
      <color indexed="8"/>
      <name val="Calibri"/>
      <family val="2"/>
      <charset val="134"/>
    </font>
    <font>
      <sz val="10"/>
      <name val="Arial"/>
      <family val="2"/>
      <charset val="134"/>
    </font>
    <font>
      <b/>
      <sz val="11"/>
      <color indexed="8"/>
      <name val="Calibri"/>
      <family val="2"/>
      <charset val="134"/>
    </font>
    <font>
      <b/>
      <sz val="10"/>
      <color indexed="8"/>
      <name val="Calibri"/>
      <family val="2"/>
      <charset val="134"/>
    </font>
    <font>
      <sz val="11"/>
      <color indexed="0"/>
      <name val="Helvetica"/>
      <family val="2"/>
      <charset val="134"/>
    </font>
    <font>
      <sz val="11"/>
      <color indexed="8"/>
      <name val="Helvetica"/>
      <family val="2"/>
      <charset val="134"/>
    </font>
    <font>
      <sz val="11"/>
      <color indexed="8"/>
      <name val="Arial"/>
      <family val="2"/>
      <charset val="134"/>
    </font>
    <font>
      <sz val="11"/>
      <name val="Calibri"/>
      <family val="2"/>
      <charset val="134"/>
    </font>
    <font>
      <b/>
      <sz val="14"/>
      <color indexed="8"/>
      <name val="Arial"/>
      <family val="2"/>
      <charset val="134"/>
    </font>
    <font>
      <sz val="10"/>
      <color indexed="8"/>
      <name val="Arial"/>
      <family val="2"/>
      <charset val="134"/>
    </font>
    <font>
      <b/>
      <sz val="11"/>
      <color indexed="9"/>
      <name val="Arial"/>
      <family val="2"/>
      <charset val="134"/>
    </font>
    <font>
      <b/>
      <sz val="11"/>
      <color indexed="62"/>
      <name val="Arial"/>
      <family val="2"/>
      <charset val="134"/>
    </font>
    <font>
      <b/>
      <sz val="11"/>
      <color indexed="8"/>
      <name val="Arial"/>
      <family val="2"/>
      <charset val="134"/>
    </font>
    <font>
      <b/>
      <u/>
      <sz val="11"/>
      <color indexed="8"/>
      <name val="Arial"/>
      <family val="2"/>
      <charset val="134"/>
    </font>
    <font>
      <sz val="11"/>
      <name val="Arial"/>
      <family val="2"/>
      <charset val="134"/>
    </font>
    <font>
      <b/>
      <sz val="11"/>
      <color indexed="56"/>
      <name val="Arial"/>
      <family val="2"/>
      <charset val="134"/>
    </font>
    <font>
      <b/>
      <sz val="12"/>
      <color indexed="8"/>
      <name val="Calibri"/>
      <family val="2"/>
      <charset val="134"/>
    </font>
    <font>
      <b/>
      <i/>
      <sz val="11"/>
      <color indexed="8"/>
      <name val="Calibri"/>
      <family val="2"/>
      <charset val="134"/>
    </font>
    <font>
      <sz val="10"/>
      <color indexed="8"/>
      <name val="Calibri"/>
      <family val="2"/>
      <charset val="134"/>
    </font>
    <font>
      <i/>
      <sz val="11"/>
      <color indexed="8"/>
      <name val="Calibri"/>
      <family val="2"/>
      <charset val="134"/>
    </font>
    <font>
      <b/>
      <sz val="10"/>
      <color indexed="10"/>
      <name val="Calibri"/>
      <family val="2"/>
      <charset val="134"/>
    </font>
    <font>
      <b/>
      <u/>
      <sz val="8"/>
      <color indexed="10"/>
      <name val="Calibri"/>
      <family val="2"/>
      <charset val="134"/>
    </font>
    <font>
      <b/>
      <sz val="12"/>
      <color indexed="10"/>
      <name val="Calibri"/>
      <family val="2"/>
      <charset val="134"/>
    </font>
    <font>
      <sz val="11"/>
      <color indexed="10"/>
      <name val="Calibri"/>
      <family val="2"/>
      <charset val="134"/>
    </font>
    <font>
      <b/>
      <sz val="11"/>
      <color indexed="56"/>
      <name val="Rupee Foradian"/>
      <family val="2"/>
      <charset val="134"/>
    </font>
    <font>
      <b/>
      <sz val="11"/>
      <color indexed="18"/>
      <name val="Rupee Foradian"/>
      <family val="2"/>
      <charset val="134"/>
    </font>
    <font>
      <b/>
      <sz val="11"/>
      <color indexed="18"/>
      <name val="Arial"/>
      <family val="2"/>
      <charset val="134"/>
    </font>
    <font>
      <b/>
      <sz val="11"/>
      <name val="Arial"/>
      <family val="2"/>
      <charset val="134"/>
    </font>
    <font>
      <u/>
      <sz val="11"/>
      <color indexed="8"/>
      <name val="Arial"/>
      <family val="2"/>
      <charset val="134"/>
    </font>
  </fonts>
  <fills count="15">
    <fill>
      <patternFill patternType="none"/>
    </fill>
    <fill>
      <patternFill patternType="gray125"/>
    </fill>
    <fill>
      <patternFill patternType="solid">
        <fgColor indexed="11"/>
        <bgColor indexed="64"/>
      </patternFill>
    </fill>
    <fill>
      <patternFill patternType="solid">
        <fgColor indexed="10"/>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51"/>
        <bgColor indexed="64"/>
      </patternFill>
    </fill>
    <fill>
      <patternFill patternType="solid">
        <fgColor indexed="26"/>
        <bgColor indexed="64"/>
      </patternFill>
    </fill>
    <fill>
      <patternFill patternType="solid">
        <fgColor indexed="46"/>
        <bgColor indexed="64"/>
      </patternFill>
    </fill>
    <fill>
      <patternFill patternType="solid">
        <fgColor indexed="42"/>
        <bgColor indexed="64"/>
      </patternFill>
    </fill>
    <fill>
      <patternFill patternType="solid">
        <fgColor indexed="22"/>
        <bgColor indexed="64"/>
      </patternFill>
    </fill>
    <fill>
      <patternFill patternType="solid">
        <fgColor indexed="13"/>
        <bgColor indexed="64"/>
      </patternFill>
    </fill>
    <fill>
      <patternFill patternType="solid">
        <fgColor indexed="55"/>
        <bgColor indexed="64"/>
      </patternFill>
    </fill>
    <fill>
      <patternFill patternType="solid">
        <fgColor indexed="29"/>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alignment vertical="center"/>
    </xf>
    <xf numFmtId="43" fontId="0" fillId="0" borderId="0" applyFont="0" applyFill="0" applyBorder="0" applyAlignment="0" applyProtection="0">
      <alignment vertical="center"/>
    </xf>
    <xf numFmtId="0" fontId="1" fillId="0" borderId="0">
      <alignment vertical="center"/>
    </xf>
    <xf numFmtId="177"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cellStyleXfs>
  <cellXfs count="260">
    <xf numFmtId="0" fontId="0" fillId="0" borderId="0" xfId="0" applyAlignment="1"/>
    <xf numFmtId="0" fontId="2" fillId="2" borderId="0" xfId="0" applyFont="1" applyFill="1" applyAlignment="1">
      <alignment horizontal="center"/>
    </xf>
    <xf numFmtId="0" fontId="0" fillId="0" borderId="1" xfId="0" applyBorder="1" applyAlignment="1"/>
    <xf numFmtId="0" fontId="2" fillId="0" borderId="1" xfId="0" applyFont="1" applyBorder="1" applyAlignment="1"/>
    <xf numFmtId="0" fontId="2" fillId="0" borderId="1" xfId="0" applyFont="1" applyBorder="1" applyAlignment="1">
      <alignment vertical="center" wrapText="1"/>
    </xf>
    <xf numFmtId="0" fontId="0" fillId="0" borderId="1" xfId="0" applyBorder="1" applyAlignment="1">
      <alignment horizontal="right"/>
    </xf>
    <xf numFmtId="1" fontId="0" fillId="0" borderId="1" xfId="0" applyNumberFormat="1" applyFill="1" applyBorder="1" applyAlignment="1">
      <alignment horizontal="right"/>
    </xf>
    <xf numFmtId="0" fontId="2" fillId="0" borderId="1" xfId="0" applyFont="1" applyBorder="1" applyAlignment="1" applyProtection="1">
      <alignment vertical="center" wrapText="1"/>
    </xf>
    <xf numFmtId="58" fontId="0" fillId="0" borderId="1" xfId="0" applyNumberFormat="1" applyBorder="1" applyAlignment="1">
      <alignment horizontal="right"/>
    </xf>
    <xf numFmtId="0" fontId="3" fillId="0" borderId="1" xfId="0" applyFont="1" applyFill="1" applyBorder="1" applyAlignment="1" applyProtection="1">
      <alignment horizontal="left" vertical="center" wrapText="1"/>
    </xf>
    <xf numFmtId="0" fontId="0" fillId="0" borderId="1" xfId="0" applyBorder="1" applyAlignment="1">
      <alignment vertical="center" wrapText="1"/>
    </xf>
    <xf numFmtId="0" fontId="2" fillId="3" borderId="1" xfId="0" applyFont="1" applyFill="1" applyBorder="1" applyAlignment="1">
      <alignment horizontal="center"/>
    </xf>
    <xf numFmtId="3" fontId="4" fillId="0" borderId="1" xfId="0" applyNumberFormat="1" applyFont="1" applyBorder="1">
      <alignment vertical="center"/>
    </xf>
    <xf numFmtId="3" fontId="5" fillId="0" borderId="1" xfId="0" applyNumberFormat="1" applyFont="1" applyBorder="1" applyAlignment="1">
      <alignment vertical="center" wrapText="1"/>
    </xf>
    <xf numFmtId="0" fontId="0" fillId="4" borderId="0" xfId="0" applyFill="1" applyAlignment="1"/>
    <xf numFmtId="0" fontId="6" fillId="4" borderId="0" xfId="0" applyFont="1" applyFill="1" applyAlignment="1"/>
    <xf numFmtId="0" fontId="7" fillId="4" borderId="0" xfId="0" applyFont="1" applyFill="1" applyAlignment="1"/>
    <xf numFmtId="0" fontId="0" fillId="0" borderId="0" xfId="0" applyFill="1" applyAlignment="1"/>
    <xf numFmtId="0" fontId="2" fillId="4" borderId="0" xfId="0" applyFont="1" applyFill="1" applyAlignment="1"/>
    <xf numFmtId="0" fontId="2" fillId="0" borderId="0" xfId="0" applyFont="1" applyFill="1" applyAlignment="1">
      <alignment horizontal="center"/>
    </xf>
    <xf numFmtId="0" fontId="8" fillId="4" borderId="0" xfId="0" applyFont="1" applyFill="1" applyBorder="1" applyAlignment="1">
      <alignment horizontal="left" vertical="center"/>
    </xf>
    <xf numFmtId="0" fontId="9" fillId="4" borderId="0" xfId="0" applyFont="1" applyFill="1" applyBorder="1" applyAlignment="1">
      <alignment horizontal="left" vertical="center"/>
    </xf>
    <xf numFmtId="0" fontId="6" fillId="4" borderId="0" xfId="0" applyFont="1" applyFill="1" applyBorder="1" applyAlignment="1">
      <alignment horizontal="left" vertical="center"/>
    </xf>
    <xf numFmtId="179" fontId="6" fillId="0" borderId="0" xfId="0" applyNumberFormat="1" applyFont="1" applyFill="1" applyBorder="1" applyAlignment="1">
      <alignment horizontal="left" vertical="center"/>
    </xf>
    <xf numFmtId="179" fontId="6" fillId="4" borderId="0" xfId="0" applyNumberFormat="1" applyFont="1" applyFill="1" applyBorder="1" applyAlignment="1">
      <alignment horizontal="left" vertical="center"/>
    </xf>
    <xf numFmtId="0" fontId="6" fillId="4" borderId="0" xfId="0" applyFont="1" applyFill="1" applyBorder="1" applyAlignment="1">
      <alignment horizontal="left" vertical="top" wrapText="1"/>
    </xf>
    <xf numFmtId="0" fontId="6" fillId="0" borderId="0" xfId="0" applyFont="1" applyFill="1" applyBorder="1" applyAlignment="1">
      <alignment horizontal="left" vertical="center"/>
    </xf>
    <xf numFmtId="181" fontId="6" fillId="0" borderId="0" xfId="0" applyNumberFormat="1" applyFont="1" applyFill="1" applyBorder="1" applyAlignment="1">
      <alignment horizontal="left" vertical="center"/>
    </xf>
    <xf numFmtId="0" fontId="6" fillId="4" borderId="0" xfId="0" applyFont="1" applyFill="1" applyAlignment="1">
      <alignment horizontal="left" vertical="center"/>
    </xf>
    <xf numFmtId="1" fontId="6" fillId="0" borderId="0" xfId="1" applyNumberFormat="1" applyFont="1" applyFill="1" applyBorder="1" applyAlignment="1">
      <alignment horizontal="left" vertical="center"/>
    </xf>
    <xf numFmtId="0" fontId="6" fillId="4" borderId="0" xfId="0" applyFont="1" applyFill="1" applyBorder="1" applyAlignment="1">
      <alignment horizontal="left" vertical="center" wrapText="1"/>
    </xf>
    <xf numFmtId="1" fontId="6" fillId="4" borderId="0" xfId="3" applyNumberFormat="1" applyFont="1" applyFill="1" applyBorder="1" applyAlignment="1">
      <alignment horizontal="left" vertical="center"/>
    </xf>
    <xf numFmtId="0" fontId="10" fillId="5" borderId="2"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180" fontId="6" fillId="0" borderId="13" xfId="0" applyNumberFormat="1" applyFont="1" applyBorder="1" applyAlignment="1">
      <alignment horizontal="center"/>
    </xf>
    <xf numFmtId="180" fontId="6" fillId="7" borderId="1" xfId="0" applyNumberFormat="1" applyFont="1" applyFill="1" applyBorder="1" applyAlignment="1">
      <alignment horizontal="center"/>
    </xf>
    <xf numFmtId="180" fontId="6" fillId="0" borderId="14" xfId="0" applyNumberFormat="1" applyFont="1" applyBorder="1" applyAlignment="1">
      <alignment horizontal="center"/>
    </xf>
    <xf numFmtId="180" fontId="6" fillId="0" borderId="15" xfId="3" applyNumberFormat="1" applyFont="1" applyBorder="1" applyAlignment="1">
      <alignment horizontal="center"/>
    </xf>
    <xf numFmtId="180" fontId="6" fillId="0" borderId="16" xfId="3" applyNumberFormat="1" applyFont="1" applyBorder="1" applyAlignment="1">
      <alignment horizontal="center"/>
    </xf>
    <xf numFmtId="0" fontId="6" fillId="8" borderId="17" xfId="0" applyFont="1" applyFill="1" applyBorder="1" applyAlignment="1">
      <alignment horizontal="center"/>
    </xf>
    <xf numFmtId="0" fontId="6" fillId="8" borderId="18" xfId="0" applyFont="1" applyFill="1" applyBorder="1" applyAlignment="1">
      <alignment horizontal="center"/>
    </xf>
    <xf numFmtId="180" fontId="6" fillId="8" borderId="1" xfId="0" applyNumberFormat="1" applyFont="1" applyFill="1" applyBorder="1" applyAlignment="1">
      <alignment horizontal="center"/>
    </xf>
    <xf numFmtId="180" fontId="6" fillId="8" borderId="19" xfId="0" applyNumberFormat="1" applyFont="1" applyFill="1" applyBorder="1" applyAlignment="1">
      <alignment horizontal="center"/>
    </xf>
    <xf numFmtId="180" fontId="6" fillId="8" borderId="20" xfId="0" applyNumberFormat="1" applyFont="1" applyFill="1" applyBorder="1" applyAlignment="1">
      <alignment horizontal="center"/>
    </xf>
    <xf numFmtId="180" fontId="6" fillId="8" borderId="21" xfId="0" applyNumberFormat="1" applyFont="1" applyFill="1" applyBorder="1" applyAlignment="1">
      <alignment horizontal="center"/>
    </xf>
    <xf numFmtId="0" fontId="6" fillId="0" borderId="17" xfId="0" applyFont="1" applyBorder="1" applyAlignment="1">
      <alignment horizontal="center"/>
    </xf>
    <xf numFmtId="0" fontId="6" fillId="0" borderId="18" xfId="0" applyFont="1" applyBorder="1" applyAlignment="1">
      <alignment horizontal="center"/>
    </xf>
    <xf numFmtId="180" fontId="6" fillId="0" borderId="19" xfId="0" applyNumberFormat="1" applyFont="1" applyBorder="1" applyAlignment="1">
      <alignment horizontal="center"/>
    </xf>
    <xf numFmtId="180" fontId="6" fillId="0" borderId="20" xfId="0" applyNumberFormat="1" applyFont="1" applyBorder="1" applyAlignment="1">
      <alignment horizontal="center"/>
    </xf>
    <xf numFmtId="180" fontId="6" fillId="0" borderId="21" xfId="0" applyNumberFormat="1"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180" fontId="6" fillId="0" borderId="24" xfId="0" applyNumberFormat="1" applyFont="1" applyBorder="1" applyAlignment="1">
      <alignment horizontal="center"/>
    </xf>
    <xf numFmtId="180" fontId="6" fillId="0" borderId="25" xfId="0" applyNumberFormat="1" applyFont="1" applyBorder="1" applyAlignment="1">
      <alignment horizontal="center"/>
    </xf>
    <xf numFmtId="180" fontId="6" fillId="0" borderId="26" xfId="0" applyNumberFormat="1" applyFont="1" applyBorder="1" applyAlignment="1">
      <alignment horizontal="center"/>
    </xf>
    <xf numFmtId="0" fontId="6" fillId="0" borderId="0" xfId="0" applyFont="1" applyFill="1" applyBorder="1" applyAlignment="1">
      <alignment horizontal="center"/>
    </xf>
    <xf numFmtId="180" fontId="6" fillId="4" borderId="0" xfId="0" applyNumberFormat="1" applyFont="1" applyFill="1" applyBorder="1" applyAlignment="1">
      <alignment horizontal="center"/>
    </xf>
    <xf numFmtId="177" fontId="0" fillId="4" borderId="0" xfId="3" applyNumberFormat="1" applyFont="1" applyFill="1" applyBorder="1" applyAlignment="1"/>
    <xf numFmtId="0" fontId="12" fillId="0" borderId="0" xfId="0" applyFont="1" applyFill="1" applyAlignment="1">
      <alignment horizontal="left" wrapText="1"/>
    </xf>
    <xf numFmtId="0" fontId="6" fillId="4" borderId="0" xfId="0" applyFont="1" applyFill="1" applyAlignment="1">
      <alignment horizontal="left" wrapText="1"/>
    </xf>
    <xf numFmtId="0" fontId="6" fillId="4" borderId="0" xfId="0" applyNumberFormat="1" applyFont="1" applyFill="1" applyAlignment="1">
      <alignment vertical="top" wrapText="1"/>
    </xf>
    <xf numFmtId="0" fontId="8" fillId="4" borderId="0" xfId="0" applyFont="1" applyFill="1" applyAlignment="1"/>
    <xf numFmtId="0" fontId="13" fillId="4" borderId="0" xfId="0" applyNumberFormat="1" applyFont="1" applyFill="1" applyAlignment="1">
      <alignment vertical="top" wrapText="1"/>
    </xf>
    <xf numFmtId="0" fontId="12" fillId="4" borderId="0" xfId="0" applyNumberFormat="1" applyFont="1" applyFill="1" applyAlignment="1">
      <alignment horizontal="left" vertical="top" wrapText="1"/>
    </xf>
    <xf numFmtId="0" fontId="12" fillId="4" borderId="0" xfId="0" applyFont="1" applyFill="1" applyAlignment="1"/>
    <xf numFmtId="0" fontId="6" fillId="4" borderId="0" xfId="0" applyNumberFormat="1" applyFont="1" applyFill="1" applyAlignment="1"/>
    <xf numFmtId="0" fontId="14" fillId="4" borderId="0" xfId="0" applyFont="1" applyFill="1" applyAlignment="1"/>
    <xf numFmtId="177" fontId="6" fillId="4" borderId="0" xfId="1" applyNumberFormat="1" applyFont="1" applyFill="1" applyBorder="1" applyAlignment="1">
      <alignment horizontal="left" vertical="center"/>
    </xf>
    <xf numFmtId="0" fontId="10" fillId="5" borderId="27" xfId="0" applyFont="1" applyFill="1" applyBorder="1" applyAlignment="1">
      <alignment horizontal="center" vertical="center" wrapText="1"/>
    </xf>
    <xf numFmtId="0" fontId="11" fillId="6" borderId="28"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15" fillId="6" borderId="4" xfId="0" applyFont="1" applyFill="1" applyBorder="1" applyAlignment="1">
      <alignment horizontal="center" vertical="center" wrapText="1"/>
    </xf>
    <xf numFmtId="180" fontId="6" fillId="0" borderId="29" xfId="3" applyNumberFormat="1" applyFont="1" applyBorder="1" applyAlignment="1">
      <alignment horizontal="center"/>
    </xf>
    <xf numFmtId="180" fontId="6" fillId="0" borderId="30" xfId="3" applyNumberFormat="1" applyFont="1" applyBorder="1" applyAlignment="1">
      <alignment horizontal="center"/>
    </xf>
    <xf numFmtId="180" fontId="6" fillId="0" borderId="31" xfId="3" applyNumberFormat="1" applyFont="1" applyBorder="1" applyAlignment="1">
      <alignment horizontal="center"/>
    </xf>
    <xf numFmtId="180" fontId="6" fillId="8" borderId="32" xfId="0" applyNumberFormat="1" applyFont="1" applyFill="1" applyBorder="1" applyAlignment="1">
      <alignment horizontal="center"/>
    </xf>
    <xf numFmtId="180" fontId="6" fillId="0" borderId="32" xfId="0" applyNumberFormat="1" applyFont="1" applyBorder="1" applyAlignment="1">
      <alignment horizontal="center"/>
    </xf>
    <xf numFmtId="180" fontId="6" fillId="0" borderId="33" xfId="0" applyNumberFormat="1" applyFont="1" applyBorder="1" applyAlignment="1">
      <alignment horizontal="center"/>
    </xf>
    <xf numFmtId="0" fontId="16" fillId="8" borderId="12" xfId="0" applyFont="1" applyFill="1" applyBorder="1" applyAlignment="1">
      <alignment horizontal="center" vertical="center" wrapText="1"/>
    </xf>
    <xf numFmtId="177" fontId="0" fillId="0" borderId="16" xfId="1" applyNumberFormat="1" applyFont="1" applyBorder="1" applyAlignment="1">
      <alignment horizontal="center"/>
    </xf>
    <xf numFmtId="177" fontId="0" fillId="0" borderId="14" xfId="1" applyNumberFormat="1" applyFont="1" applyBorder="1" applyAlignment="1">
      <alignment horizontal="center"/>
    </xf>
    <xf numFmtId="0" fontId="16" fillId="8" borderId="23" xfId="0" applyFont="1" applyFill="1" applyBorder="1" applyAlignment="1">
      <alignment horizontal="center" vertical="center" wrapText="1"/>
    </xf>
    <xf numFmtId="177" fontId="0" fillId="0" borderId="26" xfId="0" applyNumberFormat="1" applyBorder="1" applyAlignment="1">
      <alignment horizontal="center"/>
    </xf>
    <xf numFmtId="177" fontId="0" fillId="0" borderId="24" xfId="0" applyNumberFormat="1" applyBorder="1" applyAlignment="1">
      <alignment horizontal="center"/>
    </xf>
    <xf numFmtId="0" fontId="6" fillId="4" borderId="0" xfId="3" applyNumberFormat="1" applyFont="1" applyFill="1" applyBorder="1" applyAlignment="1">
      <alignment vertical="top"/>
    </xf>
    <xf numFmtId="0" fontId="6" fillId="4" borderId="0" xfId="0" applyFont="1" applyFill="1" applyBorder="1" applyAlignment="1">
      <alignment vertical="top"/>
    </xf>
    <xf numFmtId="0" fontId="6" fillId="4" borderId="0" xfId="3" applyNumberFormat="1" applyFont="1" applyFill="1" applyBorder="1" applyAlignment="1">
      <alignment horizontal="left" vertical="top"/>
    </xf>
    <xf numFmtId="0" fontId="6" fillId="4" borderId="0" xfId="0" applyFont="1" applyFill="1" applyBorder="1" applyAlignment="1">
      <alignment vertical="top" wrapText="1"/>
    </xf>
    <xf numFmtId="0" fontId="0" fillId="0" borderId="0" xfId="0" applyAlignment="1">
      <alignment horizontal="center"/>
    </xf>
    <xf numFmtId="0" fontId="2" fillId="9" borderId="34" xfId="0" applyFont="1" applyFill="1" applyBorder="1" applyAlignment="1">
      <alignment horizontal="center"/>
    </xf>
    <xf numFmtId="0" fontId="2" fillId="9" borderId="21" xfId="0" applyFont="1" applyFill="1" applyBorder="1" applyAlignment="1">
      <alignment horizontal="center"/>
    </xf>
    <xf numFmtId="0" fontId="0" fillId="9" borderId="1" xfId="0" applyFill="1" applyBorder="1" applyAlignment="1">
      <alignment horizontal="center"/>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2" fillId="9" borderId="35" xfId="0" applyFont="1" applyFill="1" applyBorder="1" applyAlignment="1"/>
    <xf numFmtId="177" fontId="0" fillId="0" borderId="1" xfId="1" applyNumberFormat="1" applyFont="1" applyBorder="1" applyAlignment="1"/>
    <xf numFmtId="177" fontId="0" fillId="10" borderId="1" xfId="1" applyNumberFormat="1" applyFont="1" applyFill="1" applyBorder="1" applyAlignment="1">
      <alignment horizontal="center"/>
    </xf>
    <xf numFmtId="0" fontId="0" fillId="0" borderId="1" xfId="0" applyBorder="1" applyAlignment="1">
      <alignment horizontal="center"/>
    </xf>
    <xf numFmtId="10" fontId="0" fillId="10" borderId="34" xfId="6" applyNumberFormat="1" applyFont="1" applyFill="1" applyBorder="1" applyAlignment="1">
      <alignment horizontal="center"/>
    </xf>
    <xf numFmtId="43" fontId="0" fillId="10" borderId="1" xfId="1" applyNumberFormat="1" applyFont="1" applyFill="1" applyBorder="1" applyAlignment="1">
      <alignment horizontal="center"/>
    </xf>
    <xf numFmtId="0" fontId="2" fillId="9" borderId="1" xfId="0" applyFont="1" applyFill="1" applyBorder="1" applyAlignment="1">
      <alignment horizontal="left"/>
    </xf>
    <xf numFmtId="0" fontId="0" fillId="0" borderId="1" xfId="0" applyBorder="1" applyAlignment="1">
      <alignment horizontal="left"/>
    </xf>
    <xf numFmtId="0" fontId="2" fillId="9" borderId="36" xfId="0" applyFont="1" applyFill="1" applyBorder="1" applyAlignment="1">
      <alignment horizontal="center"/>
    </xf>
    <xf numFmtId="0" fontId="0" fillId="0" borderId="35" xfId="0" applyBorder="1" applyAlignment="1">
      <alignment horizontal="left"/>
    </xf>
    <xf numFmtId="10" fontId="0" fillId="10" borderId="1" xfId="0" applyNumberFormat="1" applyFill="1" applyBorder="1" applyAlignment="1"/>
    <xf numFmtId="9" fontId="2" fillId="9" borderId="1" xfId="0" applyNumberFormat="1" applyFont="1" applyFill="1" applyBorder="1" applyAlignment="1">
      <alignment horizontal="center"/>
    </xf>
    <xf numFmtId="178" fontId="0" fillId="10" borderId="1" xfId="6" applyNumberFormat="1" applyFont="1" applyFill="1" applyBorder="1" applyAlignment="1">
      <alignment horizontal="center"/>
    </xf>
    <xf numFmtId="0" fontId="2" fillId="0" borderId="0" xfId="0" applyFont="1" applyAlignment="1">
      <alignment horizontal="center"/>
    </xf>
    <xf numFmtId="178" fontId="2" fillId="9" borderId="1" xfId="0" applyNumberFormat="1" applyFont="1" applyFill="1" applyBorder="1" applyAlignment="1">
      <alignment horizontal="center"/>
    </xf>
    <xf numFmtId="0" fontId="2" fillId="9" borderId="37" xfId="0" applyFont="1" applyFill="1" applyBorder="1" applyAlignment="1"/>
    <xf numFmtId="0" fontId="0" fillId="0" borderId="34" xfId="0" applyBorder="1" applyAlignment="1"/>
    <xf numFmtId="0" fontId="0" fillId="0" borderId="21" xfId="0" applyBorder="1" applyAlignment="1"/>
    <xf numFmtId="0" fontId="0" fillId="9" borderId="1" xfId="0" applyFont="1" applyFill="1" applyBorder="1" applyAlignment="1">
      <alignment horizontal="center" wrapText="1"/>
    </xf>
    <xf numFmtId="10" fontId="0" fillId="11" borderId="36" xfId="6" applyNumberFormat="1" applyFont="1" applyFill="1" applyBorder="1" applyAlignment="1">
      <alignment horizontal="center"/>
    </xf>
    <xf numFmtId="10" fontId="0" fillId="11" borderId="37" xfId="6" applyNumberFormat="1" applyFont="1" applyFill="1" applyBorder="1" applyAlignment="1">
      <alignment horizontal="center"/>
    </xf>
    <xf numFmtId="10" fontId="0" fillId="11" borderId="35" xfId="6" applyNumberFormat="1" applyFont="1" applyFill="1" applyBorder="1" applyAlignment="1">
      <alignment horizontal="center"/>
    </xf>
    <xf numFmtId="0" fontId="2" fillId="12" borderId="34" xfId="0" applyFont="1" applyFill="1" applyBorder="1" applyAlignment="1">
      <alignment horizontal="center"/>
    </xf>
    <xf numFmtId="0" fontId="2" fillId="12" borderId="21" xfId="0" applyFont="1" applyFill="1" applyBorder="1" applyAlignment="1">
      <alignment horizontal="center"/>
    </xf>
    <xf numFmtId="182" fontId="0" fillId="0" borderId="0" xfId="6" applyNumberFormat="1" applyFont="1" applyAlignment="1"/>
    <xf numFmtId="177" fontId="0" fillId="0" borderId="0" xfId="0" applyNumberFormat="1" applyAlignment="1"/>
    <xf numFmtId="183" fontId="0" fillId="0" borderId="1" xfId="0" applyNumberFormat="1" applyBorder="1" applyAlignment="1"/>
    <xf numFmtId="177" fontId="0" fillId="0" borderId="1" xfId="0" applyNumberFormat="1" applyBorder="1" applyAlignment="1"/>
    <xf numFmtId="0" fontId="0" fillId="0" borderId="0" xfId="0" applyAlignment="1" applyProtection="1"/>
    <xf numFmtId="0" fontId="2" fillId="9" borderId="34" xfId="0" applyFont="1" applyFill="1" applyBorder="1" applyAlignment="1" applyProtection="1"/>
    <xf numFmtId="0" fontId="2" fillId="9" borderId="38" xfId="0" applyFont="1" applyFill="1" applyBorder="1" applyAlignment="1" applyProtection="1"/>
    <xf numFmtId="0" fontId="2" fillId="9" borderId="21" xfId="0" applyFont="1" applyFill="1" applyBorder="1" applyAlignment="1" applyProtection="1"/>
    <xf numFmtId="0" fontId="0" fillId="0" borderId="0" xfId="0" applyFont="1" applyAlignment="1" applyProtection="1"/>
    <xf numFmtId="0" fontId="2" fillId="9" borderId="1" xfId="0" applyFont="1" applyFill="1" applyBorder="1" applyAlignment="1" applyProtection="1"/>
    <xf numFmtId="0" fontId="0" fillId="0" borderId="34" xfId="0" applyBorder="1" applyAlignment="1" applyProtection="1">
      <alignment horizontal="left"/>
    </xf>
    <xf numFmtId="0" fontId="0" fillId="0" borderId="38" xfId="0" applyFont="1" applyBorder="1" applyAlignment="1" applyProtection="1">
      <alignment horizontal="left"/>
    </xf>
    <xf numFmtId="0" fontId="0" fillId="0" borderId="21" xfId="0" applyFont="1" applyBorder="1" applyAlignment="1" applyProtection="1">
      <alignment horizontal="left"/>
    </xf>
    <xf numFmtId="43" fontId="0" fillId="0" borderId="1" xfId="1" applyNumberFormat="1" applyFont="1" applyFill="1" applyBorder="1" applyAlignment="1" applyProtection="1"/>
    <xf numFmtId="43" fontId="0" fillId="0" borderId="0" xfId="0" applyNumberFormat="1" applyAlignment="1" applyProtection="1"/>
    <xf numFmtId="0" fontId="0" fillId="0" borderId="38" xfId="0" applyBorder="1" applyAlignment="1" applyProtection="1">
      <alignment horizontal="left"/>
    </xf>
    <xf numFmtId="0" fontId="0" fillId="0" borderId="34" xfId="0" applyFont="1" applyBorder="1" applyAlignment="1" applyProtection="1">
      <alignment horizontal="left"/>
    </xf>
    <xf numFmtId="0" fontId="0" fillId="0" borderId="0" xfId="0" applyFont="1" applyBorder="1" applyAlignment="1" applyProtection="1">
      <alignment horizontal="left"/>
    </xf>
    <xf numFmtId="177" fontId="0" fillId="0" borderId="0" xfId="1" applyNumberFormat="1" applyFont="1" applyBorder="1" applyAlignment="1" applyProtection="1"/>
    <xf numFmtId="0" fontId="0" fillId="0" borderId="0" xfId="0" applyBorder="1" applyAlignment="1" applyProtection="1"/>
    <xf numFmtId="0" fontId="2" fillId="11" borderId="4" xfId="0" applyFont="1" applyFill="1" applyBorder="1" applyAlignment="1" applyProtection="1"/>
    <xf numFmtId="0" fontId="2" fillId="11" borderId="4" xfId="0" applyFont="1" applyFill="1" applyBorder="1" applyAlignment="1" applyProtection="1">
      <alignment horizontal="center"/>
    </xf>
    <xf numFmtId="0" fontId="2" fillId="11" borderId="27" xfId="0" applyFont="1" applyFill="1" applyBorder="1" applyAlignment="1" applyProtection="1">
      <alignment horizontal="center"/>
    </xf>
    <xf numFmtId="0" fontId="17" fillId="11" borderId="34" xfId="0" applyFont="1" applyFill="1" applyBorder="1" applyAlignment="1" applyProtection="1"/>
    <xf numFmtId="0" fontId="0" fillId="11" borderId="21" xfId="0" applyFill="1" applyBorder="1" applyAlignment="1" applyProtection="1"/>
    <xf numFmtId="0" fontId="2" fillId="0" borderId="1" xfId="0" applyFont="1" applyBorder="1" applyAlignment="1" applyProtection="1">
      <alignment horizontal="center"/>
    </xf>
    <xf numFmtId="2" fontId="2" fillId="0" borderId="36" xfId="0" applyNumberFormat="1" applyFont="1" applyBorder="1" applyAlignment="1" applyProtection="1">
      <alignment horizontal="center"/>
    </xf>
    <xf numFmtId="0" fontId="0" fillId="0" borderId="39" xfId="0" applyBorder="1" applyAlignment="1" applyProtection="1"/>
    <xf numFmtId="184" fontId="0" fillId="0" borderId="40" xfId="0" applyNumberFormat="1" applyBorder="1" applyAlignment="1" applyProtection="1"/>
    <xf numFmtId="2" fontId="0" fillId="0" borderId="41" xfId="0" applyNumberFormat="1" applyBorder="1" applyAlignment="1" applyProtection="1"/>
    <xf numFmtId="0" fontId="2" fillId="0" borderId="34" xfId="0" applyFont="1" applyBorder="1" applyAlignment="1" applyProtection="1">
      <alignment horizontal="left"/>
    </xf>
    <xf numFmtId="0" fontId="2" fillId="0" borderId="21" xfId="0" applyFont="1" applyBorder="1" applyAlignment="1" applyProtection="1">
      <alignment horizontal="left"/>
    </xf>
    <xf numFmtId="43" fontId="0" fillId="0" borderId="34" xfId="1" applyNumberFormat="1" applyFont="1" applyBorder="1" applyAlignment="1" applyProtection="1"/>
    <xf numFmtId="2" fontId="0" fillId="13" borderId="42" xfId="0" applyNumberFormat="1" applyFill="1" applyBorder="1" applyAlignment="1" applyProtection="1"/>
    <xf numFmtId="43" fontId="0" fillId="13" borderId="43" xfId="1" applyFont="1" applyFill="1" applyBorder="1" applyAlignment="1" applyProtection="1"/>
    <xf numFmtId="0" fontId="0" fillId="7" borderId="1" xfId="0" applyFill="1" applyBorder="1" applyAlignment="1" applyProtection="1"/>
    <xf numFmtId="2" fontId="0" fillId="0" borderId="0" xfId="0" applyNumberFormat="1" applyAlignment="1" applyProtection="1"/>
    <xf numFmtId="184" fontId="0" fillId="0" borderId="40" xfId="1" applyNumberFormat="1" applyFont="1" applyBorder="1" applyAlignment="1" applyProtection="1"/>
    <xf numFmtId="43" fontId="0" fillId="0" borderId="41" xfId="1" applyFont="1" applyBorder="1" applyAlignment="1" applyProtection="1"/>
    <xf numFmtId="2" fontId="2" fillId="0" borderId="1" xfId="0" applyNumberFormat="1" applyFont="1" applyBorder="1" applyAlignment="1" applyProtection="1">
      <alignment horizontal="center"/>
    </xf>
    <xf numFmtId="185" fontId="0" fillId="0" borderId="1" xfId="1" applyNumberFormat="1" applyFont="1" applyBorder="1" applyAlignment="1" applyProtection="1"/>
    <xf numFmtId="0" fontId="0" fillId="13" borderId="44" xfId="0" applyFill="1" applyBorder="1" applyAlignment="1" applyProtection="1"/>
    <xf numFmtId="0" fontId="2" fillId="0" borderId="39" xfId="0" applyFont="1" applyBorder="1" applyAlignment="1" applyProtection="1"/>
    <xf numFmtId="185" fontId="0" fillId="0" borderId="40" xfId="0" applyNumberFormat="1" applyBorder="1" applyAlignment="1" applyProtection="1"/>
    <xf numFmtId="185" fontId="0" fillId="0" borderId="1" xfId="1" applyNumberFormat="1" applyFont="1" applyFill="1" applyBorder="1" applyAlignment="1" applyProtection="1"/>
    <xf numFmtId="1" fontId="0" fillId="7" borderId="1" xfId="0" applyNumberFormat="1" applyFill="1" applyBorder="1" applyAlignment="1" applyProtection="1"/>
    <xf numFmtId="0" fontId="2" fillId="0" borderId="45" xfId="0" applyFont="1" applyBorder="1" applyAlignment="1" applyProtection="1"/>
    <xf numFmtId="184" fontId="0" fillId="0" borderId="46" xfId="1" applyNumberFormat="1" applyFont="1" applyBorder="1" applyAlignment="1" applyProtection="1"/>
    <xf numFmtId="185" fontId="0" fillId="0" borderId="46" xfId="1" applyNumberFormat="1" applyFont="1" applyBorder="1" applyAlignment="1" applyProtection="1"/>
    <xf numFmtId="43" fontId="0" fillId="0" borderId="0" xfId="0" applyNumberFormat="1" applyBorder="1" applyAlignment="1" applyProtection="1"/>
    <xf numFmtId="186" fontId="0" fillId="0" borderId="0" xfId="0" applyNumberFormat="1" applyAlignment="1" applyProtection="1"/>
    <xf numFmtId="177" fontId="0" fillId="0" borderId="0" xfId="0" applyNumberFormat="1" applyAlignment="1" applyProtection="1"/>
    <xf numFmtId="0" fontId="2" fillId="0" borderId="36" xfId="0" applyFont="1" applyBorder="1" applyAlignment="1" applyProtection="1">
      <alignment horizontal="center"/>
    </xf>
    <xf numFmtId="2" fontId="0" fillId="13" borderId="47" xfId="0" applyNumberFormat="1" applyFill="1" applyBorder="1" applyAlignment="1" applyProtection="1"/>
    <xf numFmtId="43" fontId="0" fillId="13" borderId="48" xfId="1" applyFont="1" applyFill="1" applyBorder="1" applyAlignment="1" applyProtection="1"/>
    <xf numFmtId="0" fontId="18" fillId="0" borderId="1" xfId="0" applyFont="1" applyBorder="1" applyAlignment="1" applyProtection="1">
      <alignment horizontal="left" vertical="center"/>
    </xf>
    <xf numFmtId="2" fontId="0" fillId="13" borderId="48" xfId="0" applyNumberFormat="1" applyFill="1" applyBorder="1" applyAlignment="1" applyProtection="1"/>
    <xf numFmtId="177" fontId="0" fillId="12" borderId="1" xfId="1" applyNumberFormat="1" applyFont="1" applyFill="1" applyBorder="1" applyAlignment="1" applyProtection="1"/>
    <xf numFmtId="2" fontId="0" fillId="13" borderId="30" xfId="0" applyNumberFormat="1" applyFill="1" applyBorder="1" applyAlignment="1" applyProtection="1"/>
    <xf numFmtId="177" fontId="0" fillId="12" borderId="35" xfId="1" applyNumberFormat="1" applyFont="1" applyFill="1" applyBorder="1" applyAlignment="1" applyProtection="1"/>
    <xf numFmtId="0" fontId="0" fillId="0" borderId="0" xfId="0" applyFill="1" applyAlignment="1" applyProtection="1"/>
    <xf numFmtId="0" fontId="0" fillId="0" borderId="0" xfId="0" applyFont="1" applyFill="1" applyAlignment="1" applyProtection="1"/>
    <xf numFmtId="0" fontId="2" fillId="2" borderId="0" xfId="0" applyFont="1" applyFill="1" applyAlignment="1" applyProtection="1">
      <alignment vertical="center"/>
    </xf>
    <xf numFmtId="177" fontId="2" fillId="14" borderId="0" xfId="1" applyNumberFormat="1" applyFont="1" applyFill="1" applyBorder="1" applyAlignment="1" applyProtection="1"/>
    <xf numFmtId="0" fontId="3" fillId="6" borderId="34" xfId="0" applyFont="1" applyFill="1" applyBorder="1" applyAlignment="1" applyProtection="1">
      <alignment vertical="center"/>
    </xf>
    <xf numFmtId="0" fontId="3" fillId="6" borderId="21" xfId="0" applyFont="1" applyFill="1" applyBorder="1" applyAlignment="1" applyProtection="1">
      <alignment vertical="center"/>
    </xf>
    <xf numFmtId="0" fontId="0" fillId="9" borderId="1" xfId="0" applyFill="1" applyBorder="1" applyAlignment="1" applyProtection="1">
      <alignment horizontal="center"/>
    </xf>
    <xf numFmtId="0" fontId="0" fillId="0" borderId="1" xfId="0" applyFont="1" applyBorder="1" applyAlignment="1" applyProtection="1"/>
    <xf numFmtId="181" fontId="0" fillId="2" borderId="1" xfId="0" applyNumberFormat="1" applyFont="1" applyFill="1" applyBorder="1" applyAlignment="1" applyProtection="1">
      <alignment horizontal="right" vertical="center"/>
      <protection locked="0"/>
    </xf>
    <xf numFmtId="0" fontId="0" fillId="0" borderId="34" xfId="0" applyBorder="1" applyAlignment="1" applyProtection="1">
      <alignment horizontal="center" vertical="top" wrapText="1"/>
    </xf>
    <xf numFmtId="0" fontId="0" fillId="0" borderId="38" xfId="0" applyBorder="1" applyAlignment="1" applyProtection="1">
      <alignment horizontal="center" vertical="top" wrapText="1"/>
    </xf>
    <xf numFmtId="0" fontId="0" fillId="0" borderId="21" xfId="0" applyBorder="1" applyAlignment="1" applyProtection="1">
      <alignment horizontal="center" vertical="top" wrapText="1"/>
    </xf>
    <xf numFmtId="0" fontId="18" fillId="0" borderId="1" xfId="0" applyFont="1" applyFill="1" applyBorder="1" applyAlignment="1" applyProtection="1">
      <alignment horizontal="left" vertical="center"/>
    </xf>
    <xf numFmtId="177" fontId="0" fillId="2" borderId="1" xfId="1" applyNumberFormat="1" applyFont="1" applyFill="1" applyBorder="1" applyAlignment="1" applyProtection="1">
      <protection locked="0"/>
    </xf>
    <xf numFmtId="177" fontId="0" fillId="2" borderId="1" xfId="1" applyNumberFormat="1" applyFont="1" applyFill="1" applyBorder="1" applyAlignment="1" applyProtection="1">
      <alignment horizontal="right"/>
      <protection locked="0"/>
    </xf>
    <xf numFmtId="0" fontId="0" fillId="14" borderId="34" xfId="0" applyFont="1" applyFill="1" applyBorder="1" applyAlignment="1" applyProtection="1">
      <alignment horizontal="center"/>
    </xf>
    <xf numFmtId="0" fontId="0" fillId="14" borderId="38" xfId="0" applyFont="1" applyFill="1" applyBorder="1" applyAlignment="1" applyProtection="1">
      <alignment horizontal="center"/>
    </xf>
    <xf numFmtId="177" fontId="0" fillId="4" borderId="1" xfId="1" applyNumberFormat="1" applyFont="1" applyFill="1" applyBorder="1" applyAlignment="1" applyProtection="1"/>
    <xf numFmtId="0" fontId="0" fillId="0" borderId="34" xfId="0" applyFont="1" applyBorder="1" applyAlignment="1" applyProtection="1">
      <alignment horizontal="left" vertical="center"/>
    </xf>
    <xf numFmtId="0" fontId="0" fillId="0" borderId="38" xfId="0" applyFont="1" applyBorder="1" applyAlignment="1" applyProtection="1">
      <alignment horizontal="left" vertical="center"/>
    </xf>
    <xf numFmtId="0" fontId="0" fillId="0" borderId="21" xfId="0" applyFont="1" applyBorder="1" applyAlignment="1" applyProtection="1">
      <alignment horizontal="left" vertical="center"/>
    </xf>
    <xf numFmtId="177" fontId="0" fillId="0" borderId="1" xfId="1" applyNumberFormat="1" applyFont="1" applyFill="1" applyBorder="1" applyAlignment="1" applyProtection="1"/>
    <xf numFmtId="0" fontId="19" fillId="0" borderId="0" xfId="0" applyFont="1" applyAlignment="1" applyProtection="1"/>
    <xf numFmtId="0" fontId="19" fillId="0" borderId="0" xfId="0" applyFont="1" applyFill="1" applyAlignment="1" applyProtection="1"/>
    <xf numFmtId="0" fontId="0" fillId="0" borderId="1" xfId="0" applyBorder="1" applyAlignment="1" applyProtection="1">
      <alignment vertical="center"/>
    </xf>
    <xf numFmtId="177" fontId="0" fillId="0" borderId="1" xfId="1" applyNumberFormat="1" applyFont="1" applyFill="1" applyBorder="1" applyAlignment="1" applyProtection="1">
      <alignment horizontal="right" vertical="center"/>
    </xf>
    <xf numFmtId="43" fontId="0" fillId="0" borderId="1" xfId="1" applyNumberFormat="1" applyFont="1" applyFill="1" applyBorder="1" applyAlignment="1" applyProtection="1">
      <alignment horizontal="right" vertical="center"/>
    </xf>
    <xf numFmtId="0" fontId="20" fillId="0" borderId="43" xfId="0" applyFont="1" applyBorder="1" applyAlignment="1" applyProtection="1">
      <alignment horizontal="left" vertical="center" wrapText="1"/>
    </xf>
    <xf numFmtId="0" fontId="20" fillId="0" borderId="0" xfId="0" applyFont="1" applyBorder="1" applyAlignment="1" applyProtection="1">
      <alignment horizontal="left" vertical="center" wrapText="1"/>
    </xf>
    <xf numFmtId="0" fontId="0" fillId="0" borderId="37" xfId="0" applyFill="1" applyBorder="1" applyAlignment="1" applyProtection="1"/>
    <xf numFmtId="43" fontId="0" fillId="2" borderId="1" xfId="1" applyNumberFormat="1" applyFont="1" applyFill="1" applyBorder="1" applyAlignment="1" applyProtection="1">
      <alignment horizontal="right"/>
      <protection locked="0"/>
    </xf>
    <xf numFmtId="43" fontId="0" fillId="0" borderId="0" xfId="1" applyNumberFormat="1" applyFont="1" applyFill="1" applyBorder="1" applyAlignment="1" applyProtection="1">
      <alignment horizontal="right"/>
    </xf>
    <xf numFmtId="0" fontId="20" fillId="0" borderId="0" xfId="0" applyFont="1" applyBorder="1" applyAlignment="1" applyProtection="1">
      <alignment vertical="center"/>
    </xf>
    <xf numFmtId="0" fontId="0" fillId="0" borderId="1" xfId="0" applyBorder="1" applyAlignment="1" applyProtection="1"/>
    <xf numFmtId="10" fontId="0" fillId="2" borderId="1" xfId="6" applyNumberFormat="1" applyFont="1" applyFill="1" applyBorder="1" applyAlignment="1" applyProtection="1">
      <alignment horizontal="right"/>
      <protection locked="0"/>
    </xf>
    <xf numFmtId="43" fontId="0" fillId="0" borderId="0" xfId="1" applyNumberFormat="1" applyFont="1" applyFill="1" applyBorder="1" applyAlignment="1" applyProtection="1">
      <alignment horizontal="left"/>
    </xf>
    <xf numFmtId="177" fontId="0" fillId="0" borderId="1" xfId="1" applyNumberFormat="1" applyFont="1" applyFill="1" applyBorder="1" applyAlignment="1" applyProtection="1">
      <alignment horizontal="right"/>
    </xf>
    <xf numFmtId="10" fontId="0" fillId="0" borderId="1" xfId="6" applyNumberFormat="1" applyFont="1" applyFill="1" applyBorder="1" applyAlignment="1" applyProtection="1">
      <alignment horizontal="right"/>
    </xf>
    <xf numFmtId="10" fontId="0" fillId="0" borderId="0" xfId="6" applyNumberFormat="1" applyFont="1" applyFill="1" applyBorder="1" applyAlignment="1" applyProtection="1">
      <alignment horizontal="right"/>
    </xf>
    <xf numFmtId="43" fontId="0" fillId="0" borderId="1" xfId="1" applyNumberFormat="1" applyFont="1" applyFill="1" applyBorder="1" applyAlignment="1" applyProtection="1">
      <alignment horizontal="right"/>
    </xf>
    <xf numFmtId="10" fontId="0" fillId="0" borderId="0" xfId="6" applyNumberFormat="1" applyFont="1" applyFill="1" applyBorder="1" applyAlignment="1" applyProtection="1">
      <alignment horizontal="left"/>
    </xf>
    <xf numFmtId="0" fontId="18" fillId="2" borderId="1" xfId="0" applyFont="1" applyFill="1" applyBorder="1" applyAlignment="1" applyProtection="1">
      <alignment horizontal="right" vertical="center"/>
      <protection locked="0"/>
    </xf>
    <xf numFmtId="9" fontId="21" fillId="0" borderId="0" xfId="0" applyNumberFormat="1" applyFont="1" applyBorder="1" applyAlignment="1" applyProtection="1">
      <alignment horizontal="left" vertical="center"/>
    </xf>
    <xf numFmtId="0" fontId="0" fillId="0" borderId="0" xfId="0" applyFill="1" applyBorder="1" applyAlignment="1" applyProtection="1">
      <alignment horizontal="center"/>
    </xf>
    <xf numFmtId="9" fontId="22" fillId="0" borderId="0" xfId="0" applyNumberFormat="1" applyFont="1" applyBorder="1" applyAlignment="1" applyProtection="1">
      <alignment horizontal="left" vertical="center"/>
    </xf>
    <xf numFmtId="43" fontId="0" fillId="0" borderId="0" xfId="1" applyNumberFormat="1" applyFont="1" applyFill="1" applyBorder="1" applyAlignment="1" applyProtection="1">
      <alignment horizontal="center" vertical="center"/>
    </xf>
    <xf numFmtId="9" fontId="22" fillId="0" borderId="0" xfId="0" applyNumberFormat="1" applyFont="1" applyBorder="1" applyAlignment="1">
      <alignment horizontal="left" vertical="center"/>
    </xf>
    <xf numFmtId="0" fontId="0" fillId="0" borderId="34" xfId="0" applyBorder="1" applyAlignment="1" applyProtection="1">
      <alignment horizontal="left" vertical="top" wrapText="1"/>
    </xf>
    <xf numFmtId="43" fontId="0" fillId="0" borderId="1" xfId="0" applyNumberFormat="1" applyBorder="1" applyAlignment="1" applyProtection="1">
      <alignment horizontal="center" vertical="center"/>
    </xf>
    <xf numFmtId="0" fontId="0" fillId="0" borderId="0" xfId="0" applyBorder="1" applyAlignment="1" applyProtection="1">
      <alignment horizontal="left" vertical="top" wrapText="1"/>
    </xf>
    <xf numFmtId="43" fontId="0" fillId="0" borderId="0" xfId="0" applyNumberFormat="1" applyBorder="1" applyAlignment="1" applyProtection="1">
      <alignment horizontal="center" vertical="center"/>
    </xf>
    <xf numFmtId="0" fontId="3" fillId="6" borderId="34" xfId="0" applyFont="1" applyFill="1" applyBorder="1" applyAlignment="1" applyProtection="1">
      <alignment horizontal="center" vertical="center"/>
    </xf>
    <xf numFmtId="0" fontId="3" fillId="6" borderId="1" xfId="0" applyFont="1" applyFill="1" applyBorder="1" applyAlignment="1" applyProtection="1">
      <alignment horizontal="center" vertical="center" wrapText="1"/>
    </xf>
    <xf numFmtId="177" fontId="18" fillId="0" borderId="1" xfId="1" applyNumberFormat="1" applyFont="1" applyBorder="1" applyAlignment="1" applyProtection="1">
      <alignment horizontal="center" vertical="center"/>
    </xf>
    <xf numFmtId="182" fontId="18" fillId="0" borderId="1" xfId="6" applyNumberFormat="1" applyFont="1" applyFill="1" applyBorder="1" applyAlignment="1" applyProtection="1">
      <alignment horizontal="center" vertical="center"/>
    </xf>
    <xf numFmtId="43" fontId="18" fillId="12" borderId="0" xfId="0" applyNumberFormat="1" applyFont="1" applyFill="1" applyAlignment="1" applyProtection="1"/>
    <xf numFmtId="0" fontId="3" fillId="0" borderId="0" xfId="0" applyFont="1" applyAlignment="1" applyProtection="1">
      <alignment horizontal="left" vertical="center"/>
    </xf>
    <xf numFmtId="0" fontId="6" fillId="4" borderId="0" xfId="0" applyFont="1" applyFill="1" applyAlignment="1" applyProtection="1"/>
    <xf numFmtId="0" fontId="6" fillId="0" borderId="0" xfId="0" applyFont="1" applyFill="1" applyAlignment="1" applyProtection="1"/>
    <xf numFmtId="43" fontId="0" fillId="0" borderId="0" xfId="1" applyNumberFormat="1" applyFont="1" applyAlignment="1" applyProtection="1"/>
    <xf numFmtId="43" fontId="0" fillId="0" borderId="0" xfId="1" applyNumberFormat="1" applyFont="1" applyFill="1" applyAlignment="1" applyProtection="1"/>
    <xf numFmtId="43" fontId="0" fillId="2" borderId="1" xfId="1" applyNumberFormat="1" applyFont="1" applyFill="1" applyBorder="1" applyAlignment="1" applyProtection="1">
      <alignment horizontal="center" vertical="center"/>
      <protection locked="0"/>
    </xf>
    <xf numFmtId="1" fontId="0" fillId="0" borderId="0" xfId="0" applyNumberFormat="1" applyFont="1" applyFill="1" applyAlignment="1" applyProtection="1"/>
    <xf numFmtId="184" fontId="0" fillId="0" borderId="0" xfId="0" applyNumberFormat="1" applyFont="1" applyFill="1" applyAlignment="1" applyProtection="1"/>
    <xf numFmtId="0" fontId="0" fillId="14" borderId="21" xfId="0" applyFont="1" applyFill="1" applyBorder="1" applyAlignment="1" applyProtection="1">
      <alignment horizontal="center"/>
    </xf>
    <xf numFmtId="177" fontId="0" fillId="14" borderId="1" xfId="1" applyNumberFormat="1" applyFont="1" applyFill="1" applyBorder="1" applyAlignment="1" applyProtection="1"/>
    <xf numFmtId="0" fontId="23" fillId="0" borderId="0" xfId="0" applyFont="1" applyFill="1" applyBorder="1" applyAlignment="1" applyProtection="1">
      <alignment horizontal="left" wrapText="1"/>
    </xf>
    <xf numFmtId="0" fontId="0" fillId="0" borderId="0" xfId="0" applyFont="1" applyFill="1" applyBorder="1" applyAlignment="1" applyProtection="1">
      <alignment horizontal="left" wrapText="1"/>
    </xf>
    <xf numFmtId="1" fontId="0" fillId="0" borderId="0" xfId="1" applyNumberFormat="1" applyFont="1" applyFill="1" applyBorder="1" applyAlignment="1" applyProtection="1">
      <alignment horizontal="right"/>
    </xf>
    <xf numFmtId="184" fontId="0" fillId="0" borderId="0" xfId="1" applyNumberFormat="1" applyFont="1" applyFill="1" applyBorder="1" applyAlignment="1" applyProtection="1">
      <alignment horizontal="right"/>
    </xf>
    <xf numFmtId="184" fontId="0" fillId="0" borderId="0" xfId="6" applyNumberFormat="1" applyFont="1" applyFill="1" applyBorder="1" applyAlignment="1" applyProtection="1">
      <alignment horizontal="right"/>
    </xf>
    <xf numFmtId="1" fontId="0" fillId="0" borderId="0" xfId="6" applyNumberFormat="1" applyFont="1" applyFill="1" applyBorder="1" applyAlignment="1" applyProtection="1">
      <alignment horizontal="right"/>
    </xf>
    <xf numFmtId="0" fontId="0" fillId="0" borderId="0" xfId="0" applyFont="1" applyFill="1" applyBorder="1" applyAlignment="1" applyProtection="1">
      <alignment horizontal="center"/>
    </xf>
    <xf numFmtId="9" fontId="22" fillId="0" borderId="0" xfId="0" applyNumberFormat="1" applyFont="1" applyBorder="1" applyAlignment="1" quotePrefix="1">
      <alignment horizontal="left" vertical="center"/>
    </xf>
  </cellXfs>
  <cellStyles count="8">
    <cellStyle name="Normal" xfId="0" builtinId="0"/>
    <cellStyle name="Comma" xfId="1" builtinId="3"/>
    <cellStyle name="Normal 2" xfId="2"/>
    <cellStyle name="Comma 2" xfId="3"/>
    <cellStyle name="Currency" xfId="4" builtinId="4"/>
    <cellStyle name="Comma[0]" xfId="5" builtinId="6"/>
    <cellStyle name="Percent" xfId="6" builtinId="5"/>
    <cellStyle name="Currency[0]" xfId="7"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K40"/>
  <sheetViews>
    <sheetView showGridLines="0" tabSelected="1" zoomScale="85" zoomScaleNormal="85" topLeftCell="B3" workbookViewId="0">
      <selection activeCell="C14" sqref="C14"/>
    </sheetView>
  </sheetViews>
  <sheetFormatPr defaultColWidth="9" defaultRowHeight="14.25"/>
  <cols>
    <col min="1" max="1" width="1.85833333333333" style="131" customWidth="1"/>
    <col min="2" max="2" width="43.2833333333333" style="131" customWidth="1"/>
    <col min="3" max="3" width="18" style="131" customWidth="1"/>
    <col min="4" max="4" width="15.575" style="131" customWidth="1"/>
    <col min="5" max="5" width="13.8583333333333" style="187" customWidth="1"/>
    <col min="6" max="6" width="12.8583333333333" style="187" customWidth="1"/>
    <col min="7" max="7" width="10.2833333333333" style="187" customWidth="1"/>
    <col min="8" max="8" width="10.7166666666667" style="187" customWidth="1"/>
    <col min="9" max="9" width="12.575" style="187" customWidth="1"/>
    <col min="10" max="10" width="11.1416666666667" style="187" customWidth="1"/>
    <col min="11" max="11" width="9.40833333333333" style="188" customWidth="1"/>
  </cols>
  <sheetData>
    <row r="1" ht="15" spans="2:2">
      <c r="B1" s="189" t="s">
        <v>0</v>
      </c>
    </row>
    <row r="2" ht="15" spans="2:2">
      <c r="B2" s="190" t="s">
        <v>1</v>
      </c>
    </row>
    <row r="4" ht="15.75" customHeight="1" spans="2:10">
      <c r="B4" s="191" t="s">
        <v>2</v>
      </c>
      <c r="C4" s="192"/>
      <c r="D4" s="135"/>
      <c r="E4" s="188"/>
      <c r="F4" s="193" t="s">
        <v>3</v>
      </c>
      <c r="G4" s="193"/>
      <c r="H4" s="193"/>
      <c r="I4" s="193"/>
      <c r="J4" s="188"/>
    </row>
    <row r="5" ht="29.25" customHeight="1" spans="2:11">
      <c r="B5" s="194" t="s">
        <v>4</v>
      </c>
      <c r="C5" s="195">
        <v>41465</v>
      </c>
      <c r="F5" s="196" t="str">
        <f>IF(ST_Indicator="No",CONCATENATE(Assumptions!AU21,Assumptions!AU23,Assumptions!AU24),CONCATENATE(Assumptions!AU21,Assumptions!AU22,Assumptions!AU24))</f>
        <v>Orig. Installment Premium (Rs.) INCLUDING Service Tax for Year 1: </v>
      </c>
      <c r="G5" s="197"/>
      <c r="H5" s="198"/>
      <c r="I5" s="248">
        <v>40000</v>
      </c>
      <c r="K5" s="249"/>
    </row>
    <row r="6" ht="15" customHeight="1" spans="2:11">
      <c r="B6" s="199" t="s">
        <v>5</v>
      </c>
      <c r="C6" s="200">
        <v>30</v>
      </c>
      <c r="D6" s="135"/>
      <c r="E6" s="188"/>
      <c r="K6" s="250"/>
    </row>
    <row r="7" spans="2:11">
      <c r="B7" s="194" t="s">
        <v>6</v>
      </c>
      <c r="C7" s="201" t="s">
        <v>7</v>
      </c>
      <c r="F7" s="202" t="s">
        <v>8</v>
      </c>
      <c r="G7" s="203"/>
      <c r="H7" s="203"/>
      <c r="I7" s="251"/>
      <c r="J7" s="188"/>
      <c r="K7" s="249"/>
    </row>
    <row r="8" spans="2:11">
      <c r="B8" s="194" t="s">
        <v>9</v>
      </c>
      <c r="C8" s="204">
        <v>15</v>
      </c>
      <c r="D8" s="135"/>
      <c r="E8" s="188"/>
      <c r="F8" s="205" t="s">
        <v>10</v>
      </c>
      <c r="G8" s="206"/>
      <c r="H8" s="207"/>
      <c r="I8" s="252">
        <f>IFERROR(Assumptions!AB2,0)</f>
        <v>374902</v>
      </c>
      <c r="J8" s="253" t="str">
        <f>IF(I8=0,"The calculated Sum Assured is less than the minimum allowed, Thus input a higher Premium","")</f>
        <v/>
      </c>
      <c r="K8" s="254"/>
    </row>
    <row r="9" spans="2:11">
      <c r="B9" s="194" t="s">
        <v>11</v>
      </c>
      <c r="C9" s="204">
        <v>11</v>
      </c>
      <c r="D9" s="135"/>
      <c r="E9" s="188"/>
      <c r="J9" s="253"/>
      <c r="K9" s="254"/>
    </row>
    <row r="10" spans="2:11">
      <c r="B10" s="194" t="s">
        <v>12</v>
      </c>
      <c r="C10" s="208">
        <f>I8</f>
        <v>374902</v>
      </c>
      <c r="D10" s="135"/>
      <c r="E10" s="188"/>
      <c r="G10" s="144"/>
      <c r="H10" s="144"/>
      <c r="I10" s="145"/>
      <c r="J10" s="253"/>
      <c r="K10" s="254"/>
    </row>
    <row r="11" spans="2:11">
      <c r="B11" s="194" t="s">
        <v>13</v>
      </c>
      <c r="C11" s="200">
        <v>1</v>
      </c>
      <c r="D11" s="209"/>
      <c r="E11" s="210"/>
      <c r="G11" s="144"/>
      <c r="H11" s="144"/>
      <c r="I11" s="145"/>
      <c r="J11" s="253"/>
      <c r="K11" s="254"/>
    </row>
    <row r="12" ht="28.5" customHeight="1" spans="2:9">
      <c r="B12" s="211" t="s">
        <v>14</v>
      </c>
      <c r="C12" s="212" t="s">
        <v>15</v>
      </c>
      <c r="D12" s="213">
        <v>0</v>
      </c>
      <c r="E12" s="214" t="s">
        <v>16</v>
      </c>
      <c r="F12" s="215"/>
      <c r="G12" s="215"/>
      <c r="H12" s="215"/>
      <c r="I12" s="215"/>
    </row>
    <row r="13" spans="2:11">
      <c r="B13" s="216" t="s">
        <v>17</v>
      </c>
      <c r="C13" s="201" t="s">
        <v>15</v>
      </c>
      <c r="D13" s="217">
        <v>1</v>
      </c>
      <c r="E13" s="218"/>
      <c r="F13" s="219"/>
      <c r="G13" s="219"/>
      <c r="H13" s="219"/>
      <c r="I13" s="219"/>
      <c r="J13" s="219"/>
      <c r="K13" s="255"/>
    </row>
    <row r="14" spans="2:11">
      <c r="B14" s="220" t="s">
        <v>18</v>
      </c>
      <c r="C14" s="201" t="s">
        <v>15</v>
      </c>
      <c r="D14" s="221">
        <v>1</v>
      </c>
      <c r="E14" s="222"/>
      <c r="F14" s="218"/>
      <c r="G14" s="218"/>
      <c r="H14" s="218"/>
      <c r="I14" s="218"/>
      <c r="J14" s="218"/>
      <c r="K14" s="256"/>
    </row>
    <row r="15" spans="2:11">
      <c r="B15" s="220" t="s">
        <v>19</v>
      </c>
      <c r="C15" s="223" t="s">
        <v>15</v>
      </c>
      <c r="D15" s="224">
        <v>0.1175</v>
      </c>
      <c r="E15" s="225"/>
      <c r="G15" s="218"/>
      <c r="H15" s="218"/>
      <c r="I15" s="218"/>
      <c r="J15" s="218"/>
      <c r="K15" s="255"/>
    </row>
    <row r="16" spans="2:11">
      <c r="B16" s="220" t="s">
        <v>20</v>
      </c>
      <c r="C16" s="201" t="s">
        <v>15</v>
      </c>
      <c r="D16" s="226">
        <v>2</v>
      </c>
      <c r="E16" s="225"/>
      <c r="F16" s="225"/>
      <c r="G16" s="225"/>
      <c r="H16" s="225"/>
      <c r="I16" s="225"/>
      <c r="J16" s="225"/>
      <c r="K16" s="257"/>
    </row>
    <row r="17" spans="2:11">
      <c r="B17" s="220" t="s">
        <v>21</v>
      </c>
      <c r="C17" s="201" t="s">
        <v>15</v>
      </c>
      <c r="D17" s="224">
        <v>0.035</v>
      </c>
      <c r="E17" s="227"/>
      <c r="F17" s="225"/>
      <c r="G17" s="225"/>
      <c r="H17" s="225"/>
      <c r="I17" s="225"/>
      <c r="J17" s="225"/>
      <c r="K17" s="258"/>
    </row>
    <row r="18" ht="25.5" spans="2:11">
      <c r="B18" s="9" t="s">
        <v>22</v>
      </c>
      <c r="C18" s="228" t="s">
        <v>23</v>
      </c>
      <c r="F18" s="229" t="s">
        <v>24</v>
      </c>
      <c r="G18" s="225"/>
      <c r="H18" s="225"/>
      <c r="I18" s="225"/>
      <c r="J18" s="225"/>
      <c r="K18" s="225"/>
    </row>
    <row r="19" ht="15.75" spans="5:6">
      <c r="E19" s="230"/>
      <c r="F19" s="231" t="s">
        <v>25</v>
      </c>
    </row>
    <row r="20" ht="15.75" spans="5:11">
      <c r="E20" s="232"/>
      <c r="F20" s="260" t="s">
        <v>26</v>
      </c>
      <c r="G20" s="230"/>
      <c r="H20" s="230"/>
      <c r="I20" s="230"/>
      <c r="J20" s="230"/>
      <c r="K20" s="259"/>
    </row>
    <row r="21" spans="2:11">
      <c r="B21" s="234" t="s">
        <v>27</v>
      </c>
      <c r="C21" s="235">
        <f>IF(ST_Indicator="No",Assumptions!AM23,Assumptions!AO23)</f>
        <v>39999</v>
      </c>
      <c r="G21" s="232"/>
      <c r="H21" s="232"/>
      <c r="I21" s="232"/>
      <c r="J21" s="232"/>
      <c r="K21" s="232"/>
    </row>
    <row r="22" ht="30.75" customHeight="1" spans="2:3">
      <c r="B22" s="236"/>
      <c r="C22" s="237"/>
    </row>
    <row r="23" ht="25.5" spans="2:3">
      <c r="B23" s="238" t="s">
        <v>28</v>
      </c>
      <c r="C23" s="239" t="s">
        <v>29</v>
      </c>
    </row>
    <row r="24" spans="2:3">
      <c r="B24" s="240" t="s">
        <v>30</v>
      </c>
      <c r="C24" s="241">
        <v>0.045</v>
      </c>
    </row>
    <row r="25" spans="2:3">
      <c r="B25" s="240" t="s">
        <v>31</v>
      </c>
      <c r="C25" s="241">
        <v>0.0225</v>
      </c>
    </row>
    <row r="27" spans="3:4">
      <c r="C27" s="242">
        <f>C21-I5</f>
        <v>-1</v>
      </c>
      <c r="D27" s="243" t="s">
        <v>32</v>
      </c>
    </row>
    <row r="28" spans="2:5">
      <c r="B28" s="244"/>
      <c r="C28" s="244"/>
      <c r="D28" s="244"/>
      <c r="E28" s="245"/>
    </row>
    <row r="29" spans="2:11">
      <c r="B29" s="244"/>
      <c r="C29" s="244"/>
      <c r="D29" s="244"/>
      <c r="E29" s="245"/>
      <c r="F29" s="245"/>
      <c r="G29" s="245"/>
      <c r="H29" s="245"/>
      <c r="I29" s="245"/>
      <c r="J29" s="245"/>
      <c r="K29" s="245"/>
    </row>
    <row r="30" spans="2:11">
      <c r="B30" s="244"/>
      <c r="C30" s="244"/>
      <c r="D30" s="244"/>
      <c r="E30" s="245"/>
      <c r="F30" s="245"/>
      <c r="G30" s="245"/>
      <c r="H30" s="245"/>
      <c r="I30" s="245"/>
      <c r="J30" s="245"/>
      <c r="K30" s="245"/>
    </row>
    <row r="31" spans="2:11">
      <c r="B31" s="244"/>
      <c r="C31" s="244"/>
      <c r="D31" s="244"/>
      <c r="E31" s="245"/>
      <c r="F31" s="245"/>
      <c r="G31" s="245"/>
      <c r="H31" s="245"/>
      <c r="I31" s="245"/>
      <c r="J31" s="245"/>
      <c r="K31" s="245"/>
    </row>
    <row r="32" spans="6:11">
      <c r="F32" s="245"/>
      <c r="G32" s="245"/>
      <c r="H32" s="245"/>
      <c r="I32" s="245"/>
      <c r="J32" s="245"/>
      <c r="K32" s="245"/>
    </row>
    <row r="34" spans="4:5">
      <c r="D34" s="246"/>
      <c r="E34" s="247"/>
    </row>
    <row r="35" spans="4:11">
      <c r="D35" s="246"/>
      <c r="E35" s="247"/>
      <c r="F35" s="247"/>
      <c r="G35" s="247"/>
      <c r="H35" s="247"/>
      <c r="I35" s="247"/>
      <c r="J35" s="247"/>
      <c r="K35" s="247"/>
    </row>
    <row r="36" spans="4:11">
      <c r="D36" s="246"/>
      <c r="E36" s="247"/>
      <c r="F36" s="247"/>
      <c r="G36" s="247"/>
      <c r="H36" s="247"/>
      <c r="I36" s="247"/>
      <c r="J36" s="247"/>
      <c r="K36" s="247"/>
    </row>
    <row r="37" spans="4:11">
      <c r="D37" s="246"/>
      <c r="E37" s="247"/>
      <c r="F37" s="247"/>
      <c r="G37" s="247"/>
      <c r="H37" s="247"/>
      <c r="I37" s="247"/>
      <c r="J37" s="247"/>
      <c r="K37" s="247"/>
    </row>
    <row r="38" spans="4:11">
      <c r="D38" s="246"/>
      <c r="E38" s="247"/>
      <c r="F38" s="247"/>
      <c r="G38" s="247"/>
      <c r="H38" s="247"/>
      <c r="I38" s="247"/>
      <c r="J38" s="247"/>
      <c r="K38" s="247"/>
    </row>
    <row r="39" spans="4:11">
      <c r="D39" s="246"/>
      <c r="E39" s="247"/>
      <c r="F39" s="247"/>
      <c r="G39" s="247"/>
      <c r="H39" s="247"/>
      <c r="I39" s="247"/>
      <c r="J39" s="247"/>
      <c r="K39" s="247"/>
    </row>
    <row r="40" spans="6:11">
      <c r="F40" s="247"/>
      <c r="G40" s="247"/>
      <c r="H40" s="247"/>
      <c r="I40" s="247"/>
      <c r="J40" s="247"/>
      <c r="K40" s="247"/>
    </row>
  </sheetData>
  <protectedRanges>
    <protectedRange sqref="C18" name="Range1" securityDescriptor=""/>
  </protectedRanges>
  <mergeCells count="6">
    <mergeCell ref="F4:I4"/>
    <mergeCell ref="F5:H5"/>
    <mergeCell ref="F7:I7"/>
    <mergeCell ref="F8:H8"/>
    <mergeCell ref="E12:I12"/>
    <mergeCell ref="J8:K11"/>
  </mergeCells>
  <dataValidations count="13">
    <dataValidation type="list" showInputMessage="1" showErrorMessage="1" sqref="C18">
      <formula1>"Yes,No"</formula1>
    </dataValidation>
    <dataValidation allowBlank="1" showInputMessage="1" showErrorMessage="1" prompt="per 1000 SA" sqref="D16 G15:K15 E14"/>
    <dataValidation type="list" allowBlank="1" showInputMessage="1" showErrorMessage="1" sqref="C12:C17">
      <formula1>"Yes,No"</formula1>
    </dataValidation>
    <dataValidation allowBlank="1" showInputMessage="1" showErrorMessage="1" prompt="In Percentage" sqref="D14 F16:K16 E15"/>
    <dataValidation allowBlank="1" showInputMessage="1" showErrorMessage="1" prompt="2,3,4....." sqref="D12 K13"/>
    <dataValidation type="list" allowBlank="1" showInputMessage="1" showErrorMessage="1" prompt="PT fixed at 15 Yrs" sqref="C8">
      <formula1>"15"</formula1>
    </dataValidation>
    <dataValidation type="list" allowBlank="1" showInputMessage="1" showErrorMessage="1" prompt="PPT fixed at 11 Yrs" sqref="C9">
      <formula1>"11"</formula1>
    </dataValidation>
    <dataValidation allowBlank="1" showInputMessage="1" showErrorMessage="1" prompt="Min : 100,000&#10;Max: No Limit" sqref="C10"/>
    <dataValidation allowBlank="1" showInputMessage="1" showErrorMessage="1" prompt="Min: 8 Yrs&#10;Max: 55 Yrs" sqref="C6"/>
    <dataValidation type="list" allowBlank="1" showInputMessage="1" showErrorMessage="1" prompt="1:Yearly&#10;12:Monthly" sqref="C11">
      <formula1>"1,12"</formula1>
    </dataValidation>
    <dataValidation type="list" allowBlank="1" showInputMessage="1" showErrorMessage="1" sqref="C7">
      <formula1>"MALE, FEMALE"</formula1>
    </dataValidation>
    <dataValidation allowBlank="1" showInputMessage="1" showErrorMessage="1" prompt="per 1000 SA&#10;" sqref="F14:K14 D13:E13"/>
    <dataValidation allowBlank="1" showInputMessage="1" showErrorMessage="1" prompt="MM/DD/YYYY" sqref="C5"/>
  </dataValidations>
  <pageMargins left="0.699305555555556" right="0.699305555555556" top="0.75" bottom="0.75" header="0.3" footer="0.3"/>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V51"/>
  <sheetViews>
    <sheetView showGridLines="0" topLeftCell="T1" workbookViewId="0">
      <selection activeCell="AB2" sqref="AB2"/>
    </sheetView>
  </sheetViews>
  <sheetFormatPr defaultColWidth="9" defaultRowHeight="14.25"/>
  <cols>
    <col min="1" max="1" width="1.425" customWidth="1"/>
    <col min="2" max="2" width="13" customWidth="1"/>
    <col min="3" max="3" width="14.2833333333333" customWidth="1"/>
    <col min="4" max="4" width="18.1416666666667" style="97" customWidth="1"/>
    <col min="5" max="5" width="1.85833333333333" customWidth="1"/>
    <col min="6" max="6" width="12.425" customWidth="1"/>
    <col min="7" max="7" width="13.2833333333333" customWidth="1"/>
    <col min="8" max="8" width="13.8583333333333" customWidth="1"/>
    <col min="9" max="9" width="18.2833333333333" customWidth="1"/>
    <col min="10" max="10" width="1.71666666666667" customWidth="1"/>
    <col min="11" max="11" width="9.14166666666667" customWidth="1"/>
    <col min="12" max="12" width="12.1416666666667" customWidth="1"/>
    <col min="13" max="13" width="5.875" customWidth="1"/>
    <col min="28" max="28" width="12.575" customWidth="1"/>
    <col min="31" max="31" width="11.5"/>
    <col min="39" max="39" width="11.5"/>
  </cols>
  <sheetData>
    <row r="1" ht="15" spans="11:28">
      <c r="K1" s="102" t="s">
        <v>33</v>
      </c>
      <c r="L1" s="102"/>
      <c r="N1" s="116" t="s">
        <v>34</v>
      </c>
      <c r="O1" s="117">
        <v>0</v>
      </c>
      <c r="P1" s="117">
        <v>0.25</v>
      </c>
      <c r="Q1" s="117">
        <v>0.5</v>
      </c>
      <c r="R1" s="117">
        <v>0.75</v>
      </c>
      <c r="S1" s="117">
        <v>1</v>
      </c>
      <c r="T1" s="117">
        <v>1.25</v>
      </c>
      <c r="U1" s="117">
        <v>1.5</v>
      </c>
      <c r="V1" s="117">
        <v>1.75</v>
      </c>
      <c r="W1" s="117">
        <v>2.25</v>
      </c>
      <c r="X1" s="117">
        <v>2.75</v>
      </c>
      <c r="Y1" s="117">
        <v>3.5</v>
      </c>
      <c r="AA1" s="125" t="s">
        <v>35</v>
      </c>
      <c r="AB1" s="126"/>
    </row>
    <row r="2" ht="15" spans="2:28">
      <c r="B2" s="98" t="s">
        <v>36</v>
      </c>
      <c r="C2" s="99"/>
      <c r="F2" s="100" t="s">
        <v>37</v>
      </c>
      <c r="G2" s="100"/>
      <c r="H2" s="100"/>
      <c r="I2" s="100"/>
      <c r="K2" s="101" t="s">
        <v>38</v>
      </c>
      <c r="L2" s="101" t="s">
        <v>39</v>
      </c>
      <c r="M2" t="s">
        <v>40</v>
      </c>
      <c r="N2" s="101"/>
      <c r="O2" s="117">
        <v>0</v>
      </c>
      <c r="P2" s="117">
        <v>0.01</v>
      </c>
      <c r="Q2" s="117">
        <f t="shared" ref="Q2:Y2" si="0">P1+1%</f>
        <v>0.26</v>
      </c>
      <c r="R2" s="117">
        <f>Q1+1%</f>
        <v>0.51</v>
      </c>
      <c r="S2" s="117">
        <f>R1+1%</f>
        <v>0.76</v>
      </c>
      <c r="T2" s="117">
        <f>S1+1%</f>
        <v>1.01</v>
      </c>
      <c r="U2" s="117">
        <f>T1+1%</f>
        <v>1.26</v>
      </c>
      <c r="V2" s="117">
        <f>U1+1%</f>
        <v>1.51</v>
      </c>
      <c r="W2" s="117">
        <f>V1+1%</f>
        <v>1.76</v>
      </c>
      <c r="X2" s="117">
        <f>W1+1%</f>
        <v>2.26</v>
      </c>
      <c r="Y2" s="117">
        <f>X1+1%</f>
        <v>2.76</v>
      </c>
      <c r="AA2" s="127"/>
      <c r="AB2" s="128">
        <f>ROUNDDOWN(VLOOKUP("OK",AA3:AB14,2,0),0)</f>
        <v>374902</v>
      </c>
    </row>
    <row r="3" ht="15.75" customHeight="1" spans="2:28">
      <c r="B3" s="101" t="s">
        <v>41</v>
      </c>
      <c r="C3" s="101" t="s">
        <v>42</v>
      </c>
      <c r="D3" s="102" t="s">
        <v>43</v>
      </c>
      <c r="F3" s="101" t="s">
        <v>44</v>
      </c>
      <c r="G3" s="101" t="s">
        <v>45</v>
      </c>
      <c r="H3" s="103" t="s">
        <v>46</v>
      </c>
      <c r="I3" s="118" t="s">
        <v>47</v>
      </c>
      <c r="K3" s="119"/>
      <c r="L3" s="120"/>
      <c r="N3" s="2"/>
      <c r="O3" s="121">
        <v>2</v>
      </c>
      <c r="P3" s="121">
        <f>O3+1</f>
        <v>3</v>
      </c>
      <c r="Q3" s="121">
        <f t="shared" ref="Q3:Y3" si="1">P3+1</f>
        <v>4</v>
      </c>
      <c r="R3" s="121">
        <f>Q3+1</f>
        <v>5</v>
      </c>
      <c r="S3" s="121">
        <f>R3+1</f>
        <v>6</v>
      </c>
      <c r="T3" s="121">
        <f>S3+1</f>
        <v>7</v>
      </c>
      <c r="U3" s="121">
        <f>T3+1</f>
        <v>8</v>
      </c>
      <c r="V3" s="121">
        <f>U3+1</f>
        <v>9</v>
      </c>
      <c r="W3" s="121">
        <f>V3+1</f>
        <v>10</v>
      </c>
      <c r="X3" s="121">
        <f>W3+1</f>
        <v>11</v>
      </c>
      <c r="Y3" s="121">
        <f>X3+1</f>
        <v>12</v>
      </c>
      <c r="AA3" s="2"/>
      <c r="AB3" s="129">
        <f>ROUND(((ROUND(VLOOKUP(AGE,PREM_TAB,2,1)*(1-WORK_DISCOUNT*(WORKSITE_IND="Yes")),2)-Assumptions!D9)*MAX(1,MMR_EXTRA*(MMR_IND="Yes"))+(EMR_IND="Yes")*INDEX(EMR_TAB,MATCH(AGE,Assumptions!$N$2:$N$51,0),HLOOKUP(EMR,Assumptions!$N$2:$Y$3,2,1))+FLAT_Extra*(FLAT_EXTRA_IND="Yes")+NASP_EXTRA*(NASP_IND="Yes"))*VLOOKUP(FREQUENCY,MODAL_FAC,2,0),4)</f>
        <v>99.1</v>
      </c>
    </row>
    <row r="4" spans="2:28">
      <c r="B4" s="104">
        <v>100000</v>
      </c>
      <c r="C4" s="104">
        <v>149999</v>
      </c>
      <c r="D4" s="105">
        <v>0</v>
      </c>
      <c r="F4" s="106">
        <v>0</v>
      </c>
      <c r="G4" s="106">
        <v>2</v>
      </c>
      <c r="H4" s="107">
        <v>0</v>
      </c>
      <c r="I4" s="122"/>
      <c r="K4" s="106">
        <v>8</v>
      </c>
      <c r="L4" s="108">
        <v>110.8</v>
      </c>
      <c r="N4" s="106">
        <v>8</v>
      </c>
      <c r="O4" s="108">
        <v>0</v>
      </c>
      <c r="P4" s="108">
        <v>0.17</v>
      </c>
      <c r="Q4" s="108">
        <v>0.34</v>
      </c>
      <c r="R4" s="108">
        <v>0.51</v>
      </c>
      <c r="S4" s="108">
        <v>0.67</v>
      </c>
      <c r="T4" s="108">
        <v>0.84</v>
      </c>
      <c r="U4" s="108">
        <v>1.02</v>
      </c>
      <c r="V4" s="108">
        <v>1.18</v>
      </c>
      <c r="W4" s="108">
        <v>1.53</v>
      </c>
      <c r="X4" s="108">
        <v>1.88</v>
      </c>
      <c r="Y4" s="108">
        <v>2.4</v>
      </c>
      <c r="AA4" s="2" t="str">
        <f>IF(AB4&gt;=Assumptions!B9,"OK","Not OK")</f>
        <v>Not OK</v>
      </c>
      <c r="AB4" s="130">
        <f>IFERROR(ROUND(IF(ST_Indicator="No",(Input!$I$5*1000/AB3),((Input!$I$5/(1+Input!C24))*1000/AB3)),0),0)</f>
        <v>386251</v>
      </c>
    </row>
    <row r="5" spans="2:28">
      <c r="B5" s="104">
        <v>150000</v>
      </c>
      <c r="C5" s="104">
        <v>199999</v>
      </c>
      <c r="D5" s="108">
        <v>5</v>
      </c>
      <c r="F5" s="106">
        <v>3</v>
      </c>
      <c r="G5" s="106">
        <v>3</v>
      </c>
      <c r="H5" s="107">
        <v>0.3</v>
      </c>
      <c r="I5" s="123"/>
      <c r="K5" s="106">
        <f>K4+1</f>
        <v>9</v>
      </c>
      <c r="L5" s="108">
        <v>110.81</v>
      </c>
      <c r="N5" s="106">
        <f>N4+1</f>
        <v>9</v>
      </c>
      <c r="O5" s="108">
        <v>0</v>
      </c>
      <c r="P5" s="108">
        <v>0.17</v>
      </c>
      <c r="Q5" s="108">
        <v>0.35</v>
      </c>
      <c r="R5" s="108">
        <v>0.52</v>
      </c>
      <c r="S5" s="108">
        <v>0.7</v>
      </c>
      <c r="T5" s="108">
        <v>0.87</v>
      </c>
      <c r="U5" s="108">
        <v>1.04</v>
      </c>
      <c r="V5" s="108">
        <v>1.22</v>
      </c>
      <c r="W5" s="108">
        <v>1.57</v>
      </c>
      <c r="X5" s="108">
        <v>1.92</v>
      </c>
      <c r="Y5" s="108">
        <v>2.46</v>
      </c>
      <c r="AA5" s="2"/>
      <c r="AB5" s="129">
        <f>ROUND(((ROUND(VLOOKUP(AGE,PREM_TAB,2,1)*(1-WORK_DISCOUNT*(WORKSITE_IND="Yes")),2)-Assumptions!D8)*MAX(1,MMR_EXTRA*(MMR_IND="Yes"))+(EMR_IND="Yes")*INDEX(EMR_TAB,MATCH(AGE,Assumptions!$N$2:$N$51,0),HLOOKUP(EMR,Assumptions!$N$2:$Y$3,2,1))+FLAT_Extra*(FLAT_EXTRA_IND="Yes")+NASP_EXTRA*(NASP_IND="Yes"))*VLOOKUP(FREQUENCY,MODAL_FAC,2,0),4)</f>
        <v>100.1</v>
      </c>
    </row>
    <row r="6" spans="2:28">
      <c r="B6" s="104">
        <v>200000</v>
      </c>
      <c r="C6" s="104">
        <v>299999</v>
      </c>
      <c r="D6" s="108">
        <v>7.5</v>
      </c>
      <c r="F6" s="106">
        <v>4</v>
      </c>
      <c r="G6" s="106">
        <v>4</v>
      </c>
      <c r="H6" s="107">
        <v>0.5</v>
      </c>
      <c r="I6" s="123"/>
      <c r="K6" s="106">
        <f t="shared" ref="K6:K51" si="2">K5+1</f>
        <v>10</v>
      </c>
      <c r="L6" s="108">
        <v>110.82</v>
      </c>
      <c r="N6" s="106">
        <f t="shared" ref="N6:N51" si="3">N5+1</f>
        <v>10</v>
      </c>
      <c r="O6" s="108">
        <v>0</v>
      </c>
      <c r="P6" s="108">
        <v>0.18</v>
      </c>
      <c r="Q6" s="108">
        <v>0.35</v>
      </c>
      <c r="R6" s="108">
        <v>0.53</v>
      </c>
      <c r="S6" s="108">
        <v>0.71</v>
      </c>
      <c r="T6" s="108">
        <v>0.89</v>
      </c>
      <c r="U6" s="108">
        <v>1.07</v>
      </c>
      <c r="V6" s="108">
        <v>1.26</v>
      </c>
      <c r="W6" s="108">
        <v>1.62</v>
      </c>
      <c r="X6" s="108">
        <v>1.99</v>
      </c>
      <c r="Y6" s="108">
        <v>2.55</v>
      </c>
      <c r="AA6" s="2" t="str">
        <f>IF(AB6&gt;=Assumptions!B8,"OK","Not OK")</f>
        <v>Not OK</v>
      </c>
      <c r="AB6" s="130">
        <f>IFERROR(ROUND(IF(ST_Indicator="No",(Input!$I$5*1000/AB5),((Input!$I$5/(1+Input!C24))*1000/AB5)),0),0)</f>
        <v>382393</v>
      </c>
    </row>
    <row r="7" spans="2:28">
      <c r="B7" s="104">
        <v>300000</v>
      </c>
      <c r="C7" s="104">
        <v>499999</v>
      </c>
      <c r="D7" s="108">
        <v>10</v>
      </c>
      <c r="F7" s="106">
        <v>5</v>
      </c>
      <c r="G7" s="106">
        <v>5</v>
      </c>
      <c r="H7" s="107">
        <v>0.5</v>
      </c>
      <c r="I7" s="123"/>
      <c r="K7" s="106">
        <f>K6+1</f>
        <v>11</v>
      </c>
      <c r="L7" s="108">
        <v>110.83</v>
      </c>
      <c r="N7" s="106">
        <f>N6+1</f>
        <v>11</v>
      </c>
      <c r="O7" s="108">
        <v>0</v>
      </c>
      <c r="P7" s="108">
        <v>0.19</v>
      </c>
      <c r="Q7" s="108">
        <v>0.37</v>
      </c>
      <c r="R7" s="108">
        <v>0.56</v>
      </c>
      <c r="S7" s="108">
        <v>0.75</v>
      </c>
      <c r="T7" s="108">
        <v>0.94</v>
      </c>
      <c r="U7" s="108">
        <v>1.13</v>
      </c>
      <c r="V7" s="108">
        <v>1.33</v>
      </c>
      <c r="W7" s="108">
        <v>1.71</v>
      </c>
      <c r="X7" s="108">
        <v>2.1</v>
      </c>
      <c r="Y7" s="108">
        <v>2.7</v>
      </c>
      <c r="AA7" s="2"/>
      <c r="AB7" s="2">
        <f>ROUND(((ROUND(VLOOKUP(AGE,PREM_TAB,2,1)*(1-WORK_DISCOUNT*(WORKSITE_IND="Yes")),2)-Assumptions!D7)*MAX(1,MMR_EXTRA*(MMR_IND="Yes"))+(EMR_IND="Yes")*INDEX(EMR_TAB,MATCH(AGE,Assumptions!$N$2:$N$51,0),HLOOKUP(EMR,Assumptions!$N$2:$Y$3,2,1))+FLAT_Extra*(FLAT_EXTRA_IND="Yes")+NASP_EXTRA*(NASP_IND="Yes"))*VLOOKUP(FREQUENCY,MODAL_FAC,2,0),4)</f>
        <v>102.1</v>
      </c>
    </row>
    <row r="8" spans="2:28">
      <c r="B8" s="104">
        <v>500000</v>
      </c>
      <c r="C8" s="104">
        <v>999999</v>
      </c>
      <c r="D8" s="108">
        <v>12</v>
      </c>
      <c r="F8" s="106">
        <v>6</v>
      </c>
      <c r="G8" s="106">
        <v>6</v>
      </c>
      <c r="H8" s="107">
        <v>0.5</v>
      </c>
      <c r="I8" s="123"/>
      <c r="K8" s="106">
        <f>K7+1</f>
        <v>12</v>
      </c>
      <c r="L8" s="108">
        <v>110.84</v>
      </c>
      <c r="N8" s="106">
        <f>N7+1</f>
        <v>12</v>
      </c>
      <c r="O8" s="108">
        <v>0</v>
      </c>
      <c r="P8" s="108">
        <v>0.2</v>
      </c>
      <c r="Q8" s="108">
        <v>0.4</v>
      </c>
      <c r="R8" s="108">
        <v>0.6</v>
      </c>
      <c r="S8" s="108">
        <v>0.8</v>
      </c>
      <c r="T8" s="108">
        <v>1</v>
      </c>
      <c r="U8" s="108">
        <v>1.21</v>
      </c>
      <c r="V8" s="108">
        <v>1.41</v>
      </c>
      <c r="W8" s="108">
        <v>1.82</v>
      </c>
      <c r="X8" s="108">
        <v>2.24</v>
      </c>
      <c r="Y8" s="108">
        <v>2.87</v>
      </c>
      <c r="AA8" s="2" t="str">
        <f>IF(AB8&gt;=Assumptions!B7,"OK","Not OK")</f>
        <v>OK</v>
      </c>
      <c r="AB8" s="130">
        <f>IFERROR(ROUND(IF(ST_Indicator="No",(Input!$I$5*1000/AB7),((Input!$I$5/(1+Input!C24))*1000/AB7)),0),0)</f>
        <v>374902</v>
      </c>
    </row>
    <row r="9" spans="2:28">
      <c r="B9" s="104">
        <v>1000000</v>
      </c>
      <c r="C9" s="104">
        <v>1000000000</v>
      </c>
      <c r="D9" s="108">
        <v>13</v>
      </c>
      <c r="F9" s="106">
        <v>7</v>
      </c>
      <c r="G9" s="106">
        <v>7</v>
      </c>
      <c r="H9" s="107">
        <v>0.5</v>
      </c>
      <c r="I9" s="123"/>
      <c r="K9" s="106">
        <f>K8+1</f>
        <v>13</v>
      </c>
      <c r="L9" s="108">
        <v>110.86</v>
      </c>
      <c r="N9" s="106">
        <f>N8+1</f>
        <v>13</v>
      </c>
      <c r="O9" s="108">
        <v>0</v>
      </c>
      <c r="P9" s="108">
        <v>0.21</v>
      </c>
      <c r="Q9" s="108">
        <v>0.42</v>
      </c>
      <c r="R9" s="108">
        <v>0.64</v>
      </c>
      <c r="S9" s="108">
        <v>0.85</v>
      </c>
      <c r="T9" s="108">
        <v>1.06</v>
      </c>
      <c r="U9" s="108">
        <v>1.28</v>
      </c>
      <c r="V9" s="108">
        <v>1.5</v>
      </c>
      <c r="W9" s="108">
        <v>1.94</v>
      </c>
      <c r="X9" s="108">
        <v>2.38</v>
      </c>
      <c r="Y9" s="108">
        <v>3.05</v>
      </c>
      <c r="AA9" s="2"/>
      <c r="AB9" s="2">
        <f>ROUND(((ROUND(VLOOKUP(AGE,PREM_TAB,2,1)*(1-WORK_DISCOUNT*(WORKSITE_IND="Yes")),2)-Assumptions!D6)*MAX(1,MMR_EXTRA*(MMR_IND="Yes"))+(EMR_IND="Yes")*INDEX(EMR_TAB,MATCH(AGE,Assumptions!$N$2:$N$51,0),HLOOKUP(EMR,Assumptions!$N$2:$Y$3,2,1))+FLAT_Extra*(FLAT_EXTRA_IND="Yes")+NASP_EXTRA*(NASP_IND="Yes"))*VLOOKUP(FREQUENCY,MODAL_FAC,2,0),4)</f>
        <v>104.6</v>
      </c>
    </row>
    <row r="10" spans="6:28">
      <c r="F10" s="106">
        <v>8</v>
      </c>
      <c r="G10" s="106">
        <v>8</v>
      </c>
      <c r="H10" s="107">
        <v>0.52</v>
      </c>
      <c r="I10" s="123"/>
      <c r="K10" s="106">
        <f>K9+1</f>
        <v>14</v>
      </c>
      <c r="L10" s="108">
        <v>110.88</v>
      </c>
      <c r="N10" s="106">
        <f>N9+1</f>
        <v>14</v>
      </c>
      <c r="O10" s="108">
        <v>0</v>
      </c>
      <c r="P10" s="108">
        <v>0.22</v>
      </c>
      <c r="Q10" s="108">
        <v>0.45</v>
      </c>
      <c r="R10" s="108">
        <v>0.67</v>
      </c>
      <c r="S10" s="108">
        <v>0.9</v>
      </c>
      <c r="T10" s="108">
        <v>1.13</v>
      </c>
      <c r="U10" s="108">
        <v>1.35</v>
      </c>
      <c r="V10" s="108">
        <v>1.58</v>
      </c>
      <c r="W10" s="108">
        <v>2.05</v>
      </c>
      <c r="X10" s="108">
        <v>2.52</v>
      </c>
      <c r="Y10" s="108">
        <v>3.23</v>
      </c>
      <c r="AA10" s="2" t="str">
        <f>IF(AB10&gt;=Assumptions!B6,"OK","Not OK")</f>
        <v>OK</v>
      </c>
      <c r="AB10" s="130">
        <f>IFERROR(ROUND(IF(ST_Indicator="No",(Input!$I$5*1000/AB9),((Input!$I$5/(1+Input!C24))*1000/AB9)),0),0)</f>
        <v>365942</v>
      </c>
    </row>
    <row r="11" ht="15" spans="2:28">
      <c r="B11" s="102" t="s">
        <v>48</v>
      </c>
      <c r="C11" s="102"/>
      <c r="F11" s="106">
        <v>9</v>
      </c>
      <c r="G11" s="106">
        <v>9</v>
      </c>
      <c r="H11" s="107">
        <v>0.54</v>
      </c>
      <c r="I11" s="123"/>
      <c r="K11" s="106">
        <f>K10+1</f>
        <v>15</v>
      </c>
      <c r="L11" s="108">
        <v>110.9</v>
      </c>
      <c r="N11" s="106">
        <f>N10+1</f>
        <v>15</v>
      </c>
      <c r="O11" s="108">
        <v>0</v>
      </c>
      <c r="P11" s="108">
        <v>0.23</v>
      </c>
      <c r="Q11" s="108">
        <v>0.47</v>
      </c>
      <c r="R11" s="108">
        <v>0.71</v>
      </c>
      <c r="S11" s="108">
        <v>0.94</v>
      </c>
      <c r="T11" s="108">
        <v>1.18</v>
      </c>
      <c r="U11" s="108">
        <v>1.43</v>
      </c>
      <c r="V11" s="108">
        <v>1.67</v>
      </c>
      <c r="W11" s="108">
        <v>2.16</v>
      </c>
      <c r="X11" s="108">
        <v>2.65</v>
      </c>
      <c r="Y11" s="108">
        <v>3.4</v>
      </c>
      <c r="AA11" s="2"/>
      <c r="AB11" s="2">
        <f>ROUND(((ROUND(VLOOKUP(AGE,PREM_TAB,2,1)*(1-WORK_DISCOUNT*(WORKSITE_IND="Yes")),2)-Assumptions!D5)*MAX(1,MMR_EXTRA*(MMR_IND="Yes"))+(EMR_IND="Yes")*INDEX(EMR_TAB,MATCH(AGE,Assumptions!$N$2:$N$51,0),HLOOKUP(EMR,Assumptions!$N$2:$Y$3,2,1))+FLAT_Extra*(FLAT_EXTRA_IND="Yes")+NASP_EXTRA*(NASP_IND="Yes"))*VLOOKUP(FREQUENCY,MODAL_FAC,2,0),4)</f>
        <v>107.1</v>
      </c>
    </row>
    <row r="12" ht="15" spans="2:28">
      <c r="B12" s="109" t="s">
        <v>49</v>
      </c>
      <c r="C12" s="102" t="s">
        <v>50</v>
      </c>
      <c r="F12" s="106">
        <v>10</v>
      </c>
      <c r="G12" s="106">
        <v>10</v>
      </c>
      <c r="H12" s="107">
        <v>0.56</v>
      </c>
      <c r="I12" s="123"/>
      <c r="K12" s="106">
        <f>K11+1</f>
        <v>16</v>
      </c>
      <c r="L12" s="108">
        <v>110.93</v>
      </c>
      <c r="N12" s="106">
        <f>N11+1</f>
        <v>16</v>
      </c>
      <c r="O12" s="108">
        <v>0</v>
      </c>
      <c r="P12" s="108">
        <v>0.24</v>
      </c>
      <c r="Q12" s="108">
        <v>0.49</v>
      </c>
      <c r="R12" s="108">
        <v>0.74</v>
      </c>
      <c r="S12" s="108">
        <v>0.99</v>
      </c>
      <c r="T12" s="108">
        <v>1.24</v>
      </c>
      <c r="U12" s="108">
        <v>1.49</v>
      </c>
      <c r="V12" s="108">
        <v>1.74</v>
      </c>
      <c r="W12" s="108">
        <v>2.26</v>
      </c>
      <c r="X12" s="108">
        <v>2.77</v>
      </c>
      <c r="Y12" s="108">
        <v>3.56</v>
      </c>
      <c r="AA12" s="2" t="str">
        <f>IF(AB12&gt;=Assumptions!B5,"OK","Not OK")</f>
        <v>OK</v>
      </c>
      <c r="AB12" s="130">
        <f>IFERROR(ROUND(IF(ST_Indicator="No",(Input!$I$5*1000/AB11),((Input!$I$5/(1+Input!C24))*1000/AB11)),0),0)</f>
        <v>357400</v>
      </c>
    </row>
    <row r="13" spans="2:28">
      <c r="B13" s="110">
        <v>1</v>
      </c>
      <c r="C13" s="108">
        <v>1</v>
      </c>
      <c r="F13" s="106">
        <v>11</v>
      </c>
      <c r="G13" s="106">
        <v>11</v>
      </c>
      <c r="H13" s="107">
        <v>0.58</v>
      </c>
      <c r="I13" s="123"/>
      <c r="K13" s="106">
        <f>K12+1</f>
        <v>17</v>
      </c>
      <c r="L13" s="108">
        <v>110.96</v>
      </c>
      <c r="N13" s="106">
        <f>N12+1</f>
        <v>17</v>
      </c>
      <c r="O13" s="108">
        <v>0</v>
      </c>
      <c r="P13" s="108">
        <v>0.25</v>
      </c>
      <c r="Q13" s="108">
        <v>0.51</v>
      </c>
      <c r="R13" s="108">
        <v>0.77</v>
      </c>
      <c r="S13" s="108">
        <v>1.03</v>
      </c>
      <c r="T13" s="108">
        <v>1.29</v>
      </c>
      <c r="U13" s="108">
        <v>1.55</v>
      </c>
      <c r="V13" s="108">
        <v>1.81</v>
      </c>
      <c r="W13" s="108">
        <v>2.35</v>
      </c>
      <c r="X13" s="108">
        <v>2.88</v>
      </c>
      <c r="Y13" s="108">
        <v>3.71</v>
      </c>
      <c r="AA13" s="2"/>
      <c r="AB13" s="2">
        <f>ROUND(((ROUND(VLOOKUP(AGE,PREM_TAB,2,1)*(1-WORK_DISCOUNT*(WORKSITE_IND="Yes")),2)-Assumptions!D4)*MAX(1,MMR_EXTRA*(MMR_IND="Yes"))+(EMR_IND="Yes")*INDEX(EMR_TAB,MATCH(AGE,Assumptions!$N$2:$N$51,0),HLOOKUP(EMR,Assumptions!$N$2:$Y$3,2,1))+FLAT_Extra*(FLAT_EXTRA_IND="Yes")+NASP_EXTRA*(NASP_IND="Yes"))*VLOOKUP(FREQUENCY,MODAL_FAC,2,0),4)</f>
        <v>112.1</v>
      </c>
    </row>
    <row r="14" spans="2:28">
      <c r="B14" s="110">
        <v>12</v>
      </c>
      <c r="C14" s="108">
        <v>0.09</v>
      </c>
      <c r="F14" s="106">
        <v>12</v>
      </c>
      <c r="G14" s="106">
        <v>12</v>
      </c>
      <c r="H14" s="107">
        <v>0.6</v>
      </c>
      <c r="I14" s="123"/>
      <c r="K14" s="106">
        <f>K13+1</f>
        <v>18</v>
      </c>
      <c r="L14" s="108">
        <v>111</v>
      </c>
      <c r="N14" s="106">
        <f>N13+1</f>
        <v>18</v>
      </c>
      <c r="O14" s="108">
        <v>0</v>
      </c>
      <c r="P14" s="108">
        <v>0.26</v>
      </c>
      <c r="Q14" s="108">
        <v>0.53</v>
      </c>
      <c r="R14" s="108">
        <v>0.79</v>
      </c>
      <c r="S14" s="108">
        <v>1.06</v>
      </c>
      <c r="T14" s="108">
        <v>1.33</v>
      </c>
      <c r="U14" s="108">
        <v>1.6</v>
      </c>
      <c r="V14" s="108">
        <v>1.87</v>
      </c>
      <c r="W14" s="108">
        <v>2.42</v>
      </c>
      <c r="X14" s="108">
        <v>2.98</v>
      </c>
      <c r="Y14" s="108">
        <v>3.84</v>
      </c>
      <c r="AA14" s="2" t="str">
        <f>IF(AB14&gt;=Assumptions!B4,"OK","Not OK")</f>
        <v>OK</v>
      </c>
      <c r="AB14" s="130">
        <f>IFERROR(ROUND(IF(ST_Indicator="No",(Input!$I$5*1000/AB13),((Input!$I$5/(1+Input!C24))*1000/AB13)),0),0)</f>
        <v>341459</v>
      </c>
    </row>
    <row r="15" spans="6:25">
      <c r="F15" s="106">
        <v>13</v>
      </c>
      <c r="G15" s="106">
        <v>13</v>
      </c>
      <c r="H15" s="107">
        <v>0.62</v>
      </c>
      <c r="I15" s="123"/>
      <c r="K15" s="106">
        <f>K14+1</f>
        <v>19</v>
      </c>
      <c r="L15" s="108">
        <v>111.04</v>
      </c>
      <c r="N15" s="106">
        <f>N14+1</f>
        <v>19</v>
      </c>
      <c r="O15" s="108">
        <v>0</v>
      </c>
      <c r="P15" s="108">
        <v>0.27</v>
      </c>
      <c r="Q15" s="108">
        <v>0.54</v>
      </c>
      <c r="R15" s="108">
        <v>0.82</v>
      </c>
      <c r="S15" s="108">
        <v>1.09</v>
      </c>
      <c r="T15" s="108">
        <v>1.37</v>
      </c>
      <c r="U15" s="108">
        <v>1.65</v>
      </c>
      <c r="V15" s="108">
        <v>1.93</v>
      </c>
      <c r="W15" s="108">
        <v>2.5</v>
      </c>
      <c r="X15" s="108">
        <v>3.07</v>
      </c>
      <c r="Y15" s="108">
        <v>3.95</v>
      </c>
    </row>
    <row r="16" ht="15" spans="2:48">
      <c r="B16" s="111" t="s">
        <v>51</v>
      </c>
      <c r="C16" s="111"/>
      <c r="F16" s="106">
        <v>14</v>
      </c>
      <c r="G16" s="106">
        <v>14</v>
      </c>
      <c r="H16" s="107">
        <v>0.64</v>
      </c>
      <c r="I16" s="123"/>
      <c r="K16" s="106">
        <f>K15+1</f>
        <v>20</v>
      </c>
      <c r="L16" s="108">
        <v>111.1</v>
      </c>
      <c r="N16" s="106">
        <f>N15+1</f>
        <v>20</v>
      </c>
      <c r="O16" s="108">
        <v>0</v>
      </c>
      <c r="P16" s="108">
        <v>0.28</v>
      </c>
      <c r="Q16" s="108">
        <v>0.56</v>
      </c>
      <c r="R16" s="108">
        <v>0.84</v>
      </c>
      <c r="S16" s="108">
        <v>1.12</v>
      </c>
      <c r="T16" s="108">
        <v>1.4</v>
      </c>
      <c r="U16" s="108">
        <v>1.69</v>
      </c>
      <c r="V16" s="108">
        <v>1.98</v>
      </c>
      <c r="W16" s="108">
        <v>2.56</v>
      </c>
      <c r="X16" s="108">
        <v>3.16</v>
      </c>
      <c r="Y16" s="108">
        <v>4.06</v>
      </c>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row>
    <row r="17" ht="15" spans="2:48">
      <c r="B17" s="102" t="s">
        <v>52</v>
      </c>
      <c r="C17" s="102" t="s">
        <v>53</v>
      </c>
      <c r="F17" s="106">
        <v>15</v>
      </c>
      <c r="G17" s="106">
        <v>15</v>
      </c>
      <c r="H17" s="107">
        <v>0.66</v>
      </c>
      <c r="I17" s="124"/>
      <c r="K17" s="106">
        <f>K16+1</f>
        <v>21</v>
      </c>
      <c r="L17" s="108">
        <v>111.16</v>
      </c>
      <c r="N17" s="106">
        <f>N16+1</f>
        <v>21</v>
      </c>
      <c r="O17" s="108">
        <v>0</v>
      </c>
      <c r="P17" s="108">
        <v>0.28</v>
      </c>
      <c r="Q17" s="108">
        <v>0.57</v>
      </c>
      <c r="R17" s="108">
        <v>0.86</v>
      </c>
      <c r="S17" s="108">
        <v>1.15</v>
      </c>
      <c r="T17" s="108">
        <v>1.44</v>
      </c>
      <c r="U17" s="108">
        <v>1.73</v>
      </c>
      <c r="V17" s="108">
        <v>2.03</v>
      </c>
      <c r="W17" s="108">
        <v>2.63</v>
      </c>
      <c r="X17" s="108">
        <v>3.24</v>
      </c>
      <c r="Y17" s="108">
        <v>4.17</v>
      </c>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row>
    <row r="18" spans="2:41">
      <c r="B18" s="112">
        <v>4</v>
      </c>
      <c r="C18" s="113">
        <v>0.15</v>
      </c>
      <c r="K18" s="106">
        <f>K17+1</f>
        <v>22</v>
      </c>
      <c r="L18" s="108">
        <v>111.23</v>
      </c>
      <c r="N18" s="106">
        <f>N17+1</f>
        <v>22</v>
      </c>
      <c r="O18" s="108">
        <v>0</v>
      </c>
      <c r="P18" s="108">
        <v>0.29</v>
      </c>
      <c r="Q18" s="108">
        <v>0.58</v>
      </c>
      <c r="R18" s="108">
        <v>0.88</v>
      </c>
      <c r="S18" s="108">
        <v>1.18</v>
      </c>
      <c r="T18" s="108">
        <v>1.48</v>
      </c>
      <c r="U18" s="108">
        <v>1.78</v>
      </c>
      <c r="V18" s="108">
        <v>2.08</v>
      </c>
      <c r="W18" s="108">
        <v>2.7</v>
      </c>
      <c r="X18" s="108">
        <v>3.32</v>
      </c>
      <c r="Y18" s="108">
        <v>4.28</v>
      </c>
      <c r="AA18" s="131"/>
      <c r="AB18" s="131"/>
      <c r="AC18" s="131"/>
      <c r="AD18" s="131"/>
      <c r="AE18" s="131"/>
      <c r="AF18" s="131"/>
      <c r="AG18" s="131"/>
      <c r="AH18" s="131"/>
      <c r="AI18" s="131"/>
      <c r="AJ18" s="131"/>
      <c r="AK18" s="131"/>
      <c r="AL18" s="131"/>
      <c r="AM18" s="146"/>
      <c r="AN18" s="146"/>
      <c r="AO18" s="146"/>
    </row>
    <row r="19" ht="15" spans="2:41">
      <c r="B19" s="112">
        <v>8</v>
      </c>
      <c r="C19" s="113">
        <v>0.15</v>
      </c>
      <c r="K19" s="106">
        <f>K18+1</f>
        <v>23</v>
      </c>
      <c r="L19" s="108">
        <v>111.31</v>
      </c>
      <c r="N19" s="106">
        <f>N18+1</f>
        <v>23</v>
      </c>
      <c r="O19" s="108">
        <v>0</v>
      </c>
      <c r="P19" s="108">
        <v>0.3</v>
      </c>
      <c r="Q19" s="108">
        <v>0.6</v>
      </c>
      <c r="R19" s="108">
        <v>0.9</v>
      </c>
      <c r="S19" s="108">
        <v>1.21</v>
      </c>
      <c r="T19" s="108">
        <v>1.52</v>
      </c>
      <c r="U19" s="108">
        <v>1.83</v>
      </c>
      <c r="V19" s="108">
        <v>2.14</v>
      </c>
      <c r="W19" s="108">
        <v>2.77</v>
      </c>
      <c r="X19" s="108">
        <v>3.41</v>
      </c>
      <c r="Y19" s="108">
        <v>4.4</v>
      </c>
      <c r="AA19" s="132" t="s">
        <v>54</v>
      </c>
      <c r="AB19" s="133"/>
      <c r="AC19" s="133"/>
      <c r="AD19" s="133"/>
      <c r="AE19" s="134"/>
      <c r="AF19" s="135"/>
      <c r="AG19" s="147" t="s">
        <v>55</v>
      </c>
      <c r="AH19" s="148" t="s">
        <v>30</v>
      </c>
      <c r="AI19" s="149" t="s">
        <v>56</v>
      </c>
      <c r="AK19" s="150" t="s">
        <v>30</v>
      </c>
      <c r="AL19" s="151"/>
      <c r="AM19" s="152" t="s">
        <v>57</v>
      </c>
      <c r="AN19" s="153" t="s">
        <v>58</v>
      </c>
      <c r="AO19" s="179" t="s">
        <v>59</v>
      </c>
    </row>
    <row r="20" ht="15" spans="2:41">
      <c r="B20" s="112">
        <v>12</v>
      </c>
      <c r="C20" s="113">
        <v>0.15</v>
      </c>
      <c r="K20" s="106">
        <f>K19+1</f>
        <v>24</v>
      </c>
      <c r="L20" s="108">
        <v>111.4</v>
      </c>
      <c r="N20" s="106">
        <f>N19+1</f>
        <v>24</v>
      </c>
      <c r="O20" s="108">
        <v>0</v>
      </c>
      <c r="P20" s="108">
        <v>0.31</v>
      </c>
      <c r="Q20" s="108">
        <v>0.62</v>
      </c>
      <c r="R20" s="108">
        <v>0.93</v>
      </c>
      <c r="S20" s="108">
        <v>1.25</v>
      </c>
      <c r="T20" s="108">
        <v>1.56</v>
      </c>
      <c r="U20" s="108">
        <v>1.88</v>
      </c>
      <c r="V20" s="108">
        <v>2.2</v>
      </c>
      <c r="W20" s="108">
        <v>2.86</v>
      </c>
      <c r="X20" s="108">
        <v>3.52</v>
      </c>
      <c r="Y20" s="108">
        <v>4.53</v>
      </c>
      <c r="AA20" s="132" t="s">
        <v>55</v>
      </c>
      <c r="AB20" s="133"/>
      <c r="AC20" s="133"/>
      <c r="AD20" s="134"/>
      <c r="AE20" s="136" t="s">
        <v>60</v>
      </c>
      <c r="AF20" s="135"/>
      <c r="AG20" s="154" t="s">
        <v>61</v>
      </c>
      <c r="AH20" s="155">
        <f>VLOOKUP(AGE,PREM_TAB,2,1)</f>
        <v>112.1</v>
      </c>
      <c r="AI20" s="156">
        <f>VLOOKUP(AGE,PREM_TAB,2,1)</f>
        <v>112.1</v>
      </c>
      <c r="AK20" s="157" t="s">
        <v>62</v>
      </c>
      <c r="AL20" s="158"/>
      <c r="AM20" s="159">
        <f>SA/1000*AH29</f>
        <v>38277.4942</v>
      </c>
      <c r="AN20" s="160"/>
      <c r="AO20" s="180"/>
    </row>
    <row r="21" ht="15" spans="11:47">
      <c r="K21" s="106">
        <f>K20+1</f>
        <v>25</v>
      </c>
      <c r="L21" s="108">
        <v>111.49</v>
      </c>
      <c r="N21" s="106">
        <f>N20+1</f>
        <v>25</v>
      </c>
      <c r="O21" s="108">
        <v>0</v>
      </c>
      <c r="P21" s="108">
        <v>0.32</v>
      </c>
      <c r="Q21" s="108">
        <v>0.64</v>
      </c>
      <c r="R21" s="108">
        <v>0.96</v>
      </c>
      <c r="S21" s="108">
        <v>1.29</v>
      </c>
      <c r="T21" s="108">
        <v>1.62</v>
      </c>
      <c r="U21" s="108">
        <v>1.95</v>
      </c>
      <c r="V21" s="108">
        <v>2.28</v>
      </c>
      <c r="W21" s="108">
        <v>2.96</v>
      </c>
      <c r="X21" s="108">
        <v>3.64</v>
      </c>
      <c r="Y21" s="108">
        <v>4.69</v>
      </c>
      <c r="AA21" s="137" t="s">
        <v>63</v>
      </c>
      <c r="AB21" s="138"/>
      <c r="AC21" s="138"/>
      <c r="AD21" s="139"/>
      <c r="AE21" s="140">
        <f>ROUND(AM20*VLOOKUP(FREQUENCY,MODAL_FAC,2,1),0)*FREQUENCY</f>
        <v>38277</v>
      </c>
      <c r="AF21" s="135"/>
      <c r="AG21" s="154" t="s">
        <v>64</v>
      </c>
      <c r="AH21" s="155">
        <f>ROUND(AH20*(1-WORK_DISCOUNT*(WORKSITE_IND="Yes")),2)</f>
        <v>112.1</v>
      </c>
      <c r="AI21" s="156">
        <f>ROUND(AI20*(1-WORK_DISCOUNT*(WORKSITE_IND="Yes")),2)</f>
        <v>112.1</v>
      </c>
      <c r="AK21" s="157" t="s">
        <v>65</v>
      </c>
      <c r="AL21" s="158"/>
      <c r="AM21" s="159">
        <f>SA/1000*AH30</f>
        <v>0</v>
      </c>
      <c r="AN21" s="161"/>
      <c r="AO21" s="181"/>
      <c r="AU21" s="182" t="s">
        <v>66</v>
      </c>
    </row>
    <row r="22" ht="15" spans="2:47">
      <c r="B22" s="102" t="s">
        <v>67</v>
      </c>
      <c r="C22" s="102" t="s">
        <v>68</v>
      </c>
      <c r="D22" s="102" t="s">
        <v>69</v>
      </c>
      <c r="K22" s="106">
        <f>K21+1</f>
        <v>26</v>
      </c>
      <c r="L22" s="108">
        <v>111.59</v>
      </c>
      <c r="N22" s="106">
        <f>N21+1</f>
        <v>26</v>
      </c>
      <c r="O22" s="108">
        <v>0</v>
      </c>
      <c r="P22" s="108">
        <v>0.33</v>
      </c>
      <c r="Q22" s="108">
        <v>0.66</v>
      </c>
      <c r="R22" s="108">
        <v>1</v>
      </c>
      <c r="S22" s="108">
        <v>1.34</v>
      </c>
      <c r="T22" s="108">
        <v>1.68</v>
      </c>
      <c r="U22" s="108">
        <v>2.02</v>
      </c>
      <c r="V22" s="108">
        <v>2.37</v>
      </c>
      <c r="W22" s="108">
        <v>3.07</v>
      </c>
      <c r="X22" s="108">
        <v>3.79</v>
      </c>
      <c r="Y22" s="108">
        <v>4.88</v>
      </c>
      <c r="AA22" s="137" t="s">
        <v>70</v>
      </c>
      <c r="AB22" s="138"/>
      <c r="AC22" s="138"/>
      <c r="AD22" s="139"/>
      <c r="AE22" s="140">
        <f>ROUND(AM21*VLOOKUP(FREQUENCY,MODAL_FAC,2,1),0)*FREQUENCY</f>
        <v>0</v>
      </c>
      <c r="AF22" s="141"/>
      <c r="AG22" s="154" t="s">
        <v>71</v>
      </c>
      <c r="AH22" s="155">
        <f>VLOOKUP(SA,HIGH_SA_REBATE,3,1)</f>
        <v>10</v>
      </c>
      <c r="AI22" s="156">
        <f>VLOOKUP(SA,HIGH_SA_REBATE,3,1)</f>
        <v>10</v>
      </c>
      <c r="AK22" s="157" t="s">
        <v>72</v>
      </c>
      <c r="AL22" s="158"/>
      <c r="AM22" s="159">
        <f>AM20+AM21</f>
        <v>38277.4942</v>
      </c>
      <c r="AN22" s="161"/>
      <c r="AO22" s="183"/>
      <c r="AU22" s="182" t="s">
        <v>73</v>
      </c>
    </row>
    <row r="23" ht="15" spans="2:47">
      <c r="B23" s="114">
        <v>0.04</v>
      </c>
      <c r="C23" s="115">
        <v>0.02</v>
      </c>
      <c r="D23" s="115">
        <v>0.1</v>
      </c>
      <c r="K23" s="106">
        <f>K22+1</f>
        <v>27</v>
      </c>
      <c r="L23" s="108">
        <v>111.7</v>
      </c>
      <c r="N23" s="106">
        <f>N22+1</f>
        <v>27</v>
      </c>
      <c r="O23" s="108">
        <v>0</v>
      </c>
      <c r="P23" s="108">
        <v>0.34</v>
      </c>
      <c r="Q23" s="108">
        <v>0.69</v>
      </c>
      <c r="R23" s="108">
        <v>1.04</v>
      </c>
      <c r="S23" s="108">
        <v>1.4</v>
      </c>
      <c r="T23" s="108">
        <v>1.75</v>
      </c>
      <c r="U23" s="108">
        <v>2.11</v>
      </c>
      <c r="V23" s="108">
        <v>2.48</v>
      </c>
      <c r="W23" s="108">
        <v>3.21</v>
      </c>
      <c r="X23" s="108">
        <v>3.96</v>
      </c>
      <c r="Y23" s="108">
        <v>5.1</v>
      </c>
      <c r="AA23" s="138" t="s">
        <v>74</v>
      </c>
      <c r="AB23" s="138"/>
      <c r="AC23" s="138"/>
      <c r="AD23" s="139"/>
      <c r="AE23" s="140">
        <f>AO23</f>
        <v>39999</v>
      </c>
      <c r="AF23" s="135"/>
      <c r="AG23" s="154" t="s">
        <v>75</v>
      </c>
      <c r="AH23" s="155">
        <f>AH21-AH22</f>
        <v>102.1</v>
      </c>
      <c r="AI23" s="156">
        <f>AI21-AI22</f>
        <v>102.1</v>
      </c>
      <c r="AK23" s="157" t="s">
        <v>76</v>
      </c>
      <c r="AL23" s="158"/>
      <c r="AM23" s="140">
        <f>ROUND(AM22*VLOOKUP(FREQUENCY,MODAL_FAC,2,1),0)</f>
        <v>38277</v>
      </c>
      <c r="AN23" s="162">
        <f>ROUND(AM23*(Input!C24),0)</f>
        <v>1722</v>
      </c>
      <c r="AO23" s="184">
        <f>AM23+AN23</f>
        <v>39999</v>
      </c>
      <c r="AU23" s="182" t="s">
        <v>77</v>
      </c>
    </row>
    <row r="24" ht="15" spans="2:47">
      <c r="B24" s="114">
        <v>0.08</v>
      </c>
      <c r="C24" s="115">
        <v>0.025</v>
      </c>
      <c r="D24" s="115">
        <v>0.2</v>
      </c>
      <c r="K24" s="106">
        <f>K23+1</f>
        <v>28</v>
      </c>
      <c r="L24" s="108">
        <v>111.82</v>
      </c>
      <c r="N24" s="106">
        <f>N23+1</f>
        <v>28</v>
      </c>
      <c r="O24" s="108">
        <v>0</v>
      </c>
      <c r="P24" s="108">
        <v>0.36</v>
      </c>
      <c r="Q24" s="108">
        <v>0.73</v>
      </c>
      <c r="R24" s="108">
        <v>1.1</v>
      </c>
      <c r="S24" s="108">
        <v>1.47</v>
      </c>
      <c r="T24" s="108">
        <v>1.84</v>
      </c>
      <c r="U24" s="108">
        <v>2.22</v>
      </c>
      <c r="V24" s="108">
        <v>2.6</v>
      </c>
      <c r="W24" s="108">
        <v>3.38</v>
      </c>
      <c r="X24" s="108">
        <v>4.17</v>
      </c>
      <c r="Y24" s="108">
        <v>5.37</v>
      </c>
      <c r="AA24" s="142" t="s">
        <v>78</v>
      </c>
      <c r="AB24" s="138"/>
      <c r="AC24" s="138"/>
      <c r="AD24" s="139"/>
      <c r="AE24" s="140">
        <f>ROUND(AM26*VLOOKUP(FREQUENCY,MODAL_FAC,2,1),0)*FREQUENCY</f>
        <v>38277</v>
      </c>
      <c r="AG24" s="154" t="s">
        <v>79</v>
      </c>
      <c r="AH24" s="155">
        <f>ROUND(AH23*(1-STAFF_DISCOUNT*(STAFF_IND="Yes")),2)</f>
        <v>102.1</v>
      </c>
      <c r="AI24" s="156">
        <f>ROUND(AI23*(1-STAFF_DISCOUNT*(STAFF_IND="Yes")*0),2)</f>
        <v>102.1</v>
      </c>
      <c r="AJ24" s="163"/>
      <c r="AU24" s="182" t="s">
        <v>80</v>
      </c>
    </row>
    <row r="25" ht="15" spans="11:41">
      <c r="K25" s="106">
        <f>K24+1</f>
        <v>29</v>
      </c>
      <c r="L25" s="108">
        <v>111.95</v>
      </c>
      <c r="N25" s="106">
        <f>N24+1</f>
        <v>29</v>
      </c>
      <c r="O25" s="108">
        <v>0</v>
      </c>
      <c r="P25" s="108">
        <v>0.38</v>
      </c>
      <c r="Q25" s="108">
        <v>0.77</v>
      </c>
      <c r="R25" s="108">
        <v>1.16</v>
      </c>
      <c r="S25" s="108">
        <v>1.55</v>
      </c>
      <c r="T25" s="108">
        <v>1.95</v>
      </c>
      <c r="U25" s="108">
        <v>2.35</v>
      </c>
      <c r="V25" s="108">
        <v>2.76</v>
      </c>
      <c r="W25" s="108">
        <v>3.58</v>
      </c>
      <c r="X25" s="108">
        <v>4.41</v>
      </c>
      <c r="Y25" s="108">
        <v>5.7</v>
      </c>
      <c r="AA25" s="138" t="s">
        <v>81</v>
      </c>
      <c r="AB25" s="138"/>
      <c r="AC25" s="138"/>
      <c r="AD25" s="139"/>
      <c r="AE25" s="140">
        <f>ROUND(AM27*VLOOKUP(FREQUENCY,MODAL_FAC,2,1),0)*FREQUENCY</f>
        <v>0</v>
      </c>
      <c r="AG25" s="154" t="s">
        <v>82</v>
      </c>
      <c r="AH25" s="164">
        <f>(EMR_IND="Yes")*INDEX(EMR_TAB,MATCH(AGE,Assumptions!$N$2:$N$51,0),HLOOKUP(EMR,Assumptions!$N$2:$Y$3,2,1))</f>
        <v>0</v>
      </c>
      <c r="AI25" s="165">
        <f>(EMR_IND="Yes")*INDEX(EMR_TAB,MATCH(AGE,Assumptions!$N$2:$N$51,0),HLOOKUP(EMR,Assumptions!$N$2:$Y$3,2,TRUE))</f>
        <v>0</v>
      </c>
      <c r="AJ25" s="163"/>
      <c r="AK25" s="150" t="s">
        <v>56</v>
      </c>
      <c r="AL25" s="151"/>
      <c r="AM25" s="152" t="s">
        <v>57</v>
      </c>
      <c r="AN25" s="166" t="s">
        <v>58</v>
      </c>
      <c r="AO25" s="152" t="s">
        <v>59</v>
      </c>
    </row>
    <row r="26" ht="15" spans="11:41">
      <c r="K26" s="106">
        <f>K25+1</f>
        <v>30</v>
      </c>
      <c r="L26" s="108">
        <v>112.1</v>
      </c>
      <c r="N26" s="106">
        <f>N25+1</f>
        <v>30</v>
      </c>
      <c r="O26" s="108">
        <v>0</v>
      </c>
      <c r="P26" s="108">
        <v>0.41</v>
      </c>
      <c r="Q26" s="108">
        <v>0.82</v>
      </c>
      <c r="R26" s="108">
        <v>1.23</v>
      </c>
      <c r="S26" s="108">
        <v>1.65</v>
      </c>
      <c r="T26" s="108">
        <v>2.08</v>
      </c>
      <c r="U26" s="108">
        <v>2.5</v>
      </c>
      <c r="V26" s="108">
        <v>2.94</v>
      </c>
      <c r="W26" s="108">
        <v>3.81</v>
      </c>
      <c r="X26" s="108">
        <v>4.71</v>
      </c>
      <c r="Y26" s="108">
        <v>6.08</v>
      </c>
      <c r="AA26" s="138" t="s">
        <v>83</v>
      </c>
      <c r="AB26" s="138"/>
      <c r="AC26" s="138"/>
      <c r="AD26" s="139"/>
      <c r="AE26" s="140">
        <f>AO29</f>
        <v>39138</v>
      </c>
      <c r="AG26" s="154" t="s">
        <v>20</v>
      </c>
      <c r="AH26" s="164">
        <f>NASP_EXTRA*(NASP_IND="Yes")</f>
        <v>0</v>
      </c>
      <c r="AI26" s="165">
        <f>NASP_EXTRA*(NASP_IND="Yes")</f>
        <v>0</v>
      </c>
      <c r="AJ26" s="163"/>
      <c r="AK26" s="157" t="s">
        <v>84</v>
      </c>
      <c r="AL26" s="158"/>
      <c r="AM26" s="167">
        <f>SA/1000*AI29</f>
        <v>38277.4942</v>
      </c>
      <c r="AN26" s="160"/>
      <c r="AO26" s="180"/>
    </row>
    <row r="27" ht="15" spans="11:41">
      <c r="K27" s="106">
        <f>K26+1</f>
        <v>31</v>
      </c>
      <c r="L27" s="108">
        <v>112.26</v>
      </c>
      <c r="N27" s="106">
        <f>N26+1</f>
        <v>31</v>
      </c>
      <c r="O27" s="108">
        <v>0</v>
      </c>
      <c r="P27" s="108">
        <v>0.44</v>
      </c>
      <c r="Q27" s="108">
        <v>0.88</v>
      </c>
      <c r="R27" s="108">
        <v>1.32</v>
      </c>
      <c r="S27" s="108">
        <v>1.77</v>
      </c>
      <c r="T27" s="108">
        <v>2.23</v>
      </c>
      <c r="U27" s="108">
        <v>2.69</v>
      </c>
      <c r="V27" s="108">
        <v>3.15</v>
      </c>
      <c r="W27" s="108">
        <v>4.09</v>
      </c>
      <c r="X27" s="108">
        <v>5.06</v>
      </c>
      <c r="Y27" s="108">
        <v>6.54</v>
      </c>
      <c r="AA27" s="131"/>
      <c r="AB27" s="131"/>
      <c r="AC27" s="131"/>
      <c r="AD27" s="131"/>
      <c r="AE27" s="131"/>
      <c r="AF27" s="131"/>
      <c r="AG27" s="154" t="s">
        <v>17</v>
      </c>
      <c r="AH27" s="164">
        <f>FLAT_Extra*(FLAT_EXTRA_IND="Yes")</f>
        <v>0</v>
      </c>
      <c r="AI27" s="165">
        <f>FLAT_Extra*(FLAT_EXTRA_IND="Yes")</f>
        <v>0</v>
      </c>
      <c r="AJ27" s="163"/>
      <c r="AK27" s="157" t="s">
        <v>85</v>
      </c>
      <c r="AL27" s="158"/>
      <c r="AM27" s="167">
        <f>SA/1000*AI30</f>
        <v>0</v>
      </c>
      <c r="AN27" s="161"/>
      <c r="AO27" s="181"/>
    </row>
    <row r="28" ht="15" spans="11:41">
      <c r="K28" s="106">
        <f>K27+1</f>
        <v>32</v>
      </c>
      <c r="L28" s="108">
        <v>112.43</v>
      </c>
      <c r="N28" s="106">
        <f>N27+1</f>
        <v>32</v>
      </c>
      <c r="O28" s="108">
        <v>0</v>
      </c>
      <c r="P28" s="108">
        <v>0.47</v>
      </c>
      <c r="Q28" s="108">
        <v>0.95</v>
      </c>
      <c r="R28" s="108">
        <v>1.43</v>
      </c>
      <c r="S28" s="108">
        <v>1.91</v>
      </c>
      <c r="T28" s="108">
        <v>2.4</v>
      </c>
      <c r="U28" s="108">
        <v>2.9</v>
      </c>
      <c r="V28" s="108">
        <v>3.4</v>
      </c>
      <c r="W28" s="108">
        <v>4.42</v>
      </c>
      <c r="X28" s="108">
        <v>5.47</v>
      </c>
      <c r="Y28" s="108">
        <v>7.08</v>
      </c>
      <c r="AA28" s="143" t="s">
        <v>86</v>
      </c>
      <c r="AB28" s="138"/>
      <c r="AC28" s="138"/>
      <c r="AD28" s="139"/>
      <c r="AE28" s="140">
        <f>MAX(SA,10*AP_YR2_EXCL_ST)</f>
        <v>382770</v>
      </c>
      <c r="AG28" s="154" t="s">
        <v>87</v>
      </c>
      <c r="AH28" s="164">
        <f>MAX((MMR_EXTRA*(MMR_IND="Yes")-1),0)*AH24</f>
        <v>0</v>
      </c>
      <c r="AI28" s="165">
        <f>MAX((MMR_EXTRA*(MMR_IND="Yes")-1),0)*AI24</f>
        <v>0</v>
      </c>
      <c r="AJ28" s="163"/>
      <c r="AK28" s="157" t="s">
        <v>88</v>
      </c>
      <c r="AL28" s="158"/>
      <c r="AM28" s="167">
        <f>AM26+AM27</f>
        <v>38277.4942</v>
      </c>
      <c r="AN28" s="168"/>
      <c r="AO28" s="185"/>
    </row>
    <row r="29" ht="15" spans="11:41">
      <c r="K29" s="106">
        <f>K28+1</f>
        <v>33</v>
      </c>
      <c r="L29" s="108">
        <v>112.61</v>
      </c>
      <c r="N29" s="106">
        <f>N28+1</f>
        <v>33</v>
      </c>
      <c r="O29" s="108">
        <v>0</v>
      </c>
      <c r="P29" s="108">
        <v>0.51</v>
      </c>
      <c r="Q29" s="108">
        <v>1.03</v>
      </c>
      <c r="R29" s="108">
        <v>1.55</v>
      </c>
      <c r="S29" s="108">
        <v>2.08</v>
      </c>
      <c r="T29" s="108">
        <v>2.61</v>
      </c>
      <c r="U29" s="108">
        <v>3.15</v>
      </c>
      <c r="V29" s="108">
        <v>3.7</v>
      </c>
      <c r="W29" s="108">
        <v>4.81</v>
      </c>
      <c r="X29" s="108">
        <v>5.96</v>
      </c>
      <c r="Y29" s="108">
        <v>7.73</v>
      </c>
      <c r="AA29" s="143" t="s">
        <v>89</v>
      </c>
      <c r="AB29" s="138"/>
      <c r="AC29" s="138"/>
      <c r="AD29" s="139"/>
      <c r="AE29" s="140">
        <f>'MB-BI'!D23</f>
        <v>356156.9</v>
      </c>
      <c r="AG29" s="169" t="s">
        <v>90</v>
      </c>
      <c r="AH29" s="164">
        <f>AH24</f>
        <v>102.1</v>
      </c>
      <c r="AI29" s="170">
        <f>AI24</f>
        <v>102.1</v>
      </c>
      <c r="AK29" s="157" t="s">
        <v>91</v>
      </c>
      <c r="AL29" s="158"/>
      <c r="AM29" s="171">
        <f>ROUND(AM28*VLOOKUP(FREQUENCY,MODAL_FAC,2,1),0)</f>
        <v>38277</v>
      </c>
      <c r="AN29" s="172">
        <f>ROUND(AM29*(Input!C25),0)</f>
        <v>861</v>
      </c>
      <c r="AO29" s="186">
        <f>AM29+AN29</f>
        <v>39138</v>
      </c>
    </row>
    <row r="30" ht="15" spans="11:41">
      <c r="K30" s="106">
        <f>K29+1</f>
        <v>34</v>
      </c>
      <c r="L30" s="108">
        <v>112.8</v>
      </c>
      <c r="N30" s="106">
        <f>N29+1</f>
        <v>34</v>
      </c>
      <c r="O30" s="108">
        <v>0</v>
      </c>
      <c r="P30" s="108">
        <v>0.56</v>
      </c>
      <c r="Q30" s="108">
        <v>1.12</v>
      </c>
      <c r="R30" s="108">
        <v>1.69</v>
      </c>
      <c r="S30" s="108">
        <v>2.27</v>
      </c>
      <c r="T30" s="108">
        <v>2.85</v>
      </c>
      <c r="U30" s="108">
        <v>3.45</v>
      </c>
      <c r="V30" s="108">
        <v>4.05</v>
      </c>
      <c r="W30" s="108">
        <v>5.27</v>
      </c>
      <c r="X30" s="108">
        <v>6.53</v>
      </c>
      <c r="Y30" s="108">
        <v>8.49</v>
      </c>
      <c r="AA30" s="143" t="s">
        <v>92</v>
      </c>
      <c r="AB30" s="138"/>
      <c r="AC30" s="138"/>
      <c r="AD30" s="139"/>
      <c r="AE30" s="140">
        <f>'MB-BI'!D24</f>
        <v>421764.75</v>
      </c>
      <c r="AG30" s="173" t="s">
        <v>93</v>
      </c>
      <c r="AH30" s="174">
        <f>SUM(AH25:AH28)</f>
        <v>0</v>
      </c>
      <c r="AI30" s="175">
        <f>SUM(AI25:AI28)</f>
        <v>0</v>
      </c>
      <c r="AM30" s="176"/>
      <c r="AN30" s="146"/>
      <c r="AO30" s="146"/>
    </row>
    <row r="31" spans="11:40">
      <c r="K31" s="106">
        <f>K30+1</f>
        <v>35</v>
      </c>
      <c r="L31" s="108">
        <v>113</v>
      </c>
      <c r="N31" s="106">
        <f>N30+1</f>
        <v>35</v>
      </c>
      <c r="O31" s="108">
        <v>0</v>
      </c>
      <c r="P31" s="108">
        <v>0.61</v>
      </c>
      <c r="Q31" s="108">
        <v>1.23</v>
      </c>
      <c r="R31" s="108">
        <v>1.85</v>
      </c>
      <c r="S31" s="108">
        <v>2.49</v>
      </c>
      <c r="T31" s="108">
        <v>3.13</v>
      </c>
      <c r="U31" s="108">
        <v>3.79</v>
      </c>
      <c r="V31" s="108">
        <v>4.45</v>
      </c>
      <c r="W31" s="108">
        <v>5.81</v>
      </c>
      <c r="X31" s="108">
        <v>7.2</v>
      </c>
      <c r="Y31" s="108">
        <v>9.38</v>
      </c>
      <c r="AA31" s="131"/>
      <c r="AB31" s="144"/>
      <c r="AC31" s="144"/>
      <c r="AD31" s="145"/>
      <c r="AE31" s="141"/>
      <c r="AM31" s="177"/>
      <c r="AN31" s="178"/>
    </row>
    <row r="32" spans="11:48">
      <c r="K32" s="106">
        <f>K31+1</f>
        <v>36</v>
      </c>
      <c r="L32" s="108">
        <v>113.23</v>
      </c>
      <c r="N32" s="106">
        <f>N31+1</f>
        <v>36</v>
      </c>
      <c r="O32" s="108">
        <v>0</v>
      </c>
      <c r="P32" s="108">
        <v>0.67</v>
      </c>
      <c r="Q32" s="108">
        <v>1.35</v>
      </c>
      <c r="R32" s="108">
        <v>2.04</v>
      </c>
      <c r="S32" s="108">
        <v>2.75</v>
      </c>
      <c r="T32" s="108">
        <v>3.46</v>
      </c>
      <c r="U32" s="108">
        <v>4.19</v>
      </c>
      <c r="V32" s="108">
        <v>4.92</v>
      </c>
      <c r="W32" s="108">
        <v>6.43</v>
      </c>
      <c r="X32" s="108">
        <v>7.99</v>
      </c>
      <c r="Y32" s="108">
        <v>10.42</v>
      </c>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row>
    <row r="33" spans="11:25">
      <c r="K33" s="106">
        <f>K32+1</f>
        <v>37</v>
      </c>
      <c r="L33" s="108">
        <v>113.49</v>
      </c>
      <c r="N33" s="106">
        <f>N32+1</f>
        <v>37</v>
      </c>
      <c r="O33" s="108">
        <v>0</v>
      </c>
      <c r="P33" s="108">
        <v>0.74</v>
      </c>
      <c r="Q33" s="108">
        <v>1.5</v>
      </c>
      <c r="R33" s="108">
        <v>2.26</v>
      </c>
      <c r="S33" s="108">
        <v>3.04</v>
      </c>
      <c r="T33" s="108">
        <v>3.84</v>
      </c>
      <c r="U33" s="108">
        <v>4.64</v>
      </c>
      <c r="V33" s="108">
        <v>5.47</v>
      </c>
      <c r="W33" s="108">
        <v>7.15</v>
      </c>
      <c r="X33" s="108">
        <v>8.9</v>
      </c>
      <c r="Y33" s="108">
        <v>11.64</v>
      </c>
    </row>
    <row r="34" spans="11:25">
      <c r="K34" s="106">
        <f>K33+1</f>
        <v>38</v>
      </c>
      <c r="L34" s="108">
        <v>113.79</v>
      </c>
      <c r="N34" s="106">
        <f>N33+1</f>
        <v>38</v>
      </c>
      <c r="O34" s="108">
        <v>0</v>
      </c>
      <c r="P34" s="108">
        <v>0.82</v>
      </c>
      <c r="Q34" s="108">
        <v>1.66</v>
      </c>
      <c r="R34" s="108">
        <v>2.51</v>
      </c>
      <c r="S34" s="108">
        <v>3.38</v>
      </c>
      <c r="T34" s="108">
        <v>4.27</v>
      </c>
      <c r="U34" s="108">
        <v>5.17</v>
      </c>
      <c r="V34" s="108">
        <v>6.09</v>
      </c>
      <c r="W34" s="108">
        <v>7.99</v>
      </c>
      <c r="X34" s="108">
        <v>9.96</v>
      </c>
      <c r="Y34" s="108">
        <v>13.06</v>
      </c>
    </row>
    <row r="35" spans="11:25">
      <c r="K35" s="106">
        <f>K34+1</f>
        <v>39</v>
      </c>
      <c r="L35" s="108">
        <v>114.12</v>
      </c>
      <c r="N35" s="106">
        <f>N34+1</f>
        <v>39</v>
      </c>
      <c r="O35" s="108">
        <v>0</v>
      </c>
      <c r="P35" s="108">
        <v>0.91</v>
      </c>
      <c r="Q35" s="108">
        <v>1.85</v>
      </c>
      <c r="R35" s="108">
        <v>2.8</v>
      </c>
      <c r="S35" s="108">
        <v>3.77</v>
      </c>
      <c r="T35" s="108">
        <v>4.76</v>
      </c>
      <c r="U35" s="108">
        <v>5.77</v>
      </c>
      <c r="V35" s="108">
        <v>6.81</v>
      </c>
      <c r="W35" s="108">
        <v>8.94</v>
      </c>
      <c r="X35" s="108">
        <v>11.18</v>
      </c>
      <c r="Y35" s="108">
        <v>14.72</v>
      </c>
    </row>
    <row r="36" spans="11:25">
      <c r="K36" s="106">
        <f>K35+1</f>
        <v>40</v>
      </c>
      <c r="L36" s="108">
        <v>114.49</v>
      </c>
      <c r="N36" s="106">
        <f>N35+1</f>
        <v>40</v>
      </c>
      <c r="O36" s="108">
        <v>0</v>
      </c>
      <c r="P36" s="108">
        <v>1.02</v>
      </c>
      <c r="Q36" s="108">
        <v>2.06</v>
      </c>
      <c r="R36" s="108">
        <v>3.12</v>
      </c>
      <c r="S36" s="108">
        <v>4.21</v>
      </c>
      <c r="T36" s="108">
        <v>5.32</v>
      </c>
      <c r="U36" s="108">
        <v>6.46</v>
      </c>
      <c r="V36" s="108">
        <v>7.64</v>
      </c>
      <c r="W36" s="108">
        <v>10.04</v>
      </c>
      <c r="X36" s="108">
        <v>12.58</v>
      </c>
      <c r="Y36" s="108">
        <v>16.64</v>
      </c>
    </row>
    <row r="37" spans="11:25">
      <c r="K37" s="106">
        <f>K36+1</f>
        <v>41</v>
      </c>
      <c r="L37" s="108">
        <v>114.9</v>
      </c>
      <c r="N37" s="106">
        <f>N36+1</f>
        <v>41</v>
      </c>
      <c r="O37" s="108">
        <v>0</v>
      </c>
      <c r="P37" s="108">
        <v>1.13</v>
      </c>
      <c r="Q37" s="108">
        <v>2.29</v>
      </c>
      <c r="R37" s="108">
        <v>3.48</v>
      </c>
      <c r="S37" s="108">
        <v>4.7</v>
      </c>
      <c r="T37" s="108">
        <v>5.95</v>
      </c>
      <c r="U37" s="108">
        <v>7.25</v>
      </c>
      <c r="V37" s="108">
        <v>8.56</v>
      </c>
      <c r="W37" s="108">
        <v>11.3</v>
      </c>
      <c r="X37" s="108">
        <v>14.2</v>
      </c>
      <c r="Y37" s="108">
        <v>18.9</v>
      </c>
    </row>
    <row r="38" spans="11:25">
      <c r="K38" s="106">
        <f>K37+1</f>
        <v>42</v>
      </c>
      <c r="L38" s="108">
        <v>115.36</v>
      </c>
      <c r="N38" s="106">
        <f>N37+1</f>
        <v>42</v>
      </c>
      <c r="O38" s="108">
        <v>0</v>
      </c>
      <c r="P38" s="108">
        <v>1.26</v>
      </c>
      <c r="Q38" s="108">
        <v>2.56</v>
      </c>
      <c r="R38" s="108">
        <v>3.89</v>
      </c>
      <c r="S38" s="108">
        <v>5.26</v>
      </c>
      <c r="T38" s="108">
        <v>6.67</v>
      </c>
      <c r="U38" s="108">
        <v>8.12</v>
      </c>
      <c r="V38" s="108">
        <v>9.62</v>
      </c>
      <c r="W38" s="108">
        <v>12.75</v>
      </c>
      <c r="X38" s="108">
        <v>16.07</v>
      </c>
      <c r="Y38" s="108">
        <v>21.51</v>
      </c>
    </row>
    <row r="39" spans="11:25">
      <c r="K39" s="106">
        <f>K38+1</f>
        <v>43</v>
      </c>
      <c r="L39" s="108">
        <v>115.87</v>
      </c>
      <c r="N39" s="106">
        <f>N38+1</f>
        <v>43</v>
      </c>
      <c r="O39" s="108">
        <v>0</v>
      </c>
      <c r="P39" s="108">
        <v>1.41</v>
      </c>
      <c r="Q39" s="108">
        <v>2.85</v>
      </c>
      <c r="R39" s="108">
        <v>4.35</v>
      </c>
      <c r="S39" s="108">
        <v>5.89</v>
      </c>
      <c r="T39" s="108">
        <v>7.48</v>
      </c>
      <c r="U39" s="108">
        <v>9.13</v>
      </c>
      <c r="V39" s="108">
        <v>10.83</v>
      </c>
      <c r="W39" s="108">
        <v>14.4</v>
      </c>
      <c r="X39" s="108">
        <v>18.26</v>
      </c>
      <c r="Y39" s="108">
        <v>24.56</v>
      </c>
    </row>
    <row r="40" spans="11:25">
      <c r="K40" s="106">
        <f>K39+1</f>
        <v>44</v>
      </c>
      <c r="L40" s="108">
        <v>116.42</v>
      </c>
      <c r="N40" s="106">
        <f>N39+1</f>
        <v>44</v>
      </c>
      <c r="O40" s="108">
        <v>0</v>
      </c>
      <c r="P40" s="108">
        <v>1.57</v>
      </c>
      <c r="Q40" s="108">
        <v>3.19</v>
      </c>
      <c r="R40" s="108">
        <v>4.87</v>
      </c>
      <c r="S40" s="108">
        <v>6.6</v>
      </c>
      <c r="T40" s="108">
        <v>8.4</v>
      </c>
      <c r="U40" s="108">
        <v>10.27</v>
      </c>
      <c r="V40" s="108">
        <v>12.21</v>
      </c>
      <c r="W40" s="108">
        <v>16.3</v>
      </c>
      <c r="X40" s="108">
        <v>20.77</v>
      </c>
      <c r="Y40" s="108">
        <v>28.14</v>
      </c>
    </row>
    <row r="41" spans="11:25">
      <c r="K41" s="106">
        <f>K40+1</f>
        <v>45</v>
      </c>
      <c r="L41" s="108">
        <v>117</v>
      </c>
      <c r="N41" s="106">
        <f>N40+1</f>
        <v>45</v>
      </c>
      <c r="O41" s="108">
        <v>0</v>
      </c>
      <c r="P41" s="108">
        <v>1.75</v>
      </c>
      <c r="Q41" s="108">
        <v>3.56</v>
      </c>
      <c r="R41" s="108">
        <v>5.45</v>
      </c>
      <c r="S41" s="108">
        <v>7.4</v>
      </c>
      <c r="T41" s="108">
        <v>9.44</v>
      </c>
      <c r="U41" s="108">
        <v>11.57</v>
      </c>
      <c r="V41" s="108">
        <v>13.78</v>
      </c>
      <c r="W41" s="108">
        <v>18.52</v>
      </c>
      <c r="X41" s="108">
        <v>23.68</v>
      </c>
      <c r="Y41" s="108">
        <v>32.37</v>
      </c>
    </row>
    <row r="42" spans="11:25">
      <c r="K42" s="106">
        <f>K41+1</f>
        <v>46</v>
      </c>
      <c r="L42" s="108">
        <v>117.66</v>
      </c>
      <c r="N42" s="106">
        <f>N41+1</f>
        <v>46</v>
      </c>
      <c r="O42" s="108">
        <v>0</v>
      </c>
      <c r="P42" s="108">
        <v>1.95</v>
      </c>
      <c r="Q42" s="108">
        <v>3.98</v>
      </c>
      <c r="R42" s="108">
        <v>6.09</v>
      </c>
      <c r="S42" s="108">
        <v>8.31</v>
      </c>
      <c r="T42" s="108">
        <v>10.62</v>
      </c>
      <c r="U42" s="108">
        <v>13.04</v>
      </c>
      <c r="V42" s="108">
        <v>15.57</v>
      </c>
      <c r="W42" s="108">
        <v>21.05</v>
      </c>
      <c r="X42" s="108">
        <v>27.07</v>
      </c>
      <c r="Y42" s="108">
        <v>37.38</v>
      </c>
    </row>
    <row r="43" spans="11:25">
      <c r="K43" s="106">
        <f>K42+1</f>
        <v>47</v>
      </c>
      <c r="L43" s="108">
        <v>118.4</v>
      </c>
      <c r="N43" s="106">
        <f>N42+1</f>
        <v>47</v>
      </c>
      <c r="O43" s="108">
        <v>0</v>
      </c>
      <c r="P43" s="108">
        <v>2.17</v>
      </c>
      <c r="Q43" s="108">
        <v>4.44</v>
      </c>
      <c r="R43" s="108">
        <v>6.82</v>
      </c>
      <c r="S43" s="108">
        <v>9.32</v>
      </c>
      <c r="T43" s="108">
        <v>11.95</v>
      </c>
      <c r="U43" s="108">
        <v>14.71</v>
      </c>
      <c r="V43" s="108">
        <v>17.64</v>
      </c>
      <c r="W43" s="108">
        <v>23.96</v>
      </c>
      <c r="X43" s="108">
        <v>31.04</v>
      </c>
      <c r="Y43" s="108">
        <v>43.35</v>
      </c>
    </row>
    <row r="44" spans="11:25">
      <c r="K44" s="106">
        <f>K43+1</f>
        <v>48</v>
      </c>
      <c r="L44" s="108">
        <v>119.2</v>
      </c>
      <c r="N44" s="106">
        <f>N43+1</f>
        <v>48</v>
      </c>
      <c r="O44" s="108">
        <v>0</v>
      </c>
      <c r="P44" s="108">
        <v>2.42</v>
      </c>
      <c r="Q44" s="108">
        <v>4.96</v>
      </c>
      <c r="R44" s="108">
        <v>7.64</v>
      </c>
      <c r="S44" s="108">
        <v>10.46</v>
      </c>
      <c r="T44" s="108">
        <v>13.45</v>
      </c>
      <c r="U44" s="108">
        <v>16.63</v>
      </c>
      <c r="V44" s="108">
        <v>19.99</v>
      </c>
      <c r="W44" s="108">
        <v>27.35</v>
      </c>
      <c r="X44" s="108">
        <v>35.69</v>
      </c>
      <c r="Y44" s="108">
        <v>50.55</v>
      </c>
    </row>
    <row r="45" spans="11:25">
      <c r="K45" s="106">
        <f>K44+1</f>
        <v>49</v>
      </c>
      <c r="L45" s="108">
        <v>120.06</v>
      </c>
      <c r="N45" s="106">
        <f>N44+1</f>
        <v>49</v>
      </c>
      <c r="O45" s="108">
        <v>0</v>
      </c>
      <c r="P45" s="108">
        <v>2.69</v>
      </c>
      <c r="Q45" s="108">
        <v>5.54</v>
      </c>
      <c r="R45" s="108">
        <v>8.55</v>
      </c>
      <c r="S45" s="108">
        <v>11.75</v>
      </c>
      <c r="T45" s="108">
        <v>15.15</v>
      </c>
      <c r="U45" s="108">
        <v>18.81</v>
      </c>
      <c r="V45" s="108">
        <v>22.69</v>
      </c>
      <c r="W45" s="108">
        <v>31.28</v>
      </c>
      <c r="X45" s="108">
        <v>41.2</v>
      </c>
      <c r="Y45" s="108">
        <v>59.3</v>
      </c>
    </row>
    <row r="46" spans="11:25">
      <c r="K46" s="106">
        <f>K45+1</f>
        <v>50</v>
      </c>
      <c r="L46" s="108">
        <v>121</v>
      </c>
      <c r="N46" s="106">
        <f>N45+1</f>
        <v>50</v>
      </c>
      <c r="O46" s="108">
        <v>0</v>
      </c>
      <c r="P46" s="108">
        <v>2.98</v>
      </c>
      <c r="Q46" s="108">
        <v>6.18</v>
      </c>
      <c r="R46" s="108">
        <v>9.58</v>
      </c>
      <c r="S46" s="108">
        <v>13.21</v>
      </c>
      <c r="T46" s="108">
        <v>17.12</v>
      </c>
      <c r="U46" s="108">
        <v>21.3</v>
      </c>
      <c r="V46" s="108">
        <v>25.8</v>
      </c>
      <c r="W46" s="108">
        <v>35.89</v>
      </c>
      <c r="X46" s="108">
        <v>47.77</v>
      </c>
      <c r="Y46" s="108">
        <v>70.09</v>
      </c>
    </row>
    <row r="47" spans="11:25">
      <c r="K47" s="106">
        <f>K46+1</f>
        <v>51</v>
      </c>
      <c r="L47" s="108">
        <v>121.99</v>
      </c>
      <c r="N47" s="106">
        <f>N46+1</f>
        <v>51</v>
      </c>
      <c r="O47" s="108">
        <v>0</v>
      </c>
      <c r="P47" s="108">
        <v>3.33</v>
      </c>
      <c r="Q47" s="108">
        <v>6.9</v>
      </c>
      <c r="R47" s="108">
        <v>10.73</v>
      </c>
      <c r="S47" s="108">
        <v>14.88</v>
      </c>
      <c r="T47" s="108">
        <v>19.34</v>
      </c>
      <c r="U47" s="108">
        <v>24.17</v>
      </c>
      <c r="V47" s="108">
        <v>29.4</v>
      </c>
      <c r="W47" s="108">
        <v>41.34</v>
      </c>
      <c r="X47" s="108">
        <v>55.7</v>
      </c>
      <c r="Y47" s="108">
        <v>83.64</v>
      </c>
    </row>
    <row r="48" spans="11:25">
      <c r="K48" s="106">
        <f>K47+1</f>
        <v>52</v>
      </c>
      <c r="L48" s="108">
        <v>123.07</v>
      </c>
      <c r="N48" s="106">
        <f>N47+1</f>
        <v>52</v>
      </c>
      <c r="O48" s="108">
        <v>0</v>
      </c>
      <c r="P48" s="108">
        <v>3.71</v>
      </c>
      <c r="Q48" s="108">
        <v>7.71</v>
      </c>
      <c r="R48" s="108">
        <v>12.04</v>
      </c>
      <c r="S48" s="108">
        <v>16.77</v>
      </c>
      <c r="T48" s="108">
        <v>21.89</v>
      </c>
      <c r="U48" s="108">
        <v>27.49</v>
      </c>
      <c r="V48" s="108">
        <v>33.62</v>
      </c>
      <c r="W48" s="108">
        <v>47.84</v>
      </c>
      <c r="X48" s="108">
        <v>65.4</v>
      </c>
      <c r="Y48" s="108">
        <v>101.16</v>
      </c>
    </row>
    <row r="49" spans="11:25">
      <c r="K49" s="106">
        <f>K48+1</f>
        <v>53</v>
      </c>
      <c r="L49" s="108">
        <v>124.27</v>
      </c>
      <c r="N49" s="106">
        <f>N48+1</f>
        <v>53</v>
      </c>
      <c r="O49" s="108">
        <v>0</v>
      </c>
      <c r="P49" s="108">
        <v>4.12</v>
      </c>
      <c r="Q49" s="108">
        <v>8.62</v>
      </c>
      <c r="R49" s="108">
        <v>13.55</v>
      </c>
      <c r="S49" s="108">
        <v>18.92</v>
      </c>
      <c r="T49" s="108">
        <v>24.84</v>
      </c>
      <c r="U49" s="108">
        <v>31.36</v>
      </c>
      <c r="V49" s="108">
        <v>38.59</v>
      </c>
      <c r="W49" s="108">
        <v>55.69</v>
      </c>
      <c r="X49" s="108">
        <v>77.49</v>
      </c>
      <c r="Y49" s="108">
        <v>124.35</v>
      </c>
    </row>
    <row r="50" spans="11:25">
      <c r="K50" s="106">
        <f>K49+1</f>
        <v>54</v>
      </c>
      <c r="L50" s="108">
        <v>125.56</v>
      </c>
      <c r="N50" s="106">
        <f>N49+1</f>
        <v>54</v>
      </c>
      <c r="O50" s="108">
        <v>0</v>
      </c>
      <c r="P50" s="108">
        <v>4.62</v>
      </c>
      <c r="Q50" s="108">
        <v>9.68</v>
      </c>
      <c r="R50" s="108">
        <v>15.29</v>
      </c>
      <c r="S50" s="108">
        <v>21.46</v>
      </c>
      <c r="T50" s="108">
        <v>28.32</v>
      </c>
      <c r="U50" s="108">
        <v>35.98</v>
      </c>
      <c r="V50" s="108">
        <v>44.58</v>
      </c>
      <c r="W50" s="108">
        <v>65.41</v>
      </c>
      <c r="X50" s="108">
        <v>92.98</v>
      </c>
      <c r="Y50" s="108">
        <v>156.53</v>
      </c>
    </row>
    <row r="51" spans="11:25">
      <c r="K51" s="106">
        <f>K50+1</f>
        <v>55</v>
      </c>
      <c r="L51" s="108">
        <v>127</v>
      </c>
      <c r="N51" s="106">
        <f>N50+1</f>
        <v>55</v>
      </c>
      <c r="O51" s="108">
        <v>0</v>
      </c>
      <c r="P51" s="108">
        <v>5.17</v>
      </c>
      <c r="Q51" s="108">
        <v>10.92</v>
      </c>
      <c r="R51" s="108">
        <v>17.29</v>
      </c>
      <c r="S51" s="108">
        <v>24.42</v>
      </c>
      <c r="T51" s="108">
        <v>32.43</v>
      </c>
      <c r="U51" s="108">
        <v>41.51</v>
      </c>
      <c r="V51" s="108">
        <v>51.86</v>
      </c>
      <c r="W51" s="108">
        <v>77.65</v>
      </c>
      <c r="X51" s="108">
        <v>113.57</v>
      </c>
      <c r="Y51" s="108">
        <v>203.84</v>
      </c>
    </row>
  </sheetData>
  <mergeCells count="23">
    <mergeCell ref="K1:L1"/>
    <mergeCell ref="AA1:AB1"/>
    <mergeCell ref="B2:C2"/>
    <mergeCell ref="F2:I2"/>
    <mergeCell ref="B11:C11"/>
    <mergeCell ref="B16:C16"/>
    <mergeCell ref="AK20:AL20"/>
    <mergeCell ref="AA21:AD21"/>
    <mergeCell ref="AK21:AL21"/>
    <mergeCell ref="AA22:AD22"/>
    <mergeCell ref="AK22:AL22"/>
    <mergeCell ref="AA23:AD23"/>
    <mergeCell ref="AK23:AL23"/>
    <mergeCell ref="AA24:AD24"/>
    <mergeCell ref="AA25:AD25"/>
    <mergeCell ref="AA26:AD26"/>
    <mergeCell ref="AK26:AL26"/>
    <mergeCell ref="AK27:AL27"/>
    <mergeCell ref="AA28:AD28"/>
    <mergeCell ref="AK28:AL28"/>
    <mergeCell ref="AA29:AD29"/>
    <mergeCell ref="AK29:AL29"/>
    <mergeCell ref="AA30:AD30"/>
  </mergeCells>
  <pageMargins left="0.699305555555556" right="0.699305555555556" top="0.75" bottom="0.75" header="0.3" footer="0.3"/>
  <pageSetup paperSize="1"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98"/>
  <sheetViews>
    <sheetView showGridLines="0" zoomScale="80" zoomScaleNormal="80" topLeftCell="A13" workbookViewId="0">
      <selection activeCell="D39" sqref="D39"/>
    </sheetView>
  </sheetViews>
  <sheetFormatPr defaultColWidth="9" defaultRowHeight="14.25"/>
  <cols>
    <col min="1" max="1" width="2.85833333333333" customWidth="1"/>
    <col min="2" max="2" width="9.14166666666667" style="14"/>
    <col min="3" max="3" width="26.575" customWidth="1"/>
    <col min="4" max="4" width="34.575" customWidth="1"/>
    <col min="5" max="5" width="17.2833333333333" customWidth="1"/>
    <col min="6" max="6" width="14.425" customWidth="1"/>
    <col min="7" max="7" width="18.2833333333333" customWidth="1"/>
    <col min="8" max="8" width="18.7166666666667" customWidth="1"/>
    <col min="9" max="9" width="18.2833333333333" customWidth="1"/>
    <col min="10" max="10" width="21" style="14" customWidth="1"/>
    <col min="11" max="11" width="21.2833333333333" style="14" customWidth="1"/>
    <col min="12" max="12" width="21.1416666666667" style="14" customWidth="1"/>
  </cols>
  <sheetData>
    <row r="1" s="14" customFormat="1" ht="15" spans="2:6">
      <c r="B1" s="18" t="s">
        <v>94</v>
      </c>
      <c r="F1" s="19"/>
    </row>
    <row r="2" s="14" customFormat="1"/>
    <row r="3" s="14" customFormat="1"/>
    <row r="4" s="14" customFormat="1"/>
    <row r="5" s="14" customFormat="1"/>
    <row r="6" s="14" customFormat="1"/>
    <row r="7" s="14" customFormat="1"/>
    <row r="8" s="14" customFormat="1"/>
    <row r="9" s="15" customFormat="1" spans="2:2">
      <c r="B9" s="15" t="s">
        <v>95</v>
      </c>
    </row>
    <row r="10" s="15" customFormat="1" spans="2:2">
      <c r="B10" s="15" t="s">
        <v>96</v>
      </c>
    </row>
    <row r="11" s="15" customFormat="1"/>
    <row r="12" s="15" customFormat="1" ht="18" spans="2:10">
      <c r="B12" s="20" t="s">
        <v>97</v>
      </c>
      <c r="C12" s="21"/>
      <c r="D12" s="21"/>
      <c r="E12" s="21"/>
      <c r="F12" s="20" t="s">
        <v>98</v>
      </c>
      <c r="G12" s="21"/>
      <c r="H12" s="21"/>
      <c r="I12" s="21"/>
      <c r="J12" s="21"/>
    </row>
    <row r="13" s="15" customFormat="1" spans="2:10">
      <c r="B13" s="22" t="s">
        <v>99</v>
      </c>
      <c r="C13" s="22"/>
      <c r="D13" s="23" t="e">
        <f>Input!#REF!</f>
        <v>#REF!</v>
      </c>
      <c r="E13" s="24"/>
      <c r="F13" s="22" t="s">
        <v>100</v>
      </c>
      <c r="G13" s="22"/>
      <c r="H13" s="22" t="s">
        <v>101</v>
      </c>
      <c r="I13" s="22"/>
      <c r="J13" s="22" t="s">
        <v>102</v>
      </c>
    </row>
    <row r="14" s="15" customFormat="1" ht="52.5" customHeight="1" spans="2:10">
      <c r="B14" s="22" t="s">
        <v>103</v>
      </c>
      <c r="C14" s="22"/>
      <c r="D14" s="22">
        <f>AGE</f>
        <v>30</v>
      </c>
      <c r="E14" s="22"/>
      <c r="F14" s="22" t="s">
        <v>104</v>
      </c>
      <c r="G14" s="22"/>
      <c r="H14" s="25" t="s">
        <v>105</v>
      </c>
      <c r="I14" s="25"/>
      <c r="J14" s="22"/>
    </row>
    <row r="15" s="15" customFormat="1" ht="20.25" customHeight="1" spans="2:10">
      <c r="B15" s="22" t="s">
        <v>106</v>
      </c>
      <c r="C15" s="22"/>
      <c r="D15" s="26" t="s">
        <v>107</v>
      </c>
      <c r="E15" s="22"/>
      <c r="F15" s="22"/>
      <c r="G15" s="22"/>
      <c r="H15" s="25"/>
      <c r="I15" s="25"/>
      <c r="J15" s="22"/>
    </row>
    <row r="16" s="15" customFormat="1" spans="2:10">
      <c r="B16" s="22" t="s">
        <v>6</v>
      </c>
      <c r="C16" s="22"/>
      <c r="D16" s="26" t="str">
        <f>Input!C7</f>
        <v>FEMALE</v>
      </c>
      <c r="E16" s="22"/>
      <c r="F16" s="22"/>
      <c r="G16" s="22"/>
      <c r="H16" s="22"/>
      <c r="I16" s="22"/>
      <c r="J16" s="22"/>
    </row>
    <row r="17" s="15" customFormat="1" spans="2:10">
      <c r="B17" s="22"/>
      <c r="C17" s="22"/>
      <c r="D17" s="22"/>
      <c r="E17" s="22"/>
      <c r="F17" s="22"/>
      <c r="G17" s="22"/>
      <c r="H17" s="22"/>
      <c r="I17" s="22"/>
      <c r="J17" s="22"/>
    </row>
    <row r="18" s="15" customFormat="1" spans="2:10">
      <c r="B18" s="22" t="s">
        <v>4</v>
      </c>
      <c r="C18" s="22"/>
      <c r="D18" s="27">
        <f>Input!C5</f>
        <v>41465</v>
      </c>
      <c r="E18" s="22"/>
      <c r="F18" s="22" t="s">
        <v>108</v>
      </c>
      <c r="G18" s="22"/>
      <c r="H18" s="26">
        <f>PT</f>
        <v>15</v>
      </c>
      <c r="I18" s="22" t="s">
        <v>109</v>
      </c>
      <c r="J18" s="22"/>
    </row>
    <row r="19" s="15" customFormat="1" spans="2:10">
      <c r="B19" s="22"/>
      <c r="C19" s="28"/>
      <c r="D19" s="22"/>
      <c r="E19" s="22"/>
      <c r="F19" s="22"/>
      <c r="G19" s="22"/>
      <c r="H19" s="22"/>
      <c r="I19" s="22"/>
      <c r="J19" s="22"/>
    </row>
    <row r="20" s="15" customFormat="1" ht="24.75" customHeight="1" spans="2:10">
      <c r="B20" s="22" t="s">
        <v>110</v>
      </c>
      <c r="C20" s="22"/>
      <c r="D20" s="29">
        <f>SA</f>
        <v>374902</v>
      </c>
      <c r="E20" s="22"/>
      <c r="F20" s="22" t="s">
        <v>111</v>
      </c>
      <c r="G20" s="22"/>
      <c r="H20" s="26">
        <f>PPT</f>
        <v>11</v>
      </c>
      <c r="I20" s="22" t="s">
        <v>109</v>
      </c>
      <c r="J20" s="22"/>
    </row>
    <row r="21" s="15" customFormat="1" spans="2:8">
      <c r="B21" s="22" t="s">
        <v>112</v>
      </c>
      <c r="C21" s="22"/>
      <c r="D21" s="30">
        <f>DB_SA</f>
        <v>382770</v>
      </c>
      <c r="E21" s="22"/>
      <c r="F21" s="22" t="s">
        <v>113</v>
      </c>
      <c r="G21" s="22"/>
      <c r="H21" s="26" t="str">
        <f>IF(FREQUENCY=12,"Monthly","Yearly")</f>
        <v>Yearly</v>
      </c>
    </row>
    <row r="22" s="15" customFormat="1" ht="21.75" customHeight="1" spans="2:9">
      <c r="B22" s="28"/>
      <c r="C22" s="28"/>
      <c r="D22" s="28"/>
      <c r="E22" s="22"/>
      <c r="F22" s="22" t="s">
        <v>114</v>
      </c>
      <c r="G22" s="22"/>
      <c r="H22" s="31">
        <f>D31</f>
        <v>38277</v>
      </c>
      <c r="I22" s="76"/>
    </row>
    <row r="23" s="15" customFormat="1" ht="21" customHeight="1" spans="2:8">
      <c r="B23" s="22" t="s">
        <v>89</v>
      </c>
      <c r="C23" s="22"/>
      <c r="D23" s="29">
        <f>J46+H44</f>
        <v>356156.9</v>
      </c>
      <c r="E23" s="22"/>
      <c r="F23" s="22" t="s">
        <v>115</v>
      </c>
      <c r="G23" s="22"/>
      <c r="H23" s="31">
        <f>INSTL_YR2</f>
        <v>39138</v>
      </c>
    </row>
    <row r="24" s="15" customFormat="1" spans="2:10">
      <c r="B24" s="22" t="s">
        <v>92</v>
      </c>
      <c r="C24" s="22"/>
      <c r="D24" s="29">
        <f>K46+H44</f>
        <v>421764.75</v>
      </c>
      <c r="E24" s="22"/>
      <c r="F24" s="22"/>
      <c r="G24" s="22"/>
      <c r="H24" s="22"/>
      <c r="I24" s="22"/>
      <c r="J24" s="22"/>
    </row>
    <row r="25" s="15" customFormat="1"/>
    <row r="26" s="14" customFormat="1" spans="2:2">
      <c r="B26" s="14" t="s">
        <v>116</v>
      </c>
    </row>
    <row r="27" s="14" customFormat="1"/>
    <row r="28" s="14" customFormat="1" ht="15.75" customHeight="1" spans="2:11">
      <c r="B28" s="15"/>
      <c r="C28" s="15"/>
      <c r="D28" s="15"/>
      <c r="E28"/>
      <c r="F28"/>
      <c r="G28" s="32" t="s">
        <v>117</v>
      </c>
      <c r="H28" s="33"/>
      <c r="I28" s="77"/>
      <c r="J28" s="32" t="s">
        <v>118</v>
      </c>
      <c r="K28" s="77"/>
    </row>
    <row r="29" s="14" customFormat="1" ht="60" spans="2:11">
      <c r="B29" s="34" t="s">
        <v>119</v>
      </c>
      <c r="C29" s="35" t="s">
        <v>120</v>
      </c>
      <c r="D29" s="36" t="s">
        <v>121</v>
      </c>
      <c r="E29" s="37" t="s">
        <v>122</v>
      </c>
      <c r="F29" s="38" t="s">
        <v>123</v>
      </c>
      <c r="G29" s="39" t="s">
        <v>124</v>
      </c>
      <c r="H29" s="40" t="s">
        <v>125</v>
      </c>
      <c r="I29" s="78" t="s">
        <v>126</v>
      </c>
      <c r="J29" s="79" t="s">
        <v>127</v>
      </c>
      <c r="K29" s="80" t="s">
        <v>128</v>
      </c>
    </row>
    <row r="30" s="14" customFormat="1" spans="2:11">
      <c r="B30" s="41">
        <v>1</v>
      </c>
      <c r="C30" s="42">
        <f>AGE+B30-1</f>
        <v>30</v>
      </c>
      <c r="D30" s="43">
        <f>FREQUENCY*Assumptions!AM23</f>
        <v>38277</v>
      </c>
      <c r="E30" s="44">
        <f>ROUND(D30*((3.75%)*(B30=1)+(1.875%)*(B30&gt;=2)),2)</f>
        <v>1435.39</v>
      </c>
      <c r="F30" s="45">
        <f>D30+E30</f>
        <v>39712.39</v>
      </c>
      <c r="G30" s="46">
        <f>DB_SA</f>
        <v>382770</v>
      </c>
      <c r="H30" s="47">
        <f>(MB_TIME1=B30)*SA*MB_SA1+(MB_TIME2=B30)*SA*MB_SA2+(MB_TIME3=B30)*SA*MB_SA3+(PT=B30)*(1-MB_SA1-MB_SA2-MB_SA3)*SA</f>
        <v>0</v>
      </c>
      <c r="I30" s="81">
        <f>MAX(VLOOKUP(B30,GSV_TAB,3,1)*(AP_YR1_EXCL_ST+AP_YR2_EXCL_ST*MIN(B30-1,PPT-1))-SUM($H$30:H30),0)</f>
        <v>0</v>
      </c>
      <c r="J30" s="82">
        <f>AB_SC1*SA*B30</f>
        <v>7498.04</v>
      </c>
      <c r="K30" s="83">
        <f>AB_SC2*B30*SA</f>
        <v>9372.55</v>
      </c>
    </row>
    <row r="31" s="14" customFormat="1" spans="2:11">
      <c r="B31" s="48">
        <v>2</v>
      </c>
      <c r="C31" s="49">
        <f>AGE+B31-1</f>
        <v>31</v>
      </c>
      <c r="D31" s="50">
        <f>(B31&lt;=PPT)*FREQUENCY*Assumptions!$AM$29</f>
        <v>38277</v>
      </c>
      <c r="E31" s="44">
        <f t="shared" ref="E31:E44" si="0">ROUND(D31*((3.75%)*(B31=1)+(1.875%)*(B31&gt;=2)),2)</f>
        <v>717.69</v>
      </c>
      <c r="F31" s="51">
        <f t="shared" ref="F31:F44" si="1">D31+E31</f>
        <v>38994.69</v>
      </c>
      <c r="G31" s="52">
        <f>DB_SA</f>
        <v>382770</v>
      </c>
      <c r="H31" s="53">
        <f>(MB_TIME1=B31)*SA*MB_SA1+(MB_TIME2=B31)*SA*MB_SA2+(MB_TIME3=B31)*SA*MB_SA3+(PT=B31)*(1-MB_SA1-MB_SA2-MB_SA3)*SA</f>
        <v>0</v>
      </c>
      <c r="I31" s="84">
        <f>MAX(VLOOKUP(B31,GSV_TAB,3,1)*(AP_YR1_EXCL_ST+AP_YR2_EXCL_ST*MIN(B31-1,PPT-1))-SUM($H$30:H31),0)</f>
        <v>0</v>
      </c>
      <c r="J31" s="53">
        <f>AB_SC1*SA*B31</f>
        <v>14996.08</v>
      </c>
      <c r="K31" s="84">
        <f>AB_SC2*B31*SA</f>
        <v>18745.1</v>
      </c>
    </row>
    <row r="32" s="14" customFormat="1" spans="2:11">
      <c r="B32" s="54">
        <v>3</v>
      </c>
      <c r="C32" s="55">
        <f>AGE+B32-1</f>
        <v>32</v>
      </c>
      <c r="D32" s="50">
        <f>(B32&lt;=PPT)*FREQUENCY*Assumptions!$AM$29</f>
        <v>38277</v>
      </c>
      <c r="E32" s="44">
        <f>ROUND(D32*((3.75%)*(B32=1)+(1.875%)*(B32&gt;=2)),2)</f>
        <v>717.69</v>
      </c>
      <c r="F32" s="56">
        <f>D32+E32</f>
        <v>38994.69</v>
      </c>
      <c r="G32" s="57">
        <f>DB_SA</f>
        <v>382770</v>
      </c>
      <c r="H32" s="58">
        <f>(MB_TIME1=B32)*SA*MB_SA1+(MB_TIME2=B32)*SA*MB_SA2+(MB_TIME3=B32)*SA*MB_SA3+(PT=B32)*(1-MB_SA1-MB_SA2-MB_SA3)*SA</f>
        <v>0</v>
      </c>
      <c r="I32" s="85">
        <f>MAX(VLOOKUP(B32,GSV_TAB,3,1)*(AP_YR1_EXCL_ST+AP_YR2_EXCL_ST*MIN(B32-1,PPT-1))-SUM($H$30:H32),0)</f>
        <v>34449.3</v>
      </c>
      <c r="J32" s="58">
        <f>AB_SC1*SA*B32</f>
        <v>22494.12</v>
      </c>
      <c r="K32" s="85">
        <f>AB_SC2*B32*SA</f>
        <v>28117.65</v>
      </c>
    </row>
    <row r="33" s="14" customFormat="1" spans="2:11">
      <c r="B33" s="48">
        <v>4</v>
      </c>
      <c r="C33" s="49">
        <f>AGE+B33-1</f>
        <v>33</v>
      </c>
      <c r="D33" s="50">
        <f>(B33&lt;=PPT)*FREQUENCY*Assumptions!$AM$29</f>
        <v>38277</v>
      </c>
      <c r="E33" s="44">
        <f>ROUND(D33*((3.75%)*(B33=1)+(1.875%)*(B33&gt;=2)),2)</f>
        <v>717.69</v>
      </c>
      <c r="F33" s="51">
        <f>D33+E33</f>
        <v>38994.69</v>
      </c>
      <c r="G33" s="52">
        <f>DB_SA</f>
        <v>382770</v>
      </c>
      <c r="H33" s="53">
        <f>(MB_TIME1=B33)*SA*MB_SA1+(MB_TIME2=B33)*SA*MB_SA2+(MB_TIME3=B33)*SA*MB_SA3+(PT=B33)*(1-MB_SA1-MB_SA2-MB_SA3)*SA</f>
        <v>56235.3</v>
      </c>
      <c r="I33" s="84">
        <f>MAX(VLOOKUP(B33,GSV_TAB,3,1)*(AP_YR1_EXCL_ST+AP_YR2_EXCL_ST*MIN(B33-1,PPT-1))-SUM($H$30:H33),0)</f>
        <v>20318.7</v>
      </c>
      <c r="J33" s="53">
        <f>AB_SC1*SA*B33</f>
        <v>29992.16</v>
      </c>
      <c r="K33" s="84">
        <f>AB_SC2*B33*SA</f>
        <v>37490.2</v>
      </c>
    </row>
    <row r="34" s="14" customFormat="1" spans="2:11">
      <c r="B34" s="54">
        <v>5</v>
      </c>
      <c r="C34" s="55">
        <f>AGE+B34-1</f>
        <v>34</v>
      </c>
      <c r="D34" s="50">
        <f>(B34&lt;=PPT)*FREQUENCY*Assumptions!$AM$29</f>
        <v>38277</v>
      </c>
      <c r="E34" s="44">
        <f>ROUND(D34*((3.75%)*(B34=1)+(1.875%)*(B34&gt;=2)),2)</f>
        <v>717.69</v>
      </c>
      <c r="F34" s="56">
        <f>D34+E34</f>
        <v>38994.69</v>
      </c>
      <c r="G34" s="57">
        <f>DB_SA</f>
        <v>382770</v>
      </c>
      <c r="H34" s="58">
        <f>(MB_TIME1=B34)*SA*MB_SA1+(MB_TIME2=B34)*SA*MB_SA2+(MB_TIME3=B34)*SA*MB_SA3+(PT=B34)*(1-MB_SA1-MB_SA2-MB_SA3)*SA</f>
        <v>0</v>
      </c>
      <c r="I34" s="85">
        <f>MAX(VLOOKUP(B34,GSV_TAB,3,1)*(AP_YR1_EXCL_ST+AP_YR2_EXCL_ST*MIN(B34-1,PPT-1))-SUM($H$30:H34),0)</f>
        <v>39457.2</v>
      </c>
      <c r="J34" s="58">
        <f>AB_SC1*SA*B34</f>
        <v>37490.2</v>
      </c>
      <c r="K34" s="85">
        <f>AB_SC2*B34*SA</f>
        <v>46862.75</v>
      </c>
    </row>
    <row r="35" s="14" customFormat="1" spans="2:11">
      <c r="B35" s="48">
        <v>6</v>
      </c>
      <c r="C35" s="49">
        <f>AGE+B35-1</f>
        <v>35</v>
      </c>
      <c r="D35" s="50">
        <f>(B35&lt;=PPT)*FREQUENCY*Assumptions!$AM$29</f>
        <v>38277</v>
      </c>
      <c r="E35" s="44">
        <f>ROUND(D35*((3.75%)*(B35=1)+(1.875%)*(B35&gt;=2)),2)</f>
        <v>717.69</v>
      </c>
      <c r="F35" s="51">
        <f>D35+E35</f>
        <v>38994.69</v>
      </c>
      <c r="G35" s="52">
        <f>DB_SA</f>
        <v>382770</v>
      </c>
      <c r="H35" s="53">
        <f>(MB_TIME1=B35)*SA*MB_SA1+(MB_TIME2=B35)*SA*MB_SA2+(MB_TIME3=B35)*SA*MB_SA3+(PT=B35)*(1-MB_SA1-MB_SA2-MB_SA3)*SA</f>
        <v>0</v>
      </c>
      <c r="I35" s="84">
        <f>MAX(VLOOKUP(B35,GSV_TAB,3,1)*(AP_YR1_EXCL_ST+AP_YR2_EXCL_ST*MIN(B35-1,PPT-1))-SUM($H$30:H35),0)</f>
        <v>58595.7</v>
      </c>
      <c r="J35" s="53">
        <f>AB_SC1*SA*B35</f>
        <v>44988.24</v>
      </c>
      <c r="K35" s="84">
        <f>AB_SC2*B35*SA</f>
        <v>56235.3</v>
      </c>
    </row>
    <row r="36" s="14" customFormat="1" spans="2:11">
      <c r="B36" s="54">
        <v>7</v>
      </c>
      <c r="C36" s="55">
        <f>AGE+B36-1</f>
        <v>36</v>
      </c>
      <c r="D36" s="50">
        <f>(B36&lt;=PPT)*FREQUENCY*Assumptions!$AM$29</f>
        <v>38277</v>
      </c>
      <c r="E36" s="44">
        <f>ROUND(D36*((3.75%)*(B36=1)+(1.875%)*(B36&gt;=2)),2)</f>
        <v>717.69</v>
      </c>
      <c r="F36" s="56">
        <f>D36+E36</f>
        <v>38994.69</v>
      </c>
      <c r="G36" s="57">
        <f>DB_SA</f>
        <v>382770</v>
      </c>
      <c r="H36" s="58">
        <f>(MB_TIME1=B36)*SA*MB_SA1+(MB_TIME2=B36)*SA*MB_SA2+(MB_TIME3=B36)*SA*MB_SA3+(PT=B36)*(1-MB_SA1-MB_SA2-MB_SA3)*SA</f>
        <v>0</v>
      </c>
      <c r="I36" s="85">
        <f>MAX(VLOOKUP(B36,GSV_TAB,3,1)*(AP_YR1_EXCL_ST+AP_YR2_EXCL_ST*MIN(B36-1,PPT-1))-SUM($H$30:H36),0)</f>
        <v>77734.2</v>
      </c>
      <c r="J36" s="58">
        <f>AB_SC1*SA*B36</f>
        <v>52486.28</v>
      </c>
      <c r="K36" s="85">
        <f>AB_SC2*B36*SA</f>
        <v>65607.85</v>
      </c>
    </row>
    <row r="37" s="14" customFormat="1" spans="2:11">
      <c r="B37" s="48">
        <v>8</v>
      </c>
      <c r="C37" s="49">
        <f>AGE+B37-1</f>
        <v>37</v>
      </c>
      <c r="D37" s="50">
        <f>(B37&lt;=PPT)*FREQUENCY*Assumptions!$AM$29</f>
        <v>38277</v>
      </c>
      <c r="E37" s="44">
        <f>ROUND(D37*((3.75%)*(B37=1)+(1.875%)*(B37&gt;=2)),2)</f>
        <v>717.69</v>
      </c>
      <c r="F37" s="51">
        <f>D37+E37</f>
        <v>38994.69</v>
      </c>
      <c r="G37" s="52">
        <f>DB_SA</f>
        <v>382770</v>
      </c>
      <c r="H37" s="53">
        <f>(MB_TIME1=B37)*SA*MB_SA1+(MB_TIME2=B37)*SA*MB_SA2+(MB_TIME3=B37)*SA*MB_SA3+(PT=B37)*(1-MB_SA1-MB_SA2-MB_SA3)*SA</f>
        <v>56235.3</v>
      </c>
      <c r="I37" s="84">
        <f>MAX(VLOOKUP(B37,GSV_TAB,3,1)*(AP_YR1_EXCL_ST+AP_YR2_EXCL_ST*MIN(B37-1,PPT-1))-SUM($H$30:H37),0)</f>
        <v>46761.72</v>
      </c>
      <c r="J37" s="53">
        <f>AB_SC1*SA*B37</f>
        <v>59984.32</v>
      </c>
      <c r="K37" s="84">
        <f>AB_SC2*B37*SA</f>
        <v>74980.4</v>
      </c>
    </row>
    <row r="38" s="14" customFormat="1" spans="2:11">
      <c r="B38" s="54">
        <v>9</v>
      </c>
      <c r="C38" s="55">
        <f>AGE+B38-1</f>
        <v>38</v>
      </c>
      <c r="D38" s="50">
        <f>(B38&lt;=PPT)*FREQUENCY*Assumptions!$AM$29</f>
        <v>38277</v>
      </c>
      <c r="E38" s="44">
        <f>ROUND(D38*((3.75%)*(B38=1)+(1.875%)*(B38&gt;=2)),2)</f>
        <v>717.69</v>
      </c>
      <c r="F38" s="56">
        <f>D38+E38</f>
        <v>38994.69</v>
      </c>
      <c r="G38" s="57">
        <f>DB_SA</f>
        <v>382770</v>
      </c>
      <c r="H38" s="58">
        <f>(MB_TIME1=B38)*SA*MB_SA1+(MB_TIME2=B38)*SA*MB_SA2+(MB_TIME3=B38)*SA*MB_SA3+(PT=B38)*(1-MB_SA1-MB_SA2-MB_SA3)*SA</f>
        <v>0</v>
      </c>
      <c r="I38" s="85">
        <f>MAX(VLOOKUP(B38,GSV_TAB,3,1)*(AP_YR1_EXCL_ST+AP_YR2_EXCL_ST*MIN(B38-1,PPT-1))-SUM($H$30:H38),0)</f>
        <v>73555.62</v>
      </c>
      <c r="J38" s="58">
        <f>AB_SC1*SA*B38</f>
        <v>67482.36</v>
      </c>
      <c r="K38" s="85">
        <f>AB_SC2*B38*SA</f>
        <v>84352.95</v>
      </c>
    </row>
    <row r="39" s="14" customFormat="1" spans="2:11">
      <c r="B39" s="48">
        <v>10</v>
      </c>
      <c r="C39" s="49">
        <f>AGE+B39-1</f>
        <v>39</v>
      </c>
      <c r="D39" s="50">
        <f>(B39&lt;=PPT)*FREQUENCY*Assumptions!$AM$29</f>
        <v>38277</v>
      </c>
      <c r="E39" s="44">
        <f>ROUND(D39*((3.75%)*(B39=1)+(1.875%)*(B39&gt;=2)),2)</f>
        <v>717.69</v>
      </c>
      <c r="F39" s="51">
        <f>D39+E39</f>
        <v>38994.69</v>
      </c>
      <c r="G39" s="52">
        <f>DB_SA</f>
        <v>382770</v>
      </c>
      <c r="H39" s="53">
        <f>(MB_TIME1=B39)*SA*MB_SA1+(MB_TIME2=B39)*SA*MB_SA2+(MB_TIME3=B39)*SA*MB_SA3+(PT=B39)*(1-MB_SA1-MB_SA2-MB_SA3)*SA</f>
        <v>0</v>
      </c>
      <c r="I39" s="84">
        <f>MAX(VLOOKUP(B39,GSV_TAB,3,1)*(AP_YR1_EXCL_ST+AP_YR2_EXCL_ST*MIN(B39-1,PPT-1))-SUM($H$30:H39),0)</f>
        <v>101880.6</v>
      </c>
      <c r="J39" s="53">
        <f>AB_SC1*SA*B39</f>
        <v>74980.4</v>
      </c>
      <c r="K39" s="84">
        <f>AB_SC2*B39*SA</f>
        <v>93725.5</v>
      </c>
    </row>
    <row r="40" s="14" customFormat="1" spans="2:11">
      <c r="B40" s="54">
        <v>11</v>
      </c>
      <c r="C40" s="55">
        <f>AGE+B40-1</f>
        <v>40</v>
      </c>
      <c r="D40" s="50">
        <f>(B40&lt;=PPT)*FREQUENCY*Assumptions!$AM$29</f>
        <v>38277</v>
      </c>
      <c r="E40" s="44">
        <f>ROUND(D40*((3.75%)*(B40=1)+(1.875%)*(B40&gt;=2)),2)</f>
        <v>717.69</v>
      </c>
      <c r="F40" s="56">
        <f>D40+E40</f>
        <v>38994.69</v>
      </c>
      <c r="G40" s="57">
        <f>DB_SA</f>
        <v>382770</v>
      </c>
      <c r="H40" s="58">
        <f>(MB_TIME1=B40)*SA*MB_SA1+(MB_TIME2=B40)*SA*MB_SA2+(MB_TIME3=B40)*SA*MB_SA3+(PT=B40)*(1-MB_SA1-MB_SA2-MB_SA3)*SA</f>
        <v>0</v>
      </c>
      <c r="I40" s="85">
        <f>MAX(VLOOKUP(B40,GSV_TAB,3,1)*(AP_YR1_EXCL_ST+AP_YR2_EXCL_ST*MIN(B40-1,PPT-1))-SUM($H$30:H40),0)</f>
        <v>131736.66</v>
      </c>
      <c r="J40" s="58">
        <f>AB_SC1*SA*B40</f>
        <v>82478.44</v>
      </c>
      <c r="K40" s="85">
        <f>AB_SC2*B40*SA</f>
        <v>103098.05</v>
      </c>
    </row>
    <row r="41" s="14" customFormat="1" spans="2:11">
      <c r="B41" s="48">
        <v>12</v>
      </c>
      <c r="C41" s="49">
        <f>AGE+B41-1</f>
        <v>41</v>
      </c>
      <c r="D41" s="50">
        <f>(B41&lt;=PPT)*FREQUENCY*Assumptions!$AM$29</f>
        <v>0</v>
      </c>
      <c r="E41" s="44">
        <f>ROUND(D41*((3.75%)*(B41=1)+(1.875%)*(B41&gt;=2)),2)</f>
        <v>0</v>
      </c>
      <c r="F41" s="51">
        <f>D41+E41</f>
        <v>0</v>
      </c>
      <c r="G41" s="52">
        <f>DB_SA</f>
        <v>382770</v>
      </c>
      <c r="H41" s="53">
        <f>(MB_TIME1=B41)*SA*MB_SA1+(MB_TIME2=B41)*SA*MB_SA2+(MB_TIME3=B41)*SA*MB_SA3+(PT=B41)*(1-MB_SA1-MB_SA2-MB_SA3)*SA</f>
        <v>56235.3</v>
      </c>
      <c r="I41" s="84">
        <f>MAX(VLOOKUP(B41,GSV_TAB,3,1)*(AP_YR1_EXCL_ST+AP_YR2_EXCL_ST*MIN(B41-1,PPT-1))-SUM($H$30:H41),0)</f>
        <v>83922.3</v>
      </c>
      <c r="J41" s="53">
        <f>AB_SC1*SA*B41</f>
        <v>89976.48</v>
      </c>
      <c r="K41" s="84">
        <f>AB_SC2*B41*SA</f>
        <v>112470.6</v>
      </c>
    </row>
    <row r="42" s="14" customFormat="1" spans="2:11">
      <c r="B42" s="54">
        <v>13</v>
      </c>
      <c r="C42" s="55">
        <f>AGE+B42-1</f>
        <v>42</v>
      </c>
      <c r="D42" s="50">
        <f>(B42&lt;=PPT)*FREQUENCY*Assumptions!$AM$29</f>
        <v>0</v>
      </c>
      <c r="E42" s="44">
        <f>ROUND(D42*((3.75%)*(B42=1)+(1.875%)*(B42&gt;=2)),2)</f>
        <v>0</v>
      </c>
      <c r="F42" s="56">
        <f>D42+E42</f>
        <v>0</v>
      </c>
      <c r="G42" s="57">
        <f>DB_SA</f>
        <v>382770</v>
      </c>
      <c r="H42" s="58">
        <f>(MB_TIME1=B42)*SA*MB_SA1+(MB_TIME2=B42)*SA*MB_SA2+(MB_TIME3=B42)*SA*MB_SA3+(PT=B42)*(1-MB_SA1-MB_SA2-MB_SA3)*SA</f>
        <v>0</v>
      </c>
      <c r="I42" s="85">
        <f>MAX(VLOOKUP(B42,GSV_TAB,3,1)*(AP_YR1_EXCL_ST+AP_YR2_EXCL_ST*MIN(B42-1,PPT-1))-SUM($H$30:H42),0)</f>
        <v>92343.24</v>
      </c>
      <c r="J42" s="58">
        <f>AB_SC1*SA*B42</f>
        <v>97474.52</v>
      </c>
      <c r="K42" s="85">
        <f>AB_SC2*B42*SA</f>
        <v>121843.15</v>
      </c>
    </row>
    <row r="43" s="14" customFormat="1" spans="2:11">
      <c r="B43" s="48">
        <v>14</v>
      </c>
      <c r="C43" s="49">
        <f>AGE+B43-1</f>
        <v>43</v>
      </c>
      <c r="D43" s="50">
        <f>(B43&lt;=PPT)*FREQUENCY*Assumptions!$AM$29</f>
        <v>0</v>
      </c>
      <c r="E43" s="44">
        <f>ROUND(D43*((3.75%)*(B43=1)+(1.875%)*(B43&gt;=2)),2)</f>
        <v>0</v>
      </c>
      <c r="F43" s="51">
        <f>D43+E43</f>
        <v>0</v>
      </c>
      <c r="G43" s="52">
        <f>DB_SA</f>
        <v>382770</v>
      </c>
      <c r="H43" s="53">
        <f>(MB_TIME1=B43)*SA*MB_SA1+(MB_TIME2=B43)*SA*MB_SA2+(MB_TIME3=B43)*SA*MB_SA3+(PT=B43)*(1-MB_SA1-MB_SA2-MB_SA3)*SA</f>
        <v>0</v>
      </c>
      <c r="I43" s="84">
        <f>MAX(VLOOKUP(B43,GSV_TAB,3,1)*(AP_YR1_EXCL_ST+AP_YR2_EXCL_ST*MIN(B43-1,PPT-1))-SUM($H$30:H43),0)</f>
        <v>100764.18</v>
      </c>
      <c r="J43" s="53">
        <f>AB_SC1*SA*B43</f>
        <v>104972.56</v>
      </c>
      <c r="K43" s="84">
        <f>AB_SC2*B43*SA</f>
        <v>131215.7</v>
      </c>
    </row>
    <row r="44" s="14" customFormat="1" spans="2:11">
      <c r="B44" s="59">
        <v>15</v>
      </c>
      <c r="C44" s="60">
        <f>AGE+B44-1</f>
        <v>44</v>
      </c>
      <c r="D44" s="50">
        <f>(B44&lt;=PPT)*FREQUENCY*Assumptions!$AM$29</f>
        <v>0</v>
      </c>
      <c r="E44" s="44">
        <f>ROUND(D44*((3.75%)*(B44=1)+(1.875%)*(B44&gt;=2)),2)</f>
        <v>0</v>
      </c>
      <c r="F44" s="61">
        <f>D44+E44</f>
        <v>0</v>
      </c>
      <c r="G44" s="62">
        <f>DB_SA</f>
        <v>382770</v>
      </c>
      <c r="H44" s="63">
        <f>(MB_TIME1=B44)*SA*MB_SA1+(MB_TIME2=B44)*SA*MB_SA2+(MB_TIME3=B44)*SA*MB_SA3+(PT=B44)*(1-MB_SA1-MB_SA2-MB_SA3)*SA</f>
        <v>206196.1</v>
      </c>
      <c r="I44" s="86">
        <f>MAX(VLOOKUP(B44,GSV_TAB,3,1)*(AP_YR1_EXCL_ST+AP_YR2_EXCL_ST*MIN(B44-1,PPT-1))-SUM($H$30:H44),0)</f>
        <v>0</v>
      </c>
      <c r="J44" s="63">
        <f>AB_SC1*SA*B44</f>
        <v>112470.6</v>
      </c>
      <c r="K44" s="86">
        <f>AB_SC2*B44*SA</f>
        <v>140588.25</v>
      </c>
    </row>
    <row r="45" s="14" customFormat="1" ht="31.5" spans="2:11">
      <c r="B45" s="64"/>
      <c r="C45" s="64"/>
      <c r="D45" s="65"/>
      <c r="G45" s="65"/>
      <c r="H45" s="65"/>
      <c r="I45" s="87" t="s">
        <v>129</v>
      </c>
      <c r="J45" s="88">
        <f>FB_SC1*SA</f>
        <v>37490.2</v>
      </c>
      <c r="K45" s="89">
        <f>FB_SC2*SA</f>
        <v>74980.4</v>
      </c>
    </row>
    <row r="46" s="14" customFormat="1" ht="15.75" spans="2:11">
      <c r="B46" s="66"/>
      <c r="C46" s="66"/>
      <c r="I46" s="90" t="s">
        <v>130</v>
      </c>
      <c r="J46" s="91">
        <f>J45+J44</f>
        <v>149960.8</v>
      </c>
      <c r="K46" s="92">
        <f>K45+K44</f>
        <v>215568.65</v>
      </c>
    </row>
    <row r="47" s="14" customFormat="1" ht="41.25" customHeight="1" spans="2:12">
      <c r="B47" s="67" t="s">
        <v>131</v>
      </c>
      <c r="C47" s="67"/>
      <c r="D47" s="67"/>
      <c r="E47" s="67"/>
      <c r="F47" s="67"/>
      <c r="G47" s="67"/>
      <c r="H47" s="67"/>
      <c r="I47" s="67"/>
      <c r="J47" s="67"/>
      <c r="K47" s="67"/>
      <c r="L47" s="67"/>
    </row>
    <row r="48" s="14" customFormat="1" ht="47.25" customHeight="1" spans="2:12">
      <c r="B48" s="68" t="s">
        <v>132</v>
      </c>
      <c r="C48" s="68"/>
      <c r="D48" s="68"/>
      <c r="E48" s="68"/>
      <c r="F48" s="68"/>
      <c r="G48" s="68"/>
      <c r="H48" s="68"/>
      <c r="I48" s="68"/>
      <c r="J48" s="68"/>
      <c r="K48" s="68"/>
      <c r="L48" s="68"/>
    </row>
    <row r="49" s="14" customFormat="1" ht="18" customHeight="1" spans="2:12">
      <c r="B49" s="68" t="s">
        <v>133</v>
      </c>
      <c r="C49" s="68"/>
      <c r="D49" s="68"/>
      <c r="E49" s="68"/>
      <c r="F49" s="68"/>
      <c r="G49" s="68"/>
      <c r="H49" s="68"/>
      <c r="I49" s="68"/>
      <c r="J49" s="68"/>
      <c r="K49" s="68"/>
      <c r="L49" s="68"/>
    </row>
    <row r="50" s="14" customFormat="1" ht="18" customHeight="1" spans="2:12">
      <c r="B50" s="69"/>
      <c r="C50" s="69"/>
      <c r="D50" s="69"/>
      <c r="E50" s="69"/>
      <c r="F50" s="69"/>
      <c r="G50" s="69"/>
      <c r="H50" s="69"/>
      <c r="I50" s="69"/>
      <c r="J50" s="69"/>
      <c r="K50" s="69"/>
      <c r="L50" s="69"/>
    </row>
    <row r="51" s="14" customFormat="1" ht="15" customHeight="1" spans="2:12">
      <c r="B51" s="70" t="s">
        <v>134</v>
      </c>
      <c r="C51" s="69"/>
      <c r="D51" s="69"/>
      <c r="E51" s="69"/>
      <c r="F51" s="69"/>
      <c r="G51" s="69"/>
      <c r="H51" s="69"/>
      <c r="I51" s="69"/>
      <c r="J51" s="69"/>
      <c r="K51" s="69"/>
      <c r="L51" s="69"/>
    </row>
    <row r="52" s="14" customFormat="1" ht="15" customHeight="1" spans="2:12">
      <c r="B52" s="71"/>
      <c r="C52" s="69"/>
      <c r="D52" s="69"/>
      <c r="E52" s="69"/>
      <c r="F52" s="69"/>
      <c r="G52" s="69"/>
      <c r="H52" s="69"/>
      <c r="I52" s="69"/>
      <c r="J52" s="69"/>
      <c r="K52" s="69"/>
      <c r="L52" s="69"/>
    </row>
    <row r="53" s="14" customFormat="1" ht="67.5" customHeight="1" spans="2:12">
      <c r="B53" s="72" t="s">
        <v>135</v>
      </c>
      <c r="C53" s="72"/>
      <c r="D53" s="72"/>
      <c r="E53" s="72"/>
      <c r="F53" s="72"/>
      <c r="G53" s="72"/>
      <c r="H53" s="72"/>
      <c r="I53" s="72"/>
      <c r="J53" s="72"/>
      <c r="K53" s="72"/>
      <c r="L53" s="72"/>
    </row>
    <row r="54" s="14" customFormat="1" spans="2:12">
      <c r="B54" s="15" t="s">
        <v>136</v>
      </c>
      <c r="C54" s="15"/>
      <c r="D54" s="15"/>
      <c r="E54" s="15"/>
      <c r="F54" s="15"/>
      <c r="G54" s="15"/>
      <c r="H54" s="15"/>
      <c r="I54" s="15"/>
      <c r="J54" s="15"/>
      <c r="K54" s="15"/>
      <c r="L54" s="15"/>
    </row>
    <row r="55" s="14" customFormat="1" spans="2:12">
      <c r="B55" s="15" t="s">
        <v>137</v>
      </c>
      <c r="C55" s="15"/>
      <c r="D55" s="15"/>
      <c r="E55" s="15"/>
      <c r="F55" s="15"/>
      <c r="G55" s="15"/>
      <c r="H55" s="15"/>
      <c r="I55" s="15"/>
      <c r="J55" s="15"/>
      <c r="K55" s="15"/>
      <c r="L55" s="15"/>
    </row>
    <row r="56" s="14" customFormat="1" ht="15" spans="2:12">
      <c r="B56" s="73" t="s">
        <v>138</v>
      </c>
      <c r="C56" s="15"/>
      <c r="D56" s="15"/>
      <c r="E56" s="15"/>
      <c r="F56" s="15"/>
      <c r="G56" s="15"/>
      <c r="H56" s="15"/>
      <c r="I56" s="15"/>
      <c r="J56" s="15"/>
      <c r="K56" s="15"/>
      <c r="L56" s="15"/>
    </row>
    <row r="57" s="14" customFormat="1" ht="15" spans="2:12">
      <c r="B57" s="73" t="s">
        <v>139</v>
      </c>
      <c r="C57" s="15"/>
      <c r="D57" s="15"/>
      <c r="E57" s="15"/>
      <c r="F57" s="15"/>
      <c r="G57" s="15"/>
      <c r="H57" s="15"/>
      <c r="I57" s="15"/>
      <c r="J57" s="15"/>
      <c r="K57" s="15"/>
      <c r="L57" s="15"/>
    </row>
    <row r="58" s="14" customFormat="1" ht="15" spans="2:12">
      <c r="B58" s="73" t="s">
        <v>140</v>
      </c>
      <c r="C58" s="15"/>
      <c r="D58" s="15"/>
      <c r="E58" s="15"/>
      <c r="F58" s="15"/>
      <c r="G58" s="15"/>
      <c r="H58" s="15"/>
      <c r="I58" s="15"/>
      <c r="J58" s="15"/>
      <c r="K58" s="15"/>
      <c r="L58" s="15"/>
    </row>
    <row r="59" s="14" customFormat="1" ht="15" spans="2:12">
      <c r="B59" s="73" t="s">
        <v>141</v>
      </c>
      <c r="C59" s="15"/>
      <c r="D59" s="15"/>
      <c r="E59" s="15"/>
      <c r="F59" s="15"/>
      <c r="G59" s="15"/>
      <c r="H59" s="15"/>
      <c r="I59" s="15"/>
      <c r="J59" s="15"/>
      <c r="K59" s="15"/>
      <c r="L59" s="15"/>
    </row>
    <row r="60" s="14" customFormat="1" spans="2:12">
      <c r="B60" s="74" t="s">
        <v>142</v>
      </c>
      <c r="C60" s="15"/>
      <c r="D60" s="15"/>
      <c r="E60" s="15"/>
      <c r="F60" s="15"/>
      <c r="G60" s="15"/>
      <c r="H60" s="15"/>
      <c r="I60" s="15"/>
      <c r="J60" s="15"/>
      <c r="K60" s="15"/>
      <c r="L60" s="15"/>
    </row>
    <row r="61" s="14" customFormat="1" spans="2:12">
      <c r="B61" s="15" t="s">
        <v>143</v>
      </c>
      <c r="C61" s="15"/>
      <c r="D61" s="15"/>
      <c r="E61" s="15"/>
      <c r="F61" s="15"/>
      <c r="G61" s="15"/>
      <c r="H61" s="15"/>
      <c r="I61" s="15"/>
      <c r="J61" s="15"/>
      <c r="K61" s="15"/>
      <c r="L61" s="15"/>
    </row>
    <row r="62" s="14" customFormat="1" spans="2:12">
      <c r="B62" s="15" t="s">
        <v>144</v>
      </c>
      <c r="C62" s="15"/>
      <c r="D62" s="15"/>
      <c r="E62" s="15"/>
      <c r="F62" s="15"/>
      <c r="G62" s="15"/>
      <c r="H62" s="15"/>
      <c r="I62" s="15"/>
      <c r="J62" s="15"/>
      <c r="K62" s="15"/>
      <c r="L62" s="15"/>
    </row>
    <row r="63" s="16" customFormat="1" spans="2:12">
      <c r="B63" s="75" t="s">
        <v>145</v>
      </c>
      <c r="C63" s="75"/>
      <c r="D63" s="75"/>
      <c r="E63" s="75"/>
      <c r="F63" s="75"/>
      <c r="G63" s="75"/>
      <c r="H63" s="75"/>
      <c r="I63" s="75"/>
      <c r="J63" s="75"/>
      <c r="K63" s="75"/>
      <c r="L63" s="75"/>
    </row>
    <row r="64" s="16" customFormat="1" spans="2:12">
      <c r="B64" s="75" t="s">
        <v>146</v>
      </c>
      <c r="C64" s="75"/>
      <c r="D64" s="75"/>
      <c r="E64" s="75"/>
      <c r="F64" s="75"/>
      <c r="G64" s="75"/>
      <c r="H64" s="75"/>
      <c r="I64" s="75"/>
      <c r="J64" s="75"/>
      <c r="K64" s="75"/>
      <c r="L64" s="75"/>
    </row>
    <row r="65" s="14" customFormat="1" spans="2:12">
      <c r="B65" s="15" t="s">
        <v>147</v>
      </c>
      <c r="C65" s="15"/>
      <c r="D65" s="15"/>
      <c r="E65" s="15"/>
      <c r="F65" s="15"/>
      <c r="G65" s="15"/>
      <c r="H65" s="15"/>
      <c r="I65" s="15"/>
      <c r="J65" s="15"/>
      <c r="K65" s="15"/>
      <c r="L65" s="15"/>
    </row>
    <row r="66" s="14" customFormat="1" spans="2:12">
      <c r="B66" s="15" t="s">
        <v>148</v>
      </c>
      <c r="C66" s="15"/>
      <c r="D66" s="15"/>
      <c r="E66" s="15"/>
      <c r="F66" s="15"/>
      <c r="G66" s="15"/>
      <c r="H66" s="15"/>
      <c r="I66" s="15"/>
      <c r="J66" s="15"/>
      <c r="K66" s="15"/>
      <c r="L66" s="15"/>
    </row>
    <row r="67" s="14" customFormat="1" spans="2:12">
      <c r="B67" s="15"/>
      <c r="C67" s="15"/>
      <c r="D67" s="15"/>
      <c r="E67" s="15"/>
      <c r="F67" s="15"/>
      <c r="G67" s="15"/>
      <c r="H67" s="15"/>
      <c r="I67" s="15"/>
      <c r="J67" s="15"/>
      <c r="K67" s="15"/>
      <c r="L67" s="15"/>
    </row>
    <row r="68" s="14" customFormat="1" ht="18" spans="2:12">
      <c r="B68" s="70" t="s">
        <v>149</v>
      </c>
      <c r="C68" s="15"/>
      <c r="D68" s="15"/>
      <c r="E68" s="15"/>
      <c r="F68" s="15"/>
      <c r="G68" s="15"/>
      <c r="H68" s="15"/>
      <c r="I68" s="15"/>
      <c r="J68" s="15"/>
      <c r="K68" s="15"/>
      <c r="L68" s="15"/>
    </row>
    <row r="69" s="14" customFormat="1" spans="2:12">
      <c r="B69" s="93" t="s">
        <v>150</v>
      </c>
      <c r="C69" s="93"/>
      <c r="D69" s="93"/>
      <c r="E69" s="93"/>
      <c r="F69" s="93"/>
      <c r="G69" s="93"/>
      <c r="H69" s="93"/>
      <c r="I69" s="93"/>
      <c r="J69" s="93"/>
      <c r="K69" s="93"/>
      <c r="L69" s="93"/>
    </row>
    <row r="70" s="14" customFormat="1" spans="2:12">
      <c r="B70" s="93" t="s">
        <v>151</v>
      </c>
      <c r="C70" s="93"/>
      <c r="D70" s="93"/>
      <c r="E70" s="93"/>
      <c r="F70" s="93"/>
      <c r="G70" s="93"/>
      <c r="H70" s="93"/>
      <c r="I70" s="93"/>
      <c r="J70" s="93"/>
      <c r="K70" s="93"/>
      <c r="L70" s="93"/>
    </row>
    <row r="71" s="14" customFormat="1" spans="2:12">
      <c r="B71" s="93" t="s">
        <v>152</v>
      </c>
      <c r="C71" s="93"/>
      <c r="D71" s="93"/>
      <c r="E71" s="93"/>
      <c r="F71" s="93"/>
      <c r="G71" s="93"/>
      <c r="H71" s="93"/>
      <c r="I71" s="93"/>
      <c r="J71" s="93"/>
      <c r="K71" s="93"/>
      <c r="L71" s="93"/>
    </row>
    <row r="72" s="14" customFormat="1" spans="2:12">
      <c r="B72" s="25" t="s">
        <v>153</v>
      </c>
      <c r="C72" s="25"/>
      <c r="D72" s="25"/>
      <c r="E72" s="25"/>
      <c r="F72" s="25"/>
      <c r="G72" s="25"/>
      <c r="H72" s="25"/>
      <c r="I72" s="25"/>
      <c r="J72" s="25"/>
      <c r="K72" s="25"/>
      <c r="L72" s="25"/>
    </row>
    <row r="73" s="14" customFormat="1" spans="2:12">
      <c r="B73" s="94" t="s">
        <v>154</v>
      </c>
      <c r="C73" s="94"/>
      <c r="D73" s="94"/>
      <c r="E73" s="94"/>
      <c r="F73" s="94"/>
      <c r="G73" s="94"/>
      <c r="H73" s="94"/>
      <c r="I73" s="94"/>
      <c r="J73" s="94"/>
      <c r="K73" s="94"/>
      <c r="L73" s="94"/>
    </row>
    <row r="74" s="14" customFormat="1" spans="2:12">
      <c r="B74" s="94" t="s">
        <v>155</v>
      </c>
      <c r="C74" s="94"/>
      <c r="D74" s="94"/>
      <c r="E74" s="94"/>
      <c r="F74" s="94"/>
      <c r="G74" s="94"/>
      <c r="H74" s="94"/>
      <c r="I74" s="94"/>
      <c r="J74" s="94"/>
      <c r="K74" s="94"/>
      <c r="L74" s="94"/>
    </row>
    <row r="75" s="14" customFormat="1" spans="2:12">
      <c r="B75" s="95" t="s">
        <v>156</v>
      </c>
      <c r="C75" s="96"/>
      <c r="D75" s="96"/>
      <c r="E75" s="96"/>
      <c r="F75" s="96"/>
      <c r="G75" s="96"/>
      <c r="H75" s="96"/>
      <c r="I75" s="96"/>
      <c r="J75" s="96"/>
      <c r="K75" s="15"/>
      <c r="L75" s="15"/>
    </row>
    <row r="76" s="14" customFormat="1" ht="18" spans="2:12">
      <c r="B76" s="70" t="s">
        <v>157</v>
      </c>
      <c r="C76" s="15"/>
      <c r="D76" s="15"/>
      <c r="E76" s="15"/>
      <c r="F76" s="15"/>
      <c r="G76" s="15"/>
      <c r="H76" s="15"/>
      <c r="I76" s="15"/>
      <c r="J76" s="15"/>
      <c r="K76" s="15"/>
      <c r="L76" s="15"/>
    </row>
    <row r="77" s="14" customFormat="1" spans="2:12">
      <c r="B77" s="15" t="s">
        <v>158</v>
      </c>
      <c r="C77" s="94"/>
      <c r="D77" s="94"/>
      <c r="E77" s="94"/>
      <c r="F77" s="94"/>
      <c r="G77" s="94"/>
      <c r="H77" s="94"/>
      <c r="I77" s="94"/>
      <c r="J77" s="94"/>
      <c r="K77" s="15"/>
      <c r="L77" s="15"/>
    </row>
    <row r="78" s="14" customFormat="1" spans="2:12">
      <c r="B78" s="15"/>
      <c r="C78" s="15"/>
      <c r="D78" s="15"/>
      <c r="E78" s="15"/>
      <c r="F78" s="15"/>
      <c r="G78" s="15"/>
      <c r="H78" s="15"/>
      <c r="I78" s="15"/>
      <c r="J78" s="15"/>
      <c r="K78" s="15"/>
      <c r="L78" s="15"/>
    </row>
    <row r="79" s="14" customFormat="1" ht="18" spans="2:12">
      <c r="B79" s="70" t="s">
        <v>159</v>
      </c>
      <c r="C79" s="15"/>
      <c r="D79" s="15"/>
      <c r="E79" s="15"/>
      <c r="F79" s="15"/>
      <c r="G79" s="15"/>
      <c r="H79" s="15"/>
      <c r="I79" s="15"/>
      <c r="J79" s="15"/>
      <c r="K79" s="15"/>
      <c r="L79" s="15"/>
    </row>
    <row r="80" s="14" customFormat="1" spans="2:12">
      <c r="B80" s="15" t="s">
        <v>160</v>
      </c>
      <c r="C80" s="15"/>
      <c r="D80" s="15"/>
      <c r="E80" s="15"/>
      <c r="F80" s="15"/>
      <c r="G80" s="15"/>
      <c r="H80" s="15"/>
      <c r="I80" s="15"/>
      <c r="J80" s="15"/>
      <c r="K80" s="15"/>
      <c r="L80" s="15"/>
    </row>
    <row r="81" s="14" customFormat="1" spans="2:12">
      <c r="B81" s="15"/>
      <c r="C81" s="15"/>
      <c r="D81" s="15"/>
      <c r="E81" s="15"/>
      <c r="F81" s="15"/>
      <c r="G81" s="15"/>
      <c r="H81" s="15"/>
      <c r="I81" s="15"/>
      <c r="J81" s="15"/>
      <c r="K81" s="15"/>
      <c r="L81" s="15"/>
    </row>
    <row r="82" s="14" customFormat="1" spans="2:12">
      <c r="B82" s="15"/>
      <c r="C82" s="15"/>
      <c r="D82" s="15"/>
      <c r="E82" s="15"/>
      <c r="F82" s="15"/>
      <c r="G82" s="15"/>
      <c r="H82" s="15"/>
      <c r="I82" s="15"/>
      <c r="J82" s="15"/>
      <c r="K82" s="15"/>
      <c r="L82" s="15"/>
    </row>
    <row r="83" s="14" customFormat="1" spans="2:12">
      <c r="B83" s="15" t="s">
        <v>161</v>
      </c>
      <c r="C83" s="15"/>
      <c r="D83" s="15"/>
      <c r="E83" s="15"/>
      <c r="F83" s="15"/>
      <c r="G83" s="15"/>
      <c r="H83" s="15"/>
      <c r="I83" s="15"/>
      <c r="J83" s="15"/>
      <c r="K83" s="15"/>
      <c r="L83" s="15"/>
    </row>
    <row r="84" s="14" customFormat="1" spans="2:12">
      <c r="B84" s="15"/>
      <c r="C84" s="15"/>
      <c r="D84" s="15"/>
      <c r="E84" s="15"/>
      <c r="F84" s="15"/>
      <c r="G84" s="15"/>
      <c r="H84" s="15"/>
      <c r="I84" s="15"/>
      <c r="J84" s="15"/>
      <c r="K84" s="15"/>
      <c r="L84" s="15"/>
    </row>
    <row r="85" s="14" customFormat="1" spans="2:12">
      <c r="B85" s="15" t="s">
        <v>162</v>
      </c>
      <c r="C85" s="15"/>
      <c r="D85" s="15"/>
      <c r="E85" s="15"/>
      <c r="F85" s="15"/>
      <c r="G85" s="15"/>
      <c r="H85" s="15"/>
      <c r="I85" s="15"/>
      <c r="J85" s="15"/>
      <c r="K85" s="15"/>
      <c r="L85" s="15"/>
    </row>
    <row r="86" s="14" customFormat="1" spans="2:12">
      <c r="B86" s="15"/>
      <c r="C86" s="15"/>
      <c r="D86" s="15"/>
      <c r="E86" s="15"/>
      <c r="F86" s="15"/>
      <c r="G86" s="15"/>
      <c r="H86" s="15"/>
      <c r="I86" s="15"/>
      <c r="J86" s="15"/>
      <c r="K86" s="15"/>
      <c r="L86" s="15"/>
    </row>
    <row r="87" s="14" customFormat="1" spans="2:12">
      <c r="B87" s="15" t="s">
        <v>163</v>
      </c>
      <c r="C87" s="15"/>
      <c r="D87" s="15"/>
      <c r="E87" s="15"/>
      <c r="F87" s="15"/>
      <c r="G87" s="15"/>
      <c r="H87" s="15"/>
      <c r="I87" s="15"/>
      <c r="J87" s="15"/>
      <c r="K87" s="15"/>
      <c r="L87" s="15"/>
    </row>
    <row r="88" s="17" customFormat="1" spans="1:12">
      <c r="A88" s="14"/>
      <c r="B88" s="15"/>
      <c r="C88" s="15"/>
      <c r="D88" s="15"/>
      <c r="E88" s="15"/>
      <c r="F88" s="15"/>
      <c r="G88" s="15"/>
      <c r="H88" s="15"/>
      <c r="I88" s="15"/>
      <c r="J88" s="15"/>
      <c r="K88" s="15"/>
      <c r="L88" s="15"/>
    </row>
    <row r="89" s="14" customFormat="1" spans="2:12">
      <c r="B89" s="15" t="s">
        <v>164</v>
      </c>
      <c r="C89" s="15"/>
      <c r="D89" s="15"/>
      <c r="E89" s="15"/>
      <c r="F89" s="15"/>
      <c r="G89" s="15"/>
      <c r="H89" s="15"/>
      <c r="I89" s="15"/>
      <c r="J89" s="15"/>
      <c r="K89" s="15"/>
      <c r="L89" s="15"/>
    </row>
    <row r="90" s="14" customFormat="1" spans="2:12">
      <c r="B90" s="15"/>
      <c r="C90" s="15"/>
      <c r="D90" s="15"/>
      <c r="E90" s="15"/>
      <c r="F90" s="15"/>
      <c r="G90" s="15"/>
      <c r="H90" s="15"/>
      <c r="I90" s="15"/>
      <c r="J90" s="15"/>
      <c r="K90" s="15"/>
      <c r="L90" s="15"/>
    </row>
    <row r="91" s="14" customFormat="1" spans="2:12">
      <c r="B91" s="15"/>
      <c r="C91" s="15"/>
      <c r="D91" s="15"/>
      <c r="E91" s="15"/>
      <c r="F91" s="15"/>
      <c r="G91" s="15"/>
      <c r="H91" s="15"/>
      <c r="I91" s="15"/>
      <c r="J91" s="15"/>
      <c r="K91" s="15"/>
      <c r="L91" s="15"/>
    </row>
    <row r="92" s="14" customFormat="1" spans="2:12">
      <c r="B92" s="15" t="s">
        <v>165</v>
      </c>
      <c r="C92" s="15"/>
      <c r="D92" s="15"/>
      <c r="E92" s="15"/>
      <c r="H92" s="15"/>
      <c r="I92" s="15"/>
      <c r="J92" s="15"/>
      <c r="K92" s="15"/>
      <c r="L92" s="15"/>
    </row>
    <row r="93" s="14" customFormat="1" spans="2:12">
      <c r="B93" s="15"/>
      <c r="C93" s="15"/>
      <c r="D93" s="15"/>
      <c r="E93" s="15"/>
      <c r="F93" s="15"/>
      <c r="G93" s="15"/>
      <c r="H93" s="15"/>
      <c r="I93" s="15"/>
      <c r="J93" s="15"/>
      <c r="K93" s="15"/>
      <c r="L93" s="15"/>
    </row>
    <row r="94" s="14" customFormat="1" spans="2:12">
      <c r="B94" s="15" t="s">
        <v>162</v>
      </c>
      <c r="C94" s="15"/>
      <c r="D94" s="15"/>
      <c r="E94" s="15"/>
      <c r="F94" s="15"/>
      <c r="G94" s="15"/>
      <c r="H94" s="15"/>
      <c r="I94" s="15"/>
      <c r="J94" s="15"/>
      <c r="K94" s="15"/>
      <c r="L94" s="15"/>
    </row>
    <row r="95" s="14" customFormat="1" spans="2:12">
      <c r="B95" s="15"/>
      <c r="C95" s="15"/>
      <c r="D95" s="15"/>
      <c r="E95" s="15"/>
      <c r="F95" s="15"/>
      <c r="G95" s="15"/>
      <c r="H95" s="15"/>
      <c r="I95" s="15"/>
      <c r="J95" s="15"/>
      <c r="K95" s="15"/>
      <c r="L95" s="15"/>
    </row>
    <row r="96" s="14" customFormat="1" spans="2:12">
      <c r="B96" s="15" t="s">
        <v>163</v>
      </c>
      <c r="C96" s="15"/>
      <c r="D96" s="15"/>
      <c r="E96" s="15"/>
      <c r="F96" s="15"/>
      <c r="G96" s="15"/>
      <c r="H96" s="15"/>
      <c r="I96" s="15"/>
      <c r="J96" s="15"/>
      <c r="K96" s="15"/>
      <c r="L96" s="15"/>
    </row>
    <row r="97" s="14" customFormat="1"/>
    <row r="98" s="14" customFormat="1"/>
  </sheetData>
  <mergeCells count="8">
    <mergeCell ref="H14:I14"/>
    <mergeCell ref="G28:I28"/>
    <mergeCell ref="J28:K28"/>
    <mergeCell ref="B47:L47"/>
    <mergeCell ref="B48:L48"/>
    <mergeCell ref="B49:L49"/>
    <mergeCell ref="B53:L53"/>
    <mergeCell ref="B72:L72"/>
  </mergeCells>
  <pageMargins left="0.16875" right="0.16875" top="0.309027777777778" bottom="0.75" header="0.3" footer="0.3"/>
  <pageSetup paperSize="9" scale="45"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E14"/>
  <sheetViews>
    <sheetView workbookViewId="0">
      <selection activeCell="C10" sqref="C10"/>
    </sheetView>
  </sheetViews>
  <sheetFormatPr defaultColWidth="9" defaultRowHeight="14.25" outlineLevelCol="4"/>
  <cols>
    <col min="1" max="1" width="4.625" customWidth="1"/>
    <col min="2" max="2" width="21.375" customWidth="1"/>
    <col min="3" max="5" width="10.375"/>
  </cols>
  <sheetData>
    <row r="2" ht="15" spans="3:5">
      <c r="C2" s="1" t="s">
        <v>166</v>
      </c>
      <c r="D2" s="1"/>
      <c r="E2" s="1"/>
    </row>
    <row r="4" ht="15" spans="2:5">
      <c r="B4" s="2"/>
      <c r="C4" s="3" t="s">
        <v>167</v>
      </c>
      <c r="D4" s="3" t="s">
        <v>168</v>
      </c>
      <c r="E4" s="3" t="s">
        <v>169</v>
      </c>
    </row>
    <row r="5" ht="45" spans="2:5">
      <c r="B5" s="4" t="s">
        <v>170</v>
      </c>
      <c r="C5" s="5">
        <v>40000</v>
      </c>
      <c r="D5" s="6">
        <v>5000</v>
      </c>
      <c r="E5" s="5">
        <v>750000</v>
      </c>
    </row>
    <row r="6" ht="15" spans="2:5">
      <c r="B6" s="7" t="s">
        <v>4</v>
      </c>
      <c r="C6" s="8">
        <v>41465</v>
      </c>
      <c r="D6" s="8">
        <v>41929</v>
      </c>
      <c r="E6" s="8">
        <v>42390</v>
      </c>
    </row>
    <row r="7" ht="25.5" spans="2:5">
      <c r="B7" s="9" t="s">
        <v>5</v>
      </c>
      <c r="C7" s="5">
        <v>30</v>
      </c>
      <c r="D7" s="5">
        <v>25</v>
      </c>
      <c r="E7" s="5">
        <v>50</v>
      </c>
    </row>
    <row r="8" ht="15" spans="2:5">
      <c r="B8" s="7" t="s">
        <v>6</v>
      </c>
      <c r="C8" s="5" t="s">
        <v>171</v>
      </c>
      <c r="D8" s="5" t="s">
        <v>172</v>
      </c>
      <c r="E8" s="5" t="s">
        <v>172</v>
      </c>
    </row>
    <row r="9" ht="15" spans="2:5">
      <c r="B9" s="4" t="s">
        <v>13</v>
      </c>
      <c r="C9" s="5">
        <v>1</v>
      </c>
      <c r="D9" s="5">
        <v>12</v>
      </c>
      <c r="E9" s="5">
        <v>12</v>
      </c>
    </row>
    <row r="10" ht="15" spans="2:5">
      <c r="B10" s="4" t="s">
        <v>20</v>
      </c>
      <c r="C10" s="5" t="s">
        <v>15</v>
      </c>
      <c r="D10" s="5" t="s">
        <v>23</v>
      </c>
      <c r="E10" s="5" t="s">
        <v>23</v>
      </c>
    </row>
    <row r="11" ht="45" spans="2:5">
      <c r="B11" s="4" t="s">
        <v>22</v>
      </c>
      <c r="C11" s="5" t="s">
        <v>23</v>
      </c>
      <c r="D11" s="5" t="s">
        <v>23</v>
      </c>
      <c r="E11" s="5" t="s">
        <v>15</v>
      </c>
    </row>
    <row r="12" spans="2:5">
      <c r="B12" s="10"/>
      <c r="C12" s="2"/>
      <c r="D12" s="2"/>
      <c r="E12" s="2"/>
    </row>
    <row r="13" ht="15" spans="2:5">
      <c r="B13" s="10"/>
      <c r="C13" s="11" t="s">
        <v>173</v>
      </c>
      <c r="D13" s="11"/>
      <c r="E13" s="11"/>
    </row>
    <row r="14" ht="30" spans="2:5">
      <c r="B14" s="4" t="s">
        <v>10</v>
      </c>
      <c r="C14" s="12">
        <v>374902</v>
      </c>
      <c r="D14" s="12">
        <v>523827</v>
      </c>
      <c r="E14" s="13">
        <v>75757576</v>
      </c>
    </row>
  </sheetData>
  <mergeCells count="2">
    <mergeCell ref="C2:E2"/>
    <mergeCell ref="C13:E13"/>
  </mergeCells>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Input</vt:lpstr>
      <vt:lpstr>Assumptions</vt:lpstr>
      <vt:lpstr>MB-BI</vt:lpstr>
      <vt:lpstr>GoDB 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99002186</dc:creator>
  <cp:lastModifiedBy>Shilpa Saxena</cp:lastModifiedBy>
  <dcterms:created xsi:type="dcterms:W3CDTF">2017-07-11T19:29:50Z</dcterms:created>
  <dcterms:modified xsi:type="dcterms:W3CDTF">2017-07-11T19:30:25Z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ies>
</file>