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jo620\Documents\Python\Lehre\H2_conv\MeOH_loop\meoh_loop\"/>
    </mc:Choice>
  </mc:AlternateContent>
  <xr:revisionPtr revIDLastSave="0" documentId="13_ncr:1_{213D6ED8-0290-419B-B2DC-92D4942FD748}" xr6:coauthVersionLast="45" xr6:coauthVersionMax="45" xr10:uidLastSave="{00000000-0000-0000-0000-000000000000}"/>
  <bookViews>
    <workbookView xWindow="21720" yWindow="3900" windowWidth="28800" windowHeight="18000" xr2:uid="{E863CE92-F7C9-4978-AC1A-5F4B2D2BFDCF}"/>
  </bookViews>
  <sheets>
    <sheet name="Tabelle1" sheetId="1" r:id="rId1"/>
  </sheets>
  <definedNames>
    <definedName name="solver_adj" localSheetId="0" hidden="1">Tabelle1!$D$17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Tabelle1!$C$6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Tabelle1!$L$26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0.1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25</definedName>
    <definedName name="solver_ver" localSheetId="0" hidden="1">3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7" i="1" l="1"/>
  <c r="H47" i="1"/>
  <c r="I46" i="1"/>
  <c r="H46" i="1"/>
  <c r="I45" i="1"/>
  <c r="H45" i="1"/>
  <c r="I44" i="1"/>
  <c r="H44" i="1"/>
  <c r="I43" i="1"/>
  <c r="H43" i="1"/>
  <c r="I42" i="1"/>
  <c r="I49" i="1" s="1"/>
  <c r="H42" i="1"/>
  <c r="H49" i="1" s="1"/>
  <c r="C4" i="1"/>
  <c r="C3" i="1" s="1"/>
  <c r="C5" i="1" s="1"/>
  <c r="D26" i="1" s="1"/>
  <c r="C32" i="1"/>
  <c r="C6" i="1"/>
  <c r="F30" i="1" l="1"/>
  <c r="F29" i="1"/>
  <c r="L19" i="1" l="1"/>
  <c r="K4" i="1" l="1"/>
  <c r="K3" i="1"/>
  <c r="D4" i="1" l="1"/>
  <c r="D11" i="1" s="1"/>
  <c r="C11" i="1" s="1"/>
  <c r="D8" i="1"/>
  <c r="D7" i="1"/>
  <c r="D5" i="1"/>
  <c r="D12" i="1" s="1"/>
  <c r="D3" i="1"/>
  <c r="D6" i="1"/>
  <c r="D13" i="1" l="1"/>
  <c r="C13" i="1" s="1"/>
  <c r="D10" i="1"/>
  <c r="C10" i="1" s="1"/>
  <c r="D14" i="1"/>
  <c r="C14" i="1" s="1"/>
  <c r="D15" i="1"/>
  <c r="C15" i="1" s="1"/>
  <c r="C12" i="1"/>
  <c r="D25" i="1" l="1"/>
  <c r="D24" i="1"/>
  <c r="C17" i="1"/>
  <c r="E3" i="1" l="1"/>
  <c r="F3" i="1"/>
  <c r="G3" i="1"/>
  <c r="H3" i="1"/>
  <c r="I3" i="1"/>
  <c r="J3" i="1"/>
  <c r="L3" i="1"/>
  <c r="M3" i="1"/>
  <c r="N3" i="1"/>
  <c r="O3" i="1"/>
  <c r="P3" i="1"/>
  <c r="E4" i="1"/>
  <c r="F4" i="1"/>
  <c r="G4" i="1"/>
  <c r="H4" i="1"/>
  <c r="I4" i="1"/>
  <c r="J4" i="1"/>
  <c r="L4" i="1"/>
  <c r="M4" i="1"/>
  <c r="N4" i="1"/>
  <c r="O4" i="1"/>
  <c r="P4" i="1"/>
  <c r="E5" i="1"/>
  <c r="F5" i="1"/>
  <c r="G5" i="1"/>
  <c r="H5" i="1"/>
  <c r="I5" i="1"/>
  <c r="J5" i="1"/>
  <c r="K5" i="1"/>
  <c r="L5" i="1"/>
  <c r="M5" i="1"/>
  <c r="N5" i="1"/>
  <c r="O5" i="1"/>
  <c r="P5" i="1"/>
  <c r="E6" i="1"/>
  <c r="F6" i="1"/>
  <c r="G6" i="1"/>
  <c r="H6" i="1"/>
  <c r="I6" i="1"/>
  <c r="J6" i="1"/>
  <c r="K6" i="1"/>
  <c r="L6" i="1"/>
  <c r="M6" i="1"/>
  <c r="N6" i="1"/>
  <c r="O6" i="1"/>
  <c r="P6" i="1"/>
  <c r="E7" i="1"/>
  <c r="F7" i="1"/>
  <c r="G7" i="1"/>
  <c r="H7" i="1"/>
  <c r="I7" i="1"/>
  <c r="J7" i="1"/>
  <c r="K7" i="1"/>
  <c r="L7" i="1"/>
  <c r="M7" i="1"/>
  <c r="N7" i="1"/>
  <c r="O7" i="1"/>
  <c r="P7" i="1"/>
  <c r="E8" i="1"/>
  <c r="F8" i="1"/>
  <c r="G8" i="1"/>
  <c r="H8" i="1"/>
  <c r="I8" i="1"/>
  <c r="J8" i="1"/>
  <c r="K8" i="1"/>
  <c r="L8" i="1"/>
  <c r="M8" i="1"/>
  <c r="N8" i="1"/>
  <c r="O8" i="1"/>
  <c r="P8" i="1"/>
  <c r="E10" i="1"/>
  <c r="F10" i="1"/>
  <c r="G10" i="1"/>
  <c r="H10" i="1"/>
  <c r="I10" i="1"/>
  <c r="J10" i="1"/>
  <c r="K10" i="1"/>
  <c r="L10" i="1"/>
  <c r="M10" i="1"/>
  <c r="N10" i="1"/>
  <c r="O10" i="1"/>
  <c r="P10" i="1"/>
  <c r="E11" i="1"/>
  <c r="F11" i="1"/>
  <c r="G11" i="1"/>
  <c r="H11" i="1"/>
  <c r="I11" i="1"/>
  <c r="J11" i="1"/>
  <c r="K11" i="1"/>
  <c r="L11" i="1"/>
  <c r="M11" i="1"/>
  <c r="N11" i="1"/>
  <c r="O11" i="1"/>
  <c r="P11" i="1"/>
  <c r="E12" i="1"/>
  <c r="F12" i="1"/>
  <c r="G12" i="1"/>
  <c r="H12" i="1"/>
  <c r="I12" i="1"/>
  <c r="J12" i="1"/>
  <c r="K12" i="1"/>
  <c r="L12" i="1"/>
  <c r="M12" i="1"/>
  <c r="N12" i="1"/>
  <c r="O12" i="1"/>
  <c r="P12" i="1"/>
  <c r="E13" i="1"/>
  <c r="F13" i="1"/>
  <c r="G13" i="1"/>
  <c r="H13" i="1"/>
  <c r="I13" i="1"/>
  <c r="J13" i="1"/>
  <c r="K13" i="1"/>
  <c r="L13" i="1"/>
  <c r="M13" i="1"/>
  <c r="N13" i="1"/>
  <c r="O13" i="1"/>
  <c r="P13" i="1"/>
  <c r="E14" i="1"/>
  <c r="F14" i="1"/>
  <c r="G14" i="1"/>
  <c r="H14" i="1"/>
  <c r="I14" i="1"/>
  <c r="J14" i="1"/>
  <c r="K14" i="1"/>
  <c r="L14" i="1"/>
  <c r="M14" i="1"/>
  <c r="N14" i="1"/>
  <c r="O14" i="1"/>
  <c r="P14" i="1"/>
  <c r="E15" i="1"/>
  <c r="F15" i="1"/>
  <c r="G15" i="1"/>
  <c r="H15" i="1"/>
  <c r="I15" i="1"/>
  <c r="J15" i="1"/>
  <c r="K15" i="1"/>
  <c r="L15" i="1"/>
  <c r="M15" i="1"/>
  <c r="N15" i="1"/>
  <c r="O15" i="1"/>
  <c r="P15" i="1"/>
  <c r="E17" i="1"/>
  <c r="F17" i="1"/>
  <c r="G17" i="1"/>
  <c r="H17" i="1"/>
  <c r="I17" i="1"/>
  <c r="J17" i="1"/>
  <c r="K17" i="1"/>
  <c r="L17" i="1"/>
  <c r="M17" i="1"/>
  <c r="N17" i="1"/>
  <c r="O17" i="1"/>
  <c r="P17" i="1"/>
  <c r="F24" i="1"/>
  <c r="H24" i="1"/>
  <c r="J24" i="1"/>
  <c r="L24" i="1"/>
  <c r="N24" i="1"/>
  <c r="P24" i="1"/>
  <c r="F25" i="1"/>
  <c r="H25" i="1"/>
  <c r="L25" i="1"/>
  <c r="L26" i="1"/>
  <c r="H35" i="1"/>
  <c r="I35" i="1"/>
  <c r="H36" i="1"/>
  <c r="I36" i="1"/>
  <c r="H37" i="1"/>
  <c r="I37" i="1"/>
  <c r="H38" i="1"/>
  <c r="I38" i="1"/>
  <c r="H39" i="1"/>
  <c r="I39" i="1"/>
  <c r="H40" i="1"/>
  <c r="I40" i="1"/>
</calcChain>
</file>

<file path=xl/sharedStrings.xml><?xml version="1.0" encoding="utf-8"?>
<sst xmlns="http://schemas.openxmlformats.org/spreadsheetml/2006/main" count="95" uniqueCount="40">
  <si>
    <t>CO2</t>
  </si>
  <si>
    <t>H2</t>
  </si>
  <si>
    <t>N2</t>
  </si>
  <si>
    <t>MeOH</t>
  </si>
  <si>
    <t>Water</t>
  </si>
  <si>
    <t>mol-%</t>
  </si>
  <si>
    <t>mass-%</t>
  </si>
  <si>
    <t>total</t>
  </si>
  <si>
    <t>Calculation Section</t>
  </si>
  <si>
    <t>Feed</t>
  </si>
  <si>
    <t>mole-flow / kmol/h</t>
  </si>
  <si>
    <t>total mole-flow / kmol/h</t>
  </si>
  <si>
    <t>mass-flow / kg/h</t>
  </si>
  <si>
    <t>total mass-flow / kg/h</t>
  </si>
  <si>
    <t>mol-mass / g/mol</t>
  </si>
  <si>
    <t>Recycle</t>
  </si>
  <si>
    <t>REACIN</t>
  </si>
  <si>
    <t>REACOUT</t>
  </si>
  <si>
    <t>LIQ</t>
  </si>
  <si>
    <t>CO2-mol% in Liq</t>
  </si>
  <si>
    <t>Split: MeOH in Liq</t>
  </si>
  <si>
    <t>Split: H2O in Liq</t>
  </si>
  <si>
    <t>Split: N2/H2 in Liq</t>
  </si>
  <si>
    <t>VAP</t>
  </si>
  <si>
    <t>Split Purge</t>
  </si>
  <si>
    <t>Purge</t>
  </si>
  <si>
    <t>Characteristic Numbers</t>
  </si>
  <si>
    <t>H2/CO2 ratio (mol)</t>
  </si>
  <si>
    <t>MeOH capacity / t/day</t>
  </si>
  <si>
    <t>MeOH capacity / kt/a</t>
  </si>
  <si>
    <t>Recycle/Feed ratio (mol)</t>
  </si>
  <si>
    <t>User entries</t>
  </si>
  <si>
    <t>CO</t>
  </si>
  <si>
    <t>CO-conversion</t>
  </si>
  <si>
    <t>CO2-conversion</t>
  </si>
  <si>
    <t>CO-mol% in Liq</t>
  </si>
  <si>
    <t>H2/CO ratio (mol)</t>
  </si>
  <si>
    <t>SN</t>
  </si>
  <si>
    <t>Inerts</t>
  </si>
  <si>
    <t>CO2/CO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</si>
</sst>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4" xfId="0" applyBorder="1"/>
    <xf numFmtId="0" fontId="0" fillId="0" borderId="5" xfId="0" applyBorder="1"/>
    <xf numFmtId="9" fontId="0" fillId="0" borderId="5" xfId="1" applyFont="1" applyBorder="1"/>
    <xf numFmtId="2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2" fontId="0" fillId="0" borderId="6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9" fontId="0" fillId="0" borderId="4" xfId="1" applyFont="1" applyBorder="1"/>
    <xf numFmtId="0" fontId="0" fillId="0" borderId="4" xfId="0" applyFill="1" applyBorder="1"/>
    <xf numFmtId="165" fontId="0" fillId="0" borderId="5" xfId="1" applyNumberFormat="1" applyFont="1" applyFill="1" applyBorder="1"/>
    <xf numFmtId="9" fontId="0" fillId="0" borderId="5" xfId="1" applyFont="1" applyFill="1" applyBorder="1"/>
    <xf numFmtId="0" fontId="0" fillId="0" borderId="13" xfId="0" applyBorder="1"/>
    <xf numFmtId="2" fontId="0" fillId="0" borderId="3" xfId="0" applyNumberFormat="1" applyBorder="1"/>
    <xf numFmtId="0" fontId="0" fillId="0" borderId="14" xfId="0" applyBorder="1"/>
    <xf numFmtId="9" fontId="0" fillId="2" borderId="4" xfId="1" applyFont="1" applyFill="1" applyBorder="1"/>
    <xf numFmtId="9" fontId="0" fillId="2" borderId="6" xfId="1" applyFont="1" applyFill="1" applyBorder="1"/>
    <xf numFmtId="164" fontId="0" fillId="2" borderId="7" xfId="0" applyNumberFormat="1" applyFill="1" applyBorder="1"/>
    <xf numFmtId="0" fontId="0" fillId="2" borderId="4" xfId="0" applyFill="1" applyBorder="1"/>
    <xf numFmtId="9" fontId="0" fillId="2" borderId="5" xfId="1" applyFont="1" applyFill="1" applyBorder="1"/>
    <xf numFmtId="165" fontId="0" fillId="2" borderId="5" xfId="1" applyNumberFormat="1" applyFont="1" applyFill="1" applyBorder="1"/>
    <xf numFmtId="2" fontId="0" fillId="0" borderId="5" xfId="0" applyNumberFormat="1" applyBorder="1"/>
    <xf numFmtId="164" fontId="0" fillId="0" borderId="14" xfId="0" applyNumberFormat="1" applyBorder="1"/>
    <xf numFmtId="0" fontId="0" fillId="2" borderId="3" xfId="0" applyFill="1" applyBorder="1"/>
    <xf numFmtId="9" fontId="0" fillId="0" borderId="4" xfId="1" applyFont="1" applyFill="1" applyBorder="1"/>
    <xf numFmtId="0" fontId="0" fillId="2" borderId="0" xfId="0" applyFill="1"/>
    <xf numFmtId="9" fontId="0" fillId="0" borderId="0" xfId="1" applyFont="1"/>
    <xf numFmtId="0" fontId="0" fillId="0" borderId="5" xfId="0" applyNumberFormat="1" applyBorder="1"/>
    <xf numFmtId="0" fontId="0" fillId="0" borderId="7" xfId="0" applyNumberFormat="1" applyBorder="1"/>
    <xf numFmtId="1" fontId="0" fillId="0" borderId="4" xfId="0" applyNumberFormat="1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849322</xdr:colOff>
      <xdr:row>33</xdr:row>
      <xdr:rowOff>133528</xdr:rowOff>
    </xdr:from>
    <xdr:to>
      <xdr:col>5</xdr:col>
      <xdr:colOff>1279332</xdr:colOff>
      <xdr:row>56</xdr:row>
      <xdr:rowOff>64148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4FDB5B11-08E7-474E-AEF5-3CABD4478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322" y="6494571"/>
          <a:ext cx="7801532" cy="43535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0D55A-15CE-41A2-914E-673A7C7D37A7}">
  <dimension ref="A1:P49"/>
  <sheetViews>
    <sheetView tabSelected="1" zoomScale="115" zoomScaleNormal="115" workbookViewId="0">
      <selection activeCell="D22" sqref="D22"/>
    </sheetView>
  </sheetViews>
  <sheetFormatPr baseColWidth="10" defaultRowHeight="15" x14ac:dyDescent="0.25"/>
  <cols>
    <col min="1" max="1" width="23.42578125" bestFit="1" customWidth="1"/>
    <col min="2" max="2" width="17.7109375" customWidth="1"/>
    <col min="3" max="3" width="23.28515625" bestFit="1" customWidth="1"/>
    <col min="4" max="4" width="22.85546875" bestFit="1" customWidth="1"/>
    <col min="5" max="5" width="23.28515625" bestFit="1" customWidth="1"/>
    <col min="6" max="6" width="21.140625" bestFit="1" customWidth="1"/>
    <col min="7" max="7" width="23.28515625" bestFit="1" customWidth="1"/>
    <col min="8" max="8" width="21.140625" bestFit="1" customWidth="1"/>
    <col min="9" max="9" width="23.28515625" bestFit="1" customWidth="1"/>
    <col min="10" max="10" width="21.140625" bestFit="1" customWidth="1"/>
    <col min="11" max="11" width="23.28515625" bestFit="1" customWidth="1"/>
    <col min="12" max="12" width="21.140625" bestFit="1" customWidth="1"/>
    <col min="13" max="13" width="23.28515625" bestFit="1" customWidth="1"/>
    <col min="14" max="14" width="21.140625" bestFit="1" customWidth="1"/>
    <col min="15" max="15" width="23.28515625" bestFit="1" customWidth="1"/>
    <col min="16" max="16" width="21.140625" bestFit="1" customWidth="1"/>
  </cols>
  <sheetData>
    <row r="1" spans="1:16" ht="15.75" thickBot="1" x14ac:dyDescent="0.3">
      <c r="C1" s="42" t="s">
        <v>9</v>
      </c>
      <c r="D1" s="43"/>
      <c r="E1" s="42" t="s">
        <v>15</v>
      </c>
      <c r="F1" s="43"/>
      <c r="G1" s="42" t="s">
        <v>16</v>
      </c>
      <c r="H1" s="43"/>
      <c r="I1" s="42" t="s">
        <v>17</v>
      </c>
      <c r="J1" s="43"/>
      <c r="K1" s="42" t="s">
        <v>18</v>
      </c>
      <c r="L1" s="43"/>
      <c r="M1" s="42" t="s">
        <v>23</v>
      </c>
      <c r="N1" s="43"/>
      <c r="O1" s="42" t="s">
        <v>25</v>
      </c>
      <c r="P1" s="43"/>
    </row>
    <row r="2" spans="1:16" ht="15.75" thickBot="1" x14ac:dyDescent="0.3">
      <c r="A2" s="17"/>
      <c r="B2" s="16" t="s">
        <v>14</v>
      </c>
      <c r="C2" s="17" t="s">
        <v>5</v>
      </c>
      <c r="D2" s="19" t="s">
        <v>6</v>
      </c>
      <c r="E2" s="17" t="s">
        <v>5</v>
      </c>
      <c r="F2" s="19" t="s">
        <v>6</v>
      </c>
      <c r="G2" s="17" t="s">
        <v>5</v>
      </c>
      <c r="H2" s="19" t="s">
        <v>6</v>
      </c>
      <c r="I2" s="17" t="s">
        <v>5</v>
      </c>
      <c r="J2" s="19" t="s">
        <v>6</v>
      </c>
      <c r="K2" s="17" t="s">
        <v>5</v>
      </c>
      <c r="L2" s="19" t="s">
        <v>6</v>
      </c>
      <c r="M2" s="17" t="s">
        <v>5</v>
      </c>
      <c r="N2" s="19" t="s">
        <v>6</v>
      </c>
      <c r="O2" s="17" t="s">
        <v>5</v>
      </c>
      <c r="P2" s="19" t="s">
        <v>6</v>
      </c>
    </row>
    <row r="3" spans="1:16" x14ac:dyDescent="0.25">
      <c r="A3" s="1" t="s">
        <v>0</v>
      </c>
      <c r="B3" s="14">
        <v>44</v>
      </c>
      <c r="C3" s="27">
        <f>C4*B33</f>
        <v>0.11974789915966394</v>
      </c>
      <c r="D3" s="3">
        <f>C3*$B3/(C$3*$B$3+C$5*$B$5+C$6*$B$6+C$7*$B$7+C$8*$B$8+$B$4*C$4)</f>
        <v>0.56248317933076175</v>
      </c>
      <c r="E3" s="20">
        <f ca="1">E10/$E$17</f>
        <v>3.904019837158678E-2</v>
      </c>
      <c r="F3" s="3">
        <f ca="1">F10/$F$17</f>
        <v>0.27189670026198443</v>
      </c>
      <c r="G3" s="20">
        <f ca="1">G10/$G$17</f>
        <v>4.6940097394484855E-2</v>
      </c>
      <c r="H3" s="3">
        <f ca="1">H10/$H$17</f>
        <v>0.31216683745494034</v>
      </c>
      <c r="I3" s="20">
        <f ca="1">I10/$I$17</f>
        <v>3.8571199226786014E-2</v>
      </c>
      <c r="J3" s="3">
        <f ca="1">J10/$J$17</f>
        <v>0.24973346996395226</v>
      </c>
      <c r="K3" s="20">
        <f>L18</f>
        <v>0.02</v>
      </c>
      <c r="L3" s="3">
        <f ca="1">L10/$L$17</f>
        <v>3.4207315581094501E-2</v>
      </c>
      <c r="M3" s="20">
        <f ca="1">M10/$M$17</f>
        <v>3.9040196100909336E-2</v>
      </c>
      <c r="N3" s="3">
        <f ca="1">N10/$N$17</f>
        <v>0.27189669280018142</v>
      </c>
      <c r="O3" s="20">
        <f ca="1">O10/$O$17</f>
        <v>3.9040196100909336E-2</v>
      </c>
      <c r="P3" s="3">
        <f ca="1">P10/$P$17</f>
        <v>0.27189669280018142</v>
      </c>
    </row>
    <row r="4" spans="1:16" x14ac:dyDescent="0.25">
      <c r="A4" s="1" t="s">
        <v>32</v>
      </c>
      <c r="B4" s="14">
        <v>28</v>
      </c>
      <c r="C4" s="27">
        <f>(1-B32)/(B31*(B33+1)+(2*B33+1))</f>
        <v>3.9915966386554647E-2</v>
      </c>
      <c r="D4" s="3">
        <f t="shared" ref="D4:D8" si="0">C4*$B4/(C$3*$B$3+C$5*$B$5+C$6*$B$6+C$7*$B$7+C$8*$B$8+$B$4*C$4)</f>
        <v>0.11931461379743431</v>
      </c>
      <c r="E4" s="20">
        <f t="shared" ref="E4:E8" ca="1" si="1">E11/$E$17</f>
        <v>1.7228189215861751E-3</v>
      </c>
      <c r="F4" s="3">
        <f t="shared" ref="F4:F8" ca="1" si="2">F11/$F$17</f>
        <v>7.6354899361739488E-3</v>
      </c>
      <c r="G4" s="20">
        <f t="shared" ref="G4:G8" ca="1" si="3">G11/$G$17</f>
        <v>5.4612726923381162E-3</v>
      </c>
      <c r="H4" s="3">
        <f t="shared" ref="H4:H8" ca="1" si="4">H11/$H$17</f>
        <v>2.3112237697784775E-2</v>
      </c>
      <c r="I4" s="20">
        <f t="shared" ref="I4:I8" ca="1" si="5">I11/$I$17</f>
        <v>1.6828456538795647E-3</v>
      </c>
      <c r="J4" s="3">
        <f t="shared" ref="J4:J8" ca="1" si="6">J11/$J$17</f>
        <v>6.9336713093354329E-3</v>
      </c>
      <c r="K4" s="20">
        <f>L19</f>
        <v>1E-4</v>
      </c>
      <c r="L4" s="3">
        <f ca="1">L11/$L$17</f>
        <v>1.0884145866711888E-4</v>
      </c>
      <c r="M4" s="20">
        <f ca="1">M11/$M$17</f>
        <v>1.7228188216394571E-3</v>
      </c>
      <c r="N4" s="3">
        <f ca="1">N11/$N$17</f>
        <v>7.635489727767444E-3</v>
      </c>
      <c r="O4" s="20">
        <f ca="1">O11/$O$17</f>
        <v>1.7228188216394571E-3</v>
      </c>
      <c r="P4" s="3">
        <f ca="1">P11/$P$17</f>
        <v>7.635489727767444E-3</v>
      </c>
    </row>
    <row r="5" spans="1:16" x14ac:dyDescent="0.25">
      <c r="A5" s="1" t="s">
        <v>1</v>
      </c>
      <c r="B5" s="14">
        <v>2</v>
      </c>
      <c r="C5" s="27">
        <f>1-C3-C4-C6</f>
        <v>0.79033613445378137</v>
      </c>
      <c r="D5" s="3">
        <f t="shared" si="0"/>
        <v>0.16874495379922838</v>
      </c>
      <c r="E5" s="20">
        <f t="shared" ca="1" si="1"/>
        <v>0.85794158996011927</v>
      </c>
      <c r="F5" s="3">
        <f t="shared" ca="1" si="2"/>
        <v>0.27159824658325238</v>
      </c>
      <c r="G5" s="20">
        <f t="shared" ca="1" si="3"/>
        <v>0.85132417592549725</v>
      </c>
      <c r="H5" s="3">
        <f t="shared" ca="1" si="4"/>
        <v>0.25734460262695669</v>
      </c>
      <c r="I5" s="20">
        <f t="shared" ca="1" si="5"/>
        <v>0.8376464808697317</v>
      </c>
      <c r="J5" s="3">
        <f t="shared" ca="1" si="6"/>
        <v>0.2465197378356799</v>
      </c>
      <c r="K5" s="20">
        <f ca="1">K12/$K$17</f>
        <v>3.4006523660803915E-2</v>
      </c>
      <c r="L5" s="3">
        <f t="shared" ref="L5:L8" ca="1" si="7">L12/$L$17</f>
        <v>2.6437997484098971E-3</v>
      </c>
      <c r="M5" s="20">
        <f ca="1">M12/$M$17</f>
        <v>0.85794159602815478</v>
      </c>
      <c r="N5" s="3">
        <f ca="1">N12/$N$17</f>
        <v>0.2715982568474426</v>
      </c>
      <c r="O5" s="20">
        <f t="shared" ref="O5:O8" ca="1" si="8">O12/$O$17</f>
        <v>0.85794159602815478</v>
      </c>
      <c r="P5" s="3">
        <f t="shared" ref="P5:P8" ca="1" si="9">P12/$P$17</f>
        <v>0.27159825684744254</v>
      </c>
    </row>
    <row r="6" spans="1:16" x14ac:dyDescent="0.25">
      <c r="A6" s="1" t="s">
        <v>2</v>
      </c>
      <c r="B6" s="14">
        <v>28</v>
      </c>
      <c r="C6" s="36">
        <f>B32</f>
        <v>0.05</v>
      </c>
      <c r="D6" s="3">
        <f t="shared" si="0"/>
        <v>0.14945725307257554</v>
      </c>
      <c r="E6" s="20">
        <f t="shared" ca="1" si="1"/>
        <v>0.10105512578546919</v>
      </c>
      <c r="F6" s="3">
        <f t="shared" ca="1" si="2"/>
        <v>0.44787376448323213</v>
      </c>
      <c r="G6" s="20">
        <f t="shared" ca="1" si="3"/>
        <v>9.6057705039143709E-2</v>
      </c>
      <c r="H6" s="3">
        <f t="shared" ca="1" si="4"/>
        <v>0.40651852354545215</v>
      </c>
      <c r="I6" s="20">
        <f t="shared" ca="1" si="5"/>
        <v>9.8664603505061593E-2</v>
      </c>
      <c r="J6" s="3">
        <f t="shared" ca="1" si="6"/>
        <v>0.4065185235454522</v>
      </c>
      <c r="K6" s="20">
        <f t="shared" ref="K6:K8" ca="1" si="10">K13/$K$17</f>
        <v>4.0055563417337519E-3</v>
      </c>
      <c r="L6" s="3">
        <f t="shared" ca="1" si="7"/>
        <v>4.3597059598928199E-3</v>
      </c>
      <c r="M6" s="20">
        <f t="shared" ref="M6:M8" ca="1" si="11">M13/$M$17</f>
        <v>0.10105512210201943</v>
      </c>
      <c r="N6" s="3">
        <f t="shared" ref="N6:N8" ca="1" si="12">N13/$N$17</f>
        <v>0.44787376191652262</v>
      </c>
      <c r="O6" s="20">
        <f t="shared" ca="1" si="8"/>
        <v>0.10105512210201943</v>
      </c>
      <c r="P6" s="3">
        <f t="shared" ca="1" si="9"/>
        <v>0.44787376191652256</v>
      </c>
    </row>
    <row r="7" spans="1:16" x14ac:dyDescent="0.25">
      <c r="A7" s="1" t="s">
        <v>3</v>
      </c>
      <c r="B7" s="14">
        <v>32</v>
      </c>
      <c r="C7" s="27">
        <v>0</v>
      </c>
      <c r="D7" s="3">
        <f t="shared" si="0"/>
        <v>0</v>
      </c>
      <c r="E7" s="20">
        <f t="shared" ca="1" si="1"/>
        <v>1.4045555742365134E-4</v>
      </c>
      <c r="F7" s="3">
        <f t="shared" ca="1" si="2"/>
        <v>7.1142340813034179E-4</v>
      </c>
      <c r="G7" s="20">
        <f t="shared" ca="1" si="3"/>
        <v>1.2670736846501327E-4</v>
      </c>
      <c r="H7" s="3">
        <f t="shared" ca="1" si="4"/>
        <v>6.1283272924019167E-4</v>
      </c>
      <c r="I7" s="20">
        <f t="shared" ca="1" si="5"/>
        <v>1.3699585730197016E-2</v>
      </c>
      <c r="J7" s="3">
        <f t="shared" ca="1" si="6"/>
        <v>6.4508708335459339E-2</v>
      </c>
      <c r="K7" s="20">
        <f t="shared" ca="1" si="10"/>
        <v>0.55061000547092609</v>
      </c>
      <c r="L7" s="3">
        <f t="shared" ca="1" si="7"/>
        <v>0.68490510042406061</v>
      </c>
      <c r="M7" s="20">
        <f t="shared" ca="1" si="11"/>
        <v>1.4045554926381097E-4</v>
      </c>
      <c r="N7" s="3">
        <f t="shared" ca="1" si="12"/>
        <v>7.1142338865405532E-4</v>
      </c>
      <c r="O7" s="20">
        <f t="shared" ca="1" si="8"/>
        <v>1.4045554926381097E-4</v>
      </c>
      <c r="P7" s="3">
        <f t="shared" ca="1" si="9"/>
        <v>7.1142338865405532E-4</v>
      </c>
    </row>
    <row r="8" spans="1:16" ht="15.75" thickBot="1" x14ac:dyDescent="0.3">
      <c r="A8" s="8" t="s">
        <v>4</v>
      </c>
      <c r="B8" s="14">
        <v>18</v>
      </c>
      <c r="C8" s="28">
        <v>0</v>
      </c>
      <c r="D8" s="3">
        <f t="shared" si="0"/>
        <v>0</v>
      </c>
      <c r="E8" s="20">
        <f t="shared" ca="1" si="1"/>
        <v>9.9811403815038154E-5</v>
      </c>
      <c r="F8" s="3">
        <f t="shared" ca="1" si="2"/>
        <v>2.8437532722703894E-4</v>
      </c>
      <c r="G8" s="20">
        <f t="shared" ca="1" si="3"/>
        <v>9.0041580071168237E-5</v>
      </c>
      <c r="H8" s="3">
        <f t="shared" ca="1" si="4"/>
        <v>2.4496594562599714E-4</v>
      </c>
      <c r="I8" s="20">
        <f t="shared" ca="1" si="5"/>
        <v>9.7352850143440466E-3</v>
      </c>
      <c r="J8" s="3">
        <f t="shared" ca="1" si="6"/>
        <v>2.5785889010121136E-2</v>
      </c>
      <c r="K8" s="20">
        <f t="shared" ca="1" si="10"/>
        <v>0.39127791457179428</v>
      </c>
      <c r="L8" s="3">
        <f t="shared" ca="1" si="7"/>
        <v>0.27377523682787508</v>
      </c>
      <c r="M8" s="20">
        <f t="shared" ca="1" si="11"/>
        <v>9.9811398012966237E-5</v>
      </c>
      <c r="N8" s="3">
        <f t="shared" ca="1" si="12"/>
        <v>2.8437531943193448E-4</v>
      </c>
      <c r="O8" s="20">
        <f t="shared" ca="1" si="8"/>
        <v>9.9811398012966251E-5</v>
      </c>
      <c r="P8" s="3">
        <f t="shared" ca="1" si="9"/>
        <v>2.8437531943193448E-4</v>
      </c>
    </row>
    <row r="9" spans="1:16" ht="15.75" thickBot="1" x14ac:dyDescent="0.3">
      <c r="A9" s="10"/>
      <c r="B9" s="16"/>
      <c r="C9" s="17" t="s">
        <v>10</v>
      </c>
      <c r="D9" s="19" t="s">
        <v>12</v>
      </c>
      <c r="E9" s="17" t="s">
        <v>10</v>
      </c>
      <c r="F9" s="19" t="s">
        <v>12</v>
      </c>
      <c r="G9" s="17" t="s">
        <v>10</v>
      </c>
      <c r="H9" s="19" t="s">
        <v>12</v>
      </c>
      <c r="I9" s="17" t="s">
        <v>10</v>
      </c>
      <c r="J9" s="19" t="s">
        <v>12</v>
      </c>
      <c r="K9" s="17" t="s">
        <v>10</v>
      </c>
      <c r="L9" s="19" t="s">
        <v>12</v>
      </c>
      <c r="M9" s="17" t="s">
        <v>10</v>
      </c>
      <c r="N9" s="19" t="s">
        <v>12</v>
      </c>
      <c r="O9" s="17" t="s">
        <v>10</v>
      </c>
      <c r="P9" s="19" t="s">
        <v>12</v>
      </c>
    </row>
    <row r="10" spans="1:16" x14ac:dyDescent="0.25">
      <c r="A10" s="10" t="s">
        <v>0</v>
      </c>
      <c r="B10" s="14"/>
      <c r="C10" s="4">
        <f t="shared" ref="C10:C15" si="13">D10/B3</f>
        <v>63.918543105768386</v>
      </c>
      <c r="D10" s="5">
        <f t="shared" ref="D10:D15" si="14">D3*$D$17</f>
        <v>2812.4158966538089</v>
      </c>
      <c r="E10" s="4">
        <f ca="1">M10-O10</f>
        <v>192.05576985646167</v>
      </c>
      <c r="F10" s="5">
        <f ca="1">N10-P10</f>
        <v>8450.4538736843115</v>
      </c>
      <c r="G10" s="4">
        <f ca="1">C10+E10</f>
        <v>255.97431296223004</v>
      </c>
      <c r="H10" s="5">
        <f ca="1">D10+F10</f>
        <v>11262.86977033812</v>
      </c>
      <c r="I10" s="4">
        <f ca="1">G10-H18*G10</f>
        <v>204.77945036978403</v>
      </c>
      <c r="J10" s="5">
        <f t="shared" ref="J10:J15" ca="1" si="15">I10*B3</f>
        <v>9010.2958162704981</v>
      </c>
      <c r="K10" s="4">
        <f ca="1">K3*K17</f>
        <v>2.6154821293810642</v>
      </c>
      <c r="L10" s="5">
        <f t="shared" ref="L10:L15" ca="1" si="16">K10*B3</f>
        <v>115.08121369276682</v>
      </c>
      <c r="M10" s="4">
        <f ca="1">I10-K10</f>
        <v>202.16396824040297</v>
      </c>
      <c r="N10" s="5">
        <f ca="1">J10-L10</f>
        <v>8895.2146025777311</v>
      </c>
      <c r="O10" s="4">
        <f ca="1">M10*$P$18</f>
        <v>10.108198412020149</v>
      </c>
      <c r="P10" s="5">
        <f ca="1">N10*$P$18</f>
        <v>444.76073012888656</v>
      </c>
    </row>
    <row r="11" spans="1:16" x14ac:dyDescent="0.25">
      <c r="A11" s="1" t="s">
        <v>32</v>
      </c>
      <c r="B11" s="14"/>
      <c r="C11" s="4">
        <f t="shared" si="13"/>
        <v>21.306181035256127</v>
      </c>
      <c r="D11" s="5">
        <f t="shared" si="14"/>
        <v>596.57306898717161</v>
      </c>
      <c r="E11" s="41">
        <f t="shared" ref="E11:E15" ca="1" si="17">M11-O11</f>
        <v>8.4752979789837983</v>
      </c>
      <c r="F11" s="5">
        <f ca="1">N11-P11</f>
        <v>237.3083434115463</v>
      </c>
      <c r="G11" s="4">
        <f t="shared" ref="G11:G15" ca="1" si="18">C11+E11</f>
        <v>29.781479014239927</v>
      </c>
      <c r="H11" s="5">
        <f t="shared" ref="H11:H15" ca="1" si="19">D11+F11</f>
        <v>833.88141239871788</v>
      </c>
      <c r="I11" s="4">
        <f ca="1">G11-H19*G11</f>
        <v>8.9344437042719811</v>
      </c>
      <c r="J11" s="5">
        <f t="shared" ca="1" si="15"/>
        <v>250.16442371961546</v>
      </c>
      <c r="K11" s="4">
        <f ca="1">K4*K17</f>
        <v>1.3077410646905322E-2</v>
      </c>
      <c r="L11" s="5">
        <f t="shared" ca="1" si="16"/>
        <v>0.36616749811334903</v>
      </c>
      <c r="M11" s="4">
        <f ca="1">I11-K11</f>
        <v>8.9213662936250753</v>
      </c>
      <c r="N11" s="5">
        <f ca="1">J11-L11</f>
        <v>249.7982562215021</v>
      </c>
      <c r="O11" s="4">
        <f ca="1">M11*$P$18</f>
        <v>0.4460683146812538</v>
      </c>
      <c r="P11" s="5">
        <f ca="1">N11*$P$18</f>
        <v>12.489912811075106</v>
      </c>
    </row>
    <row r="12" spans="1:16" x14ac:dyDescent="0.25">
      <c r="A12" s="1" t="s">
        <v>1</v>
      </c>
      <c r="B12" s="14"/>
      <c r="C12" s="4">
        <f t="shared" si="13"/>
        <v>421.86238449807098</v>
      </c>
      <c r="D12" s="5">
        <f t="shared" si="14"/>
        <v>843.72476899614196</v>
      </c>
      <c r="E12" s="4">
        <f t="shared" ca="1" si="17"/>
        <v>4220.5892944587631</v>
      </c>
      <c r="F12" s="5">
        <f t="shared" ref="F12:F15" ca="1" si="20">N12-P12</f>
        <v>8441.1785889175262</v>
      </c>
      <c r="G12" s="4">
        <f t="shared" ca="1" si="18"/>
        <v>4642.4516789568343</v>
      </c>
      <c r="H12" s="5">
        <f t="shared" ca="1" si="19"/>
        <v>9284.9033579136685</v>
      </c>
      <c r="I12" s="4">
        <f ca="1">G12-3*(G10-I10)-2*(G11-I11)</f>
        <v>4447.1730205595604</v>
      </c>
      <c r="J12" s="5">
        <f t="shared" ca="1" si="15"/>
        <v>8894.3460411191209</v>
      </c>
      <c r="K12" s="4">
        <f ca="1">I12*L20</f>
        <v>4.4471730205595605</v>
      </c>
      <c r="L12" s="5">
        <f t="shared" ca="1" si="16"/>
        <v>8.8943460411191211</v>
      </c>
      <c r="M12" s="4">
        <f ca="1">I12-K12</f>
        <v>4442.7258475390008</v>
      </c>
      <c r="N12" s="5">
        <f t="shared" ref="N12:N15" ca="1" si="21">J12-L12</f>
        <v>8885.4516950780016</v>
      </c>
      <c r="O12" s="4">
        <f t="shared" ref="O12:O15" ca="1" si="22">M12*$P$18</f>
        <v>222.13629237695005</v>
      </c>
      <c r="P12" s="5">
        <f t="shared" ref="P12:P15" ca="1" si="23">N12*$P$18</f>
        <v>444.27258475390011</v>
      </c>
    </row>
    <row r="13" spans="1:16" x14ac:dyDescent="0.25">
      <c r="A13" s="1" t="s">
        <v>2</v>
      </c>
      <c r="B13" s="14"/>
      <c r="C13" s="4">
        <f t="shared" si="13"/>
        <v>26.688795191531344</v>
      </c>
      <c r="D13" s="5">
        <f t="shared" si="14"/>
        <v>747.28626536287766</v>
      </c>
      <c r="E13" s="4">
        <f t="shared" ca="1" si="17"/>
        <v>497.13426702767032</v>
      </c>
      <c r="F13" s="5">
        <f t="shared" ca="1" si="20"/>
        <v>13919.759476774769</v>
      </c>
      <c r="G13" s="4">
        <f t="shared" ca="1" si="18"/>
        <v>523.82306221920169</v>
      </c>
      <c r="H13" s="5">
        <f t="shared" ca="1" si="19"/>
        <v>14667.045742137647</v>
      </c>
      <c r="I13" s="4">
        <f ca="1">G13</f>
        <v>523.82306221920169</v>
      </c>
      <c r="J13" s="5">
        <f t="shared" ca="1" si="15"/>
        <v>14667.045742137647</v>
      </c>
      <c r="K13" s="4">
        <f ca="1">I13*L20</f>
        <v>0.52382306221920172</v>
      </c>
      <c r="L13" s="5">
        <f t="shared" ca="1" si="16"/>
        <v>14.667045742137649</v>
      </c>
      <c r="M13" s="4">
        <f t="shared" ref="M13:M15" ca="1" si="24">I13-K13</f>
        <v>523.29923915698248</v>
      </c>
      <c r="N13" s="5">
        <f t="shared" ca="1" si="21"/>
        <v>14652.37869639551</v>
      </c>
      <c r="O13" s="4">
        <f t="shared" ca="1" si="22"/>
        <v>26.164961957849126</v>
      </c>
      <c r="P13" s="5">
        <f t="shared" ca="1" si="23"/>
        <v>732.61893481977552</v>
      </c>
    </row>
    <row r="14" spans="1:16" x14ac:dyDescent="0.25">
      <c r="A14" s="1" t="s">
        <v>3</v>
      </c>
      <c r="B14" s="14"/>
      <c r="C14" s="4">
        <f t="shared" si="13"/>
        <v>0</v>
      </c>
      <c r="D14" s="5">
        <f t="shared" si="14"/>
        <v>0</v>
      </c>
      <c r="E14" s="4">
        <f t="shared" ca="1" si="17"/>
        <v>0.69096217075213606</v>
      </c>
      <c r="F14" s="5">
        <f t="shared" ca="1" si="20"/>
        <v>22.110789464068354</v>
      </c>
      <c r="G14" s="4">
        <f t="shared" ca="1" si="18"/>
        <v>0.69096217075213606</v>
      </c>
      <c r="H14" s="5">
        <f t="shared" ca="1" si="19"/>
        <v>22.110789464068354</v>
      </c>
      <c r="I14" s="4">
        <f ca="1">G14+G10-I10+(G11-I11)</f>
        <v>72.732860073166094</v>
      </c>
      <c r="J14" s="5">
        <f t="shared" ca="1" si="15"/>
        <v>2327.451522341315</v>
      </c>
      <c r="K14" s="4">
        <f ca="1">I14*L21</f>
        <v>72.005531472434427</v>
      </c>
      <c r="L14" s="5">
        <f t="shared" ca="1" si="16"/>
        <v>2304.1770071179017</v>
      </c>
      <c r="M14" s="4">
        <f t="shared" ca="1" si="24"/>
        <v>0.72732860073166705</v>
      </c>
      <c r="N14" s="5">
        <f t="shared" ca="1" si="21"/>
        <v>23.274515223413346</v>
      </c>
      <c r="O14" s="4">
        <f t="shared" ca="1" si="22"/>
        <v>3.6366430036583353E-2</v>
      </c>
      <c r="P14" s="5">
        <f t="shared" ca="1" si="23"/>
        <v>1.1637257611706673</v>
      </c>
    </row>
    <row r="15" spans="1:16" ht="15.75" thickBot="1" x14ac:dyDescent="0.3">
      <c r="A15" s="8" t="s">
        <v>4</v>
      </c>
      <c r="B15" s="14"/>
      <c r="C15" s="12">
        <f t="shared" si="13"/>
        <v>0</v>
      </c>
      <c r="D15" s="7">
        <f t="shared" si="14"/>
        <v>0</v>
      </c>
      <c r="E15" s="4">
        <f t="shared" ca="1" si="17"/>
        <v>0.49101584521455416</v>
      </c>
      <c r="F15" s="5">
        <f t="shared" ca="1" si="20"/>
        <v>8.8382852138619334</v>
      </c>
      <c r="G15" s="4">
        <f t="shared" ca="1" si="18"/>
        <v>0.49101584521455416</v>
      </c>
      <c r="H15" s="5">
        <f t="shared" ca="1" si="19"/>
        <v>8.8382852138619334</v>
      </c>
      <c r="I15" s="12">
        <f ca="1">G15+G10-I10</f>
        <v>51.685878437660591</v>
      </c>
      <c r="J15" s="5">
        <f t="shared" ca="1" si="15"/>
        <v>930.34581187789058</v>
      </c>
      <c r="K15" s="12">
        <f ca="1">I15*L22</f>
        <v>51.169019653283982</v>
      </c>
      <c r="L15" s="5">
        <f t="shared" ca="1" si="16"/>
        <v>921.04235375911162</v>
      </c>
      <c r="M15" s="4">
        <f t="shared" ca="1" si="24"/>
        <v>0.51685878437660904</v>
      </c>
      <c r="N15" s="5">
        <f t="shared" ca="1" si="21"/>
        <v>9.3034581187789627</v>
      </c>
      <c r="O15" s="4">
        <f t="shared" ca="1" si="22"/>
        <v>2.5842939218830453E-2</v>
      </c>
      <c r="P15" s="5">
        <f t="shared" ca="1" si="23"/>
        <v>0.46517290593894817</v>
      </c>
    </row>
    <row r="16" spans="1:16" x14ac:dyDescent="0.25">
      <c r="A16" s="10"/>
      <c r="B16" s="13"/>
      <c r="C16" s="10" t="s">
        <v>11</v>
      </c>
      <c r="D16" s="35" t="s">
        <v>13</v>
      </c>
      <c r="E16" s="10" t="s">
        <v>11</v>
      </c>
      <c r="F16" s="11" t="s">
        <v>13</v>
      </c>
      <c r="G16" s="10" t="s">
        <v>11</v>
      </c>
      <c r="H16" s="11" t="s">
        <v>13</v>
      </c>
      <c r="I16" s="10" t="s">
        <v>11</v>
      </c>
      <c r="J16" s="11" t="s">
        <v>13</v>
      </c>
      <c r="K16" s="10" t="s">
        <v>11</v>
      </c>
      <c r="L16" s="11" t="s">
        <v>13</v>
      </c>
      <c r="M16" s="10" t="s">
        <v>11</v>
      </c>
      <c r="N16" s="11" t="s">
        <v>13</v>
      </c>
      <c r="O16" s="10" t="s">
        <v>11</v>
      </c>
      <c r="P16" s="11" t="s">
        <v>13</v>
      </c>
    </row>
    <row r="17" spans="1:16" ht="15.75" thickBot="1" x14ac:dyDescent="0.3">
      <c r="A17" s="1" t="s">
        <v>7</v>
      </c>
      <c r="B17" s="15"/>
      <c r="C17" s="6">
        <f>SUM(C10:C15)</f>
        <v>533.77590383062682</v>
      </c>
      <c r="D17" s="29">
        <v>5000</v>
      </c>
      <c r="E17" s="6">
        <f t="shared" ref="E17:F17" ca="1" si="25">SUM(E10:E15)</f>
        <v>4919.4366073378451</v>
      </c>
      <c r="F17" s="34">
        <f t="shared" ca="1" si="25"/>
        <v>31079.649357466085</v>
      </c>
      <c r="G17" s="6">
        <f t="shared" ref="G17:P17" ca="1" si="26">SUM(G10:G15)</f>
        <v>5453.2125111684727</v>
      </c>
      <c r="H17" s="7">
        <f t="shared" ca="1" si="26"/>
        <v>36079.649357466078</v>
      </c>
      <c r="I17" s="6">
        <f t="shared" ca="1" si="26"/>
        <v>5309.1287153636449</v>
      </c>
      <c r="J17" s="7">
        <f t="shared" ca="1" si="26"/>
        <v>36079.649357466085</v>
      </c>
      <c r="K17" s="6">
        <f ca="1">SUM(K10:K15)</f>
        <v>130.77410674852513</v>
      </c>
      <c r="L17" s="7">
        <f t="shared" ca="1" si="26"/>
        <v>3364.2281338511502</v>
      </c>
      <c r="M17" s="6">
        <f t="shared" ca="1" si="26"/>
        <v>5178.35460861512</v>
      </c>
      <c r="N17" s="7">
        <f t="shared" ca="1" si="26"/>
        <v>32715.421223614936</v>
      </c>
      <c r="O17" s="6">
        <f t="shared" ca="1" si="26"/>
        <v>258.91773043075597</v>
      </c>
      <c r="P17" s="7">
        <f t="shared" ca="1" si="26"/>
        <v>1635.7710611807468</v>
      </c>
    </row>
    <row r="18" spans="1:16" x14ac:dyDescent="0.25">
      <c r="A18" s="13" t="s">
        <v>8</v>
      </c>
      <c r="B18" s="2"/>
      <c r="C18" s="1"/>
      <c r="D18" s="2"/>
      <c r="E18" s="1"/>
      <c r="F18" s="2"/>
      <c r="G18" s="30" t="s">
        <v>34</v>
      </c>
      <c r="H18" s="31">
        <v>0.2</v>
      </c>
      <c r="I18" s="1"/>
      <c r="J18" s="2"/>
      <c r="K18" s="30" t="s">
        <v>19</v>
      </c>
      <c r="L18" s="31">
        <v>0.02</v>
      </c>
      <c r="M18" s="21"/>
      <c r="N18" s="23"/>
      <c r="O18" s="30" t="s">
        <v>24</v>
      </c>
      <c r="P18" s="31">
        <v>0.05</v>
      </c>
    </row>
    <row r="19" spans="1:16" x14ac:dyDescent="0.25">
      <c r="A19" s="14"/>
      <c r="B19" s="2"/>
      <c r="C19" s="1"/>
      <c r="D19" s="2"/>
      <c r="E19" s="1"/>
      <c r="F19" s="2"/>
      <c r="G19" s="30" t="s">
        <v>33</v>
      </c>
      <c r="H19" s="31">
        <v>0.7</v>
      </c>
      <c r="I19" s="1"/>
      <c r="J19" s="2"/>
      <c r="K19" s="30" t="s">
        <v>35</v>
      </c>
      <c r="L19" s="32">
        <f>IF(C4=0,0%,0.01%)</f>
        <v>1E-4</v>
      </c>
      <c r="M19" s="21"/>
      <c r="N19" s="22"/>
      <c r="O19" s="21"/>
      <c r="P19" s="22"/>
    </row>
    <row r="20" spans="1:16" x14ac:dyDescent="0.25">
      <c r="A20" s="14"/>
      <c r="B20" s="2"/>
      <c r="C20" s="1"/>
      <c r="D20" s="2"/>
      <c r="E20" s="1"/>
      <c r="F20" s="2"/>
      <c r="G20" s="1"/>
      <c r="H20" s="2"/>
      <c r="I20" s="1"/>
      <c r="J20" s="2"/>
      <c r="K20" s="30" t="s">
        <v>22</v>
      </c>
      <c r="L20" s="32">
        <v>1E-3</v>
      </c>
      <c r="M20" s="21"/>
      <c r="N20" s="23"/>
      <c r="O20" s="21"/>
      <c r="P20" s="23"/>
    </row>
    <row r="21" spans="1:16" x14ac:dyDescent="0.25">
      <c r="A21" s="14"/>
      <c r="B21" s="2"/>
      <c r="C21" s="1"/>
      <c r="D21" s="2"/>
      <c r="E21" s="1"/>
      <c r="F21" s="2"/>
      <c r="G21" s="1"/>
      <c r="H21" s="2"/>
      <c r="I21" s="1"/>
      <c r="J21" s="2"/>
      <c r="K21" s="30" t="s">
        <v>20</v>
      </c>
      <c r="L21" s="31">
        <v>0.99</v>
      </c>
      <c r="M21" s="21"/>
      <c r="N21" s="23"/>
      <c r="O21" s="21"/>
      <c r="P21" s="23"/>
    </row>
    <row r="22" spans="1:16" x14ac:dyDescent="0.25">
      <c r="A22" s="14"/>
      <c r="B22" s="2"/>
      <c r="C22" s="1"/>
      <c r="D22" s="2"/>
      <c r="E22" s="1"/>
      <c r="F22" s="2"/>
      <c r="G22" s="1"/>
      <c r="H22" s="2"/>
      <c r="I22" s="1"/>
      <c r="J22" s="2"/>
      <c r="K22" s="30" t="s">
        <v>21</v>
      </c>
      <c r="L22" s="31">
        <v>0.99</v>
      </c>
      <c r="M22" s="1"/>
      <c r="N22" s="2"/>
      <c r="O22" s="1"/>
      <c r="P22" s="2"/>
    </row>
    <row r="23" spans="1:16" ht="15.75" thickBot="1" x14ac:dyDescent="0.3">
      <c r="A23" s="15"/>
      <c r="B23" s="9"/>
      <c r="C23" s="8"/>
      <c r="D23" s="9"/>
      <c r="E23" s="8"/>
      <c r="F23" s="9"/>
      <c r="G23" s="8"/>
      <c r="H23" s="9"/>
      <c r="I23" s="8"/>
      <c r="J23" s="9"/>
      <c r="K23" s="8"/>
      <c r="L23" s="9"/>
      <c r="M23" s="8"/>
      <c r="N23" s="9"/>
      <c r="O23" s="8"/>
      <c r="P23" s="9"/>
    </row>
    <row r="24" spans="1:16" ht="15.75" thickBot="1" x14ac:dyDescent="0.3">
      <c r="A24" s="10" t="s">
        <v>26</v>
      </c>
      <c r="B24" s="13"/>
      <c r="C24" s="10" t="s">
        <v>27</v>
      </c>
      <c r="D24" s="25">
        <f>C12/C10</f>
        <v>6.5999999999999943</v>
      </c>
      <c r="E24" s="10" t="s">
        <v>27</v>
      </c>
      <c r="F24" s="25">
        <f ca="1">E12/E10</f>
        <v>21.975852626625798</v>
      </c>
      <c r="G24" s="10" t="s">
        <v>27</v>
      </c>
      <c r="H24" s="25">
        <f ca="1">G12/G10</f>
        <v>18.136396676809696</v>
      </c>
      <c r="I24" s="10" t="s">
        <v>27</v>
      </c>
      <c r="J24" s="25">
        <f ca="1">I12/I10</f>
        <v>21.716891087113481</v>
      </c>
      <c r="K24" s="10" t="s">
        <v>27</v>
      </c>
      <c r="L24" s="25">
        <f ca="1">K12/K10</f>
        <v>1.7003262880683316</v>
      </c>
      <c r="M24" s="10" t="s">
        <v>27</v>
      </c>
      <c r="N24" s="25">
        <f ca="1">M12/M10</f>
        <v>21.975853987274036</v>
      </c>
      <c r="O24" s="24" t="s">
        <v>27</v>
      </c>
      <c r="P24" s="25">
        <f ca="1">O12/O10</f>
        <v>21.975853987274032</v>
      </c>
    </row>
    <row r="25" spans="1:16" x14ac:dyDescent="0.25">
      <c r="A25" s="1"/>
      <c r="B25" s="14"/>
      <c r="C25" s="10" t="s">
        <v>36</v>
      </c>
      <c r="D25" s="25">
        <f>C12/C11</f>
        <v>19.799999999999983</v>
      </c>
      <c r="E25" s="1" t="s">
        <v>30</v>
      </c>
      <c r="F25" s="5">
        <f ca="1">E17/C17</f>
        <v>9.2162957751252073</v>
      </c>
      <c r="G25" s="1" t="s">
        <v>37</v>
      </c>
      <c r="H25" s="33">
        <f ca="1">(G5-G3)/(G3+G4)</f>
        <v>15.350439830070123</v>
      </c>
      <c r="I25" s="1"/>
      <c r="J25" s="2"/>
      <c r="K25" s="1" t="s">
        <v>28</v>
      </c>
      <c r="L25" s="33">
        <f ca="1">L14*24/1000</f>
        <v>55.30024817082964</v>
      </c>
      <c r="M25" s="1"/>
      <c r="N25" s="2"/>
      <c r="O25" s="18"/>
      <c r="P25" s="2"/>
    </row>
    <row r="26" spans="1:16" x14ac:dyDescent="0.25">
      <c r="A26" s="1"/>
      <c r="B26" s="14"/>
      <c r="C26" s="1"/>
      <c r="D26" s="39">
        <f>(C5-C3)/(C3+C4)</f>
        <v>4.1999999999999966</v>
      </c>
      <c r="E26" s="1"/>
      <c r="F26" s="2"/>
      <c r="G26" s="1"/>
      <c r="H26" s="2"/>
      <c r="I26" s="1"/>
      <c r="J26" s="2"/>
      <c r="K26" s="1" t="s">
        <v>29</v>
      </c>
      <c r="L26" s="5">
        <f ca="1">L14*8000/1000/1000</f>
        <v>18.433416056943212</v>
      </c>
      <c r="M26" s="1"/>
      <c r="N26" s="2"/>
      <c r="O26" s="18"/>
      <c r="P26" s="2"/>
    </row>
    <row r="27" spans="1:16" ht="15.75" thickBot="1" x14ac:dyDescent="0.3">
      <c r="A27" s="8"/>
      <c r="B27" s="15"/>
      <c r="C27" s="8"/>
      <c r="D27" s="40"/>
      <c r="E27" s="8"/>
      <c r="F27" s="9"/>
      <c r="G27" s="8"/>
      <c r="H27" s="9"/>
      <c r="I27" s="8"/>
      <c r="J27" s="9"/>
      <c r="K27" s="8"/>
      <c r="L27" s="9"/>
      <c r="M27" s="8"/>
      <c r="N27" s="9"/>
      <c r="O27" s="26"/>
      <c r="P27" s="9"/>
    </row>
    <row r="29" spans="1:16" x14ac:dyDescent="0.25">
      <c r="A29" s="37"/>
      <c r="B29" t="s">
        <v>31</v>
      </c>
      <c r="D29">
        <v>6917.8220786623033</v>
      </c>
      <c r="E29">
        <v>9932.7605862354794</v>
      </c>
      <c r="F29" s="38">
        <f>E29/D29</f>
        <v>1.4358219210165308</v>
      </c>
    </row>
    <row r="30" spans="1:16" x14ac:dyDescent="0.25">
      <c r="D30">
        <v>34673.630464221656</v>
      </c>
      <c r="E30">
        <v>90618.636986046055</v>
      </c>
      <c r="F30" s="38">
        <f>E30/D30</f>
        <v>2.6134741523404026</v>
      </c>
    </row>
    <row r="31" spans="1:16" x14ac:dyDescent="0.25">
      <c r="A31" t="s">
        <v>37</v>
      </c>
      <c r="B31">
        <v>4.1999999999999957</v>
      </c>
    </row>
    <row r="32" spans="1:16" x14ac:dyDescent="0.25">
      <c r="A32" t="s">
        <v>38</v>
      </c>
      <c r="B32">
        <v>0.05</v>
      </c>
      <c r="C32">
        <f>(1-B32)/(B31*(B33+1)+(2*B33+1))</f>
        <v>3.9915966386554647E-2</v>
      </c>
    </row>
    <row r="33" spans="1:9" ht="15.75" thickBot="1" x14ac:dyDescent="0.3">
      <c r="A33" t="s">
        <v>39</v>
      </c>
      <c r="B33">
        <v>3</v>
      </c>
    </row>
    <row r="34" spans="1:9" ht="15.75" thickBot="1" x14ac:dyDescent="0.3">
      <c r="H34" s="17" t="s">
        <v>5</v>
      </c>
      <c r="I34" s="19" t="s">
        <v>6</v>
      </c>
    </row>
    <row r="35" spans="1:9" x14ac:dyDescent="0.25">
      <c r="H35" s="20">
        <f ca="1">H42/$E$17</f>
        <v>0</v>
      </c>
      <c r="I35" s="3">
        <f ca="1">I42/$F$17</f>
        <v>0</v>
      </c>
    </row>
    <row r="36" spans="1:9" x14ac:dyDescent="0.25">
      <c r="H36" s="20">
        <f t="shared" ref="H36:H40" ca="1" si="27">H43/$E$17</f>
        <v>0</v>
      </c>
      <c r="I36" s="3">
        <f t="shared" ref="I36:I40" ca="1" si="28">I43/$F$17</f>
        <v>0</v>
      </c>
    </row>
    <row r="37" spans="1:9" x14ac:dyDescent="0.25">
      <c r="H37" s="20">
        <f t="shared" ca="1" si="27"/>
        <v>0</v>
      </c>
      <c r="I37" s="3">
        <f t="shared" ca="1" si="28"/>
        <v>0</v>
      </c>
    </row>
    <row r="38" spans="1:9" x14ac:dyDescent="0.25">
      <c r="H38" s="20">
        <f t="shared" ca="1" si="27"/>
        <v>0</v>
      </c>
      <c r="I38" s="3">
        <f t="shared" ca="1" si="28"/>
        <v>0</v>
      </c>
    </row>
    <row r="39" spans="1:9" x14ac:dyDescent="0.25">
      <c r="H39" s="20">
        <f t="shared" ca="1" si="27"/>
        <v>0</v>
      </c>
      <c r="I39" s="3">
        <f t="shared" ca="1" si="28"/>
        <v>0</v>
      </c>
    </row>
    <row r="40" spans="1:9" ht="15.75" thickBot="1" x14ac:dyDescent="0.3">
      <c r="H40" s="20">
        <f t="shared" ca="1" si="27"/>
        <v>0</v>
      </c>
      <c r="I40" s="3">
        <f t="shared" ca="1" si="28"/>
        <v>0</v>
      </c>
    </row>
    <row r="41" spans="1:9" ht="15.75" thickBot="1" x14ac:dyDescent="0.3">
      <c r="H41" s="17" t="s">
        <v>10</v>
      </c>
      <c r="I41" s="19" t="s">
        <v>12</v>
      </c>
    </row>
    <row r="42" spans="1:9" x14ac:dyDescent="0.25">
      <c r="H42" s="4">
        <f>P42-R42</f>
        <v>0</v>
      </c>
      <c r="I42" s="5">
        <f>Q42-S42</f>
        <v>0</v>
      </c>
    </row>
    <row r="43" spans="1:9" x14ac:dyDescent="0.25">
      <c r="H43" s="41">
        <f t="shared" ref="H43:H47" si="29">P43-R43</f>
        <v>0</v>
      </c>
      <c r="I43" s="5">
        <f>Q43-S43</f>
        <v>0</v>
      </c>
    </row>
    <row r="44" spans="1:9" x14ac:dyDescent="0.25">
      <c r="H44" s="4">
        <f t="shared" si="29"/>
        <v>0</v>
      </c>
      <c r="I44" s="5">
        <f t="shared" ref="I44:I47" si="30">Q44-S44</f>
        <v>0</v>
      </c>
    </row>
    <row r="45" spans="1:9" x14ac:dyDescent="0.25">
      <c r="H45" s="4">
        <f t="shared" si="29"/>
        <v>0</v>
      </c>
      <c r="I45" s="5">
        <f t="shared" si="30"/>
        <v>0</v>
      </c>
    </row>
    <row r="46" spans="1:9" x14ac:dyDescent="0.25">
      <c r="H46" s="4">
        <f t="shared" si="29"/>
        <v>0</v>
      </c>
      <c r="I46" s="5">
        <f t="shared" si="30"/>
        <v>0</v>
      </c>
    </row>
    <row r="47" spans="1:9" ht="15.75" thickBot="1" x14ac:dyDescent="0.3">
      <c r="H47" s="4">
        <f t="shared" si="29"/>
        <v>0</v>
      </c>
      <c r="I47" s="5">
        <f t="shared" si="30"/>
        <v>0</v>
      </c>
    </row>
    <row r="48" spans="1:9" x14ac:dyDescent="0.25">
      <c r="H48" s="10" t="s">
        <v>11</v>
      </c>
      <c r="I48" s="11" t="s">
        <v>13</v>
      </c>
    </row>
    <row r="49" spans="8:9" ht="15.75" thickBot="1" x14ac:dyDescent="0.3">
      <c r="H49" s="6">
        <f t="shared" ref="H49:I49" si="31">SUM(H42:H47)</f>
        <v>0</v>
      </c>
      <c r="I49" s="34">
        <f t="shared" si="31"/>
        <v>0</v>
      </c>
    </row>
  </sheetData>
  <mergeCells count="7">
    <mergeCell ref="O1:P1"/>
    <mergeCell ref="C1:D1"/>
    <mergeCell ref="E1:F1"/>
    <mergeCell ref="G1:H1"/>
    <mergeCell ref="I1:J1"/>
    <mergeCell ref="K1:L1"/>
    <mergeCell ref="M1:N1"/>
  </mergeCells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Technische Hochschule Rosenheim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Völkl, Johannes</dc:creator>
  <cp:lastModifiedBy>Völkl, Johannes</cp:lastModifiedBy>
  <dcterms:created xsi:type="dcterms:W3CDTF">2021-11-07T12:53:36Z</dcterms:created>
  <dcterms:modified xsi:type="dcterms:W3CDTF">2023-10-04T14:06:34Z</dcterms:modified>
</cp:coreProperties>
</file>