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467354A9-572B-43C7-AF17-50F99FA37B26}" xr6:coauthVersionLast="47" xr6:coauthVersionMax="47" xr10:uidLastSave="{00000000-0000-0000-0000-000000000000}"/>
  <bookViews>
    <workbookView xWindow="-37430" yWindow="-110" windowWidth="37540" windowHeight="21820" activeTab="1" xr2:uid="{400703B4-251B-49D8-B8CB-49BA2528FB4C}"/>
  </bookViews>
  <sheets>
    <sheet name="Simple Valuation" sheetId="1" r:id="rId1"/>
    <sheet name="Accurate 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2" l="1"/>
  <c r="L10" i="2"/>
  <c r="M10" i="2" l="1"/>
  <c r="N10" i="2" s="1"/>
  <c r="G10" i="2" l="1"/>
  <c r="B13" i="1" l="1"/>
  <c r="H10" i="2"/>
  <c r="I10" i="2" s="1"/>
  <c r="F11" i="2"/>
  <c r="L11" i="2" l="1"/>
  <c r="K11" i="2"/>
  <c r="G11" i="2"/>
  <c r="H11" i="2" s="1"/>
  <c r="I11" i="2" s="1"/>
  <c r="F12" i="2"/>
  <c r="B9" i="1"/>
  <c r="L12" i="2" l="1"/>
  <c r="K12" i="2"/>
  <c r="M11" i="2"/>
  <c r="N11" i="2" s="1"/>
  <c r="G12" i="2"/>
  <c r="H12" i="2" s="1"/>
  <c r="I12" i="2" s="1"/>
  <c r="F13" i="2"/>
  <c r="K13" i="2" l="1"/>
  <c r="L13" i="2"/>
  <c r="M12" i="2"/>
  <c r="N12" i="2" s="1"/>
  <c r="G13" i="2"/>
  <c r="F14" i="2"/>
  <c r="L14" i="2" l="1"/>
  <c r="K14" i="2"/>
  <c r="M13" i="2"/>
  <c r="N13" i="2" s="1"/>
  <c r="G14" i="2"/>
  <c r="H14" i="2" s="1"/>
  <c r="I14" i="2" s="1"/>
  <c r="H13" i="2"/>
  <c r="I13" i="2" s="1"/>
  <c r="F15" i="2"/>
  <c r="L15" i="2" l="1"/>
  <c r="K15" i="2"/>
  <c r="M14" i="2"/>
  <c r="N14" i="2" s="1"/>
  <c r="G15" i="2"/>
  <c r="H15" i="2" s="1"/>
  <c r="I15" i="2" s="1"/>
  <c r="F16" i="2"/>
  <c r="L16" i="2" l="1"/>
  <c r="K16" i="2"/>
  <c r="M15" i="2"/>
  <c r="N15" i="2" s="1"/>
  <c r="G16" i="2"/>
  <c r="H16" i="2" s="1"/>
  <c r="I16" i="2" s="1"/>
  <c r="F17" i="2"/>
  <c r="L17" i="2" l="1"/>
  <c r="K17" i="2"/>
  <c r="M16" i="2"/>
  <c r="N16" i="2" s="1"/>
  <c r="G17" i="2"/>
  <c r="H17" i="2" s="1"/>
  <c r="I17" i="2" s="1"/>
  <c r="F18" i="2"/>
  <c r="L18" i="2" l="1"/>
  <c r="K18" i="2"/>
  <c r="M17" i="2"/>
  <c r="N17" i="2" s="1"/>
  <c r="G18" i="2"/>
  <c r="F19" i="2"/>
  <c r="L19" i="2" l="1"/>
  <c r="K19" i="2"/>
  <c r="M18" i="2"/>
  <c r="N18" i="2" s="1"/>
  <c r="G19" i="2"/>
  <c r="H19" i="2" s="1"/>
  <c r="I19" i="2" s="1"/>
  <c r="F20" i="2"/>
  <c r="H18" i="2"/>
  <c r="I18" i="2" s="1"/>
  <c r="L20" i="2" l="1"/>
  <c r="K20" i="2"/>
  <c r="M19" i="2"/>
  <c r="N19" i="2" s="1"/>
  <c r="G20" i="2"/>
  <c r="H20" i="2" s="1"/>
  <c r="I20" i="2" s="1"/>
  <c r="F21" i="2"/>
  <c r="L21" i="2" l="1"/>
  <c r="K21" i="2"/>
  <c r="M20" i="2"/>
  <c r="N20" i="2" s="1"/>
  <c r="G21" i="2"/>
  <c r="H21" i="2" s="1"/>
  <c r="I21" i="2" s="1"/>
  <c r="F22" i="2"/>
  <c r="L22" i="2" l="1"/>
  <c r="K22" i="2"/>
  <c r="M21" i="2"/>
  <c r="N21" i="2" s="1"/>
  <c r="G22" i="2"/>
  <c r="H22" i="2" s="1"/>
  <c r="I22" i="2" s="1"/>
  <c r="F23" i="2"/>
  <c r="L23" i="2" l="1"/>
  <c r="K23" i="2"/>
  <c r="M22" i="2"/>
  <c r="N22" i="2" s="1"/>
  <c r="G23" i="2"/>
  <c r="H23" i="2" s="1"/>
  <c r="I23" i="2" s="1"/>
  <c r="F24" i="2"/>
  <c r="L24" i="2" l="1"/>
  <c r="K24" i="2"/>
  <c r="M23" i="2"/>
  <c r="N23" i="2" s="1"/>
  <c r="G24" i="2"/>
  <c r="H24" i="2" s="1"/>
  <c r="I24" i="2" s="1"/>
  <c r="F25" i="2"/>
  <c r="L25" i="2" l="1"/>
  <c r="K25" i="2"/>
  <c r="M24" i="2"/>
  <c r="N24" i="2" s="1"/>
  <c r="G25" i="2"/>
  <c r="H25" i="2" s="1"/>
  <c r="I25" i="2" s="1"/>
  <c r="F26" i="2"/>
  <c r="L26" i="2" l="1"/>
  <c r="K26" i="2"/>
  <c r="M25" i="2"/>
  <c r="N25" i="2" s="1"/>
  <c r="G26" i="2"/>
  <c r="H26" i="2" s="1"/>
  <c r="I26" i="2" s="1"/>
  <c r="F27" i="2"/>
  <c r="L27" i="2" l="1"/>
  <c r="K27" i="2"/>
  <c r="M26" i="2"/>
  <c r="N26" i="2" s="1"/>
  <c r="G27" i="2"/>
  <c r="H27" i="2" s="1"/>
  <c r="I27" i="2" s="1"/>
  <c r="F28" i="2"/>
  <c r="L28" i="2" l="1"/>
  <c r="K28" i="2"/>
  <c r="M27" i="2"/>
  <c r="N27" i="2" s="1"/>
  <c r="G28" i="2"/>
  <c r="H28" i="2" s="1"/>
  <c r="I28" i="2" s="1"/>
  <c r="F29" i="2"/>
  <c r="L29" i="2" l="1"/>
  <c r="K29" i="2"/>
  <c r="M28" i="2"/>
  <c r="N28" i="2" s="1"/>
  <c r="G29" i="2"/>
  <c r="G30" i="2" s="1"/>
  <c r="M29" i="2" l="1"/>
  <c r="N29" i="2" s="1"/>
  <c r="K30" i="2"/>
  <c r="L30" i="2"/>
  <c r="H29" i="2"/>
  <c r="I29" i="2" s="1"/>
  <c r="M30" i="2" l="1"/>
  <c r="N30" i="2"/>
  <c r="N31" i="2" s="1"/>
  <c r="H30" i="2"/>
  <c r="I30" i="2" l="1"/>
  <c r="I31" i="2" s="1"/>
  <c r="C39" i="2" l="1"/>
</calcChain>
</file>

<file path=xl/sharedStrings.xml><?xml version="1.0" encoding="utf-8"?>
<sst xmlns="http://schemas.openxmlformats.org/spreadsheetml/2006/main" count="71" uniqueCount="71">
  <si>
    <t>Royalty Rate</t>
  </si>
  <si>
    <t>Present Value</t>
  </si>
  <si>
    <t>Probability of Detectability</t>
  </si>
  <si>
    <t>Probability of Infringement</t>
  </si>
  <si>
    <t>Probability of Eligibility</t>
  </si>
  <si>
    <t>Probability of Non-Obviousness</t>
  </si>
  <si>
    <t>Geographically Addressable Annual Marginal Profit Under License</t>
  </si>
  <si>
    <t>Valuation</t>
  </si>
  <si>
    <r>
      <t>D</t>
    </r>
    <r>
      <rPr>
        <i/>
        <vertAlign val="subscript"/>
        <sz val="11"/>
        <color theme="1"/>
        <rFont val="Cambria"/>
        <family val="1"/>
      </rPr>
      <t>U</t>
    </r>
  </si>
  <si>
    <r>
      <t>D</t>
    </r>
    <r>
      <rPr>
        <i/>
        <vertAlign val="subscript"/>
        <sz val="11"/>
        <color theme="1"/>
        <rFont val="Cambria"/>
        <family val="1"/>
      </rPr>
      <t>A</t>
    </r>
  </si>
  <si>
    <r>
      <t>D</t>
    </r>
    <r>
      <rPr>
        <i/>
        <vertAlign val="subscript"/>
        <sz val="11"/>
        <color theme="1"/>
        <rFont val="Cambria"/>
        <family val="1"/>
      </rPr>
      <t>F</t>
    </r>
  </si>
  <si>
    <r>
      <t>D</t>
    </r>
    <r>
      <rPr>
        <i/>
        <vertAlign val="subscript"/>
        <sz val="11"/>
        <color theme="1"/>
        <rFont val="Cambria"/>
        <family val="1"/>
      </rPr>
      <t>Q</t>
    </r>
  </si>
  <si>
    <r>
      <t>D</t>
    </r>
    <r>
      <rPr>
        <i/>
        <vertAlign val="subscript"/>
        <sz val="11"/>
        <color theme="1"/>
        <rFont val="Cambria"/>
        <family val="1"/>
      </rPr>
      <t>E</t>
    </r>
  </si>
  <si>
    <r>
      <t>D</t>
    </r>
    <r>
      <rPr>
        <i/>
        <vertAlign val="subscript"/>
        <sz val="11"/>
        <color theme="1"/>
        <rFont val="Cambria"/>
        <family val="1"/>
      </rPr>
      <t>P</t>
    </r>
  </si>
  <si>
    <t>Cumulative</t>
  </si>
  <si>
    <t>Decision</t>
  </si>
  <si>
    <t>Year of market peak</t>
  </si>
  <si>
    <t>E</t>
  </si>
  <si>
    <t>Year of family life</t>
  </si>
  <si>
    <t>Minimum Remaining Lifetime Costs</t>
  </si>
  <si>
    <t>I</t>
  </si>
  <si>
    <t>Cash flow value</t>
  </si>
  <si>
    <t>Variance</t>
  </si>
  <si>
    <r>
      <t>Y</t>
    </r>
    <r>
      <rPr>
        <i/>
        <vertAlign val="subscript"/>
        <sz val="11"/>
        <color theme="1"/>
        <rFont val="Cambria"/>
        <family val="1"/>
      </rPr>
      <t>s</t>
    </r>
  </si>
  <si>
    <r>
      <rPr>
        <i/>
        <sz val="11"/>
        <color theme="1"/>
        <rFont val="Cambria"/>
        <family val="1"/>
      </rPr>
      <t>M</t>
    </r>
    <r>
      <rPr>
        <i/>
        <vertAlign val="subscript"/>
        <sz val="11"/>
        <color theme="1"/>
        <rFont val="Cambria"/>
        <family val="1"/>
      </rPr>
      <t>i</t>
    </r>
  </si>
  <si>
    <t>Ci</t>
  </si>
  <si>
    <r>
      <t>Y</t>
    </r>
    <r>
      <rPr>
        <i/>
        <vertAlign val="subscript"/>
        <sz val="11"/>
        <color theme="1"/>
        <rFont val="Cambria"/>
        <family val="1"/>
      </rPr>
      <t>g</t>
    </r>
  </si>
  <si>
    <t>Weighted costs</t>
  </si>
  <si>
    <t>maint.</t>
  </si>
  <si>
    <t>B</t>
  </si>
  <si>
    <t>S</t>
  </si>
  <si>
    <t>Z</t>
  </si>
  <si>
    <t>prep+pros</t>
  </si>
  <si>
    <t>Cash flow parameters</t>
  </si>
  <si>
    <t>Color key</t>
  </si>
  <si>
    <t>Keep family open?</t>
  </si>
  <si>
    <t>Spec drafting &amp; prep costs</t>
  </si>
  <si>
    <t>Tech data</t>
  </si>
  <si>
    <t>Biz data</t>
  </si>
  <si>
    <t>Law data</t>
  </si>
  <si>
    <t>Market curve</t>
  </si>
  <si>
    <t>M</t>
  </si>
  <si>
    <t>R</t>
  </si>
  <si>
    <t>Marginal company valuation per patent portfolio asset</t>
  </si>
  <si>
    <t>Probability of being essential to an industry standard</t>
  </si>
  <si>
    <t>Premium for family being open</t>
  </si>
  <si>
    <t>Probability of avoiding fatal preparation, prosecution, and enforcement errors</t>
  </si>
  <si>
    <t>Probability of claims being found patent eligible subject matter</t>
  </si>
  <si>
    <t>Probability of no invalidating prior art</t>
  </si>
  <si>
    <t>Probability of being able to detect infringement</t>
  </si>
  <si>
    <t>Probability of company having an appetite to sue</t>
  </si>
  <si>
    <t>Cost of enforcement</t>
  </si>
  <si>
    <t>Year entering enforceability</t>
  </si>
  <si>
    <t>Year since priority date (presently)</t>
  </si>
  <si>
    <t>Costs</t>
  </si>
  <si>
    <r>
      <t>Expected future drafting, filing, prosecution, and maintenance costs in year</t>
    </r>
    <r>
      <rPr>
        <sz val="11"/>
        <color theme="1"/>
        <rFont val="Calibri Light"/>
        <family val="2"/>
      </rPr>
      <t xml:space="preserve"> </t>
    </r>
    <r>
      <rPr>
        <i/>
        <sz val="11"/>
        <color theme="1"/>
        <rFont val="Calibri Light"/>
        <family val="2"/>
      </rPr>
      <t>i</t>
    </r>
  </si>
  <si>
    <r>
      <t>C</t>
    </r>
    <r>
      <rPr>
        <i/>
        <vertAlign val="subscript"/>
        <sz val="11"/>
        <color theme="1"/>
        <rFont val="Cambria"/>
        <family val="1"/>
      </rPr>
      <t>i</t>
    </r>
  </si>
  <si>
    <t>Net present value</t>
  </si>
  <si>
    <t>Cost of capital (discount rate) reflecting opportunity cost and time value of money</t>
  </si>
  <si>
    <r>
      <rPr>
        <i/>
        <sz val="11"/>
        <color theme="1"/>
        <rFont val="Cambria"/>
        <family val="1"/>
      </rPr>
      <t>"an uncertain estimate is better than no estimate at all"</t>
    </r>
    <r>
      <rPr>
        <sz val="11"/>
        <color theme="1"/>
        <rFont val="Cambria"/>
        <family val="1"/>
      </rPr>
      <t xml:space="preserve"> -Jonah Probell</t>
    </r>
  </si>
  <si>
    <t>Assets to be created (globally x divisionals)</t>
  </si>
  <si>
    <t>no</t>
  </si>
  <si>
    <t>Probability of future market adoption</t>
  </si>
  <si>
    <r>
      <t>V</t>
    </r>
    <r>
      <rPr>
        <i/>
        <vertAlign val="subscript"/>
        <sz val="11"/>
        <color theme="1"/>
        <rFont val="Cambria"/>
        <family val="1"/>
      </rPr>
      <t>P</t>
    </r>
  </si>
  <si>
    <t>Directions: Enter estimates in the colored boxes below to compute the net present value at the bottom line</t>
  </si>
  <si>
    <t>Annual regional claim-apportioned marginal profit at market peak</t>
  </si>
  <si>
    <t>Reasonable royalty rate (1.0 for owner exercised monopoly)</t>
  </si>
  <si>
    <r>
      <t>MiR</t>
    </r>
    <r>
      <rPr>
        <i/>
        <vertAlign val="subscript"/>
        <sz val="11"/>
        <color theme="1"/>
        <rFont val="Cambria"/>
        <family val="1"/>
      </rPr>
      <t>i</t>
    </r>
  </si>
  <si>
    <t>Annual prosecution cost</t>
  </si>
  <si>
    <t>Present value of future costs</t>
  </si>
  <si>
    <t>Present value of future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</si>
</sst>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1000000000]&quot;$&quot;#,##0,,,&quot; B&quot;;[&gt;=1000000]&quot;$&quot;#0,,&quot; M&quot;;&quot;$&quot;#0,&quot; K&quot;"/>
    <numFmt numFmtId="165" formatCode="[=1]#;[=0]&quot;&quot;;#.###"/>
    <numFmt numFmtId="166" formatCode="[&gt;=1000000000]&quot;$&quot;#,##0.0,,,&quot; B&quot;;[&gt;=1000000]\ &quot;$&quot;#0.0,,&quot; M&quot;;\ &quot;$&quot;#0.0,&quot; K&quot;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mbria"/>
      <family val="1"/>
    </font>
    <font>
      <i/>
      <vertAlign val="subscript"/>
      <sz val="11"/>
      <color theme="1"/>
      <name val="Cambria"/>
      <family val="1"/>
    </font>
    <font>
      <sz val="11"/>
      <color theme="1"/>
      <name val="Calibri Light"/>
      <family val="2"/>
    </font>
    <font>
      <i/>
      <sz val="11"/>
      <color theme="1"/>
      <name val="Calibri Light"/>
      <family val="2"/>
    </font>
    <font>
      <sz val="11"/>
      <color rgb="FFC0000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mbria"/>
      <family val="1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F8"/>
        <bgColor indexed="64"/>
      </patternFill>
    </fill>
  </fills>
  <borders count="17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164" fontId="1" fillId="3" borderId="1" xfId="0" applyNumberFormat="1" applyFont="1" applyFill="1" applyBorder="1"/>
    <xf numFmtId="165" fontId="1" fillId="3" borderId="1" xfId="0" applyNumberFormat="1" applyFont="1" applyFill="1" applyBorder="1"/>
    <xf numFmtId="164" fontId="1" fillId="4" borderId="2" xfId="0" applyNumberFormat="1" applyFont="1" applyFill="1" applyBorder="1"/>
    <xf numFmtId="0" fontId="2" fillId="2" borderId="0" xfId="0" applyFont="1" applyFill="1"/>
    <xf numFmtId="0" fontId="3" fillId="2" borderId="0" xfId="0" applyFont="1" applyFill="1"/>
    <xf numFmtId="164" fontId="1" fillId="2" borderId="0" xfId="0" applyNumberFormat="1" applyFont="1" applyFill="1" applyBorder="1"/>
    <xf numFmtId="165" fontId="1" fillId="2" borderId="0" xfId="0" applyNumberFormat="1" applyFont="1" applyFill="1" applyBorder="1"/>
    <xf numFmtId="0" fontId="4" fillId="0" borderId="3" xfId="0" applyFont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5" fillId="2" borderId="0" xfId="0" applyFont="1" applyFill="1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 wrapText="1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right" wrapText="1"/>
    </xf>
    <xf numFmtId="164" fontId="5" fillId="3" borderId="0" xfId="0" applyNumberFormat="1" applyFont="1" applyFill="1" applyBorder="1"/>
    <xf numFmtId="164" fontId="10" fillId="3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164" fontId="5" fillId="3" borderId="7" xfId="0" applyNumberFormat="1" applyFont="1" applyFill="1" applyBorder="1"/>
    <xf numFmtId="164" fontId="5" fillId="3" borderId="6" xfId="0" applyNumberFormat="1" applyFont="1" applyFill="1" applyBorder="1"/>
    <xf numFmtId="164" fontId="5" fillId="3" borderId="8" xfId="0" applyNumberFormat="1" applyFont="1" applyFill="1" applyBorder="1" applyAlignment="1">
      <alignment horizontal="right"/>
    </xf>
    <xf numFmtId="164" fontId="5" fillId="3" borderId="9" xfId="0" applyNumberFormat="1" applyFont="1" applyFill="1" applyBorder="1"/>
    <xf numFmtId="164" fontId="5" fillId="3" borderId="10" xfId="0" applyNumberFormat="1" applyFont="1" applyFill="1" applyBorder="1" applyAlignment="1">
      <alignment horizontal="right"/>
    </xf>
    <xf numFmtId="164" fontId="10" fillId="3" borderId="7" xfId="0" applyNumberFormat="1" applyFont="1" applyFill="1" applyBorder="1" applyAlignment="1">
      <alignment horizontal="right"/>
    </xf>
    <xf numFmtId="164" fontId="10" fillId="3" borderId="6" xfId="0" applyNumberFormat="1" applyFont="1" applyFill="1" applyBorder="1" applyAlignment="1">
      <alignment horizontal="right"/>
    </xf>
    <xf numFmtId="164" fontId="10" fillId="3" borderId="8" xfId="0" applyNumberFormat="1" applyFont="1" applyFill="1" applyBorder="1" applyAlignment="1">
      <alignment horizontal="right"/>
    </xf>
    <xf numFmtId="164" fontId="10" fillId="3" borderId="9" xfId="0" applyNumberFormat="1" applyFont="1" applyFill="1" applyBorder="1" applyAlignment="1">
      <alignment horizontal="right"/>
    </xf>
    <xf numFmtId="164" fontId="10" fillId="3" borderId="10" xfId="0" applyNumberFormat="1" applyFont="1" applyFill="1" applyBorder="1" applyAlignment="1">
      <alignment horizontal="right"/>
    </xf>
    <xf numFmtId="164" fontId="10" fillId="3" borderId="4" xfId="0" applyNumberFormat="1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5" fillId="3" borderId="11" xfId="0" applyNumberFormat="1" applyFont="1" applyFill="1" applyBorder="1"/>
    <xf numFmtId="164" fontId="5" fillId="3" borderId="5" xfId="0" applyNumberFormat="1" applyFont="1" applyFill="1" applyBorder="1"/>
    <xf numFmtId="164" fontId="5" fillId="3" borderId="12" xfId="0" applyNumberFormat="1" applyFont="1" applyFill="1" applyBorder="1" applyAlignment="1">
      <alignment horizontal="right"/>
    </xf>
    <xf numFmtId="164" fontId="10" fillId="3" borderId="11" xfId="0" applyNumberFormat="1" applyFont="1" applyFill="1" applyBorder="1" applyAlignment="1">
      <alignment horizontal="right"/>
    </xf>
    <xf numFmtId="164" fontId="10" fillId="3" borderId="5" xfId="0" applyNumberFormat="1" applyFont="1" applyFill="1" applyBorder="1" applyAlignment="1">
      <alignment horizontal="right"/>
    </xf>
    <xf numFmtId="164" fontId="10" fillId="3" borderId="12" xfId="0" applyNumberFormat="1" applyFont="1" applyFill="1" applyBorder="1" applyAlignment="1">
      <alignment horizontal="right"/>
    </xf>
    <xf numFmtId="164" fontId="10" fillId="3" borderId="13" xfId="0" applyNumberFormat="1" applyFont="1" applyFill="1" applyBorder="1" applyAlignment="1">
      <alignment horizontal="right"/>
    </xf>
    <xf numFmtId="164" fontId="10" fillId="3" borderId="14" xfId="0" applyNumberFormat="1" applyFont="1" applyFill="1" applyBorder="1" applyAlignment="1">
      <alignment horizontal="right"/>
    </xf>
    <xf numFmtId="164" fontId="10" fillId="3" borderId="15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4" fillId="2" borderId="0" xfId="0" applyFont="1" applyFill="1"/>
    <xf numFmtId="0" fontId="12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right"/>
    </xf>
    <xf numFmtId="166" fontId="11" fillId="4" borderId="3" xfId="0" applyNumberFormat="1" applyFont="1" applyFill="1" applyBorder="1" applyAlignment="1">
      <alignment horizontal="right"/>
    </xf>
    <xf numFmtId="166" fontId="11" fillId="7" borderId="3" xfId="0" applyNumberFormat="1" applyFont="1" applyFill="1" applyBorder="1" applyAlignment="1">
      <alignment horizontal="right"/>
    </xf>
    <xf numFmtId="3" fontId="11" fillId="4" borderId="3" xfId="0" applyNumberFormat="1" applyFont="1" applyFill="1" applyBorder="1" applyAlignment="1">
      <alignment horizontal="right"/>
    </xf>
    <xf numFmtId="3" fontId="11" fillId="6" borderId="3" xfId="0" applyNumberFormat="1" applyFont="1" applyFill="1" applyBorder="1" applyAlignment="1">
      <alignment horizontal="right"/>
    </xf>
    <xf numFmtId="4" fontId="11" fillId="4" borderId="3" xfId="0" applyNumberFormat="1" applyFont="1" applyFill="1" applyBorder="1" applyAlignment="1">
      <alignment horizontal="right"/>
    </xf>
    <xf numFmtId="4" fontId="11" fillId="5" borderId="3" xfId="0" applyNumberFormat="1" applyFont="1" applyFill="1" applyBorder="1" applyAlignment="1">
      <alignment horizontal="right"/>
    </xf>
    <xf numFmtId="4" fontId="11" fillId="7" borderId="3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49" fontId="12" fillId="4" borderId="16" xfId="0" applyNumberFormat="1" applyFont="1" applyFill="1" applyBorder="1" applyAlignment="1">
      <alignment horizontal="right"/>
    </xf>
    <xf numFmtId="49" fontId="12" fillId="5" borderId="16" xfId="0" applyNumberFormat="1" applyFont="1" applyFill="1" applyBorder="1" applyAlignment="1">
      <alignment horizontal="right"/>
    </xf>
    <xf numFmtId="49" fontId="13" fillId="7" borderId="16" xfId="0" applyNumberFormat="1" applyFont="1" applyFill="1" applyBorder="1" applyAlignment="1">
      <alignment horizontal="right"/>
    </xf>
    <xf numFmtId="0" fontId="15" fillId="2" borderId="0" xfId="0" applyFont="1" applyFill="1"/>
    <xf numFmtId="166" fontId="15" fillId="3" borderId="4" xfId="0" applyNumberFormat="1" applyFont="1" applyFill="1" applyBorder="1" applyAlignment="1">
      <alignment horizontal="right"/>
    </xf>
    <xf numFmtId="164" fontId="5" fillId="3" borderId="15" xfId="0" applyNumberFormat="1" applyFont="1" applyFill="1" applyBorder="1" applyAlignment="1">
      <alignment horizontal="right"/>
    </xf>
  </cellXfs>
  <cellStyles count="1">
    <cellStyle name="Normal" xfId="0" builtinId="0"/>
  </cellStyles>
  <dxfs count="20"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color rgb="FFFF0000"/>
      </font>
      <fill>
        <patternFill patternType="solid">
          <bgColor rgb="FFFFCCCC"/>
        </patternFill>
      </fill>
    </dxf>
    <dxf>
      <font>
        <color rgb="FF00B050"/>
      </font>
      <fill>
        <patternFill>
          <bgColor theme="9" tint="0.59996337778862885"/>
        </patternFill>
      </fill>
    </dxf>
    <dxf>
      <fill>
        <patternFill>
          <bgColor rgb="FFFF6565"/>
        </patternFill>
      </fill>
    </dxf>
    <dxf>
      <fill>
        <patternFill>
          <bgColor rgb="FFFF7575"/>
        </patternFill>
      </fill>
    </dxf>
    <dxf>
      <fill>
        <patternFill>
          <bgColor rgb="FFFF8181"/>
        </patternFill>
      </fill>
    </dxf>
    <dxf>
      <fill>
        <patternFill>
          <bgColor rgb="FFFF6565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A162D0"/>
      <color rgb="FFFFCCFF"/>
      <color rgb="FF9C5BCD"/>
      <color rgb="FF873AC0"/>
      <color rgb="FFFF65F4"/>
      <color rgb="FFFFE7F8"/>
      <color rgb="FFFFD3F1"/>
      <color rgb="FFDAE3F3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1" u="none" strike="noStrike" baseline="0">
                <a:effectLst/>
                <a:latin typeface="Cambria" panose="02040503050406030204" pitchFamily="18" charset="0"/>
                <a:ea typeface="Cambria" panose="02040503050406030204" pitchFamily="18" charset="0"/>
              </a:rPr>
              <a:t>M</a:t>
            </a:r>
            <a:r>
              <a:rPr lang="en-US" sz="1200" b="0" i="1" u="none" strike="noStrike" baseline="-25000">
                <a:effectLst/>
                <a:latin typeface="Cambria" panose="02040503050406030204" pitchFamily="18" charset="0"/>
                <a:ea typeface="Cambria" panose="02040503050406030204" pitchFamily="18" charset="0"/>
              </a:rPr>
              <a:t>i</a:t>
            </a:r>
            <a:r>
              <a:rPr lang="en-US" sz="1200" b="0" i="1" u="none" strike="noStrike" baseline="0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R</a:t>
            </a:r>
            <a:r>
              <a:rPr lang="en-US" sz="1200" b="0" i="1" u="none" strike="noStrike" baseline="-25000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i</a:t>
            </a:r>
            <a:r>
              <a:rPr lang="en-US" sz="1200" b="0" i="0" u="none" strike="noStrike" baseline="0">
                <a:latin typeface="Arial" panose="020B0604020202020204" pitchFamily="34" charset="0"/>
                <a:ea typeface="Cambria" panose="02040503050406030204" pitchFamily="18" charset="0"/>
                <a:cs typeface="Arial" panose="020B0604020202020204" pitchFamily="34" charset="0"/>
              </a:rPr>
              <a:t> annualized income opportunity</a:t>
            </a:r>
            <a:endParaRPr lang="en-US" sz="1200">
              <a:latin typeface="Arial" panose="020B0604020202020204" pitchFamily="34" charset="0"/>
              <a:ea typeface="Cambria" panose="02040503050406030204" pitchFamily="18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'Accurate Valuation'!$H$10:$H$29</c:f>
              <c:numCache>
                <c:formatCode>[&gt;=1000000000]"$"#,##0,,," B";[&gt;=1000000]"$"#0,," M";"$"#0," K"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428571.42857142852</c:v>
                </c:pt>
                <c:pt idx="3">
                  <c:v>499999.99999999994</c:v>
                </c:pt>
                <c:pt idx="4">
                  <c:v>600000</c:v>
                </c:pt>
                <c:pt idx="5">
                  <c:v>750000</c:v>
                </c:pt>
                <c:pt idx="6">
                  <c:v>999999.99999999988</c:v>
                </c:pt>
                <c:pt idx="7">
                  <c:v>1200000</c:v>
                </c:pt>
                <c:pt idx="8">
                  <c:v>1200000</c:v>
                </c:pt>
                <c:pt idx="9">
                  <c:v>1200000</c:v>
                </c:pt>
                <c:pt idx="10">
                  <c:v>1200000</c:v>
                </c:pt>
                <c:pt idx="11">
                  <c:v>1200000</c:v>
                </c:pt>
                <c:pt idx="12">
                  <c:v>999999.99999999988</c:v>
                </c:pt>
                <c:pt idx="13">
                  <c:v>750000</c:v>
                </c:pt>
                <c:pt idx="14">
                  <c:v>600000</c:v>
                </c:pt>
                <c:pt idx="15">
                  <c:v>499999.99999999994</c:v>
                </c:pt>
                <c:pt idx="16">
                  <c:v>428571.42857142852</c:v>
                </c:pt>
                <c:pt idx="17">
                  <c:v>375000</c:v>
                </c:pt>
                <c:pt idx="18">
                  <c:v>333333.33333333331</c:v>
                </c:pt>
                <c:pt idx="19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9-4F49-A77D-0949B122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13203743"/>
        <c:axId val="527047567"/>
      </c:barChart>
      <c:catAx>
        <c:axId val="513203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047567"/>
        <c:crosses val="autoZero"/>
        <c:auto val="1"/>
        <c:lblAlgn val="ctr"/>
        <c:lblOffset val="100"/>
        <c:noMultiLvlLbl val="0"/>
      </c:catAx>
      <c:valAx>
        <c:axId val="5270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=1000000000]&quot;$&quot;#,##0,,,&quot; B&quot;;[&gt;=1000000]&quot;$&quot;#0,,&quot; M&quot;;&quot;$&quot;#0,&quot; 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320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AE3F3">
        <a:alpha val="74902"/>
      </a:srgbClr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0</xdr:row>
      <xdr:rowOff>450850</xdr:rowOff>
    </xdr:from>
    <xdr:to>
      <xdr:col>3</xdr:col>
      <xdr:colOff>6013450</xdr:colOff>
      <xdr:row>0</xdr:row>
      <xdr:rowOff>1238250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2">
              <a:extLst>
                <a:ext uri="{FF2B5EF4-FFF2-40B4-BE49-F238E27FC236}">
                  <a16:creationId xmlns:a16="http://schemas.microsoft.com/office/drawing/2014/main" id="{56F005BD-1D7D-4083-B53D-18A029B0DC86}"/>
                </a:ext>
              </a:extLst>
            </xdr:cNvPr>
            <xdr:cNvSpPr txBox="1"/>
          </xdr:nvSpPr>
          <xdr:spPr>
            <a:xfrm>
              <a:off x="603250" y="450850"/>
              <a:ext cx="6781800" cy="7874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 eaLnBrk="1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sub>
                    </m:sSub>
                    <m:r>
                      <a:rPr lang="en-US" sz="120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ctrlPr>
                                  <a:rPr 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a:rPr lang="en-US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sSub>
                                  <m:sSubPr>
                                    <m:ctrlP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US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𝑔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n-US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4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lang="en-US" sz="14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4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en-US" sz="14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2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ctrlPr>
                                              <a:rPr lang="en-US" sz="120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20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US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𝐼</m:t>
                                            </m:r>
                                          </m:e>
                                        </m:d>
                                      </m:e>
                                      <m:sup>
                                        <m:func>
                                          <m:funcPr>
                                            <m:ctrlPr>
                                              <a:rPr lang="en-US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lang="en-US" sz="1200" b="0" i="0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max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lang="en-US" sz="1200" b="0" i="1" kern="12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r>
                                                  <a:rPr lang="en-US" sz="1200" b="0" i="1" kern="12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0,</m:t>
                                                </m:r>
                                                <m:r>
                                                  <a:rPr lang="en-US" sz="1200" i="1" kern="12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  <m:r>
                                                  <a:rPr lang="en-US" sz="1200" b="0" i="1" kern="12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en-US" sz="1200" i="1" kern="12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en-US" sz="1200" i="1" kern="12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𝑌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en-US" sz="1200" i="1" kern="12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𝑠</m:t>
                                                    </m:r>
                                                  </m:sub>
                                                </m:sSub>
                                              </m:e>
                                            </m:d>
                                          </m:e>
                                        </m:func>
                                      </m:sup>
                                    </m:sSup>
                                  </m:den>
                                </m:f>
                              </m:e>
                            </m:nary>
                          </m:e>
                        </m:d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</m:d>
                    <m:sSub>
                      <m:sSub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US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sub>
                    </m:sSub>
                    <m:sSub>
                      <m:sSub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US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sSub>
                      <m:sSub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</m:sub>
                    </m:sSub>
                    <m:sSub>
                      <m:sSub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US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sub>
                    </m:sSub>
                    <m:sSub>
                      <m:sSub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US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  <m:sSub>
                      <m:sSubPr>
                        <m:ctrlP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US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sub>
                    </m:sSub>
                    <m:r>
                      <a:rPr lang="en-US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(1+</m:t>
                    </m:r>
                    <m:r>
                      <a:rPr lang="en-US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)(1+9</m:t>
                    </m:r>
                    <m:r>
                      <a:rPr lang="en-US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r>
                      <a:rPr lang="en-US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)−</m:t>
                    </m:r>
                    <m:d>
                      <m:dPr>
                        <m:ctrlPr>
                          <a:rPr lang="en-US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ctrlPr>
                              <a:rPr lang="en-US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sub>
                            </m:sSub>
                          </m:sub>
                          <m:sup>
                            <m:r>
                              <a:rPr lang="en-US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2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2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</m:t>
                                        </m:r>
                                        <m:r>
                                          <a:rPr lang="en-US" sz="12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𝐼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2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e>
                                      <m:sub>
                                        <m:r>
                                          <a:rPr lang="en-US" sz="120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sub>
                                    </m:sSub>
                                  </m:sup>
                                </m:sSup>
                              </m:den>
                            </m:f>
                          </m:e>
                        </m:nary>
                      </m:e>
                    </m:d>
                    <m:r>
                      <a:rPr lang="en-US" sz="1200" b="0" i="0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</m:oMath>
                </m:oMathPara>
              </a14:m>
              <a:endParaRPr lang="en-US" sz="1600">
                <a:effectLst/>
              </a:endParaRPr>
            </a:p>
          </xdr:txBody>
        </xdr:sp>
      </mc:Choice>
      <mc:Fallback>
        <xdr:sp macro="" textlink="">
          <xdr:nvSpPr>
            <xdr:cNvPr id="2" name="TextBox 2">
              <a:extLst>
                <a:ext uri="{FF2B5EF4-FFF2-40B4-BE49-F238E27FC236}">
                  <a16:creationId xmlns:a16="http://schemas.microsoft.com/office/drawing/2014/main" id="{56F005BD-1D7D-4083-B53D-18A029B0DC86}"/>
                </a:ext>
              </a:extLst>
            </xdr:cNvPr>
            <xdr:cNvSpPr txBox="1"/>
          </xdr:nvSpPr>
          <xdr:spPr>
            <a:xfrm>
              <a:off x="603250" y="450850"/>
              <a:ext cx="6781800" cy="7874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 eaLnBrk="1" latinLnBrk="0" hangingPunct="1"/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𝑉_𝑃=((∑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_(𝑖=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𝑔)^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0▒(</a:t>
              </a:r>
              <a:r>
                <a:rPr lang="en-US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</a:t>
              </a:r>
              <a:r>
                <a:rPr lang="en-US" sz="14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</a:t>
              </a:r>
              <a:r>
                <a:rPr lang="en-US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𝑅_𝑖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𝐼)^max⁡(0,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𝑌_𝑠 )  )−𝐸) 𝐷_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 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𝐷_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 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𝐷_𝐹 𝐷_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 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𝐷_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 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𝐷_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 (1+𝐵)(1+9𝑆)−(∑_(</a:t>
              </a:r>
              <a:r>
                <a:rPr 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𝑖=𝑌_𝑠)^20▒𝐶_𝑖/(1+𝐼)^(𝑖−𝑌_𝑠 ) )</a:t>
              </a:r>
              <a:r>
                <a:rPr 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+𝑍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twoCellAnchor>
  <xdr:twoCellAnchor>
    <xdr:from>
      <xdr:col>3</xdr:col>
      <xdr:colOff>3051175</xdr:colOff>
      <xdr:row>6</xdr:row>
      <xdr:rowOff>31750</xdr:rowOff>
    </xdr:from>
    <xdr:to>
      <xdr:col>4</xdr:col>
      <xdr:colOff>31750</xdr:colOff>
      <xdr:row>14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59270-7F97-4B90-84B4-B8A853982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2108-51A3-4A72-B871-FAC43DD52F5A}">
  <dimension ref="B1:D14"/>
  <sheetViews>
    <sheetView zoomScale="115" zoomScaleNormal="115" workbookViewId="0"/>
  </sheetViews>
  <sheetFormatPr defaultRowHeight="14.5" x14ac:dyDescent="0.35"/>
  <cols>
    <col min="1" max="1" width="1.453125" style="1" customWidth="1"/>
    <col min="2" max="2" width="14.1796875" style="1" bestFit="1" customWidth="1"/>
    <col min="3" max="3" width="2.08984375" style="1" customWidth="1"/>
    <col min="4" max="4" width="56.08984375" style="1" bestFit="1" customWidth="1"/>
    <col min="5" max="16384" width="8.7265625" style="1"/>
  </cols>
  <sheetData>
    <row r="1" spans="2:4" ht="15" thickBot="1" x14ac:dyDescent="0.4">
      <c r="D1" s="6" t="s">
        <v>7</v>
      </c>
    </row>
    <row r="2" spans="2:4" ht="15.5" thickTop="1" thickBot="1" x14ac:dyDescent="0.4">
      <c r="B2" s="2"/>
      <c r="C2" s="7"/>
      <c r="D2" s="1" t="s">
        <v>6</v>
      </c>
    </row>
    <row r="3" spans="2:4" ht="15.5" thickTop="1" thickBot="1" x14ac:dyDescent="0.4">
      <c r="B3" s="3">
        <v>0</v>
      </c>
      <c r="C3" s="8"/>
      <c r="D3" s="1" t="s">
        <v>0</v>
      </c>
    </row>
    <row r="4" spans="2:4" ht="15.5" thickTop="1" thickBot="1" x14ac:dyDescent="0.4">
      <c r="B4" s="3">
        <v>0</v>
      </c>
      <c r="C4" s="8"/>
      <c r="D4" s="1" t="s">
        <v>3</v>
      </c>
    </row>
    <row r="5" spans="2:4" ht="15.5" thickTop="1" thickBot="1" x14ac:dyDescent="0.4">
      <c r="B5" s="3">
        <v>0</v>
      </c>
      <c r="C5" s="8"/>
      <c r="D5" s="1" t="s">
        <v>2</v>
      </c>
    </row>
    <row r="6" spans="2:4" ht="15.5" thickTop="1" thickBot="1" x14ac:dyDescent="0.4">
      <c r="B6" s="3">
        <v>0</v>
      </c>
      <c r="C6" s="8"/>
      <c r="D6" s="1" t="s">
        <v>4</v>
      </c>
    </row>
    <row r="7" spans="2:4" ht="15.5" thickTop="1" thickBot="1" x14ac:dyDescent="0.4">
      <c r="B7" s="3">
        <v>0</v>
      </c>
      <c r="C7" s="8"/>
      <c r="D7" s="1" t="s">
        <v>5</v>
      </c>
    </row>
    <row r="8" spans="2:4" ht="15.5" thickTop="1" thickBot="1" x14ac:dyDescent="0.4"/>
    <row r="9" spans="2:4" ht="15.5" thickTop="1" thickBot="1" x14ac:dyDescent="0.4">
      <c r="B9" s="4">
        <f>PRODUCT(B2:B7)</f>
        <v>0</v>
      </c>
      <c r="C9" s="7"/>
      <c r="D9" s="5" t="s">
        <v>1</v>
      </c>
    </row>
    <row r="10" spans="2:4" ht="15.5" thickTop="1" thickBot="1" x14ac:dyDescent="0.4"/>
    <row r="11" spans="2:4" ht="15.5" thickTop="1" thickBot="1" x14ac:dyDescent="0.4">
      <c r="B11" s="3">
        <v>0</v>
      </c>
      <c r="C11" s="8"/>
      <c r="D11" s="1" t="s">
        <v>19</v>
      </c>
    </row>
    <row r="12" spans="2:4" ht="15.5" thickTop="1" thickBot="1" x14ac:dyDescent="0.4"/>
    <row r="13" spans="2:4" ht="15.5" thickTop="1" thickBot="1" x14ac:dyDescent="0.4">
      <c r="B13" s="9" t="str">
        <f>IF(B$11&gt;0,IF(B$9&gt;B$11,"GO","ABANDON"),"?")</f>
        <v>?</v>
      </c>
      <c r="D13" s="1" t="s">
        <v>15</v>
      </c>
    </row>
    <row r="14" spans="2:4" ht="15" thickTop="1" x14ac:dyDescent="0.35"/>
  </sheetData>
  <conditionalFormatting sqref="B3:B7">
    <cfRule type="cellIs" dxfId="19" priority="10" operator="lessThanOrEqual">
      <formula>0</formula>
    </cfRule>
    <cfRule type="cellIs" dxfId="18" priority="11" operator="greaterThan">
      <formula>1</formula>
    </cfRule>
  </conditionalFormatting>
  <conditionalFormatting sqref="B2">
    <cfRule type="cellIs" dxfId="17" priority="9" operator="lessThanOrEqual">
      <formula>0</formula>
    </cfRule>
  </conditionalFormatting>
  <conditionalFormatting sqref="B11">
    <cfRule type="cellIs" dxfId="16" priority="3" operator="lessThanOrEqual">
      <formula>0</formula>
    </cfRule>
    <cfRule type="cellIs" dxfId="15" priority="4" operator="greaterThan">
      <formula>1</formula>
    </cfRule>
  </conditionalFormatting>
  <conditionalFormatting sqref="B13">
    <cfRule type="cellIs" dxfId="14" priority="1" operator="equal">
      <formula>"GO"</formula>
    </cfRule>
    <cfRule type="cellIs" dxfId="13" priority="2" operator="equal">
      <formula>"ABANDON"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41C8-F90B-409F-99E3-921B17673774}">
  <dimension ref="B1:N40"/>
  <sheetViews>
    <sheetView tabSelected="1" workbookViewId="0"/>
  </sheetViews>
  <sheetFormatPr defaultRowHeight="14.5" x14ac:dyDescent="0.35"/>
  <cols>
    <col min="1" max="1" width="3.08984375" style="11" customWidth="1"/>
    <col min="2" max="2" width="4.08984375" style="43" bestFit="1" customWidth="1"/>
    <col min="3" max="3" width="12.453125" style="13" customWidth="1"/>
    <col min="4" max="4" width="90.1796875" style="11" bestFit="1" customWidth="1"/>
    <col min="5" max="5" width="5.90625" style="11" customWidth="1"/>
    <col min="6" max="6" width="10.1796875" style="11" bestFit="1" customWidth="1"/>
    <col min="7" max="8" width="12.453125" style="11" customWidth="1"/>
    <col min="9" max="9" width="12.453125" style="13" customWidth="1"/>
    <col min="10" max="10" width="9.7265625" style="11" customWidth="1"/>
    <col min="11" max="14" width="10.1796875" style="11" customWidth="1"/>
    <col min="15" max="16384" width="8.7265625" style="11"/>
  </cols>
  <sheetData>
    <row r="1" spans="2:14" ht="112" customHeight="1" x14ac:dyDescent="0.35"/>
    <row r="2" spans="2:14" s="12" customFormat="1" ht="14" x14ac:dyDescent="0.3">
      <c r="B2" s="42"/>
      <c r="C2" s="19"/>
      <c r="I2" s="19"/>
    </row>
    <row r="3" spans="2:14" s="12" customFormat="1" ht="14" x14ac:dyDescent="0.3">
      <c r="B3" s="42"/>
      <c r="C3" s="42" t="s">
        <v>64</v>
      </c>
      <c r="F3" s="45" t="s">
        <v>59</v>
      </c>
      <c r="I3" s="19"/>
    </row>
    <row r="4" spans="2:14" s="12" customFormat="1" ht="14" x14ac:dyDescent="0.3">
      <c r="B4" s="42"/>
      <c r="C4" s="19"/>
      <c r="I4" s="19"/>
    </row>
    <row r="5" spans="2:14" s="12" customFormat="1" ht="14" x14ac:dyDescent="0.3">
      <c r="B5" s="42"/>
      <c r="C5" s="46" t="s">
        <v>34</v>
      </c>
      <c r="I5" s="19"/>
    </row>
    <row r="6" spans="2:14" s="12" customFormat="1" ht="14" x14ac:dyDescent="0.3">
      <c r="B6" s="42"/>
      <c r="C6" s="56" t="s">
        <v>38</v>
      </c>
      <c r="I6" s="19"/>
    </row>
    <row r="7" spans="2:14" s="12" customFormat="1" ht="14" x14ac:dyDescent="0.3">
      <c r="B7" s="42"/>
      <c r="C7" s="57" t="s">
        <v>37</v>
      </c>
    </row>
    <row r="8" spans="2:14" s="12" customFormat="1" ht="14" x14ac:dyDescent="0.3">
      <c r="B8" s="42"/>
      <c r="C8" s="58" t="s">
        <v>39</v>
      </c>
    </row>
    <row r="9" spans="2:14" s="12" customFormat="1" ht="29.5" thickBot="1" x14ac:dyDescent="0.45">
      <c r="B9" s="42"/>
      <c r="C9" s="42" t="s">
        <v>40</v>
      </c>
      <c r="F9" s="16" t="s">
        <v>18</v>
      </c>
      <c r="G9" s="14" t="s">
        <v>24</v>
      </c>
      <c r="H9" s="14" t="s">
        <v>67</v>
      </c>
      <c r="I9" s="16" t="s">
        <v>21</v>
      </c>
      <c r="J9" s="11"/>
      <c r="K9" s="16" t="s">
        <v>32</v>
      </c>
      <c r="L9" s="16" t="s">
        <v>28</v>
      </c>
      <c r="M9" s="15" t="s">
        <v>56</v>
      </c>
      <c r="N9" s="16" t="s">
        <v>27</v>
      </c>
    </row>
    <row r="10" spans="2:14" s="12" customFormat="1" ht="15.5" thickTop="1" thickBot="1" x14ac:dyDescent="0.4">
      <c r="B10" s="42"/>
      <c r="C10" s="55">
        <v>10</v>
      </c>
      <c r="D10" s="12" t="s">
        <v>16</v>
      </c>
      <c r="F10" s="12">
        <v>1</v>
      </c>
      <c r="G10" s="20">
        <f>IF(F10&lt;$C$15,0,$C$16/MAX(1,($C$11*ABS($C$10-F10))))</f>
        <v>0</v>
      </c>
      <c r="H10" s="21">
        <f>G10*$C$17</f>
        <v>0</v>
      </c>
      <c r="I10" s="22">
        <f>H10/((1+$C$18)^MAX(0,(F10-$C$14)))</f>
        <v>0</v>
      </c>
      <c r="J10" s="11"/>
      <c r="K10" s="25">
        <f>IF(F10&lt;$C$14,"sunk",IF(OR(F10&lt;=$C$15,$C$29="yes"),$C$33,0)+IF(F10=1,$C$32-$C$33,0))</f>
        <v>12000</v>
      </c>
      <c r="L10" s="26">
        <f>IF(F10&lt;$C$14,"sunk",IF(F10&lt;4,0,500*(1+F10/5)*$C$34*IF($C$29="yes",(1+F10/8),1)))</f>
        <v>0</v>
      </c>
      <c r="M10" s="26">
        <f>IF(F10&lt;$C$14,"sunk",K10+L10)</f>
        <v>12000</v>
      </c>
      <c r="N10" s="27">
        <f>IF(M10="sunk",0,M10/(1+$C$18)^MAX(0,(F10-$C$14)))</f>
        <v>9600</v>
      </c>
    </row>
    <row r="11" spans="2:14" s="10" customFormat="1" ht="15.5" thickTop="1" thickBot="1" x14ac:dyDescent="0.4">
      <c r="B11" s="44"/>
      <c r="C11" s="55">
        <v>0.4</v>
      </c>
      <c r="D11" s="12" t="s">
        <v>22</v>
      </c>
      <c r="F11" s="12">
        <f>F10+1</f>
        <v>2</v>
      </c>
      <c r="G11" s="23">
        <f>IF(F11&lt;$C$15,0,$C$16/MAX(1,($C$11*ABS($C$10-F11))))</f>
        <v>0</v>
      </c>
      <c r="H11" s="17">
        <f>G11*$C$17</f>
        <v>0</v>
      </c>
      <c r="I11" s="24">
        <f>H11/((1+$C$18)^MAX(0,(F11-$C$14)))</f>
        <v>0</v>
      </c>
      <c r="J11" s="11"/>
      <c r="K11" s="28">
        <f>IF(F11&lt;$C$14,"sunk",IF(OR(F11&lt;=$C$15,$C$29="yes"),$C$33,0)+IF(F11=1,$C$32-$C$33,0))</f>
        <v>8000</v>
      </c>
      <c r="L11" s="18">
        <f>IF(F11&lt;$C$14,"sunk",IF(F11&lt;4,0,500*(1+F11/5)*$C$34*IF($C$29="yes",(1+F11/8),1)))</f>
        <v>0</v>
      </c>
      <c r="M11" s="18">
        <f>IF(F11&lt;$C$14,"sunk",K11+L11)</f>
        <v>8000</v>
      </c>
      <c r="N11" s="29">
        <f>IF(M11="sunk",0,M11/(1+$C$18)^MAX(0,(F11-$C$14)))</f>
        <v>5120</v>
      </c>
    </row>
    <row r="12" spans="2:14" ht="15" thickTop="1" x14ac:dyDescent="0.35">
      <c r="C12" s="19"/>
      <c r="D12" s="12"/>
      <c r="F12" s="12">
        <f t="shared" ref="F12:F29" si="0">F11+1</f>
        <v>3</v>
      </c>
      <c r="G12" s="23">
        <f>IF(F12&lt;$C$15,0,$C$16/MAX(1,($C$11*ABS($C$10-F12))))</f>
        <v>2857142.8571428568</v>
      </c>
      <c r="H12" s="17">
        <f>G12*$C$17</f>
        <v>428571.42857142852</v>
      </c>
      <c r="I12" s="24">
        <f>H12/((1+$C$18)^MAX(0,(F12-$C$14)))</f>
        <v>219428.57142857139</v>
      </c>
      <c r="K12" s="28">
        <f>IF(F12&lt;$C$14,"sunk",IF(OR(F12&lt;=$C$15,$C$29="yes"),$C$33,0)+IF(F12=1,$C$32-$C$33,0))</f>
        <v>8000</v>
      </c>
      <c r="L12" s="18">
        <f>IF(F12&lt;$C$14,"sunk",IF(F12&lt;4,0,500*(1+F12/5)*$C$34*IF($C$29="yes",(1+F12/8),1)))</f>
        <v>0</v>
      </c>
      <c r="M12" s="18">
        <f>IF(F12&lt;$C$14,"sunk",K12+L12)</f>
        <v>8000</v>
      </c>
      <c r="N12" s="29">
        <f>IF(M12="sunk",0,M12/(1+$C$18)^MAX(0,(F12-$C$14)))</f>
        <v>4096</v>
      </c>
    </row>
    <row r="13" spans="2:14" ht="15" thickBot="1" x14ac:dyDescent="0.4">
      <c r="B13" s="42"/>
      <c r="C13" s="42" t="s">
        <v>33</v>
      </c>
      <c r="F13" s="12">
        <f t="shared" si="0"/>
        <v>4</v>
      </c>
      <c r="G13" s="23">
        <f>IF(F13&lt;$C$15,0,$C$16/MAX(1,($C$11*ABS($C$10-F13))))</f>
        <v>3333333.333333333</v>
      </c>
      <c r="H13" s="17">
        <f>G13*$C$17</f>
        <v>499999.99999999994</v>
      </c>
      <c r="I13" s="24">
        <f>H13/((1+$C$18)^MAX(0,(F13-$C$14)))</f>
        <v>204799.99999999997</v>
      </c>
      <c r="K13" s="28">
        <f>IF(F13&lt;$C$14,"sunk",IF(OR(F13&lt;=$C$15,$C$29="yes"),$C$33,0)+IF(F13=1,$C$32-$C$33,0))</f>
        <v>0</v>
      </c>
      <c r="L13" s="18">
        <f>IF(F13&lt;$C$14,"sunk",IF(F13&lt;4,0,500*(1+F13/5)*$C$34*IF($C$29="yes",(1+F13/8),1)))</f>
        <v>900</v>
      </c>
      <c r="M13" s="18">
        <f>IF(F13&lt;$C$14,"sunk",K13+L13)</f>
        <v>900</v>
      </c>
      <c r="N13" s="29">
        <f>IF(M13="sunk",0,M13/(1+$C$18)^MAX(0,(F13-$C$14)))</f>
        <v>368.64</v>
      </c>
    </row>
    <row r="14" spans="2:14" ht="17" thickTop="1" thickBot="1" x14ac:dyDescent="0.45">
      <c r="B14" s="41" t="s">
        <v>23</v>
      </c>
      <c r="C14" s="51">
        <v>0</v>
      </c>
      <c r="D14" s="12" t="s">
        <v>53</v>
      </c>
      <c r="F14" s="12">
        <f t="shared" si="0"/>
        <v>5</v>
      </c>
      <c r="G14" s="23">
        <f>IF(F14&lt;$C$15,0,$C$16/MAX(1,($C$11*ABS($C$10-F14))))</f>
        <v>4000000</v>
      </c>
      <c r="H14" s="17">
        <f>G14*$C$17</f>
        <v>600000</v>
      </c>
      <c r="I14" s="24">
        <f>H14/((1+$C$18)^MAX(0,(F14-$C$14)))</f>
        <v>196608</v>
      </c>
      <c r="K14" s="28">
        <f>IF(F14&lt;$C$14,"sunk",IF(OR(F14&lt;=$C$15,$C$29="yes"),$C$33,0)+IF(F14=1,$C$32-$C$33,0))</f>
        <v>0</v>
      </c>
      <c r="L14" s="18">
        <f>IF(F14&lt;$C$14,"sunk",IF(F14&lt;4,0,500*(1+F14/5)*$C$34*IF($C$29="yes",(1+F14/8),1)))</f>
        <v>1000</v>
      </c>
      <c r="M14" s="18">
        <f>IF(F14&lt;$C$14,"sunk",K14+L14)</f>
        <v>1000</v>
      </c>
      <c r="N14" s="29">
        <f>IF(M14="sunk",0,M14/(1+$C$18)^MAX(0,(F14-$C$14)))</f>
        <v>327.68</v>
      </c>
    </row>
    <row r="15" spans="2:14" ht="17" thickTop="1" thickBot="1" x14ac:dyDescent="0.45">
      <c r="B15" s="41" t="s">
        <v>26</v>
      </c>
      <c r="C15" s="51">
        <v>3</v>
      </c>
      <c r="D15" s="12" t="s">
        <v>52</v>
      </c>
      <c r="F15" s="12">
        <f t="shared" si="0"/>
        <v>6</v>
      </c>
      <c r="G15" s="23">
        <f>IF(F15&lt;$C$15,0,$C$16/MAX(1,($C$11*ABS($C$10-F15))))</f>
        <v>5000000</v>
      </c>
      <c r="H15" s="17">
        <f>G15*$C$17</f>
        <v>750000</v>
      </c>
      <c r="I15" s="24">
        <f>H15/((1+$C$18)^MAX(0,(F15-$C$14)))</f>
        <v>196608</v>
      </c>
      <c r="K15" s="28">
        <f>IF(F15&lt;$C$14,"sunk",IF(OR(F15&lt;=$C$15,$C$29="yes"),$C$33,0)+IF(F15=1,$C$32-$C$33,0))</f>
        <v>0</v>
      </c>
      <c r="L15" s="18">
        <f>IF(F15&lt;$C$14,"sunk",IF(F15&lt;4,0,500*(1+F15/5)*$C$34*IF($C$29="yes",(1+F15/8),1)))</f>
        <v>1100</v>
      </c>
      <c r="M15" s="18">
        <f>IF(F15&lt;$C$14,"sunk",K15+L15)</f>
        <v>1100</v>
      </c>
      <c r="N15" s="29">
        <f>IF(M15="sunk",0,M15/(1+$C$18)^MAX(0,(F15-$C$14)))</f>
        <v>288.35840000000002</v>
      </c>
    </row>
    <row r="16" spans="2:14" ht="15.5" thickTop="1" thickBot="1" x14ac:dyDescent="0.4">
      <c r="B16" s="41" t="s">
        <v>41</v>
      </c>
      <c r="C16" s="48">
        <v>8000000</v>
      </c>
      <c r="D16" s="12" t="s">
        <v>65</v>
      </c>
      <c r="F16" s="12">
        <f t="shared" si="0"/>
        <v>7</v>
      </c>
      <c r="G16" s="23">
        <f>IF(F16&lt;$C$15,0,$C$16/MAX(1,($C$11*ABS($C$10-F16))))</f>
        <v>6666666.666666666</v>
      </c>
      <c r="H16" s="17">
        <f>G16*$C$17</f>
        <v>999999.99999999988</v>
      </c>
      <c r="I16" s="24">
        <f>H16/((1+$C$18)^MAX(0,(F16-$C$14)))</f>
        <v>209715.19999999998</v>
      </c>
      <c r="K16" s="28">
        <f>IF(F16&lt;$C$14,"sunk",IF(OR(F16&lt;=$C$15,$C$29="yes"),$C$33,0)+IF(F16=1,$C$32-$C$33,0))</f>
        <v>0</v>
      </c>
      <c r="L16" s="18">
        <f>IF(F16&lt;$C$14,"sunk",IF(F16&lt;4,0,500*(1+F16/5)*$C$34*IF($C$29="yes",(1+F16/8),1)))</f>
        <v>1200</v>
      </c>
      <c r="M16" s="18">
        <f>IF(F16&lt;$C$14,"sunk",K16+L16)</f>
        <v>1200</v>
      </c>
      <c r="N16" s="29">
        <f>IF(M16="sunk",0,M16/(1+$C$18)^MAX(0,(F16-$C$14)))</f>
        <v>251.65824000000001</v>
      </c>
    </row>
    <row r="17" spans="2:14" ht="15.5" thickTop="1" thickBot="1" x14ac:dyDescent="0.4">
      <c r="B17" s="41" t="s">
        <v>42</v>
      </c>
      <c r="C17" s="52">
        <v>0.15</v>
      </c>
      <c r="D17" s="12" t="s">
        <v>66</v>
      </c>
      <c r="F17" s="12">
        <f t="shared" si="0"/>
        <v>8</v>
      </c>
      <c r="G17" s="23">
        <f>IF(F17&lt;$C$15,0,$C$16/MAX(1,($C$11*ABS($C$10-F17))))</f>
        <v>8000000</v>
      </c>
      <c r="H17" s="17">
        <f>G17*$C$17</f>
        <v>1200000</v>
      </c>
      <c r="I17" s="24">
        <f>H17/((1+$C$18)^MAX(0,(F17-$C$14)))</f>
        <v>201326.592</v>
      </c>
      <c r="K17" s="28">
        <f>IF(F17&lt;$C$14,"sunk",IF(OR(F17&lt;=$C$15,$C$29="yes"),$C$33,0)+IF(F17=1,$C$32-$C$33,0))</f>
        <v>0</v>
      </c>
      <c r="L17" s="18">
        <f>IF(F17&lt;$C$14,"sunk",IF(F17&lt;4,0,500*(1+F17/5)*$C$34*IF($C$29="yes",(1+F17/8),1)))</f>
        <v>1300</v>
      </c>
      <c r="M17" s="18">
        <f>IF(F17&lt;$C$14,"sunk",K17+L17)</f>
        <v>1300</v>
      </c>
      <c r="N17" s="29">
        <f>IF(M17="sunk",0,M17/(1+$C$18)^MAX(0,(F17-$C$14)))</f>
        <v>218.10380799999999</v>
      </c>
    </row>
    <row r="18" spans="2:14" ht="15.5" thickTop="1" thickBot="1" x14ac:dyDescent="0.4">
      <c r="B18" s="41" t="s">
        <v>20</v>
      </c>
      <c r="C18" s="52">
        <v>0.25</v>
      </c>
      <c r="D18" s="12" t="s">
        <v>58</v>
      </c>
      <c r="F18" s="12">
        <f t="shared" si="0"/>
        <v>9</v>
      </c>
      <c r="G18" s="23">
        <f>IF(F18&lt;$C$15,0,$C$16/MAX(1,($C$11*ABS($C$10-F18))))</f>
        <v>8000000</v>
      </c>
      <c r="H18" s="17">
        <f>G18*$C$17</f>
        <v>1200000</v>
      </c>
      <c r="I18" s="24">
        <f>H18/((1+$C$18)^MAX(0,(F18-$C$14)))</f>
        <v>161061.27359999999</v>
      </c>
      <c r="K18" s="28">
        <f>IF(F18&lt;$C$14,"sunk",IF(OR(F18&lt;=$C$15,$C$29="yes"),$C$33,0)+IF(F18=1,$C$32-$C$33,0))</f>
        <v>0</v>
      </c>
      <c r="L18" s="18">
        <f>IF(F18&lt;$C$14,"sunk",IF(F18&lt;4,0,500*(1+F18/5)*$C$34*IF($C$29="yes",(1+F18/8),1)))</f>
        <v>1400</v>
      </c>
      <c r="M18" s="18">
        <f>IF(F18&lt;$C$14,"sunk",K18+L18)</f>
        <v>1400</v>
      </c>
      <c r="N18" s="29">
        <f>IF(M18="sunk",0,M18/(1+$C$18)^MAX(0,(F18-$C$14)))</f>
        <v>187.90481919999999</v>
      </c>
    </row>
    <row r="19" spans="2:14" ht="15.5" thickTop="1" thickBot="1" x14ac:dyDescent="0.4">
      <c r="B19" s="41" t="s">
        <v>17</v>
      </c>
      <c r="C19" s="49">
        <v>1500000</v>
      </c>
      <c r="D19" s="12" t="s">
        <v>51</v>
      </c>
      <c r="F19" s="12">
        <f t="shared" si="0"/>
        <v>10</v>
      </c>
      <c r="G19" s="23">
        <f>IF(F19&lt;$C$15,0,$C$16/MAX(1,($C$11*ABS($C$10-F19))))</f>
        <v>8000000</v>
      </c>
      <c r="H19" s="17">
        <f>G19*$C$17</f>
        <v>1200000</v>
      </c>
      <c r="I19" s="24">
        <f>H19/((1+$C$18)^MAX(0,(F19-$C$14)))</f>
        <v>128849.01888</v>
      </c>
      <c r="K19" s="28">
        <f>IF(F19&lt;$C$14,"sunk",IF(OR(F19&lt;=$C$15,$C$29="yes"),$C$33,0)+IF(F19=1,$C$32-$C$33,0))</f>
        <v>0</v>
      </c>
      <c r="L19" s="18">
        <f>IF(F19&lt;$C$14,"sunk",IF(F19&lt;4,0,500*(1+F19/5)*$C$34*IF($C$29="yes",(1+F19/8),1)))</f>
        <v>1500</v>
      </c>
      <c r="M19" s="18">
        <f>IF(F19&lt;$C$14,"sunk",K19+L19)</f>
        <v>1500</v>
      </c>
      <c r="N19" s="29">
        <f>IF(M19="sunk",0,M19/(1+$C$18)^MAX(0,(F19-$C$14)))</f>
        <v>161.06127359999999</v>
      </c>
    </row>
    <row r="20" spans="2:14" ht="17" thickTop="1" thickBot="1" x14ac:dyDescent="0.45">
      <c r="B20" s="41" t="s">
        <v>9</v>
      </c>
      <c r="C20" s="52">
        <v>0.5</v>
      </c>
      <c r="D20" s="12" t="s">
        <v>50</v>
      </c>
      <c r="F20" s="12">
        <f t="shared" si="0"/>
        <v>11</v>
      </c>
      <c r="G20" s="23">
        <f>IF(F20&lt;$C$15,0,$C$16/MAX(1,($C$11*ABS($C$10-F20))))</f>
        <v>8000000</v>
      </c>
      <c r="H20" s="17">
        <f>G20*$C$17</f>
        <v>1200000</v>
      </c>
      <c r="I20" s="24">
        <f>H20/((1+$C$18)^MAX(0,(F20-$C$14)))</f>
        <v>103079.215104</v>
      </c>
      <c r="K20" s="28">
        <f>IF(F20&lt;$C$14,"sunk",IF(OR(F20&lt;=$C$15,$C$29="yes"),$C$33,0)+IF(F20=1,$C$32-$C$33,0))</f>
        <v>0</v>
      </c>
      <c r="L20" s="18">
        <f>IF(F20&lt;$C$14,"sunk",IF(F20&lt;4,0,500*(1+F20/5)*$C$34*IF($C$29="yes",(1+F20/8),1)))</f>
        <v>1600</v>
      </c>
      <c r="M20" s="18">
        <f>IF(F20&lt;$C$14,"sunk",K20+L20)</f>
        <v>1600</v>
      </c>
      <c r="N20" s="29">
        <f>IF(M20="sunk",0,M20/(1+$C$18)^MAX(0,(F20-$C$14)))</f>
        <v>137.43895347200001</v>
      </c>
    </row>
    <row r="21" spans="2:14" ht="17" thickTop="1" thickBot="1" x14ac:dyDescent="0.45">
      <c r="B21" s="41" t="s">
        <v>8</v>
      </c>
      <c r="C21" s="53">
        <v>0.5</v>
      </c>
      <c r="D21" s="12" t="s">
        <v>62</v>
      </c>
      <c r="F21" s="12">
        <f t="shared" si="0"/>
        <v>12</v>
      </c>
      <c r="G21" s="23">
        <f>IF(F21&lt;$C$15,0,$C$16/MAX(1,($C$11*ABS($C$10-F21))))</f>
        <v>8000000</v>
      </c>
      <c r="H21" s="17">
        <f>G21*$C$17</f>
        <v>1200000</v>
      </c>
      <c r="I21" s="24">
        <f>H21/((1+$C$18)^MAX(0,(F21-$C$14)))</f>
        <v>82463.372083199996</v>
      </c>
      <c r="K21" s="28">
        <f>IF(F21&lt;$C$14,"sunk",IF(OR(F21&lt;=$C$15,$C$29="yes"),$C$33,0)+IF(F21=1,$C$32-$C$33,0))</f>
        <v>0</v>
      </c>
      <c r="L21" s="18">
        <f>IF(F21&lt;$C$14,"sunk",IF(F21&lt;4,0,500*(1+F21/5)*$C$34*IF($C$29="yes",(1+F21/8),1)))</f>
        <v>1700</v>
      </c>
      <c r="M21" s="18">
        <f>IF(F21&lt;$C$14,"sunk",K21+L21)</f>
        <v>1700</v>
      </c>
      <c r="N21" s="29">
        <f>IF(M21="sunk",0,M21/(1+$C$18)^MAX(0,(F21-$C$14)))</f>
        <v>116.82311045119999</v>
      </c>
    </row>
    <row r="22" spans="2:14" ht="17" thickTop="1" thickBot="1" x14ac:dyDescent="0.45">
      <c r="B22" s="41" t="s">
        <v>10</v>
      </c>
      <c r="C22" s="53">
        <v>1</v>
      </c>
      <c r="D22" s="12" t="s">
        <v>49</v>
      </c>
      <c r="F22" s="12">
        <f t="shared" si="0"/>
        <v>13</v>
      </c>
      <c r="G22" s="23">
        <f>IF(F22&lt;$C$15,0,$C$16/MAX(1,($C$11*ABS($C$10-F22))))</f>
        <v>6666666.666666666</v>
      </c>
      <c r="H22" s="17">
        <f>G22*$C$17</f>
        <v>999999.99999999988</v>
      </c>
      <c r="I22" s="24">
        <f>H22/((1+$C$18)^MAX(0,(F22-$C$14)))</f>
        <v>54975.58138879999</v>
      </c>
      <c r="K22" s="28">
        <f>IF(F22&lt;$C$14,"sunk",IF(OR(F22&lt;=$C$15,$C$29="yes"),$C$33,0)+IF(F22=1,$C$32-$C$33,0))</f>
        <v>0</v>
      </c>
      <c r="L22" s="18">
        <f>IF(F22&lt;$C$14,"sunk",IF(F22&lt;4,0,500*(1+F22/5)*$C$34*IF($C$29="yes",(1+F22/8),1)))</f>
        <v>1800</v>
      </c>
      <c r="M22" s="18">
        <f>IF(F22&lt;$C$14,"sunk",K22+L22)</f>
        <v>1800</v>
      </c>
      <c r="N22" s="29">
        <f>IF(M22="sunk",0,M22/(1+$C$18)^MAX(0,(F22-$C$14)))</f>
        <v>98.956046499839999</v>
      </c>
    </row>
    <row r="23" spans="2:14" ht="17" thickTop="1" thickBot="1" x14ac:dyDescent="0.45">
      <c r="B23" s="41" t="s">
        <v>13</v>
      </c>
      <c r="C23" s="53">
        <v>0.4</v>
      </c>
      <c r="D23" s="12" t="s">
        <v>48</v>
      </c>
      <c r="F23" s="12">
        <f t="shared" si="0"/>
        <v>14</v>
      </c>
      <c r="G23" s="23">
        <f>IF(F23&lt;$C$15,0,$C$16/MAX(1,($C$11*ABS($C$10-F23))))</f>
        <v>5000000</v>
      </c>
      <c r="H23" s="17">
        <f>G23*$C$17</f>
        <v>750000</v>
      </c>
      <c r="I23" s="24">
        <f>H23/((1+$C$18)^MAX(0,(F23-$C$14)))</f>
        <v>32985.348833279997</v>
      </c>
      <c r="K23" s="28">
        <f>IF(F23&lt;$C$14,"sunk",IF(OR(F23&lt;=$C$15,$C$29="yes"),$C$33,0)+IF(F23=1,$C$32-$C$33,0))</f>
        <v>0</v>
      </c>
      <c r="L23" s="18">
        <f>IF(F23&lt;$C$14,"sunk",IF(F23&lt;4,0,500*(1+F23/5)*$C$34*IF($C$29="yes",(1+F23/8),1)))</f>
        <v>1900</v>
      </c>
      <c r="M23" s="18">
        <f>IF(F23&lt;$C$14,"sunk",K23+L23)</f>
        <v>1900</v>
      </c>
      <c r="N23" s="29">
        <f>IF(M23="sunk",0,M23/(1+$C$18)^MAX(0,(F23-$C$14)))</f>
        <v>83.562883710975996</v>
      </c>
    </row>
    <row r="24" spans="2:14" ht="17" thickTop="1" thickBot="1" x14ac:dyDescent="0.45">
      <c r="B24" s="41" t="s">
        <v>12</v>
      </c>
      <c r="C24" s="54">
        <v>0.9</v>
      </c>
      <c r="D24" s="12" t="s">
        <v>47</v>
      </c>
      <c r="F24" s="12">
        <f t="shared" si="0"/>
        <v>15</v>
      </c>
      <c r="G24" s="23">
        <f>IF(F24&lt;$C$15,0,$C$16/MAX(1,($C$11*ABS($C$10-F24))))</f>
        <v>4000000</v>
      </c>
      <c r="H24" s="17">
        <f>G24*$C$17</f>
        <v>600000</v>
      </c>
      <c r="I24" s="24">
        <f>H24/((1+$C$18)^MAX(0,(F24-$C$14)))</f>
        <v>21110.6232532992</v>
      </c>
      <c r="K24" s="28">
        <f>IF(F24&lt;$C$14,"sunk",IF(OR(F24&lt;=$C$15,$C$29="yes"),$C$33,0)+IF(F24=1,$C$32-$C$33,0))</f>
        <v>0</v>
      </c>
      <c r="L24" s="18">
        <f>IF(F24&lt;$C$14,"sunk",IF(F24&lt;4,0,500*(1+F24/5)*$C$34*IF($C$29="yes",(1+F24/8),1)))</f>
        <v>2000</v>
      </c>
      <c r="M24" s="18">
        <f>IF(F24&lt;$C$14,"sunk",K24+L24)</f>
        <v>2000</v>
      </c>
      <c r="N24" s="29">
        <f>IF(M24="sunk",0,M24/(1+$C$18)^MAX(0,(F24-$C$14)))</f>
        <v>70.368744177663999</v>
      </c>
    </row>
    <row r="25" spans="2:14" ht="17" thickTop="1" thickBot="1" x14ac:dyDescent="0.45">
      <c r="B25" s="41" t="s">
        <v>11</v>
      </c>
      <c r="C25" s="54">
        <v>0.8</v>
      </c>
      <c r="D25" s="12" t="s">
        <v>46</v>
      </c>
      <c r="F25" s="12">
        <f t="shared" si="0"/>
        <v>16</v>
      </c>
      <c r="G25" s="23">
        <f>IF(F25&lt;$C$15,0,$C$16/MAX(1,($C$11*ABS($C$10-F25))))</f>
        <v>3333333.333333333</v>
      </c>
      <c r="H25" s="17">
        <f>G25*$C$17</f>
        <v>499999.99999999994</v>
      </c>
      <c r="I25" s="24">
        <f>H25/((1+$C$18)^MAX(0,(F25-$C$14)))</f>
        <v>14073.748835532799</v>
      </c>
      <c r="K25" s="28">
        <f>IF(F25&lt;$C$14,"sunk",IF(OR(F25&lt;=$C$15,$C$29="yes"),$C$33,0)+IF(F25=1,$C$32-$C$33,0))</f>
        <v>0</v>
      </c>
      <c r="L25" s="18">
        <f>IF(F25&lt;$C$14,"sunk",IF(F25&lt;4,0,500*(1+F25/5)*$C$34*IF($C$29="yes",(1+F25/8),1)))</f>
        <v>2100</v>
      </c>
      <c r="M25" s="18">
        <f>IF(F25&lt;$C$14,"sunk",K25+L25)</f>
        <v>2100</v>
      </c>
      <c r="N25" s="29">
        <f>IF(M25="sunk",0,M25/(1+$C$18)^MAX(0,(F25-$C$14)))</f>
        <v>59.109745109237757</v>
      </c>
    </row>
    <row r="26" spans="2:14" ht="15.5" thickTop="1" thickBot="1" x14ac:dyDescent="0.4">
      <c r="B26" s="41" t="s">
        <v>29</v>
      </c>
      <c r="C26" s="52">
        <v>0.25</v>
      </c>
      <c r="D26" s="12" t="s">
        <v>45</v>
      </c>
      <c r="F26" s="12">
        <f t="shared" si="0"/>
        <v>17</v>
      </c>
      <c r="G26" s="23">
        <f>IF(F26&lt;$C$15,0,$C$16/MAX(1,($C$11*ABS($C$10-F26))))</f>
        <v>2857142.8571428568</v>
      </c>
      <c r="H26" s="17">
        <f>G26*$C$17</f>
        <v>428571.42857142852</v>
      </c>
      <c r="I26" s="24">
        <f>H26/((1+$C$18)^MAX(0,(F26-$C$14)))</f>
        <v>9650.5706300796337</v>
      </c>
      <c r="K26" s="28">
        <f>IF(F26&lt;$C$14,"sunk",IF(OR(F26&lt;=$C$15,$C$29="yes"),$C$33,0)+IF(F26=1,$C$32-$C$33,0))</f>
        <v>0</v>
      </c>
      <c r="L26" s="18">
        <f>IF(F26&lt;$C$14,"sunk",IF(F26&lt;4,0,500*(1+F26/5)*$C$34*IF($C$29="yes",(1+F26/8),1)))</f>
        <v>2200</v>
      </c>
      <c r="M26" s="18">
        <f>IF(F26&lt;$C$14,"sunk",K26+L26)</f>
        <v>2200</v>
      </c>
      <c r="N26" s="29">
        <f>IF(M26="sunk",0,M26/(1+$C$18)^MAX(0,(F26-$C$14)))</f>
        <v>49.539595901075458</v>
      </c>
    </row>
    <row r="27" spans="2:14" ht="15.5" thickTop="1" thickBot="1" x14ac:dyDescent="0.4">
      <c r="B27" s="41" t="s">
        <v>30</v>
      </c>
      <c r="C27" s="53">
        <v>0</v>
      </c>
      <c r="D27" s="12" t="s">
        <v>44</v>
      </c>
      <c r="F27" s="12">
        <f t="shared" si="0"/>
        <v>18</v>
      </c>
      <c r="G27" s="23">
        <f>IF(F27&lt;$C$15,0,$C$16/MAX(1,($C$11*ABS($C$10-F27))))</f>
        <v>2500000</v>
      </c>
      <c r="H27" s="17">
        <f>G27*$C$17</f>
        <v>375000</v>
      </c>
      <c r="I27" s="24">
        <f>H27/((1+$C$18)^MAX(0,(F27-$C$14)))</f>
        <v>6755.3994410557443</v>
      </c>
      <c r="K27" s="28">
        <f>IF(F27&lt;$C$14,"sunk",IF(OR(F27&lt;=$C$15,$C$29="yes"),$C$33,0)+IF(F27=1,$C$32-$C$33,0))</f>
        <v>0</v>
      </c>
      <c r="L27" s="18">
        <f>IF(F27&lt;$C$14,"sunk",IF(F27&lt;4,0,500*(1+F27/5)*$C$34*IF($C$29="yes",(1+F27/8),1)))</f>
        <v>2300</v>
      </c>
      <c r="M27" s="18">
        <f>IF(F27&lt;$C$14,"sunk",K27+L27)</f>
        <v>2300</v>
      </c>
      <c r="N27" s="29">
        <f>IF(M27="sunk",0,M27/(1+$C$18)^MAX(0,(F27-$C$14)))</f>
        <v>41.433116571808561</v>
      </c>
    </row>
    <row r="28" spans="2:14" ht="15.5" thickTop="1" thickBot="1" x14ac:dyDescent="0.4">
      <c r="C28" s="47"/>
      <c r="F28" s="12">
        <f t="shared" si="0"/>
        <v>19</v>
      </c>
      <c r="G28" s="23">
        <f>IF(F28&lt;$C$15,0,$C$16/MAX(1,($C$11*ABS($C$10-F28))))</f>
        <v>2222222.222222222</v>
      </c>
      <c r="H28" s="17">
        <f>G28*$C$17</f>
        <v>333333.33333333331</v>
      </c>
      <c r="I28" s="24">
        <f>H28/((1+$C$18)^MAX(0,(F28-$C$14)))</f>
        <v>4803.8396025285292</v>
      </c>
      <c r="K28" s="28">
        <f>IF(F28&lt;$C$14,"sunk",IF(OR(F28&lt;=$C$15,$C$29="yes"),$C$33,0)+IF(F28=1,$C$32-$C$33,0))</f>
        <v>0</v>
      </c>
      <c r="L28" s="18">
        <f>IF(F28&lt;$C$14,"sunk",IF(F28&lt;4,0,500*(1+F28/5)*$C$34*IF($C$29="yes",(1+F28/8),1)))</f>
        <v>2400</v>
      </c>
      <c r="M28" s="18">
        <f>IF(F28&lt;$C$14,"sunk",K28+L28)</f>
        <v>2400</v>
      </c>
      <c r="N28" s="29">
        <f>IF(M28="sunk",0,M28/(1+$C$18)^MAX(0,(F28-$C$14)))</f>
        <v>34.58764513820541</v>
      </c>
    </row>
    <row r="29" spans="2:14" ht="15.5" thickTop="1" thickBot="1" x14ac:dyDescent="0.4">
      <c r="C29" s="50" t="s">
        <v>61</v>
      </c>
      <c r="D29" s="12" t="s">
        <v>35</v>
      </c>
      <c r="F29" s="12">
        <f t="shared" si="0"/>
        <v>20</v>
      </c>
      <c r="G29" s="23">
        <f>IF(F29&lt;$C$15,0,$C$16/MAX(1,($C$11*ABS($C$10-F29))))</f>
        <v>2000000</v>
      </c>
      <c r="H29" s="17">
        <f>G29*$C$17</f>
        <v>300000</v>
      </c>
      <c r="I29" s="61">
        <f>H29/((1+$C$18)^MAX(0,(F29-$C$14)))</f>
        <v>3458.7645138205407</v>
      </c>
      <c r="K29" s="38">
        <f>IF(F29&lt;$C$14,"sunk",IF(OR(F29&lt;=$C$15,$C$29="yes"),$C$33,0)+IF(F29=1,$C$32-$C$33,0))</f>
        <v>0</v>
      </c>
      <c r="L29" s="39">
        <f>IF(F29&lt;$C$14,"sunk",IF(F29&lt;4,0,500*(1+F29/5)*$C$34*IF($C$29="yes",(1+F29/8),1)))</f>
        <v>2500</v>
      </c>
      <c r="M29" s="39">
        <f>IF(F29&lt;$C$14,"sunk",K29+L29)</f>
        <v>2500</v>
      </c>
      <c r="N29" s="40">
        <f>IF(M29="sunk",0,M29/(1+$C$18)^MAX(0,(F29-$C$14)))</f>
        <v>28.823037615171174</v>
      </c>
    </row>
    <row r="30" spans="2:14" ht="15" thickTop="1" x14ac:dyDescent="0.35">
      <c r="C30" s="19"/>
      <c r="E30" s="12"/>
      <c r="F30" s="19" t="s">
        <v>14</v>
      </c>
      <c r="G30" s="32">
        <f t="shared" ref="G30:I30" si="1">SUM(G10:G29)</f>
        <v>90436507.936507925</v>
      </c>
      <c r="H30" s="33">
        <f t="shared" si="1"/>
        <v>13565476.190476192</v>
      </c>
      <c r="I30" s="34">
        <f t="shared" si="1"/>
        <v>1851753.1195941675</v>
      </c>
      <c r="K30" s="35">
        <f>SUM(K10:K29)</f>
        <v>28000</v>
      </c>
      <c r="L30" s="36">
        <f>SUM(L10:L29)</f>
        <v>28900</v>
      </c>
      <c r="M30" s="36">
        <f>SUM(M10:M29)</f>
        <v>56900</v>
      </c>
      <c r="N30" s="37">
        <f>SUM(N10:N29)</f>
        <v>21340.049419447179</v>
      </c>
    </row>
    <row r="31" spans="2:14" ht="15" thickBot="1" x14ac:dyDescent="0.4">
      <c r="B31" s="41" t="s">
        <v>25</v>
      </c>
      <c r="C31" s="42" t="s">
        <v>54</v>
      </c>
      <c r="D31" s="12" t="s">
        <v>55</v>
      </c>
      <c r="E31" s="12"/>
      <c r="F31" s="12"/>
      <c r="G31" s="12"/>
      <c r="H31" s="19" t="s">
        <v>70</v>
      </c>
      <c r="I31" s="31">
        <f>($I$30-$C$19)*$C$20*$C$21*$C$22*$C$23*$C$24*$C$25*IF(C29="yes",(1+$C$26),1)*(1+9*$C$27)</f>
        <v>25326.22461078006</v>
      </c>
      <c r="L31" s="12"/>
      <c r="M31" s="19" t="s">
        <v>69</v>
      </c>
      <c r="N31" s="30">
        <f>N30</f>
        <v>21340.049419447179</v>
      </c>
    </row>
    <row r="32" spans="2:14" ht="15.5" thickTop="1" thickBot="1" x14ac:dyDescent="0.4">
      <c r="B32" s="42"/>
      <c r="C32" s="49">
        <v>12000</v>
      </c>
      <c r="D32" s="12" t="s">
        <v>36</v>
      </c>
      <c r="E32" s="12"/>
      <c r="F32" s="12"/>
      <c r="G32" s="12"/>
      <c r="H32" s="12"/>
      <c r="I32" s="12"/>
      <c r="J32" s="12"/>
      <c r="K32" s="12"/>
      <c r="L32" s="12"/>
      <c r="M32" s="12"/>
    </row>
    <row r="33" spans="2:13" ht="15.5" thickTop="1" thickBot="1" x14ac:dyDescent="0.4">
      <c r="B33" s="42"/>
      <c r="C33" s="49">
        <v>8000</v>
      </c>
      <c r="D33" s="12" t="s">
        <v>68</v>
      </c>
      <c r="E33" s="12"/>
      <c r="F33" s="12"/>
      <c r="G33" s="12"/>
      <c r="H33" s="12"/>
      <c r="K33" s="12"/>
      <c r="L33" s="12"/>
      <c r="M33" s="12"/>
    </row>
    <row r="34" spans="2:13" ht="15.5" thickTop="1" thickBot="1" x14ac:dyDescent="0.4">
      <c r="B34" s="42"/>
      <c r="C34" s="50">
        <v>1</v>
      </c>
      <c r="D34" s="12" t="s">
        <v>60</v>
      </c>
      <c r="E34" s="12"/>
      <c r="F34" s="12"/>
    </row>
    <row r="35" spans="2:13" ht="15.5" thickTop="1" thickBot="1" x14ac:dyDescent="0.4">
      <c r="C35" s="47"/>
      <c r="E35" s="12"/>
    </row>
    <row r="36" spans="2:13" ht="15.5" thickTop="1" thickBot="1" x14ac:dyDescent="0.4">
      <c r="B36" s="41" t="s">
        <v>31</v>
      </c>
      <c r="C36" s="48">
        <v>10000</v>
      </c>
      <c r="D36" s="12" t="s">
        <v>43</v>
      </c>
      <c r="E36" s="12"/>
    </row>
    <row r="37" spans="2:13" ht="15" thickTop="1" x14ac:dyDescent="0.35">
      <c r="B37" s="11"/>
      <c r="I37" s="11"/>
    </row>
    <row r="38" spans="2:13" x14ac:dyDescent="0.35">
      <c r="I38" s="11"/>
    </row>
    <row r="39" spans="2:13" ht="18" x14ac:dyDescent="0.4">
      <c r="B39" s="41" t="s">
        <v>63</v>
      </c>
      <c r="C39" s="60">
        <f>I31-N31+$C$36*($C$34)</f>
        <v>13986.175191332881</v>
      </c>
      <c r="D39" s="59" t="s">
        <v>57</v>
      </c>
      <c r="I39" s="11"/>
    </row>
    <row r="40" spans="2:13" x14ac:dyDescent="0.35">
      <c r="I40" s="11"/>
    </row>
  </sheetData>
  <conditionalFormatting sqref="C16 C20:C25">
    <cfRule type="cellIs" dxfId="12" priority="31" operator="lessThanOrEqual">
      <formula>0</formula>
    </cfRule>
  </conditionalFormatting>
  <conditionalFormatting sqref="C17">
    <cfRule type="cellIs" dxfId="11" priority="30" operator="lessThanOrEqual">
      <formula>0</formula>
    </cfRule>
  </conditionalFormatting>
  <conditionalFormatting sqref="C18">
    <cfRule type="cellIs" dxfId="10" priority="27" operator="lessThanOrEqual">
      <formula>0</formula>
    </cfRule>
  </conditionalFormatting>
  <conditionalFormatting sqref="N31">
    <cfRule type="cellIs" dxfId="9" priority="22" operator="lessThanOrEqual">
      <formula>0</formula>
    </cfRule>
  </conditionalFormatting>
  <conditionalFormatting sqref="C39">
    <cfRule type="cellIs" dxfId="8" priority="18" operator="lessThan">
      <formula>0</formula>
    </cfRule>
  </conditionalFormatting>
  <conditionalFormatting sqref="I31">
    <cfRule type="cellIs" dxfId="7" priority="15" operator="lessThanOrEqual">
      <formula>0</formula>
    </cfRule>
  </conditionalFormatting>
  <conditionalFormatting sqref="C33">
    <cfRule type="cellIs" dxfId="6" priority="12" operator="lessThanOrEqual">
      <formula>0</formula>
    </cfRule>
  </conditionalFormatting>
  <conditionalFormatting sqref="C19">
    <cfRule type="cellIs" dxfId="5" priority="9" operator="lessThanOrEqual">
      <formula>0</formula>
    </cfRule>
  </conditionalFormatting>
  <conditionalFormatting sqref="C36">
    <cfRule type="cellIs" dxfId="4" priority="6" operator="lessThanOrEqual">
      <formula>0</formula>
    </cfRule>
  </conditionalFormatting>
  <conditionalFormatting sqref="C34">
    <cfRule type="cellIs" dxfId="3" priority="5" operator="lessThanOrEqual">
      <formula>0</formula>
    </cfRule>
  </conditionalFormatting>
  <conditionalFormatting sqref="C29">
    <cfRule type="cellIs" dxfId="2" priority="4" operator="lessThanOrEqual">
      <formula>0</formula>
    </cfRule>
  </conditionalFormatting>
  <conditionalFormatting sqref="C8">
    <cfRule type="cellIs" dxfId="1" priority="2" operator="lessThanOrEqual">
      <formula>0</formula>
    </cfRule>
  </conditionalFormatting>
  <conditionalFormatting sqref="C26">
    <cfRule type="cellIs" dxfId="0" priority="1" operator="lessThanOrEqual">
      <formula>0</formula>
    </cfRule>
  </conditionalFormatting>
  <dataValidations count="1">
    <dataValidation type="list" allowBlank="1" showInputMessage="1" showErrorMessage="1" sqref="C29" xr:uid="{27368C8D-F909-4D3A-95A3-202A96031B32}">
      <formula1>"no,yes"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Valuation</vt:lpstr>
      <vt:lpstr>Accurate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2020-09-14T00:47:59Z</dcterms:created>
  <dcterms:modified xsi:type="dcterms:W3CDTF">2021-11-06T14:58:29Z</dcterms:modified>
</cp:coreProperties>
</file>