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66925"/>
  <xr:revisionPtr revIDLastSave="0" documentId="13_ncr:1_{D0301E05-3447-4020-9053-F6D756FC9925}" xr6:coauthVersionLast="46" xr6:coauthVersionMax="46" xr10:uidLastSave="{00000000-0000-0000-0000-000000000000}"/>
  <bookViews>
    <workbookView xWindow="2040" yWindow="-110" windowWidth="36470" windowHeight="21820" activeTab="1" xr2:uid="{400703B4-251B-49D8-B8CB-49BA2528FB4C}"/>
  </bookViews>
  <sheets>
    <sheet name="Simple Valuation" sheetId="1" r:id="rId1"/>
    <sheet name="Accurate 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2" l="1"/>
  <c r="L9" i="2"/>
  <c r="N9" i="2" l="1"/>
  <c r="O9" i="2" s="1"/>
  <c r="G9" i="2" l="1"/>
  <c r="I9" i="2"/>
  <c r="B13" i="1" l="1"/>
  <c r="H9" i="2"/>
  <c r="J9" i="2" s="1"/>
  <c r="F10" i="2"/>
  <c r="M10" i="2" l="1"/>
  <c r="L10" i="2"/>
  <c r="G10" i="2"/>
  <c r="H10" i="2" s="1"/>
  <c r="I10" i="2"/>
  <c r="F11" i="2"/>
  <c r="B9" i="1"/>
  <c r="M11" i="2" l="1"/>
  <c r="L11" i="2"/>
  <c r="N10" i="2"/>
  <c r="O10" i="2" s="1"/>
  <c r="J10" i="2"/>
  <c r="G11" i="2"/>
  <c r="H11" i="2" s="1"/>
  <c r="I11" i="2"/>
  <c r="F12" i="2"/>
  <c r="L12" i="2" l="1"/>
  <c r="M12" i="2"/>
  <c r="N11" i="2"/>
  <c r="O11" i="2" s="1"/>
  <c r="J11" i="2"/>
  <c r="G12" i="2"/>
  <c r="I12" i="2"/>
  <c r="F13" i="2"/>
  <c r="M13" i="2" l="1"/>
  <c r="L13" i="2"/>
  <c r="N12" i="2"/>
  <c r="O12" i="2" s="1"/>
  <c r="G13" i="2"/>
  <c r="H13" i="2" s="1"/>
  <c r="I13" i="2"/>
  <c r="H12" i="2"/>
  <c r="J12" i="2" s="1"/>
  <c r="F14" i="2"/>
  <c r="M14" i="2" l="1"/>
  <c r="L14" i="2"/>
  <c r="N13" i="2"/>
  <c r="O13" i="2" s="1"/>
  <c r="J13" i="2"/>
  <c r="G14" i="2"/>
  <c r="H14" i="2" s="1"/>
  <c r="I14" i="2"/>
  <c r="F15" i="2"/>
  <c r="M15" i="2" l="1"/>
  <c r="L15" i="2"/>
  <c r="N14" i="2"/>
  <c r="O14" i="2" s="1"/>
  <c r="J14" i="2"/>
  <c r="G15" i="2"/>
  <c r="H15" i="2" s="1"/>
  <c r="I15" i="2"/>
  <c r="F16" i="2"/>
  <c r="M16" i="2" l="1"/>
  <c r="L16" i="2"/>
  <c r="N15" i="2"/>
  <c r="O15" i="2" s="1"/>
  <c r="J15" i="2"/>
  <c r="G16" i="2"/>
  <c r="H16" i="2" s="1"/>
  <c r="I16" i="2"/>
  <c r="F17" i="2"/>
  <c r="M17" i="2" l="1"/>
  <c r="L17" i="2"/>
  <c r="N16" i="2"/>
  <c r="O16" i="2" s="1"/>
  <c r="J16" i="2"/>
  <c r="G17" i="2"/>
  <c r="I17" i="2"/>
  <c r="F18" i="2"/>
  <c r="M18" i="2" l="1"/>
  <c r="L18" i="2"/>
  <c r="N17" i="2"/>
  <c r="O17" i="2" s="1"/>
  <c r="G18" i="2"/>
  <c r="H18" i="2" s="1"/>
  <c r="I18" i="2"/>
  <c r="F19" i="2"/>
  <c r="H17" i="2"/>
  <c r="J17" i="2" s="1"/>
  <c r="M19" i="2" l="1"/>
  <c r="L19" i="2"/>
  <c r="N18" i="2"/>
  <c r="O18" i="2" s="1"/>
  <c r="J18" i="2"/>
  <c r="G19" i="2"/>
  <c r="H19" i="2" s="1"/>
  <c r="I19" i="2"/>
  <c r="F20" i="2"/>
  <c r="M20" i="2" l="1"/>
  <c r="L20" i="2"/>
  <c r="N19" i="2"/>
  <c r="O19" i="2" s="1"/>
  <c r="J19" i="2"/>
  <c r="G20" i="2"/>
  <c r="H20" i="2" s="1"/>
  <c r="I20" i="2"/>
  <c r="F21" i="2"/>
  <c r="M21" i="2" l="1"/>
  <c r="L21" i="2"/>
  <c r="N20" i="2"/>
  <c r="O20" i="2" s="1"/>
  <c r="J20" i="2"/>
  <c r="G21" i="2"/>
  <c r="H21" i="2" s="1"/>
  <c r="I21" i="2"/>
  <c r="F22" i="2"/>
  <c r="M22" i="2" l="1"/>
  <c r="L22" i="2"/>
  <c r="N21" i="2"/>
  <c r="O21" i="2" s="1"/>
  <c r="J21" i="2"/>
  <c r="G22" i="2"/>
  <c r="H22" i="2" s="1"/>
  <c r="I22" i="2"/>
  <c r="F23" i="2"/>
  <c r="M23" i="2" l="1"/>
  <c r="L23" i="2"/>
  <c r="N22" i="2"/>
  <c r="O22" i="2" s="1"/>
  <c r="J22" i="2"/>
  <c r="G23" i="2"/>
  <c r="H23" i="2" s="1"/>
  <c r="I23" i="2"/>
  <c r="F24" i="2"/>
  <c r="M24" i="2" l="1"/>
  <c r="L24" i="2"/>
  <c r="N23" i="2"/>
  <c r="O23" i="2" s="1"/>
  <c r="J23" i="2"/>
  <c r="G24" i="2"/>
  <c r="H24" i="2" s="1"/>
  <c r="I24" i="2"/>
  <c r="F25" i="2"/>
  <c r="M25" i="2" l="1"/>
  <c r="L25" i="2"/>
  <c r="N24" i="2"/>
  <c r="O24" i="2" s="1"/>
  <c r="J24" i="2"/>
  <c r="G25" i="2"/>
  <c r="H25" i="2" s="1"/>
  <c r="I25" i="2"/>
  <c r="F26" i="2"/>
  <c r="M26" i="2" l="1"/>
  <c r="L26" i="2"/>
  <c r="N25" i="2"/>
  <c r="O25" i="2" s="1"/>
  <c r="J25" i="2"/>
  <c r="G26" i="2"/>
  <c r="H26" i="2" s="1"/>
  <c r="I26" i="2"/>
  <c r="F27" i="2"/>
  <c r="M27" i="2" l="1"/>
  <c r="L27" i="2"/>
  <c r="N26" i="2"/>
  <c r="O26" i="2" s="1"/>
  <c r="J26" i="2"/>
  <c r="G27" i="2"/>
  <c r="H27" i="2" s="1"/>
  <c r="I27" i="2"/>
  <c r="F28" i="2"/>
  <c r="M28" i="2" l="1"/>
  <c r="L28" i="2"/>
  <c r="N27" i="2"/>
  <c r="O27" i="2" s="1"/>
  <c r="J27" i="2"/>
  <c r="G28" i="2"/>
  <c r="G29" i="2" s="1"/>
  <c r="I28" i="2"/>
  <c r="I29" i="2" s="1"/>
  <c r="N28" i="2" l="1"/>
  <c r="O28" i="2" s="1"/>
  <c r="L29" i="2"/>
  <c r="M29" i="2"/>
  <c r="H28" i="2"/>
  <c r="J28" i="2" s="1"/>
  <c r="N29" i="2" l="1"/>
  <c r="O29" i="2"/>
  <c r="O30" i="2" s="1"/>
  <c r="H29" i="2"/>
  <c r="J29" i="2" l="1"/>
  <c r="J30" i="2" s="1"/>
  <c r="C39" i="2" l="1"/>
</calcChain>
</file>

<file path=xl/sharedStrings.xml><?xml version="1.0" encoding="utf-8"?>
<sst xmlns="http://schemas.openxmlformats.org/spreadsheetml/2006/main" count="74" uniqueCount="74">
  <si>
    <t>Royalty Rate</t>
  </si>
  <si>
    <t>Present Value</t>
  </si>
  <si>
    <t>Probability of Detectability</t>
  </si>
  <si>
    <t>Probability of Infringement</t>
  </si>
  <si>
    <t>Probability of Eligibility</t>
  </si>
  <si>
    <t>Probability of Non-Obviousness</t>
  </si>
  <si>
    <t>Geographically Addressable Annual Marginal Profit Under License</t>
  </si>
  <si>
    <t>Valuation</t>
  </si>
  <si>
    <r>
      <t>D</t>
    </r>
    <r>
      <rPr>
        <i/>
        <vertAlign val="subscript"/>
        <sz val="11"/>
        <color theme="1"/>
        <rFont val="Cambria"/>
        <family val="1"/>
      </rPr>
      <t>U</t>
    </r>
  </si>
  <si>
    <r>
      <t>D</t>
    </r>
    <r>
      <rPr>
        <i/>
        <vertAlign val="subscript"/>
        <sz val="11"/>
        <color theme="1"/>
        <rFont val="Cambria"/>
        <family val="1"/>
      </rPr>
      <t>A</t>
    </r>
  </si>
  <si>
    <r>
      <t>D</t>
    </r>
    <r>
      <rPr>
        <i/>
        <vertAlign val="subscript"/>
        <sz val="11"/>
        <color theme="1"/>
        <rFont val="Cambria"/>
        <family val="1"/>
      </rPr>
      <t>F</t>
    </r>
  </si>
  <si>
    <r>
      <t>D</t>
    </r>
    <r>
      <rPr>
        <i/>
        <vertAlign val="subscript"/>
        <sz val="11"/>
        <color theme="1"/>
        <rFont val="Cambria"/>
        <family val="1"/>
      </rPr>
      <t>Q</t>
    </r>
  </si>
  <si>
    <r>
      <t>D</t>
    </r>
    <r>
      <rPr>
        <i/>
        <vertAlign val="subscript"/>
        <sz val="11"/>
        <color theme="1"/>
        <rFont val="Cambria"/>
        <family val="1"/>
      </rPr>
      <t>E</t>
    </r>
  </si>
  <si>
    <r>
      <t>D</t>
    </r>
    <r>
      <rPr>
        <i/>
        <vertAlign val="subscript"/>
        <sz val="11"/>
        <color theme="1"/>
        <rFont val="Cambria"/>
        <family val="1"/>
      </rPr>
      <t>P</t>
    </r>
  </si>
  <si>
    <t>Cumulative</t>
  </si>
  <si>
    <t>Decision</t>
  </si>
  <si>
    <t>Year of market peak</t>
  </si>
  <si>
    <t>E</t>
  </si>
  <si>
    <t>Year of family life</t>
  </si>
  <si>
    <t>Minimum Remaining Lifetime Costs</t>
  </si>
  <si>
    <t>Present value of discounted cash flow</t>
  </si>
  <si>
    <t>I</t>
  </si>
  <si>
    <t>Cash flow value</t>
  </si>
  <si>
    <t>Variance</t>
  </si>
  <si>
    <r>
      <t>Y</t>
    </r>
    <r>
      <rPr>
        <i/>
        <vertAlign val="subscript"/>
        <sz val="11"/>
        <color theme="1"/>
        <rFont val="Cambria"/>
        <family val="1"/>
      </rPr>
      <t>s</t>
    </r>
  </si>
  <si>
    <r>
      <rPr>
        <i/>
        <sz val="11"/>
        <color theme="1"/>
        <rFont val="Cambria"/>
        <family val="1"/>
      </rPr>
      <t>M</t>
    </r>
    <r>
      <rPr>
        <i/>
        <vertAlign val="subscript"/>
        <sz val="11"/>
        <color theme="1"/>
        <rFont val="Cambria"/>
        <family val="1"/>
      </rPr>
      <t>i</t>
    </r>
  </si>
  <si>
    <r>
      <rPr>
        <i/>
        <sz val="11"/>
        <color theme="1"/>
        <rFont val="Cambria"/>
        <family val="1"/>
      </rPr>
      <t>RiL</t>
    </r>
    <r>
      <rPr>
        <i/>
        <vertAlign val="subscript"/>
        <sz val="11"/>
        <color theme="1"/>
        <rFont val="Cambria"/>
        <family val="1"/>
      </rPr>
      <t>i</t>
    </r>
  </si>
  <si>
    <r>
      <rPr>
        <i/>
        <sz val="11"/>
        <color theme="1"/>
        <rFont val="Cambria"/>
        <family val="1"/>
      </rPr>
      <t>L</t>
    </r>
    <r>
      <rPr>
        <i/>
        <vertAlign val="subscript"/>
        <sz val="11"/>
        <color theme="1"/>
        <rFont val="Cambria"/>
        <family val="1"/>
      </rPr>
      <t>i</t>
    </r>
  </si>
  <si>
    <t>Ci</t>
  </si>
  <si>
    <r>
      <t>Y</t>
    </r>
    <r>
      <rPr>
        <i/>
        <vertAlign val="subscript"/>
        <sz val="11"/>
        <color theme="1"/>
        <rFont val="Cambria"/>
        <family val="1"/>
      </rPr>
      <t>g</t>
    </r>
  </si>
  <si>
    <t>Weighted costs</t>
  </si>
  <si>
    <t>maint.</t>
  </si>
  <si>
    <t>B</t>
  </si>
  <si>
    <t>Time-valued remaining costs</t>
  </si>
  <si>
    <t>S</t>
  </si>
  <si>
    <t>Z</t>
  </si>
  <si>
    <t>prep+pros</t>
  </si>
  <si>
    <t>Cash flow parameters</t>
  </si>
  <si>
    <t>Color key</t>
  </si>
  <si>
    <t>Keep family open?</t>
  </si>
  <si>
    <t>Spec drafting &amp; prep costs</t>
  </si>
  <si>
    <t>Annual global prosecution cost</t>
  </si>
  <si>
    <t>Tech data</t>
  </si>
  <si>
    <t>Biz data</t>
  </si>
  <si>
    <t>Law data</t>
  </si>
  <si>
    <t>Market curve</t>
  </si>
  <si>
    <t>M</t>
  </si>
  <si>
    <t>L</t>
  </si>
  <si>
    <t>R</t>
  </si>
  <si>
    <t>Marginal company valuation per patent portfolio asset</t>
  </si>
  <si>
    <t>Probability of being essential to an industry standard</t>
  </si>
  <si>
    <t>Premium for family being open</t>
  </si>
  <si>
    <t>Probability of avoiding fatal preparation, prosecution, and enforcement errors</t>
  </si>
  <si>
    <t>Probability of claims being found patent eligible subject matter</t>
  </si>
  <si>
    <t>Probability of no invalidating prior art</t>
  </si>
  <si>
    <t>Probability of being able to detect infringement</t>
  </si>
  <si>
    <t>Probability of company having an appetite to sue</t>
  </si>
  <si>
    <t>Cost of enforcement</t>
  </si>
  <si>
    <t>Reasonable royalty rate based on expected sales pricing/volume (assumed constant)</t>
  </si>
  <si>
    <t>Region-cumulative claim-apportioned marginal profit from licensed sales at market peak (royalty base)</t>
  </si>
  <si>
    <t>Year entering enforceability</t>
  </si>
  <si>
    <t>Year since priority date (presently)</t>
  </si>
  <si>
    <t>Costs</t>
  </si>
  <si>
    <r>
      <t>Expected future drafting, filing, prosecution, and maintenance costs in year</t>
    </r>
    <r>
      <rPr>
        <sz val="11"/>
        <color theme="1"/>
        <rFont val="Calibri Light"/>
        <family val="2"/>
      </rPr>
      <t xml:space="preserve"> </t>
    </r>
    <r>
      <rPr>
        <i/>
        <sz val="11"/>
        <color theme="1"/>
        <rFont val="Calibri Light"/>
        <family val="2"/>
      </rPr>
      <t>i</t>
    </r>
  </si>
  <si>
    <r>
      <t>C</t>
    </r>
    <r>
      <rPr>
        <i/>
        <vertAlign val="subscript"/>
        <sz val="11"/>
        <color theme="1"/>
        <rFont val="Cambria"/>
        <family val="1"/>
      </rPr>
      <t>i</t>
    </r>
  </si>
  <si>
    <t>Net present value</t>
  </si>
  <si>
    <t>Cost of capital (discount rate) reflecting opportunity cost and time value of money</t>
  </si>
  <si>
    <r>
      <rPr>
        <i/>
        <sz val="11"/>
        <color theme="1"/>
        <rFont val="Cambria"/>
        <family val="1"/>
      </rPr>
      <t>"an uncertain estimate is better than no estimate at all"</t>
    </r>
    <r>
      <rPr>
        <sz val="11"/>
        <color theme="1"/>
        <rFont val="Cambria"/>
        <family val="1"/>
      </rPr>
      <t xml:space="preserve"> -Jonah Probell</t>
    </r>
  </si>
  <si>
    <t>Assets to be created (globally x divisionals)</t>
  </si>
  <si>
    <t>Company's production profit under monopoly at market peak</t>
  </si>
  <si>
    <t>no</t>
  </si>
  <si>
    <t>Probability of future market adoption</t>
  </si>
  <si>
    <r>
      <t>V</t>
    </r>
    <r>
      <rPr>
        <i/>
        <vertAlign val="subscript"/>
        <sz val="11"/>
        <color theme="1"/>
        <rFont val="Cambria"/>
        <family val="1"/>
      </rPr>
      <t>P</t>
    </r>
  </si>
  <si>
    <t>Directions: Enter estimates in the colored boxes below to compute the net present value at the bottom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</si>
</sst>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=1000000000]&quot;$&quot;#,##0,,,&quot; B&quot;;[&gt;=1000000]&quot;$&quot;#0,,&quot; M&quot;;&quot;$&quot;#0,&quot; K&quot;"/>
    <numFmt numFmtId="165" formatCode="[=1]#;[=0]&quot;&quot;;#.###"/>
    <numFmt numFmtId="166" formatCode="[&gt;=1000000000]&quot;$&quot;#,##0.0,,,&quot; B&quot;;[&gt;=1000000]\ &quot;$&quot;#0.0,,&quot; M&quot;;\ &quot;$&quot;#0.0,&quot; K&quot;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rgb="FFC000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mbria"/>
      <family val="1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8"/>
        <bgColor indexed="64"/>
      </patternFill>
    </fill>
  </fills>
  <borders count="17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164" fontId="1" fillId="4" borderId="2" xfId="0" applyNumberFormat="1" applyFont="1" applyFill="1" applyBorder="1"/>
    <xf numFmtId="0" fontId="2" fillId="2" borderId="0" xfId="0" applyFont="1" applyFill="1"/>
    <xf numFmtId="0" fontId="3" fillId="2" borderId="0" xfId="0" applyFont="1" applyFill="1"/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4" fillId="0" borderId="3" xfId="0" applyFont="1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wrapText="1"/>
    </xf>
    <xf numFmtId="164" fontId="5" fillId="3" borderId="0" xfId="0" applyNumberFormat="1" applyFont="1" applyFill="1" applyBorder="1"/>
    <xf numFmtId="164" fontId="10" fillId="3" borderId="0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164" fontId="5" fillId="3" borderId="7" xfId="0" applyNumberFormat="1" applyFont="1" applyFill="1" applyBorder="1"/>
    <xf numFmtId="164" fontId="5" fillId="3" borderId="6" xfId="0" applyNumberFormat="1" applyFont="1" applyFill="1" applyBorder="1"/>
    <xf numFmtId="164" fontId="5" fillId="3" borderId="8" xfId="0" applyNumberFormat="1" applyFont="1" applyFill="1" applyBorder="1" applyAlignment="1">
      <alignment horizontal="right"/>
    </xf>
    <xf numFmtId="164" fontId="5" fillId="3" borderId="9" xfId="0" applyNumberFormat="1" applyFont="1" applyFill="1" applyBorder="1"/>
    <xf numFmtId="164" fontId="5" fillId="3" borderId="10" xfId="0" applyNumberFormat="1" applyFont="1" applyFill="1" applyBorder="1" applyAlignment="1">
      <alignment horizontal="right"/>
    </xf>
    <xf numFmtId="164" fontId="10" fillId="3" borderId="7" xfId="0" applyNumberFormat="1" applyFont="1" applyFill="1" applyBorder="1" applyAlignment="1">
      <alignment horizontal="right"/>
    </xf>
    <xf numFmtId="164" fontId="10" fillId="3" borderId="6" xfId="0" applyNumberFormat="1" applyFont="1" applyFill="1" applyBorder="1" applyAlignment="1">
      <alignment horizontal="right"/>
    </xf>
    <xf numFmtId="164" fontId="10" fillId="3" borderId="8" xfId="0" applyNumberFormat="1" applyFont="1" applyFill="1" applyBorder="1" applyAlignment="1">
      <alignment horizontal="right"/>
    </xf>
    <xf numFmtId="164" fontId="10" fillId="3" borderId="9" xfId="0" applyNumberFormat="1" applyFont="1" applyFill="1" applyBorder="1" applyAlignment="1">
      <alignment horizontal="right"/>
    </xf>
    <xf numFmtId="164" fontId="10" fillId="3" borderId="10" xfId="0" applyNumberFormat="1" applyFont="1" applyFill="1" applyBorder="1" applyAlignment="1">
      <alignment horizontal="right"/>
    </xf>
    <xf numFmtId="164" fontId="10" fillId="3" borderId="4" xfId="0" applyNumberFormat="1" applyFont="1" applyFill="1" applyBorder="1" applyAlignment="1">
      <alignment horizontal="right"/>
    </xf>
    <xf numFmtId="164" fontId="11" fillId="3" borderId="4" xfId="0" applyNumberFormat="1" applyFont="1" applyFill="1" applyBorder="1" applyAlignment="1">
      <alignment horizontal="right"/>
    </xf>
    <xf numFmtId="164" fontId="5" fillId="3" borderId="11" xfId="0" applyNumberFormat="1" applyFont="1" applyFill="1" applyBorder="1"/>
    <xf numFmtId="164" fontId="5" fillId="3" borderId="5" xfId="0" applyNumberFormat="1" applyFont="1" applyFill="1" applyBorder="1"/>
    <xf numFmtId="164" fontId="5" fillId="3" borderId="12" xfId="0" applyNumberFormat="1" applyFont="1" applyFill="1" applyBorder="1" applyAlignment="1">
      <alignment horizontal="right"/>
    </xf>
    <xf numFmtId="164" fontId="10" fillId="3" borderId="11" xfId="0" applyNumberFormat="1" applyFont="1" applyFill="1" applyBorder="1" applyAlignment="1">
      <alignment horizontal="right"/>
    </xf>
    <xf numFmtId="164" fontId="10" fillId="3" borderId="5" xfId="0" applyNumberFormat="1" applyFont="1" applyFill="1" applyBorder="1" applyAlignment="1">
      <alignment horizontal="right"/>
    </xf>
    <xf numFmtId="164" fontId="10" fillId="3" borderId="12" xfId="0" applyNumberFormat="1" applyFont="1" applyFill="1" applyBorder="1" applyAlignment="1">
      <alignment horizontal="right"/>
    </xf>
    <xf numFmtId="164" fontId="10" fillId="3" borderId="13" xfId="0" applyNumberFormat="1" applyFont="1" applyFill="1" applyBorder="1" applyAlignment="1">
      <alignment horizontal="right"/>
    </xf>
    <xf numFmtId="164" fontId="10" fillId="3" borderId="14" xfId="0" applyNumberFormat="1" applyFont="1" applyFill="1" applyBorder="1" applyAlignment="1">
      <alignment horizontal="right"/>
    </xf>
    <xf numFmtId="164" fontId="10" fillId="3" borderId="15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right"/>
    </xf>
    <xf numFmtId="166" fontId="11" fillId="4" borderId="3" xfId="0" applyNumberFormat="1" applyFont="1" applyFill="1" applyBorder="1" applyAlignment="1">
      <alignment horizontal="right"/>
    </xf>
    <xf numFmtId="166" fontId="11" fillId="7" borderId="3" xfId="0" applyNumberFormat="1" applyFont="1" applyFill="1" applyBorder="1" applyAlignment="1">
      <alignment horizontal="right"/>
    </xf>
    <xf numFmtId="3" fontId="11" fillId="4" borderId="3" xfId="0" applyNumberFormat="1" applyFont="1" applyFill="1" applyBorder="1" applyAlignment="1">
      <alignment horizontal="right"/>
    </xf>
    <xf numFmtId="3" fontId="11" fillId="6" borderId="3" xfId="0" applyNumberFormat="1" applyFont="1" applyFill="1" applyBorder="1" applyAlignment="1">
      <alignment horizontal="right"/>
    </xf>
    <xf numFmtId="4" fontId="11" fillId="4" borderId="3" xfId="0" applyNumberFormat="1" applyFont="1" applyFill="1" applyBorder="1" applyAlignment="1">
      <alignment horizontal="right"/>
    </xf>
    <xf numFmtId="4" fontId="11" fillId="5" borderId="3" xfId="0" applyNumberFormat="1" applyFont="1" applyFill="1" applyBorder="1" applyAlignment="1">
      <alignment horizontal="right"/>
    </xf>
    <xf numFmtId="4" fontId="11" fillId="7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49" fontId="12" fillId="4" borderId="16" xfId="0" applyNumberFormat="1" applyFont="1" applyFill="1" applyBorder="1" applyAlignment="1">
      <alignment horizontal="right"/>
    </xf>
    <xf numFmtId="49" fontId="12" fillId="5" borderId="16" xfId="0" applyNumberFormat="1" applyFont="1" applyFill="1" applyBorder="1" applyAlignment="1">
      <alignment horizontal="right"/>
    </xf>
    <xf numFmtId="49" fontId="13" fillId="7" borderId="16" xfId="0" applyNumberFormat="1" applyFont="1" applyFill="1" applyBorder="1" applyAlignment="1">
      <alignment horizontal="right"/>
    </xf>
    <xf numFmtId="0" fontId="15" fillId="2" borderId="0" xfId="0" applyFont="1" applyFill="1"/>
    <xf numFmtId="166" fontId="15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20"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6565"/>
        </patternFill>
      </fill>
    </dxf>
    <dxf>
      <fill>
        <patternFill>
          <bgColor rgb="FFFF7575"/>
        </patternFill>
      </fill>
    </dxf>
    <dxf>
      <fill>
        <patternFill>
          <bgColor rgb="FFFF8181"/>
        </patternFill>
      </fill>
    </dxf>
    <dxf>
      <fill>
        <patternFill>
          <bgColor rgb="FFFF6565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A162D0"/>
      <color rgb="FFFFCCFF"/>
      <color rgb="FF9C5BCD"/>
      <color rgb="FF873AC0"/>
      <color rgb="FFFF65F4"/>
      <color rgb="FFFFE7F8"/>
      <color rgb="FFFFD3F1"/>
      <color rgb="FFDAE3F3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R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i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L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i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+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M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i</a:t>
            </a:r>
            <a:r>
              <a:rPr lang="en-US" sz="1200" b="0" i="0" u="none" strike="noStrike" baseline="0"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rPr>
              <a:t> annualized market opportunity</a:t>
            </a:r>
            <a:endParaRPr lang="en-US" sz="12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'Accurate Valuation'!$F$9:$F$28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E-44A2-A2B6-E4B7FA993B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'Accurate Valuation'!$H$9:$H$28</c:f>
              <c:numCache>
                <c:formatCode>[&gt;=1000000000]"$"#,##0,,," B";[&gt;=1000000]"$"#0,," M";"$"#0," K"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428571.42857142852</c:v>
                </c:pt>
                <c:pt idx="3">
                  <c:v>499999.99999999994</c:v>
                </c:pt>
                <c:pt idx="4">
                  <c:v>600000</c:v>
                </c:pt>
                <c:pt idx="5">
                  <c:v>750000</c:v>
                </c:pt>
                <c:pt idx="6">
                  <c:v>999999.99999999988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999999.99999999988</c:v>
                </c:pt>
                <c:pt idx="13">
                  <c:v>750000</c:v>
                </c:pt>
                <c:pt idx="14">
                  <c:v>600000</c:v>
                </c:pt>
                <c:pt idx="15">
                  <c:v>499999.99999999994</c:v>
                </c:pt>
                <c:pt idx="16">
                  <c:v>428571.42857142852</c:v>
                </c:pt>
                <c:pt idx="17">
                  <c:v>375000</c:v>
                </c:pt>
                <c:pt idx="18">
                  <c:v>333333.33333333331</c:v>
                </c:pt>
                <c:pt idx="1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E-44A2-A2B6-E4B7FA993B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'Accurate Valuation'!$I$9:$I$28</c:f>
              <c:numCache>
                <c:formatCode>[&gt;=1000000000]"$"#,##0,,," B";[&gt;=1000000]"$"#0,," M";"$"#0," K"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714285.7142857142</c:v>
                </c:pt>
                <c:pt idx="3">
                  <c:v>833333.33333333326</c:v>
                </c:pt>
                <c:pt idx="4">
                  <c:v>1000000</c:v>
                </c:pt>
                <c:pt idx="5">
                  <c:v>1250000</c:v>
                </c:pt>
                <c:pt idx="6">
                  <c:v>1666666.6666666665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1666666.6666666665</c:v>
                </c:pt>
                <c:pt idx="13">
                  <c:v>1250000</c:v>
                </c:pt>
                <c:pt idx="14">
                  <c:v>1000000</c:v>
                </c:pt>
                <c:pt idx="15">
                  <c:v>833333.33333333326</c:v>
                </c:pt>
                <c:pt idx="16">
                  <c:v>714285.7142857142</c:v>
                </c:pt>
                <c:pt idx="17">
                  <c:v>625000</c:v>
                </c:pt>
                <c:pt idx="18">
                  <c:v>555555.5555555555</c:v>
                </c:pt>
                <c:pt idx="19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DE-44A2-A2B6-E4B7FA99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3203743"/>
        <c:axId val="527047567"/>
      </c:barChart>
      <c:catAx>
        <c:axId val="51320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047567"/>
        <c:crosses val="autoZero"/>
        <c:auto val="1"/>
        <c:lblAlgn val="ctr"/>
        <c:lblOffset val="100"/>
        <c:noMultiLvlLbl val="0"/>
      </c:catAx>
      <c:valAx>
        <c:axId val="5270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0]&quot;$&quot;#,##0,,,&quot; B&quot;;[&gt;=1000000]&quot;$&quot;#0,,&quot; M&quot;;&quot;$&quot;#0,&quot; 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E3F3">
        <a:alpha val="74902"/>
      </a:srgbClr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35</xdr:row>
      <xdr:rowOff>88900</xdr:rowOff>
    </xdr:from>
    <xdr:to>
      <xdr:col>14</xdr:col>
      <xdr:colOff>177800</xdr:colOff>
      <xdr:row>39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2">
              <a:extLst>
                <a:ext uri="{FF2B5EF4-FFF2-40B4-BE49-F238E27FC236}">
                  <a16:creationId xmlns:a16="http://schemas.microsoft.com/office/drawing/2014/main" id="{56F005BD-1D7D-4083-B53D-18A029B0DC86}"/>
                </a:ext>
              </a:extLst>
            </xdr:cNvPr>
            <xdr:cNvSpPr txBox="1"/>
          </xdr:nvSpPr>
          <xdr:spPr>
            <a:xfrm>
              <a:off x="8483600" y="7150100"/>
              <a:ext cx="6781800" cy="78740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n-US" sz="12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4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e>
                                      <m:sub>
                                        <m:r>
                                          <a:rPr lang="en-US" sz="14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1+</m:t>
                                            </m:r>
                                            <m:r>
                                              <a:rPr lang="en-US" sz="12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𝐼</m:t>
                                            </m:r>
                                          </m:e>
                                        </m:d>
                                      </m:e>
                                      <m:sup>
                                        <m:func>
                                          <m:funcPr>
                                            <m:ctrlPr>
                                              <a:rPr lang="en-US" sz="12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200" b="0" i="0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max</m:t>
                                            </m:r>
                                          </m:fName>
                                          <m:e>
                                            <m:d>
                                              <m:dPr>
                                                <m:ctrlPr>
                                                  <a:rPr lang="en-US" sz="12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n-US" sz="12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0,</m:t>
                                                </m:r>
                                                <m:r>
                                                  <a:rPr lang="en-US" sz="120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en-US" sz="12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−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en-US" sz="12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US" sz="12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𝑌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US" sz="12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d>
                                          </m:e>
                                        </m:func>
                                      </m:sup>
                                    </m:sSup>
                                  </m:den>
                                </m:f>
                              </m:e>
                            </m:nary>
                          </m:e>
                        </m:d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</m:d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sub>
                    </m:sSub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</m:sSub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)(1+9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</m:t>
                    </m:r>
                    <m:d>
                      <m:d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sub>
                          <m:sup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p>
                                </m:sSup>
                              </m:den>
                            </m:f>
                          </m:e>
                        </m:nary>
                      </m:e>
                    </m:d>
                    <m:r>
                      <a:rPr lang="en-US" sz="12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</m:oMath>
                </m:oMathPara>
              </a14:m>
              <a:endParaRPr lang="en-US" sz="1600">
                <a:effectLst/>
              </a:endParaRPr>
            </a:p>
          </xdr:txBody>
        </xdr:sp>
      </mc:Choice>
      <mc:Fallback>
        <xdr:sp macro="" textlink="">
          <xdr:nvSpPr>
            <xdr:cNvPr id="2" name="TextBox 2">
              <a:extLst>
                <a:ext uri="{FF2B5EF4-FFF2-40B4-BE49-F238E27FC236}">
                  <a16:creationId xmlns:a16="http://schemas.microsoft.com/office/drawing/2014/main" id="{56F005BD-1D7D-4083-B53D-18A029B0DC86}"/>
                </a:ext>
              </a:extLst>
            </xdr:cNvPr>
            <xdr:cNvSpPr txBox="1"/>
          </xdr:nvSpPr>
          <xdr:spPr>
            <a:xfrm>
              <a:off x="8483600" y="7150100"/>
              <a:ext cx="6781800" cy="78740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 eaLnBrk="1" latinLnBrk="0" hangingPunct="1"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𝑉_𝑃=((∑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𝑔)^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0▒(</a:t>
              </a:r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</a:t>
              </a:r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 𝐿〗_𝑖)/(1+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𝐼)^max⁡(0,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𝑌_𝑠 )  )−𝐸) 𝐷_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𝐷_𝐹 𝐷_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 (1+𝐵)(1+9𝑆)−(∑_(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𝑖=𝑌_𝑠)^20▒𝐶_𝑖/(1+𝐼)^(𝑖−𝑌_𝑠 ) )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+𝑍</a:t>
              </a:r>
              <a:endParaRPr lang="en-US" sz="1600">
                <a:effectLst/>
              </a:endParaRPr>
            </a:p>
          </xdr:txBody>
        </xdr:sp>
      </mc:Fallback>
    </mc:AlternateContent>
    <xdr:clientData/>
  </xdr:twoCellAnchor>
  <xdr:twoCellAnchor>
    <xdr:from>
      <xdr:col>3</xdr:col>
      <xdr:colOff>3051175</xdr:colOff>
      <xdr:row>5</xdr:row>
      <xdr:rowOff>31750</xdr:rowOff>
    </xdr:from>
    <xdr:to>
      <xdr:col>4</xdr:col>
      <xdr:colOff>31750</xdr:colOff>
      <xdr:row>13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59270-7F97-4B90-84B4-B8A85398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108-51A3-4A72-B871-FAC43DD52F5A}">
  <dimension ref="B1:D14"/>
  <sheetViews>
    <sheetView zoomScale="115" zoomScaleNormal="115" workbookViewId="0"/>
  </sheetViews>
  <sheetFormatPr defaultRowHeight="14.5" x14ac:dyDescent="0.35"/>
  <cols>
    <col min="1" max="1" width="1.453125" style="1" customWidth="1"/>
    <col min="2" max="2" width="14.1796875" style="1" bestFit="1" customWidth="1"/>
    <col min="3" max="3" width="2.08984375" style="1" customWidth="1"/>
    <col min="4" max="4" width="56.08984375" style="1" bestFit="1" customWidth="1"/>
    <col min="5" max="16384" width="8.7265625" style="1"/>
  </cols>
  <sheetData>
    <row r="1" spans="2:4" ht="15" thickBot="1" x14ac:dyDescent="0.4">
      <c r="D1" s="6" t="s">
        <v>7</v>
      </c>
    </row>
    <row r="2" spans="2:4" ht="15.5" thickTop="1" thickBot="1" x14ac:dyDescent="0.4">
      <c r="B2" s="2"/>
      <c r="C2" s="7"/>
      <c r="D2" s="1" t="s">
        <v>6</v>
      </c>
    </row>
    <row r="3" spans="2:4" ht="15.5" thickTop="1" thickBot="1" x14ac:dyDescent="0.4">
      <c r="B3" s="3">
        <v>0</v>
      </c>
      <c r="C3" s="8"/>
      <c r="D3" s="1" t="s">
        <v>0</v>
      </c>
    </row>
    <row r="4" spans="2:4" ht="15.5" thickTop="1" thickBot="1" x14ac:dyDescent="0.4">
      <c r="B4" s="3">
        <v>0</v>
      </c>
      <c r="C4" s="8"/>
      <c r="D4" s="1" t="s">
        <v>3</v>
      </c>
    </row>
    <row r="5" spans="2:4" ht="15.5" thickTop="1" thickBot="1" x14ac:dyDescent="0.4">
      <c r="B5" s="3">
        <v>0</v>
      </c>
      <c r="C5" s="8"/>
      <c r="D5" s="1" t="s">
        <v>2</v>
      </c>
    </row>
    <row r="6" spans="2:4" ht="15.5" thickTop="1" thickBot="1" x14ac:dyDescent="0.4">
      <c r="B6" s="3">
        <v>0</v>
      </c>
      <c r="C6" s="8"/>
      <c r="D6" s="1" t="s">
        <v>4</v>
      </c>
    </row>
    <row r="7" spans="2:4" ht="15.5" thickTop="1" thickBot="1" x14ac:dyDescent="0.4">
      <c r="B7" s="3">
        <v>0</v>
      </c>
      <c r="C7" s="8"/>
      <c r="D7" s="1" t="s">
        <v>5</v>
      </c>
    </row>
    <row r="8" spans="2:4" ht="15.5" thickTop="1" thickBot="1" x14ac:dyDescent="0.4"/>
    <row r="9" spans="2:4" ht="15.5" thickTop="1" thickBot="1" x14ac:dyDescent="0.4">
      <c r="B9" s="4">
        <f>PRODUCT(B2:B7)</f>
        <v>0</v>
      </c>
      <c r="C9" s="7"/>
      <c r="D9" s="5" t="s">
        <v>1</v>
      </c>
    </row>
    <row r="10" spans="2:4" ht="15.5" thickTop="1" thickBot="1" x14ac:dyDescent="0.4"/>
    <row r="11" spans="2:4" ht="15.5" thickTop="1" thickBot="1" x14ac:dyDescent="0.4">
      <c r="B11" s="3">
        <v>0</v>
      </c>
      <c r="C11" s="8"/>
      <c r="D11" s="1" t="s">
        <v>19</v>
      </c>
    </row>
    <row r="12" spans="2:4" ht="15.5" thickTop="1" thickBot="1" x14ac:dyDescent="0.4"/>
    <row r="13" spans="2:4" ht="15.5" thickTop="1" thickBot="1" x14ac:dyDescent="0.4">
      <c r="B13" s="9" t="str">
        <f>IF(B$11&gt;0,IF(B$9&gt;B$11,"GO","ABANDON"),"?")</f>
        <v>?</v>
      </c>
      <c r="D13" s="1" t="s">
        <v>15</v>
      </c>
    </row>
    <row r="14" spans="2:4" ht="15" thickTop="1" x14ac:dyDescent="0.35"/>
  </sheetData>
  <conditionalFormatting sqref="B3:B7">
    <cfRule type="cellIs" dxfId="19" priority="10" operator="lessThanOrEqual">
      <formula>0</formula>
    </cfRule>
    <cfRule type="cellIs" dxfId="18" priority="11" operator="greaterThan">
      <formula>1</formula>
    </cfRule>
  </conditionalFormatting>
  <conditionalFormatting sqref="B2">
    <cfRule type="cellIs" dxfId="17" priority="9" operator="lessThanOrEqual">
      <formula>0</formula>
    </cfRule>
  </conditionalFormatting>
  <conditionalFormatting sqref="B11">
    <cfRule type="cellIs" dxfId="16" priority="3" operator="lessThanOrEqual">
      <formula>0</formula>
    </cfRule>
    <cfRule type="cellIs" dxfId="15" priority="4" operator="greaterThan">
      <formula>1</formula>
    </cfRule>
  </conditionalFormatting>
  <conditionalFormatting sqref="B13">
    <cfRule type="cellIs" dxfId="14" priority="1" operator="equal">
      <formula>"GO"</formula>
    </cfRule>
    <cfRule type="cellIs" dxfId="13" priority="2" operator="equal">
      <formula>"ABANDON"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41C8-F90B-409F-99E3-921B17673774}">
  <dimension ref="B1:O39"/>
  <sheetViews>
    <sheetView tabSelected="1" workbookViewId="0"/>
  </sheetViews>
  <sheetFormatPr defaultRowHeight="14.5" x14ac:dyDescent="0.35"/>
  <cols>
    <col min="1" max="1" width="3.08984375" style="11" customWidth="1"/>
    <col min="2" max="2" width="4.08984375" style="43" bestFit="1" customWidth="1"/>
    <col min="3" max="3" width="12.453125" style="13" customWidth="1"/>
    <col min="4" max="4" width="90.1796875" style="11" bestFit="1" customWidth="1"/>
    <col min="5" max="5" width="5.90625" style="11" customWidth="1"/>
    <col min="6" max="6" width="10.1796875" style="11" bestFit="1" customWidth="1"/>
    <col min="7" max="9" width="12.453125" style="11" customWidth="1"/>
    <col min="10" max="10" width="12.453125" style="13" customWidth="1"/>
    <col min="11" max="11" width="9.7265625" style="11" customWidth="1"/>
    <col min="12" max="15" width="10.1796875" style="11" customWidth="1"/>
    <col min="16" max="16384" width="8.7265625" style="11"/>
  </cols>
  <sheetData>
    <row r="1" spans="2:15" s="12" customFormat="1" ht="14" x14ac:dyDescent="0.3">
      <c r="B1" s="42"/>
      <c r="C1" s="19"/>
      <c r="J1" s="19"/>
    </row>
    <row r="2" spans="2:15" s="12" customFormat="1" ht="14" x14ac:dyDescent="0.3">
      <c r="B2" s="42"/>
      <c r="C2" s="42" t="s">
        <v>73</v>
      </c>
      <c r="F2" s="45" t="s">
        <v>67</v>
      </c>
      <c r="J2" s="19"/>
    </row>
    <row r="3" spans="2:15" s="12" customFormat="1" ht="14" x14ac:dyDescent="0.3">
      <c r="B3" s="42"/>
      <c r="C3" s="19"/>
      <c r="J3" s="19"/>
    </row>
    <row r="4" spans="2:15" s="12" customFormat="1" ht="14" x14ac:dyDescent="0.3">
      <c r="B4" s="42"/>
      <c r="C4" s="46" t="s">
        <v>38</v>
      </c>
      <c r="J4" s="19"/>
    </row>
    <row r="5" spans="2:15" s="12" customFormat="1" ht="14" x14ac:dyDescent="0.3">
      <c r="B5" s="42"/>
      <c r="C5" s="56" t="s">
        <v>43</v>
      </c>
      <c r="J5" s="19"/>
    </row>
    <row r="6" spans="2:15" s="12" customFormat="1" ht="14" x14ac:dyDescent="0.3">
      <c r="B6" s="42"/>
      <c r="C6" s="57" t="s">
        <v>42</v>
      </c>
    </row>
    <row r="7" spans="2:15" s="12" customFormat="1" ht="14" x14ac:dyDescent="0.3">
      <c r="B7" s="42"/>
      <c r="C7" s="58" t="s">
        <v>44</v>
      </c>
    </row>
    <row r="8" spans="2:15" s="12" customFormat="1" ht="29.5" thickBot="1" x14ac:dyDescent="0.45">
      <c r="B8" s="42"/>
      <c r="C8" s="42" t="s">
        <v>45</v>
      </c>
      <c r="F8" s="16" t="s">
        <v>18</v>
      </c>
      <c r="G8" s="14" t="s">
        <v>27</v>
      </c>
      <c r="H8" s="14" t="s">
        <v>26</v>
      </c>
      <c r="I8" s="14" t="s">
        <v>25</v>
      </c>
      <c r="J8" s="16" t="s">
        <v>22</v>
      </c>
      <c r="K8" s="11"/>
      <c r="L8" s="16" t="s">
        <v>36</v>
      </c>
      <c r="M8" s="16" t="s">
        <v>31</v>
      </c>
      <c r="N8" s="15" t="s">
        <v>64</v>
      </c>
      <c r="O8" s="16" t="s">
        <v>30</v>
      </c>
    </row>
    <row r="9" spans="2:15" s="12" customFormat="1" ht="15.5" thickTop="1" thickBot="1" x14ac:dyDescent="0.4">
      <c r="B9" s="42"/>
      <c r="C9" s="55">
        <v>10</v>
      </c>
      <c r="D9" s="12" t="s">
        <v>16</v>
      </c>
      <c r="F9" s="12">
        <v>1</v>
      </c>
      <c r="G9" s="20">
        <f t="shared" ref="G9:G28" si="0">IF(F9&lt;$C$14,0,$C$16/MAX(1,($C$10*ABS($C$9-F9))))</f>
        <v>0</v>
      </c>
      <c r="H9" s="21">
        <f t="shared" ref="H9:H28" si="1">G9*$C$17</f>
        <v>0</v>
      </c>
      <c r="I9" s="21">
        <f t="shared" ref="I9:I28" si="2">IF(F9&lt;$C$14,0,$C$15/MAX(1,($C$10*ABS($C$9-F9))))</f>
        <v>0</v>
      </c>
      <c r="J9" s="22">
        <f>(H9+I9)/((1+$C$18)^MAX(0,(F9-$C$13)))</f>
        <v>0</v>
      </c>
      <c r="K9" s="11"/>
      <c r="L9" s="25">
        <f>IF(F9&lt;$C$13,"sunk",IF(OR(F9&lt;=$C$14,$C$29="yes"),$C$33,0)+IF(F9=1,$C$32-$C$33,0))</f>
        <v>12000</v>
      </c>
      <c r="M9" s="26">
        <f>IF(F9&lt;$C$13,"sunk",IF(F9&lt;4,0,500*(1+F9/5)*$C$34*IF($C$29="yes",(1+F9/8),1)))</f>
        <v>0</v>
      </c>
      <c r="N9" s="26">
        <f t="shared" ref="N9:N28" si="3">IF(F9&lt;$C$13,"sunk",L9+M9)</f>
        <v>12000</v>
      </c>
      <c r="O9" s="27">
        <f t="shared" ref="O9:O28" si="4">IF(N9="sunk",0,N9/(1+$C$18)^MAX(0,(F9-$C$13)))</f>
        <v>9600</v>
      </c>
    </row>
    <row r="10" spans="2:15" s="10" customFormat="1" ht="15.5" thickTop="1" thickBot="1" x14ac:dyDescent="0.4">
      <c r="B10" s="44"/>
      <c r="C10" s="55">
        <v>0.4</v>
      </c>
      <c r="D10" s="12" t="s">
        <v>23</v>
      </c>
      <c r="F10" s="12">
        <f>F9+1</f>
        <v>2</v>
      </c>
      <c r="G10" s="23">
        <f t="shared" si="0"/>
        <v>0</v>
      </c>
      <c r="H10" s="17">
        <f t="shared" si="1"/>
        <v>0</v>
      </c>
      <c r="I10" s="17">
        <f t="shared" si="2"/>
        <v>0</v>
      </c>
      <c r="J10" s="24">
        <f t="shared" ref="J10:J28" si="5">(H10+I10)/((1+$C$18)^MAX(0,(F10-$C$13)))</f>
        <v>0</v>
      </c>
      <c r="K10" s="11"/>
      <c r="L10" s="28">
        <f t="shared" ref="L10:L28" si="6">IF(F10&lt;$C$13,"sunk",IF(OR(F10&lt;=$C$14,$C$29="yes"),$C$33,0)+IF(F10=1,$C$32-$C$33,0))</f>
        <v>8000</v>
      </c>
      <c r="M10" s="18">
        <f t="shared" ref="M10:M28" si="7">IF(F10&lt;$C$13,"sunk",IF(F10&lt;4,0,500*(1+F10/5)*$C$34*IF($C$29="yes",(1+F10/8),1)))</f>
        <v>0</v>
      </c>
      <c r="N10" s="18">
        <f t="shared" si="3"/>
        <v>8000</v>
      </c>
      <c r="O10" s="29">
        <f t="shared" si="4"/>
        <v>5120</v>
      </c>
    </row>
    <row r="11" spans="2:15" ht="15" thickTop="1" x14ac:dyDescent="0.35">
      <c r="C11" s="19"/>
      <c r="D11" s="12"/>
      <c r="F11" s="12">
        <f t="shared" ref="F11:F28" si="8">F10+1</f>
        <v>3</v>
      </c>
      <c r="G11" s="23">
        <f t="shared" si="0"/>
        <v>2857142.8571428568</v>
      </c>
      <c r="H11" s="17">
        <f t="shared" si="1"/>
        <v>428571.42857142852</v>
      </c>
      <c r="I11" s="17">
        <f t="shared" si="2"/>
        <v>714285.7142857142</v>
      </c>
      <c r="J11" s="24">
        <f t="shared" si="5"/>
        <v>585142.85714285704</v>
      </c>
      <c r="L11" s="28">
        <f t="shared" si="6"/>
        <v>8000</v>
      </c>
      <c r="M11" s="18">
        <f t="shared" si="7"/>
        <v>0</v>
      </c>
      <c r="N11" s="18">
        <f t="shared" si="3"/>
        <v>8000</v>
      </c>
      <c r="O11" s="29">
        <f t="shared" si="4"/>
        <v>4096</v>
      </c>
    </row>
    <row r="12" spans="2:15" ht="15" thickBot="1" x14ac:dyDescent="0.4">
      <c r="B12" s="42"/>
      <c r="C12" s="42" t="s">
        <v>37</v>
      </c>
      <c r="F12" s="12">
        <f t="shared" si="8"/>
        <v>4</v>
      </c>
      <c r="G12" s="23">
        <f t="shared" si="0"/>
        <v>3333333.333333333</v>
      </c>
      <c r="H12" s="17">
        <f t="shared" si="1"/>
        <v>499999.99999999994</v>
      </c>
      <c r="I12" s="17">
        <f t="shared" si="2"/>
        <v>833333.33333333326</v>
      </c>
      <c r="J12" s="24">
        <f t="shared" si="5"/>
        <v>546133.33333333326</v>
      </c>
      <c r="L12" s="28">
        <f t="shared" si="6"/>
        <v>0</v>
      </c>
      <c r="M12" s="18">
        <f t="shared" si="7"/>
        <v>900</v>
      </c>
      <c r="N12" s="18">
        <f t="shared" si="3"/>
        <v>900</v>
      </c>
      <c r="O12" s="29">
        <f t="shared" si="4"/>
        <v>368.64</v>
      </c>
    </row>
    <row r="13" spans="2:15" ht="17" thickTop="1" thickBot="1" x14ac:dyDescent="0.45">
      <c r="B13" s="41" t="s">
        <v>24</v>
      </c>
      <c r="C13" s="51">
        <v>0</v>
      </c>
      <c r="D13" s="12" t="s">
        <v>61</v>
      </c>
      <c r="F13" s="12">
        <f t="shared" si="8"/>
        <v>5</v>
      </c>
      <c r="G13" s="23">
        <f t="shared" si="0"/>
        <v>4000000</v>
      </c>
      <c r="H13" s="17">
        <f t="shared" si="1"/>
        <v>600000</v>
      </c>
      <c r="I13" s="17">
        <f t="shared" si="2"/>
        <v>1000000</v>
      </c>
      <c r="J13" s="24">
        <f t="shared" si="5"/>
        <v>524288</v>
      </c>
      <c r="L13" s="28">
        <f t="shared" si="6"/>
        <v>0</v>
      </c>
      <c r="M13" s="18">
        <f t="shared" si="7"/>
        <v>1000</v>
      </c>
      <c r="N13" s="18">
        <f t="shared" si="3"/>
        <v>1000</v>
      </c>
      <c r="O13" s="29">
        <f t="shared" si="4"/>
        <v>327.68</v>
      </c>
    </row>
    <row r="14" spans="2:15" ht="17" thickTop="1" thickBot="1" x14ac:dyDescent="0.45">
      <c r="B14" s="41" t="s">
        <v>29</v>
      </c>
      <c r="C14" s="51">
        <v>3</v>
      </c>
      <c r="D14" s="12" t="s">
        <v>60</v>
      </c>
      <c r="F14" s="12">
        <f t="shared" si="8"/>
        <v>6</v>
      </c>
      <c r="G14" s="23">
        <f t="shared" si="0"/>
        <v>5000000</v>
      </c>
      <c r="H14" s="17">
        <f t="shared" si="1"/>
        <v>750000</v>
      </c>
      <c r="I14" s="17">
        <f t="shared" si="2"/>
        <v>1250000</v>
      </c>
      <c r="J14" s="24">
        <f t="shared" si="5"/>
        <v>524288</v>
      </c>
      <c r="L14" s="28">
        <f t="shared" si="6"/>
        <v>0</v>
      </c>
      <c r="M14" s="18">
        <f t="shared" si="7"/>
        <v>1100</v>
      </c>
      <c r="N14" s="18">
        <f t="shared" si="3"/>
        <v>1100</v>
      </c>
      <c r="O14" s="29">
        <f t="shared" si="4"/>
        <v>288.35840000000002</v>
      </c>
    </row>
    <row r="15" spans="2:15" ht="15.5" thickTop="1" thickBot="1" x14ac:dyDescent="0.4">
      <c r="B15" s="41" t="s">
        <v>46</v>
      </c>
      <c r="C15" s="48">
        <v>2000000</v>
      </c>
      <c r="D15" s="12" t="s">
        <v>69</v>
      </c>
      <c r="F15" s="12">
        <f t="shared" si="8"/>
        <v>7</v>
      </c>
      <c r="G15" s="23">
        <f t="shared" si="0"/>
        <v>6666666.666666666</v>
      </c>
      <c r="H15" s="17">
        <f t="shared" si="1"/>
        <v>999999.99999999988</v>
      </c>
      <c r="I15" s="17">
        <f t="shared" si="2"/>
        <v>1666666.6666666665</v>
      </c>
      <c r="J15" s="24">
        <f t="shared" si="5"/>
        <v>559240.53333333333</v>
      </c>
      <c r="L15" s="28">
        <f t="shared" si="6"/>
        <v>0</v>
      </c>
      <c r="M15" s="18">
        <f t="shared" si="7"/>
        <v>1200</v>
      </c>
      <c r="N15" s="18">
        <f t="shared" si="3"/>
        <v>1200</v>
      </c>
      <c r="O15" s="29">
        <f t="shared" si="4"/>
        <v>251.65824000000001</v>
      </c>
    </row>
    <row r="16" spans="2:15" ht="15.5" thickTop="1" thickBot="1" x14ac:dyDescent="0.4">
      <c r="B16" s="41" t="s">
        <v>47</v>
      </c>
      <c r="C16" s="48">
        <v>8000000</v>
      </c>
      <c r="D16" s="12" t="s">
        <v>59</v>
      </c>
      <c r="F16" s="12">
        <f t="shared" si="8"/>
        <v>8</v>
      </c>
      <c r="G16" s="23">
        <f t="shared" si="0"/>
        <v>8000000</v>
      </c>
      <c r="H16" s="17">
        <f t="shared" si="1"/>
        <v>1200000</v>
      </c>
      <c r="I16" s="17">
        <f t="shared" si="2"/>
        <v>2000000</v>
      </c>
      <c r="J16" s="24">
        <f t="shared" si="5"/>
        <v>536870.91200000001</v>
      </c>
      <c r="L16" s="28">
        <f t="shared" si="6"/>
        <v>0</v>
      </c>
      <c r="M16" s="18">
        <f t="shared" si="7"/>
        <v>1300</v>
      </c>
      <c r="N16" s="18">
        <f t="shared" si="3"/>
        <v>1300</v>
      </c>
      <c r="O16" s="29">
        <f t="shared" si="4"/>
        <v>218.10380799999999</v>
      </c>
    </row>
    <row r="17" spans="2:15" ht="15.5" thickTop="1" thickBot="1" x14ac:dyDescent="0.4">
      <c r="B17" s="41" t="s">
        <v>48</v>
      </c>
      <c r="C17" s="52">
        <v>0.15</v>
      </c>
      <c r="D17" s="12" t="s">
        <v>58</v>
      </c>
      <c r="F17" s="12">
        <f t="shared" si="8"/>
        <v>9</v>
      </c>
      <c r="G17" s="23">
        <f t="shared" si="0"/>
        <v>8000000</v>
      </c>
      <c r="H17" s="17">
        <f t="shared" si="1"/>
        <v>1200000</v>
      </c>
      <c r="I17" s="17">
        <f t="shared" si="2"/>
        <v>2000000</v>
      </c>
      <c r="J17" s="24">
        <f t="shared" si="5"/>
        <v>429496.72960000002</v>
      </c>
      <c r="L17" s="28">
        <f t="shared" si="6"/>
        <v>0</v>
      </c>
      <c r="M17" s="18">
        <f t="shared" si="7"/>
        <v>1400</v>
      </c>
      <c r="N17" s="18">
        <f t="shared" si="3"/>
        <v>1400</v>
      </c>
      <c r="O17" s="29">
        <f t="shared" si="4"/>
        <v>187.90481919999999</v>
      </c>
    </row>
    <row r="18" spans="2:15" ht="15.5" thickTop="1" thickBot="1" x14ac:dyDescent="0.4">
      <c r="B18" s="41" t="s">
        <v>21</v>
      </c>
      <c r="C18" s="52">
        <v>0.25</v>
      </c>
      <c r="D18" s="12" t="s">
        <v>66</v>
      </c>
      <c r="F18" s="12">
        <f t="shared" si="8"/>
        <v>10</v>
      </c>
      <c r="G18" s="23">
        <f t="shared" si="0"/>
        <v>8000000</v>
      </c>
      <c r="H18" s="17">
        <f t="shared" si="1"/>
        <v>1200000</v>
      </c>
      <c r="I18" s="17">
        <f t="shared" si="2"/>
        <v>2000000</v>
      </c>
      <c r="J18" s="24">
        <f t="shared" si="5"/>
        <v>343597.38368000003</v>
      </c>
      <c r="L18" s="28">
        <f t="shared" si="6"/>
        <v>0</v>
      </c>
      <c r="M18" s="18">
        <f t="shared" si="7"/>
        <v>1500</v>
      </c>
      <c r="N18" s="18">
        <f t="shared" si="3"/>
        <v>1500</v>
      </c>
      <c r="O18" s="29">
        <f t="shared" si="4"/>
        <v>161.06127359999999</v>
      </c>
    </row>
    <row r="19" spans="2:15" ht="15.5" thickTop="1" thickBot="1" x14ac:dyDescent="0.4">
      <c r="B19" s="41" t="s">
        <v>17</v>
      </c>
      <c r="C19" s="49">
        <v>2000000</v>
      </c>
      <c r="D19" s="12" t="s">
        <v>57</v>
      </c>
      <c r="F19" s="12">
        <f t="shared" si="8"/>
        <v>11</v>
      </c>
      <c r="G19" s="23">
        <f t="shared" si="0"/>
        <v>8000000</v>
      </c>
      <c r="H19" s="17">
        <f t="shared" si="1"/>
        <v>1200000</v>
      </c>
      <c r="I19" s="17">
        <f t="shared" si="2"/>
        <v>2000000</v>
      </c>
      <c r="J19" s="24">
        <f t="shared" si="5"/>
        <v>274877.90694399999</v>
      </c>
      <c r="L19" s="28">
        <f t="shared" si="6"/>
        <v>0</v>
      </c>
      <c r="M19" s="18">
        <f t="shared" si="7"/>
        <v>1600</v>
      </c>
      <c r="N19" s="18">
        <f t="shared" si="3"/>
        <v>1600</v>
      </c>
      <c r="O19" s="29">
        <f t="shared" si="4"/>
        <v>137.43895347200001</v>
      </c>
    </row>
    <row r="20" spans="2:15" ht="17" thickTop="1" thickBot="1" x14ac:dyDescent="0.45">
      <c r="B20" s="41" t="s">
        <v>9</v>
      </c>
      <c r="C20" s="52">
        <v>0.5</v>
      </c>
      <c r="D20" s="12" t="s">
        <v>56</v>
      </c>
      <c r="F20" s="12">
        <f t="shared" si="8"/>
        <v>12</v>
      </c>
      <c r="G20" s="23">
        <f t="shared" si="0"/>
        <v>8000000</v>
      </c>
      <c r="H20" s="17">
        <f t="shared" si="1"/>
        <v>1200000</v>
      </c>
      <c r="I20" s="17">
        <f t="shared" si="2"/>
        <v>2000000</v>
      </c>
      <c r="J20" s="24">
        <f t="shared" si="5"/>
        <v>219902.32555519999</v>
      </c>
      <c r="L20" s="28">
        <f t="shared" si="6"/>
        <v>0</v>
      </c>
      <c r="M20" s="18">
        <f t="shared" si="7"/>
        <v>1700</v>
      </c>
      <c r="N20" s="18">
        <f t="shared" si="3"/>
        <v>1700</v>
      </c>
      <c r="O20" s="29">
        <f t="shared" si="4"/>
        <v>116.82311045119999</v>
      </c>
    </row>
    <row r="21" spans="2:15" ht="17" thickTop="1" thickBot="1" x14ac:dyDescent="0.45">
      <c r="B21" s="41" t="s">
        <v>8</v>
      </c>
      <c r="C21" s="53">
        <v>0.5</v>
      </c>
      <c r="D21" s="12" t="s">
        <v>71</v>
      </c>
      <c r="F21" s="12">
        <f t="shared" si="8"/>
        <v>13</v>
      </c>
      <c r="G21" s="23">
        <f t="shared" si="0"/>
        <v>6666666.666666666</v>
      </c>
      <c r="H21" s="17">
        <f t="shared" si="1"/>
        <v>999999.99999999988</v>
      </c>
      <c r="I21" s="17">
        <f t="shared" si="2"/>
        <v>1666666.6666666665</v>
      </c>
      <c r="J21" s="24">
        <f t="shared" si="5"/>
        <v>146601.55037013334</v>
      </c>
      <c r="L21" s="28">
        <f t="shared" si="6"/>
        <v>0</v>
      </c>
      <c r="M21" s="18">
        <f t="shared" si="7"/>
        <v>1800</v>
      </c>
      <c r="N21" s="18">
        <f t="shared" si="3"/>
        <v>1800</v>
      </c>
      <c r="O21" s="29">
        <f t="shared" si="4"/>
        <v>98.956046499839999</v>
      </c>
    </row>
    <row r="22" spans="2:15" ht="17" thickTop="1" thickBot="1" x14ac:dyDescent="0.45">
      <c r="B22" s="41" t="s">
        <v>10</v>
      </c>
      <c r="C22" s="53">
        <v>1</v>
      </c>
      <c r="D22" s="12" t="s">
        <v>55</v>
      </c>
      <c r="F22" s="12">
        <f t="shared" si="8"/>
        <v>14</v>
      </c>
      <c r="G22" s="23">
        <f t="shared" si="0"/>
        <v>5000000</v>
      </c>
      <c r="H22" s="17">
        <f t="shared" si="1"/>
        <v>750000</v>
      </c>
      <c r="I22" s="17">
        <f t="shared" si="2"/>
        <v>1250000</v>
      </c>
      <c r="J22" s="24">
        <f t="shared" si="5"/>
        <v>87960.930222080002</v>
      </c>
      <c r="L22" s="28">
        <f t="shared" si="6"/>
        <v>0</v>
      </c>
      <c r="M22" s="18">
        <f t="shared" si="7"/>
        <v>1900</v>
      </c>
      <c r="N22" s="18">
        <f t="shared" si="3"/>
        <v>1900</v>
      </c>
      <c r="O22" s="29">
        <f t="shared" si="4"/>
        <v>83.562883710975996</v>
      </c>
    </row>
    <row r="23" spans="2:15" ht="17" thickTop="1" thickBot="1" x14ac:dyDescent="0.45">
      <c r="B23" s="41" t="s">
        <v>13</v>
      </c>
      <c r="C23" s="53">
        <v>0.4</v>
      </c>
      <c r="D23" s="12" t="s">
        <v>54</v>
      </c>
      <c r="F23" s="12">
        <f t="shared" si="8"/>
        <v>15</v>
      </c>
      <c r="G23" s="23">
        <f t="shared" si="0"/>
        <v>4000000</v>
      </c>
      <c r="H23" s="17">
        <f t="shared" si="1"/>
        <v>600000</v>
      </c>
      <c r="I23" s="17">
        <f t="shared" si="2"/>
        <v>1000000</v>
      </c>
      <c r="J23" s="24">
        <f t="shared" si="5"/>
        <v>56294.995342131202</v>
      </c>
      <c r="L23" s="28">
        <f t="shared" si="6"/>
        <v>0</v>
      </c>
      <c r="M23" s="18">
        <f t="shared" si="7"/>
        <v>2000</v>
      </c>
      <c r="N23" s="18">
        <f t="shared" si="3"/>
        <v>2000</v>
      </c>
      <c r="O23" s="29">
        <f t="shared" si="4"/>
        <v>70.368744177663999</v>
      </c>
    </row>
    <row r="24" spans="2:15" ht="17" thickTop="1" thickBot="1" x14ac:dyDescent="0.45">
      <c r="B24" s="41" t="s">
        <v>12</v>
      </c>
      <c r="C24" s="54">
        <v>0.9</v>
      </c>
      <c r="D24" s="12" t="s">
        <v>53</v>
      </c>
      <c r="F24" s="12">
        <f t="shared" si="8"/>
        <v>16</v>
      </c>
      <c r="G24" s="23">
        <f t="shared" si="0"/>
        <v>3333333.333333333</v>
      </c>
      <c r="H24" s="17">
        <f t="shared" si="1"/>
        <v>499999.99999999994</v>
      </c>
      <c r="I24" s="17">
        <f t="shared" si="2"/>
        <v>833333.33333333326</v>
      </c>
      <c r="J24" s="24">
        <f t="shared" si="5"/>
        <v>37529.996894754135</v>
      </c>
      <c r="L24" s="28">
        <f t="shared" si="6"/>
        <v>0</v>
      </c>
      <c r="M24" s="18">
        <f t="shared" si="7"/>
        <v>2100</v>
      </c>
      <c r="N24" s="18">
        <f t="shared" si="3"/>
        <v>2100</v>
      </c>
      <c r="O24" s="29">
        <f t="shared" si="4"/>
        <v>59.109745109237757</v>
      </c>
    </row>
    <row r="25" spans="2:15" ht="17" thickTop="1" thickBot="1" x14ac:dyDescent="0.45">
      <c r="B25" s="41" t="s">
        <v>11</v>
      </c>
      <c r="C25" s="54">
        <v>0.8</v>
      </c>
      <c r="D25" s="12" t="s">
        <v>52</v>
      </c>
      <c r="F25" s="12">
        <f t="shared" si="8"/>
        <v>17</v>
      </c>
      <c r="G25" s="23">
        <f t="shared" si="0"/>
        <v>2857142.8571428568</v>
      </c>
      <c r="H25" s="17">
        <f t="shared" si="1"/>
        <v>428571.42857142852</v>
      </c>
      <c r="I25" s="17">
        <f t="shared" si="2"/>
        <v>714285.7142857142</v>
      </c>
      <c r="J25" s="24">
        <f t="shared" si="5"/>
        <v>25734.85501354569</v>
      </c>
      <c r="L25" s="28">
        <f t="shared" si="6"/>
        <v>0</v>
      </c>
      <c r="M25" s="18">
        <f t="shared" si="7"/>
        <v>2200</v>
      </c>
      <c r="N25" s="18">
        <f t="shared" si="3"/>
        <v>2200</v>
      </c>
      <c r="O25" s="29">
        <f t="shared" si="4"/>
        <v>49.539595901075458</v>
      </c>
    </row>
    <row r="26" spans="2:15" ht="15.5" thickTop="1" thickBot="1" x14ac:dyDescent="0.4">
      <c r="B26" s="41" t="s">
        <v>32</v>
      </c>
      <c r="C26" s="52">
        <v>0.25</v>
      </c>
      <c r="D26" s="12" t="s">
        <v>51</v>
      </c>
      <c r="F26" s="12">
        <f t="shared" si="8"/>
        <v>18</v>
      </c>
      <c r="G26" s="23">
        <f t="shared" si="0"/>
        <v>2500000</v>
      </c>
      <c r="H26" s="17">
        <f t="shared" si="1"/>
        <v>375000</v>
      </c>
      <c r="I26" s="17">
        <f t="shared" si="2"/>
        <v>625000</v>
      </c>
      <c r="J26" s="24">
        <f t="shared" si="5"/>
        <v>18014.398509481984</v>
      </c>
      <c r="L26" s="28">
        <f t="shared" si="6"/>
        <v>0</v>
      </c>
      <c r="M26" s="18">
        <f t="shared" si="7"/>
        <v>2300</v>
      </c>
      <c r="N26" s="18">
        <f t="shared" si="3"/>
        <v>2300</v>
      </c>
      <c r="O26" s="29">
        <f t="shared" si="4"/>
        <v>41.433116571808561</v>
      </c>
    </row>
    <row r="27" spans="2:15" ht="15.5" thickTop="1" thickBot="1" x14ac:dyDescent="0.4">
      <c r="B27" s="41" t="s">
        <v>34</v>
      </c>
      <c r="C27" s="53">
        <v>0</v>
      </c>
      <c r="D27" s="12" t="s">
        <v>50</v>
      </c>
      <c r="F27" s="12">
        <f t="shared" si="8"/>
        <v>19</v>
      </c>
      <c r="G27" s="23">
        <f t="shared" si="0"/>
        <v>2222222.222222222</v>
      </c>
      <c r="H27" s="17">
        <f t="shared" si="1"/>
        <v>333333.33333333331</v>
      </c>
      <c r="I27" s="17">
        <f t="shared" si="2"/>
        <v>555555.5555555555</v>
      </c>
      <c r="J27" s="24">
        <f t="shared" si="5"/>
        <v>12810.238940076075</v>
      </c>
      <c r="L27" s="28">
        <f t="shared" si="6"/>
        <v>0</v>
      </c>
      <c r="M27" s="18">
        <f t="shared" si="7"/>
        <v>2400</v>
      </c>
      <c r="N27" s="18">
        <f t="shared" si="3"/>
        <v>2400</v>
      </c>
      <c r="O27" s="29">
        <f t="shared" si="4"/>
        <v>34.58764513820541</v>
      </c>
    </row>
    <row r="28" spans="2:15" ht="15.5" thickTop="1" thickBot="1" x14ac:dyDescent="0.4">
      <c r="C28" s="47"/>
      <c r="F28" s="12">
        <f t="shared" si="8"/>
        <v>20</v>
      </c>
      <c r="G28" s="23">
        <f t="shared" si="0"/>
        <v>2000000</v>
      </c>
      <c r="H28" s="17">
        <f t="shared" si="1"/>
        <v>300000</v>
      </c>
      <c r="I28" s="17">
        <f t="shared" si="2"/>
        <v>500000</v>
      </c>
      <c r="J28" s="24">
        <f t="shared" si="5"/>
        <v>9223.3720368547765</v>
      </c>
      <c r="L28" s="38">
        <f t="shared" si="6"/>
        <v>0</v>
      </c>
      <c r="M28" s="39">
        <f t="shared" si="7"/>
        <v>2500</v>
      </c>
      <c r="N28" s="39">
        <f t="shared" si="3"/>
        <v>2500</v>
      </c>
      <c r="O28" s="40">
        <f t="shared" si="4"/>
        <v>28.823037615171174</v>
      </c>
    </row>
    <row r="29" spans="2:15" ht="15.5" thickTop="1" thickBot="1" x14ac:dyDescent="0.4">
      <c r="C29" s="50" t="s">
        <v>70</v>
      </c>
      <c r="D29" s="12" t="s">
        <v>39</v>
      </c>
      <c r="E29" s="12"/>
      <c r="F29" s="19" t="s">
        <v>14</v>
      </c>
      <c r="G29" s="32">
        <f t="shared" ref="G29:J29" si="9">SUM(G9:G28)</f>
        <v>90436507.936507925</v>
      </c>
      <c r="H29" s="33">
        <f t="shared" si="9"/>
        <v>13565476.190476192</v>
      </c>
      <c r="I29" s="33">
        <f t="shared" si="9"/>
        <v>22609126.984126981</v>
      </c>
      <c r="J29" s="34">
        <f t="shared" si="9"/>
        <v>4938008.3189177802</v>
      </c>
      <c r="L29" s="35">
        <f>SUM(L9:L28)</f>
        <v>28000</v>
      </c>
      <c r="M29" s="36">
        <f>SUM(M9:M28)</f>
        <v>28900</v>
      </c>
      <c r="N29" s="36">
        <f>SUM(N9:N28)</f>
        <v>56900</v>
      </c>
      <c r="O29" s="37">
        <f>SUM(O9:O28)</f>
        <v>21340.049419447179</v>
      </c>
    </row>
    <row r="30" spans="2:15" ht="15" thickTop="1" x14ac:dyDescent="0.35">
      <c r="C30" s="19"/>
      <c r="E30" s="12"/>
      <c r="F30" s="12"/>
      <c r="G30" s="12"/>
      <c r="H30" s="12"/>
      <c r="I30" s="19" t="s">
        <v>20</v>
      </c>
      <c r="J30" s="31">
        <f>($J$29-$C$19)*$C$20*$C$21*$C$22*$C$23*$C$24*$C$25*IF(C29="yes",(1+$C$26),1)*(1+9*$C$27)</f>
        <v>211536.5989620802</v>
      </c>
      <c r="M30" s="12"/>
      <c r="N30" s="19" t="s">
        <v>33</v>
      </c>
      <c r="O30" s="30">
        <f>O29</f>
        <v>21340.049419447179</v>
      </c>
    </row>
    <row r="31" spans="2:15" ht="15" thickBot="1" x14ac:dyDescent="0.4">
      <c r="B31" s="41" t="s">
        <v>28</v>
      </c>
      <c r="C31" s="42" t="s">
        <v>62</v>
      </c>
      <c r="D31" s="12" t="s">
        <v>63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5" ht="15.5" thickTop="1" thickBot="1" x14ac:dyDescent="0.4">
      <c r="B32" s="42"/>
      <c r="C32" s="49">
        <v>12000</v>
      </c>
      <c r="D32" s="12" t="s">
        <v>40</v>
      </c>
      <c r="E32" s="12"/>
      <c r="F32" s="12"/>
      <c r="G32" s="12"/>
      <c r="H32" s="12"/>
      <c r="I32" s="12"/>
      <c r="L32" s="12"/>
      <c r="M32" s="12"/>
      <c r="N32" s="12"/>
    </row>
    <row r="33" spans="2:10" ht="15.5" thickTop="1" thickBot="1" x14ac:dyDescent="0.4">
      <c r="B33" s="42"/>
      <c r="C33" s="49">
        <v>8000</v>
      </c>
      <c r="D33" s="12" t="s">
        <v>41</v>
      </c>
      <c r="E33" s="12"/>
      <c r="F33" s="12"/>
    </row>
    <row r="34" spans="2:10" ht="15.5" thickTop="1" thickBot="1" x14ac:dyDescent="0.4">
      <c r="B34" s="42"/>
      <c r="C34" s="50">
        <v>1</v>
      </c>
      <c r="D34" s="12" t="s">
        <v>68</v>
      </c>
      <c r="E34" s="12"/>
    </row>
    <row r="35" spans="2:10" ht="15.5" thickTop="1" thickBot="1" x14ac:dyDescent="0.4">
      <c r="C35" s="47"/>
      <c r="E35" s="12"/>
    </row>
    <row r="36" spans="2:10" ht="15.5" thickTop="1" thickBot="1" x14ac:dyDescent="0.4">
      <c r="B36" s="41" t="s">
        <v>35</v>
      </c>
      <c r="C36" s="48">
        <v>10000</v>
      </c>
      <c r="D36" s="12" t="s">
        <v>49</v>
      </c>
      <c r="J36" s="11"/>
    </row>
    <row r="37" spans="2:10" ht="15" thickTop="1" x14ac:dyDescent="0.35">
      <c r="B37" s="11"/>
      <c r="J37" s="11"/>
    </row>
    <row r="38" spans="2:10" x14ac:dyDescent="0.35">
      <c r="J38" s="11"/>
    </row>
    <row r="39" spans="2:10" ht="18" x14ac:dyDescent="0.4">
      <c r="B39" s="41" t="s">
        <v>72</v>
      </c>
      <c r="C39" s="60">
        <f>J30-O30+$C$36*($C$34)</f>
        <v>200196.54954263303</v>
      </c>
      <c r="D39" s="59" t="s">
        <v>65</v>
      </c>
      <c r="J39" s="11"/>
    </row>
  </sheetData>
  <conditionalFormatting sqref="C16 C20:C25">
    <cfRule type="cellIs" dxfId="12" priority="31" operator="lessThanOrEqual">
      <formula>0</formula>
    </cfRule>
  </conditionalFormatting>
  <conditionalFormatting sqref="C17">
    <cfRule type="cellIs" dxfId="11" priority="30" operator="lessThanOrEqual">
      <formula>0</formula>
    </cfRule>
  </conditionalFormatting>
  <conditionalFormatting sqref="C18">
    <cfRule type="cellIs" dxfId="10" priority="27" operator="lessThanOrEqual">
      <formula>0</formula>
    </cfRule>
  </conditionalFormatting>
  <conditionalFormatting sqref="O30">
    <cfRule type="cellIs" dxfId="9" priority="22" operator="lessThanOrEqual">
      <formula>0</formula>
    </cfRule>
  </conditionalFormatting>
  <conditionalFormatting sqref="C39">
    <cfRule type="cellIs" dxfId="8" priority="18" operator="lessThan">
      <formula>0</formula>
    </cfRule>
  </conditionalFormatting>
  <conditionalFormatting sqref="J30">
    <cfRule type="cellIs" dxfId="7" priority="15" operator="lessThanOrEqual">
      <formula>0</formula>
    </cfRule>
  </conditionalFormatting>
  <conditionalFormatting sqref="C33">
    <cfRule type="cellIs" dxfId="6" priority="12" operator="lessThanOrEqual">
      <formula>0</formula>
    </cfRule>
  </conditionalFormatting>
  <conditionalFormatting sqref="C19">
    <cfRule type="cellIs" dxfId="5" priority="9" operator="lessThanOrEqual">
      <formula>0</formula>
    </cfRule>
  </conditionalFormatting>
  <conditionalFormatting sqref="C36">
    <cfRule type="cellIs" dxfId="4" priority="6" operator="lessThanOrEqual">
      <formula>0</formula>
    </cfRule>
  </conditionalFormatting>
  <conditionalFormatting sqref="C34">
    <cfRule type="cellIs" dxfId="3" priority="5" operator="lessThanOrEqual">
      <formula>0</formula>
    </cfRule>
  </conditionalFormatting>
  <conditionalFormatting sqref="C29">
    <cfRule type="cellIs" dxfId="2" priority="4" operator="lessThanOrEqual">
      <formula>0</formula>
    </cfRule>
  </conditionalFormatting>
  <conditionalFormatting sqref="C7">
    <cfRule type="cellIs" dxfId="1" priority="2" operator="lessThanOrEqual">
      <formula>0</formula>
    </cfRule>
  </conditionalFormatting>
  <conditionalFormatting sqref="C26">
    <cfRule type="cellIs" dxfId="0" priority="1" operator="lessThanOrEqual">
      <formula>0</formula>
    </cfRule>
  </conditionalFormatting>
  <dataValidations count="1">
    <dataValidation type="list" allowBlank="1" showInputMessage="1" showErrorMessage="1" sqref="C29" xr:uid="{27368C8D-F909-4D3A-95A3-202A96031B32}">
      <formula1>"no,yes"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Valuation</vt:lpstr>
      <vt:lpstr>Accurate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2020-09-14T00:47:59Z</dcterms:created>
  <dcterms:modified xsi:type="dcterms:W3CDTF">2021-01-24T19:46:37Z</dcterms:modified>
</cp:coreProperties>
</file>